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6" activeTab="0"/>
  </bookViews>
  <sheets>
    <sheet name="I.7 Fr" sheetId="1" r:id="rId1"/>
  </sheets>
  <definedNames>
    <definedName name="_xlnm.Print_Area" localSheetId="0">'I.7 Fr'!$A$1:$K$424</definedName>
    <definedName name="Zone_impres_MI">'I.7 Fr'!$A$1:$L$424</definedName>
  </definedNames>
  <calcPr fullCalcOnLoad="1"/>
</workbook>
</file>

<file path=xl/sharedStrings.xml><?xml version="1.0" encoding="utf-8"?>
<sst xmlns="http://schemas.openxmlformats.org/spreadsheetml/2006/main" count="585" uniqueCount="105">
  <si>
    <t xml:space="preserve"> </t>
  </si>
  <si>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</si>
  <si>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</si>
  <si>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</si>
  <si>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</si>
  <si>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</si>
  <si>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</si>
  <si>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</si>
  <si>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</si>
  <si>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</si>
  <si>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</si>
  <si>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</si>
  <si>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</si>
  <si>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</si>
  <si>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</si>
  <si>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</si>
  <si>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</si>
  <si>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</si>
  <si>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2ème Trim,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</si>
  <si>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</si>
  <si>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</si>
  <si>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</si>
  <si>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</si>
  <si>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</si>
  <si>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</si>
  <si>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</si>
  <si>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</si>
  <si>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</si>
  <si>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</si>
  <si>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</si>
  <si>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</si>
  <si>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</si>
  <si>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</si>
  <si>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>Centrale</t>
  </si>
  <si>
    <t>Période</t>
  </si>
  <si>
    <t xml:space="preserve">                    -</t>
  </si>
  <si>
    <t>2002</t>
  </si>
  <si>
    <t xml:space="preserve">  2ème Trim.</t>
  </si>
  <si>
    <t>2003</t>
  </si>
  <si>
    <t>-</t>
  </si>
  <si>
    <t>2004</t>
  </si>
  <si>
    <t xml:space="preserve">                                PRODUCTION D'ENERGIE ELECTRIQUE </t>
  </si>
  <si>
    <t xml:space="preserve">                                                (en milliers de KWH)</t>
  </si>
  <si>
    <t xml:space="preserve">   </t>
  </si>
  <si>
    <t xml:space="preserve">       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</si>
  <si>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</si>
  <si>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</si>
  <si>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</si>
  <si>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</si>
  <si>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</si>
  <si>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</si>
  <si>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</si>
  <si>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</si>
  <si>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</si>
  <si>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</si>
  <si>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</si>
  <si>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</si>
  <si>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</si>
  <si>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</si>
  <si>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</si>
  <si>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</si>
  <si>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</si>
  <si>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</si>
  <si>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</si>
  <si>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</si>
  <si>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</si>
  <si>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</si>
  <si>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KAYENZI</t>
  </si>
  <si>
    <t>C. THERMIQUE</t>
  </si>
  <si>
    <t xml:space="preserve">                     -</t>
  </si>
  <si>
    <t xml:space="preserve">  Décembre</t>
  </si>
  <si>
    <t xml:space="preserve">  Juillet</t>
  </si>
  <si>
    <t xml:space="preserve">  3ème Trim.</t>
  </si>
  <si>
    <t xml:space="preserve">  Septembre</t>
  </si>
  <si>
    <t xml:space="preserve">  Octobre</t>
  </si>
  <si>
    <t xml:space="preserve">  Novembre</t>
  </si>
  <si>
    <t>I.7</t>
  </si>
  <si>
    <t xml:space="preserve">  Mai</t>
  </si>
  <si>
    <t xml:space="preserve">  1er Trim.</t>
  </si>
  <si>
    <t xml:space="preserve">  1er  Trim.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</si>
  <si>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</si>
  <si>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</si>
  <si>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</si>
  <si>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</si>
  <si>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</si>
  <si>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</si>
  <si>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</si>
  <si>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</si>
  <si>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</si>
  <si>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</si>
  <si>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</si>
  <si>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</si>
  <si>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</si>
  <si>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</si>
  <si>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</si>
  <si>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</si>
  <si>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</si>
  <si>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</si>
  <si>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</si>
  <si>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</si>
  <si>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</si>
  <si>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</si>
  <si>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</si>
  <si>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</si>
  <si>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BUHIGA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</si>
</sst>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_-* #,##0.0\ _F_-;\-* #,##0.0\ _F_-;_-* &quot;-&quot;??\ _F_-;_-@_-"/>
    <numFmt numFmtId="193" formatCode="_-* #,##0\ _F_-;\-* #,##0\ _F_-;_-* &quot;-&quot;??\ _F_-;_-@_-"/>
    <numFmt numFmtId="194" formatCode="0.0"/>
    <numFmt numFmtId="195" formatCode="_-* #,##0.000\ _F_-;\-* #,##0.000\ _F_-;_-* &quot;-&quot;??\ _F_-;_-@_-"/>
    <numFmt numFmtId="196" formatCode="#,##0.000000_);\(#,##0.000000\)"/>
    <numFmt numFmtId="197" formatCode="_-* #,##0.0000\ _F_-;\-* #,##0.0000\ _F_-;_-* &quot;-&quot;??\ _F_-;_-@_-"/>
    <numFmt numFmtId="198" formatCode="#,##0.0"/>
    <numFmt numFmtId="199" formatCode="#,##0.00_ ;\-#,##0.00\ "/>
    <numFmt numFmtId="200" formatCode="#,##0.0_ ;\-#,##0.0\ "/>
    <numFmt numFmtId="201" formatCode="#,##0_ ;\-#,##0\ 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"/>
    <numFmt numFmtId="211" formatCode="#,##0.000"/>
    <numFmt numFmtId="212" formatCode="#,##0.000_ ;\-#,##0.000\ "/>
    <numFmt numFmtId="213" formatCode="#,##0.0000_ ;\-#,##0.0000\ "/>
    <numFmt numFmtId="214" formatCode="#,##0.0000000_);\(#,##0.0000000\)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  <numFmt numFmtId="218" formatCode="#,##0.0\ _€;\-#,##0.0\ _€"/>
    <numFmt numFmtId="219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3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>
      <alignment horizontal="right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47" applyFont="1" applyAlignment="1">
      <alignment/>
    </xf>
    <xf numFmtId="187" fontId="0" fillId="0" borderId="0" xfId="47" applyFont="1" applyBorder="1" applyAlignment="1">
      <alignment/>
    </xf>
    <xf numFmtId="187" fontId="0" fillId="0" borderId="0" xfId="47" applyFont="1" applyAlignment="1" applyProtection="1">
      <alignment/>
      <protection/>
    </xf>
    <xf numFmtId="3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95" fontId="0" fillId="0" borderId="0" xfId="47" applyNumberFormat="1" applyFont="1" applyAlignment="1">
      <alignment/>
    </xf>
    <xf numFmtId="195" fontId="0" fillId="0" borderId="0" xfId="47" applyNumberFormat="1" applyFont="1" applyAlignment="1" applyProtection="1">
      <alignment/>
      <protection/>
    </xf>
    <xf numFmtId="203" fontId="0" fillId="0" borderId="0" xfId="47" applyNumberFormat="1" applyFont="1" applyAlignment="1">
      <alignment/>
    </xf>
    <xf numFmtId="3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87" fontId="0" fillId="0" borderId="0" xfId="47" applyNumberFormat="1" applyFont="1" applyAlignment="1">
      <alignment/>
    </xf>
    <xf numFmtId="190" fontId="0" fillId="0" borderId="0" xfId="0" applyNumberFormat="1" applyAlignment="1">
      <alignment/>
    </xf>
    <xf numFmtId="39" fontId="0" fillId="0" borderId="0" xfId="0" applyNumberFormat="1" applyBorder="1" applyAlignment="1" applyProtection="1">
      <alignment/>
      <protection/>
    </xf>
    <xf numFmtId="187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8" fontId="0" fillId="0" borderId="0" xfId="0" applyNumberFormat="1" applyBorder="1" applyAlignment="1">
      <alignment/>
    </xf>
    <xf numFmtId="37" fontId="24" fillId="0" borderId="13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4" xfId="0" applyFont="1" applyBorder="1" applyAlignment="1">
      <alignment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1" xfId="0" applyFont="1" applyBorder="1" applyAlignment="1">
      <alignment/>
    </xf>
    <xf numFmtId="37" fontId="24" fillId="0" borderId="18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9" xfId="0" applyFont="1" applyBorder="1" applyAlignment="1">
      <alignment/>
    </xf>
    <xf numFmtId="37" fontId="25" fillId="0" borderId="15" xfId="0" applyFont="1" applyBorder="1" applyAlignment="1" applyProtection="1">
      <alignment horizontal="right"/>
      <protection locked="0"/>
    </xf>
    <xf numFmtId="37" fontId="25" fillId="0" borderId="20" xfId="0" applyFont="1" applyBorder="1" applyAlignment="1" applyProtection="1">
      <alignment horizontal="right"/>
      <protection locked="0"/>
    </xf>
    <xf numFmtId="37" fontId="25" fillId="0" borderId="16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4" fillId="0" borderId="10" xfId="0" applyFont="1" applyBorder="1" applyAlignment="1" quotePrefix="1">
      <alignment horizontal="left"/>
    </xf>
    <xf numFmtId="37" fontId="24" fillId="0" borderId="10" xfId="0" applyFont="1" applyBorder="1" applyAlignment="1">
      <alignment/>
    </xf>
    <xf numFmtId="37" fontId="24" fillId="0" borderId="18" xfId="0" applyNumberFormat="1" applyFont="1" applyBorder="1" applyAlignment="1" applyProtection="1">
      <alignment/>
      <protection/>
    </xf>
    <xf numFmtId="37" fontId="24" fillId="0" borderId="13" xfId="0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37" fontId="24" fillId="0" borderId="19" xfId="0" applyNumberFormat="1" applyFont="1" applyBorder="1" applyAlignment="1" applyProtection="1">
      <alignment/>
      <protection/>
    </xf>
    <xf numFmtId="37" fontId="24" fillId="0" borderId="19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4" xfId="0" applyFont="1" applyFill="1" applyBorder="1" applyAlignment="1">
      <alignment/>
    </xf>
    <xf numFmtId="37" fontId="24" fillId="0" borderId="19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9" xfId="0" applyFont="1" applyBorder="1" applyAlignment="1">
      <alignment horizontal="left"/>
    </xf>
    <xf numFmtId="37" fontId="24" fillId="0" borderId="19" xfId="0" applyNumberFormat="1" applyFont="1" applyBorder="1" applyAlignment="1">
      <alignment/>
    </xf>
    <xf numFmtId="187" fontId="24" fillId="0" borderId="0" xfId="47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19" xfId="0" applyNumberFormat="1" applyFont="1" applyFill="1" applyBorder="1" applyAlignment="1">
      <alignment/>
    </xf>
    <xf numFmtId="37" fontId="24" fillId="0" borderId="19" xfId="0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9" xfId="0" applyFont="1" applyFill="1" applyBorder="1" applyAlignment="1" quotePrefix="1">
      <alignment horizontal="right"/>
    </xf>
    <xf numFmtId="37" fontId="24" fillId="0" borderId="19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9" xfId="0" applyNumberFormat="1" applyFont="1" applyBorder="1" applyAlignment="1" quotePrefix="1">
      <alignment horizontal="right"/>
    </xf>
    <xf numFmtId="37" fontId="24" fillId="0" borderId="19" xfId="0" applyNumberFormat="1" applyFont="1" applyFill="1" applyBorder="1" applyAlignment="1">
      <alignment horizontal="center"/>
    </xf>
    <xf numFmtId="37" fontId="24" fillId="0" borderId="19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9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9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211" fontId="26" fillId="0" borderId="0" xfId="0" applyNumberFormat="1" applyFont="1" applyBorder="1" applyAlignment="1">
      <alignment horizontal="right"/>
    </xf>
    <xf numFmtId="210" fontId="26" fillId="0" borderId="19" xfId="0" applyNumberFormat="1" applyFont="1" applyBorder="1" applyAlignment="1">
      <alignment horizontal="right"/>
    </xf>
    <xf numFmtId="211" fontId="26" fillId="0" borderId="0" xfId="0" applyNumberFormat="1" applyFont="1" applyFill="1" applyBorder="1" applyAlignment="1" quotePrefix="1">
      <alignment horizontal="right"/>
    </xf>
    <xf numFmtId="211" fontId="26" fillId="0" borderId="19" xfId="0" applyNumberFormat="1" applyFont="1" applyBorder="1" applyAlignment="1" quotePrefix="1">
      <alignment horizontal="right"/>
    </xf>
    <xf numFmtId="211" fontId="26" fillId="0" borderId="19" xfId="0" applyNumberFormat="1" applyFont="1" applyBorder="1" applyAlignment="1">
      <alignment horizontal="right"/>
    </xf>
    <xf numFmtId="201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201" fontId="24" fillId="0" borderId="0" xfId="47" applyNumberFormat="1" applyFont="1" applyBorder="1" applyAlignment="1">
      <alignment/>
    </xf>
    <xf numFmtId="201" fontId="26" fillId="0" borderId="0" xfId="47" applyNumberFormat="1" applyFont="1" applyBorder="1" applyAlignment="1">
      <alignment/>
    </xf>
    <xf numFmtId="37" fontId="26" fillId="0" borderId="19" xfId="0" applyNumberFormat="1" applyFont="1" applyBorder="1" applyAlignment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37" fontId="26" fillId="0" borderId="19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1" fontId="24" fillId="0" borderId="19" xfId="47" applyNumberFormat="1" applyFont="1" applyBorder="1" applyAlignment="1">
      <alignment/>
    </xf>
    <xf numFmtId="201" fontId="24" fillId="0" borderId="14" xfId="47" applyNumberFormat="1" applyFont="1" applyBorder="1" applyAlignment="1">
      <alignment/>
    </xf>
    <xf numFmtId="3" fontId="24" fillId="0" borderId="0" xfId="47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9" xfId="0" applyNumberFormat="1" applyFont="1" applyFill="1" applyBorder="1" applyAlignment="1">
      <alignment horizontal="right"/>
    </xf>
    <xf numFmtId="201" fontId="24" fillId="0" borderId="13" xfId="47" applyNumberFormat="1" applyFont="1" applyBorder="1" applyAlignment="1">
      <alignment/>
    </xf>
    <xf numFmtId="201" fontId="24" fillId="0" borderId="0" xfId="47" applyNumberFormat="1" applyFont="1" applyBorder="1" applyAlignment="1">
      <alignment horizontal="right"/>
    </xf>
    <xf numFmtId="201" fontId="24" fillId="0" borderId="13" xfId="47" applyNumberFormat="1" applyFont="1" applyBorder="1" applyAlignment="1">
      <alignment horizontal="right"/>
    </xf>
    <xf numFmtId="201" fontId="24" fillId="0" borderId="19" xfId="47" applyNumberFormat="1" applyFont="1" applyBorder="1" applyAlignment="1">
      <alignment horizontal="right"/>
    </xf>
    <xf numFmtId="201" fontId="24" fillId="0" borderId="14" xfId="47" applyNumberFormat="1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center" vertical="top"/>
    </xf>
    <xf numFmtId="201" fontId="24" fillId="0" borderId="0" xfId="47" applyNumberFormat="1" applyFont="1" applyFill="1" applyBorder="1" applyAlignment="1">
      <alignment horizontal="right"/>
    </xf>
    <xf numFmtId="201" fontId="24" fillId="0" borderId="19" xfId="47" applyNumberFormat="1" applyFont="1" applyFill="1" applyBorder="1" applyAlignment="1">
      <alignment horizontal="right"/>
    </xf>
    <xf numFmtId="212" fontId="26" fillId="0" borderId="0" xfId="47" applyNumberFormat="1" applyFont="1" applyBorder="1" applyAlignment="1">
      <alignment/>
    </xf>
    <xf numFmtId="189" fontId="26" fillId="0" borderId="19" xfId="0" applyNumberFormat="1" applyFont="1" applyBorder="1" applyAlignment="1">
      <alignment horizontal="right"/>
    </xf>
    <xf numFmtId="189" fontId="26" fillId="0" borderId="16" xfId="0" applyNumberFormat="1" applyFont="1" applyBorder="1" applyAlignment="1">
      <alignment horizontal="fill"/>
    </xf>
    <xf numFmtId="190" fontId="26" fillId="0" borderId="20" xfId="0" applyNumberFormat="1" applyFont="1" applyBorder="1" applyAlignment="1" applyProtection="1">
      <alignment horizontal="fill"/>
      <protection/>
    </xf>
    <xf numFmtId="189" fontId="26" fillId="0" borderId="20" xfId="0" applyNumberFormat="1" applyFont="1" applyBorder="1" applyAlignment="1">
      <alignment horizontal="fill"/>
    </xf>
    <xf numFmtId="190" fontId="26" fillId="0" borderId="20" xfId="0" applyNumberFormat="1" applyFont="1" applyBorder="1" applyAlignment="1">
      <alignment horizontal="fill"/>
    </xf>
    <xf numFmtId="37" fontId="24" fillId="0" borderId="20" xfId="0" applyNumberFormat="1" applyFont="1" applyBorder="1" applyAlignment="1" applyProtection="1">
      <alignment/>
      <protection/>
    </xf>
    <xf numFmtId="195" fontId="26" fillId="0" borderId="11" xfId="47" applyNumberFormat="1" applyFont="1" applyBorder="1" applyAlignment="1">
      <alignment/>
    </xf>
    <xf numFmtId="187" fontId="26" fillId="0" borderId="11" xfId="47" applyFont="1" applyBorder="1" applyAlignment="1">
      <alignment/>
    </xf>
    <xf numFmtId="189" fontId="24" fillId="0" borderId="0" xfId="0" applyNumberFormat="1" applyFont="1" applyBorder="1" applyAlignment="1">
      <alignment/>
    </xf>
    <xf numFmtId="0" fontId="24" fillId="0" borderId="16" xfId="0" applyNumberFormat="1" applyFont="1" applyBorder="1" applyAlignment="1">
      <alignment horizontal="fill"/>
    </xf>
    <xf numFmtId="0" fontId="24" fillId="0" borderId="16" xfId="0" applyNumberFormat="1" applyFont="1" applyBorder="1" applyAlignment="1" applyProtection="1">
      <alignment horizontal="fill"/>
      <protection/>
    </xf>
    <xf numFmtId="0" fontId="24" fillId="0" borderId="17" xfId="0" applyNumberFormat="1" applyFont="1" applyBorder="1" applyAlignment="1">
      <alignment horizontal="fill"/>
    </xf>
    <xf numFmtId="41" fontId="24" fillId="0" borderId="19" xfId="0" applyNumberFormat="1" applyFont="1" applyFill="1" applyBorder="1" applyAlignment="1">
      <alignment horizontal="right"/>
    </xf>
    <xf numFmtId="37" fontId="24" fillId="0" borderId="12" xfId="0" applyNumberFormat="1" applyFont="1" applyBorder="1" applyAlignment="1" applyProtection="1">
      <alignment horizontal="right"/>
      <protection/>
    </xf>
    <xf numFmtId="219" fontId="0" fillId="0" borderId="0" xfId="0" applyNumberFormat="1" applyBorder="1" applyAlignment="1" applyProtection="1">
      <alignment/>
      <protection/>
    </xf>
    <xf numFmtId="219" fontId="0" fillId="0" borderId="0" xfId="0" applyNumberFormat="1" applyBorder="1" applyAlignment="1">
      <alignment/>
    </xf>
    <xf numFmtId="37" fontId="46" fillId="0" borderId="0" xfId="0" applyFont="1" applyAlignment="1">
      <alignment/>
    </xf>
    <xf numFmtId="37" fontId="26" fillId="0" borderId="13" xfId="0" applyFont="1" applyBorder="1" applyAlignment="1">
      <alignment horizontal="center"/>
    </xf>
    <xf numFmtId="37" fontId="28" fillId="0" borderId="19" xfId="0" applyFont="1" applyBorder="1" applyAlignment="1" applyProtection="1">
      <alignment horizontal="left"/>
      <protection locked="0"/>
    </xf>
    <xf numFmtId="37" fontId="26" fillId="0" borderId="18" xfId="0" applyFont="1" applyBorder="1" applyAlignment="1">
      <alignment horizontal="right"/>
    </xf>
    <xf numFmtId="37" fontId="26" fillId="0" borderId="13" xfId="0" applyFont="1" applyBorder="1" applyAlignment="1">
      <alignment horizontal="center"/>
    </xf>
    <xf numFmtId="37" fontId="26" fillId="0" borderId="0" xfId="0" applyFont="1" applyBorder="1" applyAlignment="1">
      <alignment horizontal="center"/>
    </xf>
    <xf numFmtId="37" fontId="2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1219200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438"/>
  <sheetViews>
    <sheetView showGridLines="0" tabSelected="1" zoomScalePageLayoutView="0" workbookViewId="0" topLeftCell="A4">
      <pane xSplit="1" ySplit="6" topLeftCell="D409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L418" sqref="L418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  <col min="13" max="13" width="21.6640625" style="0" customWidth="1"/>
  </cols>
  <sheetData>
    <row r="1" spans="1:12" ht="15.75">
      <c r="A1" s="4"/>
      <c r="B1" s="5"/>
      <c r="C1" s="5"/>
      <c r="D1" s="5"/>
      <c r="E1" s="5"/>
      <c r="F1" s="5"/>
      <c r="G1" s="5"/>
      <c r="H1" s="5"/>
      <c r="I1" s="5"/>
      <c r="J1" s="5"/>
      <c r="K1" s="6"/>
      <c r="L1" s="1"/>
    </row>
    <row r="2" spans="1:11" ht="15.75">
      <c r="A2" s="7" t="s">
        <v>43</v>
      </c>
      <c r="B2" s="8"/>
      <c r="C2" s="8"/>
      <c r="D2" s="22"/>
      <c r="E2" s="8"/>
      <c r="F2" s="8"/>
      <c r="G2" s="8"/>
      <c r="H2" s="8"/>
      <c r="I2" s="8"/>
      <c r="J2" s="8"/>
      <c r="K2" s="9"/>
    </row>
    <row r="3" spans="1:11" ht="15.75">
      <c r="A3" s="7"/>
      <c r="B3" s="8"/>
      <c r="C3" s="8"/>
      <c r="D3" s="21"/>
      <c r="E3" s="8"/>
      <c r="F3" s="8"/>
      <c r="G3" s="17"/>
      <c r="H3" s="8"/>
      <c r="I3" s="8"/>
      <c r="J3" s="8"/>
      <c r="K3" s="10" t="s">
        <v>76</v>
      </c>
    </row>
    <row r="4" spans="1:11" ht="15.75">
      <c r="A4" s="130" t="s">
        <v>41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1" ht="15.75">
      <c r="A5" s="130" t="s">
        <v>42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</row>
    <row r="6" spans="1:12" ht="15.75">
      <c r="A6" s="32"/>
      <c r="B6" s="33"/>
      <c r="C6" s="33"/>
      <c r="D6" s="33"/>
      <c r="E6" s="33"/>
      <c r="F6" s="33"/>
      <c r="G6" s="33"/>
      <c r="H6" s="33"/>
      <c r="I6" s="33"/>
      <c r="J6" s="33"/>
      <c r="K6" s="34"/>
      <c r="L6" s="1"/>
    </row>
    <row r="7" spans="1:11" ht="15.75">
      <c r="A7" s="129" t="s">
        <v>33</v>
      </c>
      <c r="B7" s="35"/>
      <c r="C7" s="36"/>
      <c r="D7" s="35"/>
      <c r="E7" s="36"/>
      <c r="F7" s="35"/>
      <c r="G7" s="36"/>
      <c r="H7" s="36"/>
      <c r="I7" s="37"/>
      <c r="J7" s="37"/>
      <c r="K7" s="37"/>
    </row>
    <row r="8" spans="1:11" ht="15.75">
      <c r="A8" s="38"/>
      <c r="B8" s="29"/>
      <c r="C8" s="38"/>
      <c r="D8" s="30"/>
      <c r="E8" s="38"/>
      <c r="F8" s="30"/>
      <c r="G8" s="38"/>
      <c r="H8" s="38"/>
      <c r="I8" s="31"/>
      <c r="J8" s="31"/>
      <c r="K8" s="31"/>
    </row>
    <row r="9" spans="1:11" ht="15.75">
      <c r="A9" s="128" t="s">
        <v>34</v>
      </c>
      <c r="B9" s="39" t="s">
        <v>1</v>
      </c>
      <c r="C9" s="40" t="s">
        <v>2</v>
      </c>
      <c r="D9" s="41" t="s">
        <v>3</v>
      </c>
      <c r="E9" s="40" t="s">
        <v>4</v>
      </c>
      <c r="F9" s="41" t="s">
        <v>67</v>
      </c>
      <c r="G9" s="40" t="s">
        <v>5</v>
      </c>
      <c r="H9" s="40" t="s">
        <v>6</v>
      </c>
      <c r="I9" s="42" t="s">
        <v>104</v>
      </c>
      <c r="J9" s="42" t="s">
        <v>68</v>
      </c>
      <c r="K9" s="42" t="s">
        <v>7</v>
      </c>
    </row>
    <row r="10" spans="1:11" ht="15.75">
      <c r="A10" s="43"/>
      <c r="B10" s="44"/>
      <c r="C10" s="36"/>
      <c r="D10" s="37"/>
      <c r="E10" s="30"/>
      <c r="F10" s="36"/>
      <c r="G10" s="30"/>
      <c r="H10" s="36"/>
      <c r="I10" s="36"/>
      <c r="J10" s="36"/>
      <c r="K10" s="45"/>
    </row>
    <row r="11" spans="1:11" ht="15.75" hidden="1">
      <c r="A11" s="46" t="s">
        <v>8</v>
      </c>
      <c r="B11" s="29">
        <v>35354.227999999996</v>
      </c>
      <c r="C11" s="36">
        <v>49316</v>
      </c>
      <c r="D11" s="37">
        <v>6205</v>
      </c>
      <c r="E11" s="30">
        <v>1540.6135</v>
      </c>
      <c r="F11" s="38">
        <v>802.221</v>
      </c>
      <c r="G11" s="30">
        <v>5397.599</v>
      </c>
      <c r="H11" s="38">
        <v>760.1460000000001</v>
      </c>
      <c r="I11" s="38"/>
      <c r="J11" s="38"/>
      <c r="K11" s="45">
        <f aca="true" t="shared" si="0" ref="K11:K17">SUM(B11:H11)</f>
        <v>99375.80750000001</v>
      </c>
    </row>
    <row r="12" spans="1:11" ht="15.75" hidden="1">
      <c r="A12" s="46" t="s">
        <v>9</v>
      </c>
      <c r="B12" s="44">
        <v>35354.227999999996</v>
      </c>
      <c r="C12" s="36">
        <v>49316</v>
      </c>
      <c r="D12" s="37">
        <v>6205</v>
      </c>
      <c r="E12" s="35">
        <v>1540.6135</v>
      </c>
      <c r="F12" s="36">
        <v>802.221</v>
      </c>
      <c r="G12" s="35">
        <v>5397.599</v>
      </c>
      <c r="H12" s="36">
        <v>760.1460000000001</v>
      </c>
      <c r="I12" s="36"/>
      <c r="J12" s="36"/>
      <c r="K12" s="45">
        <f t="shared" si="0"/>
        <v>99375.80750000001</v>
      </c>
    </row>
    <row r="13" spans="1:11" ht="15.75" hidden="1">
      <c r="A13" s="46">
        <v>1997</v>
      </c>
      <c r="B13" s="44">
        <v>35354.227999999996</v>
      </c>
      <c r="C13" s="36">
        <v>49316</v>
      </c>
      <c r="D13" s="37">
        <v>6205</v>
      </c>
      <c r="E13" s="35">
        <v>1540.6135</v>
      </c>
      <c r="F13" s="36">
        <v>802.221</v>
      </c>
      <c r="G13" s="35">
        <v>5397.599</v>
      </c>
      <c r="H13" s="36">
        <v>760.1460000000001</v>
      </c>
      <c r="I13" s="36"/>
      <c r="J13" s="36"/>
      <c r="K13" s="45">
        <f t="shared" si="0"/>
        <v>99375.80750000001</v>
      </c>
    </row>
    <row r="14" spans="1:11" ht="15.75" hidden="1">
      <c r="A14" s="46" t="s">
        <v>10</v>
      </c>
      <c r="B14" s="44">
        <v>35354.227999999996</v>
      </c>
      <c r="C14" s="36">
        <v>49316</v>
      </c>
      <c r="D14" s="37">
        <v>6205</v>
      </c>
      <c r="E14" s="35">
        <v>1540.6135</v>
      </c>
      <c r="F14" s="36">
        <v>802.221</v>
      </c>
      <c r="G14" s="35">
        <v>5397.599</v>
      </c>
      <c r="H14" s="36">
        <v>760.1460000000001</v>
      </c>
      <c r="I14" s="36"/>
      <c r="J14" s="36"/>
      <c r="K14" s="45">
        <f t="shared" si="0"/>
        <v>99375.80750000001</v>
      </c>
    </row>
    <row r="15" spans="1:11" ht="15.75" hidden="1">
      <c r="A15" s="46" t="s">
        <v>11</v>
      </c>
      <c r="B15" s="44">
        <v>35354.227999999996</v>
      </c>
      <c r="C15" s="36">
        <v>49316</v>
      </c>
      <c r="D15" s="37">
        <v>6205</v>
      </c>
      <c r="E15" s="35">
        <v>1540.6135</v>
      </c>
      <c r="F15" s="36">
        <v>802.221</v>
      </c>
      <c r="G15" s="35">
        <v>5397.599</v>
      </c>
      <c r="H15" s="36">
        <v>760.1460000000001</v>
      </c>
      <c r="I15" s="36"/>
      <c r="J15" s="36"/>
      <c r="K15" s="45">
        <f t="shared" si="0"/>
        <v>99375.80750000001</v>
      </c>
    </row>
    <row r="16" spans="1:11" ht="15.75" hidden="1">
      <c r="A16" s="47">
        <v>2001</v>
      </c>
      <c r="B16" s="29">
        <v>35354.227999999996</v>
      </c>
      <c r="C16" s="38">
        <v>49316</v>
      </c>
      <c r="D16" s="31">
        <v>6205</v>
      </c>
      <c r="E16" s="30">
        <v>1540.6135</v>
      </c>
      <c r="F16" s="38">
        <v>802.221</v>
      </c>
      <c r="G16" s="30">
        <v>5397.599</v>
      </c>
      <c r="H16" s="38">
        <v>760.1460000000001</v>
      </c>
      <c r="I16" s="38"/>
      <c r="J16" s="38"/>
      <c r="K16" s="48">
        <f t="shared" si="0"/>
        <v>99375.80750000001</v>
      </c>
    </row>
    <row r="17" spans="1:11" ht="15.75" hidden="1">
      <c r="A17" s="49" t="s">
        <v>32</v>
      </c>
      <c r="B17" s="50">
        <v>39329</v>
      </c>
      <c r="C17" s="38">
        <v>62669</v>
      </c>
      <c r="D17" s="51">
        <v>2957</v>
      </c>
      <c r="E17" s="30">
        <v>1238</v>
      </c>
      <c r="F17" s="52">
        <v>1333</v>
      </c>
      <c r="G17" s="30">
        <v>6196</v>
      </c>
      <c r="H17" s="38">
        <v>830</v>
      </c>
      <c r="I17" s="38"/>
      <c r="J17" s="38"/>
      <c r="K17" s="48">
        <f t="shared" si="0"/>
        <v>114552</v>
      </c>
    </row>
    <row r="18" spans="1:11" ht="15.75" hidden="1">
      <c r="A18" s="49" t="s">
        <v>36</v>
      </c>
      <c r="B18" s="53">
        <v>46817</v>
      </c>
      <c r="C18" s="38">
        <v>68083</v>
      </c>
      <c r="D18" s="50">
        <v>3367</v>
      </c>
      <c r="E18" s="38">
        <v>1332</v>
      </c>
      <c r="F18" s="50">
        <v>1296</v>
      </c>
      <c r="G18" s="38">
        <v>5515</v>
      </c>
      <c r="H18" s="38">
        <v>889</v>
      </c>
      <c r="I18" s="38"/>
      <c r="J18" s="38"/>
      <c r="K18" s="48">
        <f aca="true" t="shared" si="1" ref="K18:K49">B18+C18+D18+E18+F18+G18+H18</f>
        <v>127299</v>
      </c>
    </row>
    <row r="19" spans="1:11" ht="15.75" hidden="1">
      <c r="A19" s="38"/>
      <c r="B19" s="54"/>
      <c r="C19" s="38"/>
      <c r="D19" s="30"/>
      <c r="E19" s="38"/>
      <c r="F19" s="30"/>
      <c r="G19" s="38"/>
      <c r="H19" s="38"/>
      <c r="I19" s="38"/>
      <c r="J19" s="38"/>
      <c r="K19" s="48">
        <f t="shared" si="1"/>
        <v>0</v>
      </c>
    </row>
    <row r="20" spans="1:11" ht="15.75" hidden="1">
      <c r="A20" s="55" t="s">
        <v>10</v>
      </c>
      <c r="B20" s="54"/>
      <c r="C20" s="38"/>
      <c r="D20" s="30"/>
      <c r="E20" s="38"/>
      <c r="F20" s="30"/>
      <c r="G20" s="38"/>
      <c r="H20" s="38"/>
      <c r="I20" s="38"/>
      <c r="J20" s="38"/>
      <c r="K20" s="48">
        <f t="shared" si="1"/>
        <v>0</v>
      </c>
    </row>
    <row r="21" spans="1:11" ht="15.75" hidden="1">
      <c r="A21" s="55" t="s">
        <v>12</v>
      </c>
      <c r="B21" s="54">
        <v>12592</v>
      </c>
      <c r="C21" s="38">
        <v>9992</v>
      </c>
      <c r="D21" s="30">
        <v>594</v>
      </c>
      <c r="E21" s="38">
        <v>368</v>
      </c>
      <c r="F21" s="30">
        <v>407</v>
      </c>
      <c r="G21" s="38">
        <v>1386</v>
      </c>
      <c r="H21" s="38">
        <v>169</v>
      </c>
      <c r="I21" s="38"/>
      <c r="J21" s="38"/>
      <c r="K21" s="48">
        <f t="shared" si="1"/>
        <v>25508</v>
      </c>
    </row>
    <row r="22" spans="1:11" ht="15.75" hidden="1">
      <c r="A22" s="55" t="s">
        <v>13</v>
      </c>
      <c r="B22" s="54">
        <v>11898</v>
      </c>
      <c r="C22" s="38">
        <v>10470</v>
      </c>
      <c r="D22" s="30">
        <v>570</v>
      </c>
      <c r="E22" s="38">
        <v>483</v>
      </c>
      <c r="F22" s="30">
        <v>377</v>
      </c>
      <c r="G22" s="38">
        <v>1360</v>
      </c>
      <c r="H22" s="38">
        <v>73</v>
      </c>
      <c r="I22" s="38"/>
      <c r="J22" s="38"/>
      <c r="K22" s="48">
        <f t="shared" si="1"/>
        <v>25231</v>
      </c>
    </row>
    <row r="23" spans="1:11" ht="15.75" hidden="1">
      <c r="A23" s="55" t="s">
        <v>14</v>
      </c>
      <c r="B23" s="54">
        <v>11540</v>
      </c>
      <c r="C23" s="38">
        <v>15433</v>
      </c>
      <c r="D23" s="30">
        <v>658</v>
      </c>
      <c r="E23" s="38">
        <v>303</v>
      </c>
      <c r="F23" s="30">
        <v>379</v>
      </c>
      <c r="G23" s="38">
        <v>1112</v>
      </c>
      <c r="H23" s="38">
        <v>52</v>
      </c>
      <c r="I23" s="38"/>
      <c r="J23" s="38"/>
      <c r="K23" s="48">
        <f t="shared" si="1"/>
        <v>29477</v>
      </c>
    </row>
    <row r="24" spans="1:11" ht="15.75" hidden="1">
      <c r="A24" s="55" t="s">
        <v>15</v>
      </c>
      <c r="B24" s="54">
        <v>10167</v>
      </c>
      <c r="C24" s="38">
        <v>15195</v>
      </c>
      <c r="D24" s="30">
        <v>2004</v>
      </c>
      <c r="E24" s="38">
        <v>327</v>
      </c>
      <c r="F24" s="30">
        <v>365</v>
      </c>
      <c r="G24" s="38">
        <v>1271</v>
      </c>
      <c r="H24" s="38">
        <v>136</v>
      </c>
      <c r="I24" s="38"/>
      <c r="J24" s="38"/>
      <c r="K24" s="48">
        <f t="shared" si="1"/>
        <v>29465</v>
      </c>
    </row>
    <row r="25" spans="1:11" ht="15.75" hidden="1">
      <c r="A25" s="38"/>
      <c r="B25" s="54"/>
      <c r="C25" s="38"/>
      <c r="D25" s="30"/>
      <c r="E25" s="38"/>
      <c r="F25" s="30"/>
      <c r="G25" s="38"/>
      <c r="H25" s="38"/>
      <c r="I25" s="38"/>
      <c r="J25" s="38"/>
      <c r="K25" s="48">
        <f t="shared" si="1"/>
        <v>0</v>
      </c>
    </row>
    <row r="26" spans="1:11" ht="15.75" hidden="1">
      <c r="A26" s="55" t="s">
        <v>11</v>
      </c>
      <c r="B26" s="54"/>
      <c r="C26" s="38"/>
      <c r="D26" s="30"/>
      <c r="E26" s="38"/>
      <c r="F26" s="30"/>
      <c r="G26" s="38"/>
      <c r="H26" s="38"/>
      <c r="I26" s="38"/>
      <c r="J26" s="38"/>
      <c r="K26" s="48">
        <f t="shared" si="1"/>
        <v>0</v>
      </c>
    </row>
    <row r="27" spans="1:11" ht="15.75" hidden="1">
      <c r="A27" s="55" t="s">
        <v>12</v>
      </c>
      <c r="B27" s="54">
        <v>11605</v>
      </c>
      <c r="C27" s="38">
        <v>9677</v>
      </c>
      <c r="D27" s="30">
        <v>2199</v>
      </c>
      <c r="E27" s="38">
        <v>387</v>
      </c>
      <c r="F27" s="30">
        <v>297</v>
      </c>
      <c r="G27" s="38">
        <v>1442</v>
      </c>
      <c r="H27" s="38">
        <v>246</v>
      </c>
      <c r="I27" s="38"/>
      <c r="J27" s="38"/>
      <c r="K27" s="48">
        <f t="shared" si="1"/>
        <v>25853</v>
      </c>
    </row>
    <row r="28" spans="1:11" ht="15.75" hidden="1">
      <c r="A28" s="55" t="s">
        <v>13</v>
      </c>
      <c r="B28" s="54">
        <v>11022</v>
      </c>
      <c r="C28" s="38">
        <v>10040</v>
      </c>
      <c r="D28" s="30">
        <v>2509</v>
      </c>
      <c r="E28" s="38">
        <v>432</v>
      </c>
      <c r="F28" s="30">
        <v>273</v>
      </c>
      <c r="G28" s="38">
        <v>1554</v>
      </c>
      <c r="H28" s="38">
        <v>218</v>
      </c>
      <c r="I28" s="38"/>
      <c r="J28" s="38"/>
      <c r="K28" s="48">
        <f t="shared" si="1"/>
        <v>26048</v>
      </c>
    </row>
    <row r="29" spans="1:11" ht="15.75" hidden="1">
      <c r="A29" s="55" t="s">
        <v>14</v>
      </c>
      <c r="B29" s="54">
        <v>8074</v>
      </c>
      <c r="C29" s="38">
        <v>11420</v>
      </c>
      <c r="D29" s="30">
        <v>1850</v>
      </c>
      <c r="E29" s="38">
        <v>280</v>
      </c>
      <c r="F29" s="30">
        <v>110</v>
      </c>
      <c r="G29" s="38">
        <v>1225</v>
      </c>
      <c r="H29" s="38">
        <v>196</v>
      </c>
      <c r="I29" s="38"/>
      <c r="J29" s="38"/>
      <c r="K29" s="48">
        <f t="shared" si="1"/>
        <v>23155</v>
      </c>
    </row>
    <row r="30" spans="1:11" ht="15.75" hidden="1">
      <c r="A30" s="55" t="s">
        <v>16</v>
      </c>
      <c r="B30" s="54">
        <v>9042</v>
      </c>
      <c r="C30" s="38">
        <v>10243</v>
      </c>
      <c r="D30" s="30">
        <v>2042</v>
      </c>
      <c r="E30" s="38">
        <v>314</v>
      </c>
      <c r="F30" s="30">
        <v>164</v>
      </c>
      <c r="G30" s="38">
        <v>1258</v>
      </c>
      <c r="H30" s="38">
        <v>217</v>
      </c>
      <c r="I30" s="38"/>
      <c r="J30" s="38"/>
      <c r="K30" s="48">
        <f t="shared" si="1"/>
        <v>23280</v>
      </c>
    </row>
    <row r="31" spans="1:11" ht="15.75" hidden="1">
      <c r="A31" s="38"/>
      <c r="B31" s="54"/>
      <c r="C31" s="38"/>
      <c r="D31" s="30"/>
      <c r="E31" s="38"/>
      <c r="F31" s="30"/>
      <c r="G31" s="38"/>
      <c r="H31" s="38"/>
      <c r="I31" s="38"/>
      <c r="J31" s="38"/>
      <c r="K31" s="48">
        <f t="shared" si="1"/>
        <v>0</v>
      </c>
    </row>
    <row r="32" spans="1:11" ht="15.75" hidden="1">
      <c r="A32" s="55" t="s">
        <v>17</v>
      </c>
      <c r="B32" s="54"/>
      <c r="C32" s="38"/>
      <c r="D32" s="30"/>
      <c r="E32" s="38"/>
      <c r="F32" s="30"/>
      <c r="G32" s="38"/>
      <c r="H32" s="38"/>
      <c r="I32" s="38"/>
      <c r="J32" s="38"/>
      <c r="K32" s="48">
        <f t="shared" si="1"/>
        <v>0</v>
      </c>
    </row>
    <row r="33" spans="1:11" ht="15.75" hidden="1">
      <c r="A33" s="55" t="s">
        <v>12</v>
      </c>
      <c r="B33" s="54">
        <v>10637</v>
      </c>
      <c r="C33" s="38">
        <v>11473</v>
      </c>
      <c r="D33" s="30">
        <v>2403</v>
      </c>
      <c r="E33" s="38">
        <v>440</v>
      </c>
      <c r="F33" s="30">
        <v>324</v>
      </c>
      <c r="G33" s="38">
        <v>1643</v>
      </c>
      <c r="H33" s="38">
        <v>243</v>
      </c>
      <c r="I33" s="38"/>
      <c r="J33" s="38"/>
      <c r="K33" s="48">
        <f t="shared" si="1"/>
        <v>27163</v>
      </c>
    </row>
    <row r="34" spans="1:11" ht="15.75" hidden="1">
      <c r="A34" s="38" t="s">
        <v>18</v>
      </c>
      <c r="B34" s="54">
        <v>9842</v>
      </c>
      <c r="C34" s="38">
        <v>14496</v>
      </c>
      <c r="D34" s="30">
        <v>1878</v>
      </c>
      <c r="E34" s="38">
        <v>487</v>
      </c>
      <c r="F34" s="30">
        <v>257</v>
      </c>
      <c r="G34" s="38">
        <v>1556</v>
      </c>
      <c r="H34" s="38">
        <v>224</v>
      </c>
      <c r="I34" s="38"/>
      <c r="J34" s="38"/>
      <c r="K34" s="48">
        <f t="shared" si="1"/>
        <v>28740</v>
      </c>
    </row>
    <row r="35" spans="1:11" ht="15.75" hidden="1">
      <c r="A35" s="55" t="s">
        <v>14</v>
      </c>
      <c r="B35" s="54">
        <v>5075.632</v>
      </c>
      <c r="C35" s="38">
        <v>13149.9</v>
      </c>
      <c r="D35" s="30">
        <v>901.64</v>
      </c>
      <c r="E35" s="38">
        <v>337.08050000000003</v>
      </c>
      <c r="F35" s="30">
        <v>89.31700000000001</v>
      </c>
      <c r="G35" s="38">
        <v>924.1960000000001</v>
      </c>
      <c r="H35" s="38">
        <v>132.268</v>
      </c>
      <c r="I35" s="38"/>
      <c r="J35" s="38"/>
      <c r="K35" s="48">
        <f t="shared" si="1"/>
        <v>20610.033499999998</v>
      </c>
    </row>
    <row r="36" spans="1:11" ht="15.75" hidden="1">
      <c r="A36" s="55" t="s">
        <v>16</v>
      </c>
      <c r="B36" s="54">
        <v>9799.596</v>
      </c>
      <c r="C36" s="38">
        <v>15402.923999999999</v>
      </c>
      <c r="D36" s="30">
        <v>1022.93</v>
      </c>
      <c r="E36" s="38">
        <v>276</v>
      </c>
      <c r="F36" s="30">
        <v>372.74799999999993</v>
      </c>
      <c r="G36" s="38">
        <v>1274.403</v>
      </c>
      <c r="H36" s="38">
        <v>160.87800000000001</v>
      </c>
      <c r="I36" s="38"/>
      <c r="J36" s="38"/>
      <c r="K36" s="48">
        <f t="shared" si="1"/>
        <v>28309.478999999996</v>
      </c>
    </row>
    <row r="37" spans="1:11" ht="15.75" hidden="1">
      <c r="A37" s="49" t="s">
        <v>38</v>
      </c>
      <c r="B37" s="53">
        <v>43474.44</v>
      </c>
      <c r="C37" s="38">
        <v>46632.8</v>
      </c>
      <c r="D37" s="50">
        <v>3608.81</v>
      </c>
      <c r="E37" s="56">
        <v>1112.49</v>
      </c>
      <c r="F37" s="52">
        <v>1366.91</v>
      </c>
      <c r="G37" s="38">
        <v>4266.08</v>
      </c>
      <c r="H37" s="38">
        <v>1009.72</v>
      </c>
      <c r="I37" s="38"/>
      <c r="J37" s="38"/>
      <c r="K37" s="48">
        <f t="shared" si="1"/>
        <v>101471.25000000001</v>
      </c>
    </row>
    <row r="38" spans="1:11" ht="15.75" hidden="1">
      <c r="A38" s="49" t="s">
        <v>40</v>
      </c>
      <c r="B38" s="54"/>
      <c r="C38" s="38"/>
      <c r="D38" s="30"/>
      <c r="E38" s="38"/>
      <c r="F38" s="57"/>
      <c r="G38" s="38"/>
      <c r="H38" s="38"/>
      <c r="I38" s="38"/>
      <c r="J38" s="38"/>
      <c r="K38" s="48">
        <f t="shared" si="1"/>
        <v>0</v>
      </c>
    </row>
    <row r="39" spans="1:11" ht="15.75" hidden="1">
      <c r="A39" s="49" t="s">
        <v>45</v>
      </c>
      <c r="B39" s="54"/>
      <c r="C39" s="38"/>
      <c r="D39" s="30"/>
      <c r="E39" s="38"/>
      <c r="F39" s="30"/>
      <c r="G39" s="38"/>
      <c r="H39" s="38"/>
      <c r="I39" s="38"/>
      <c r="J39" s="38"/>
      <c r="K39" s="48">
        <f t="shared" si="1"/>
        <v>0</v>
      </c>
    </row>
    <row r="40" spans="1:11" ht="15.75" hidden="1">
      <c r="A40" s="49" t="s">
        <v>46</v>
      </c>
      <c r="B40" s="54">
        <v>6681.54</v>
      </c>
      <c r="C40" s="38">
        <v>12495.8</v>
      </c>
      <c r="D40" s="30">
        <v>826.2629999999999</v>
      </c>
      <c r="E40" s="38">
        <v>400.965</v>
      </c>
      <c r="F40" s="30">
        <v>318.485</v>
      </c>
      <c r="G40" s="38">
        <v>1573.5259999999998</v>
      </c>
      <c r="H40" s="38">
        <v>239.702</v>
      </c>
      <c r="I40" s="38"/>
      <c r="J40" s="38"/>
      <c r="K40" s="48">
        <f t="shared" si="1"/>
        <v>22536.281</v>
      </c>
    </row>
    <row r="41" spans="1:11" ht="15.75" hidden="1">
      <c r="A41" s="49" t="s">
        <v>47</v>
      </c>
      <c r="B41" s="54">
        <v>9378</v>
      </c>
      <c r="C41" s="38">
        <v>17557</v>
      </c>
      <c r="D41" s="29">
        <v>1156</v>
      </c>
      <c r="E41" s="29">
        <v>371</v>
      </c>
      <c r="F41" s="38">
        <v>381</v>
      </c>
      <c r="G41" s="29">
        <v>1850</v>
      </c>
      <c r="H41" s="38">
        <v>224</v>
      </c>
      <c r="I41" s="38"/>
      <c r="J41" s="38"/>
      <c r="K41" s="48">
        <f t="shared" si="1"/>
        <v>30917</v>
      </c>
    </row>
    <row r="42" spans="1:11" ht="15.75" hidden="1">
      <c r="A42" s="49" t="s">
        <v>48</v>
      </c>
      <c r="B42" s="54">
        <v>10870.114</v>
      </c>
      <c r="C42" s="38">
        <v>14091.4</v>
      </c>
      <c r="D42" s="30">
        <v>354.25</v>
      </c>
      <c r="E42" s="38">
        <v>181.244</v>
      </c>
      <c r="F42" s="52">
        <v>261.5</v>
      </c>
      <c r="G42" s="38">
        <v>1332.864</v>
      </c>
      <c r="H42" s="38">
        <v>173.781</v>
      </c>
      <c r="I42" s="38"/>
      <c r="J42" s="38"/>
      <c r="K42" s="48">
        <f t="shared" si="1"/>
        <v>27265.153</v>
      </c>
    </row>
    <row r="43" spans="1:11" ht="15.75" hidden="1">
      <c r="A43" s="49" t="s">
        <v>49</v>
      </c>
      <c r="B43" s="54"/>
      <c r="C43" s="38"/>
      <c r="D43" s="30"/>
      <c r="E43" s="38"/>
      <c r="F43" s="30"/>
      <c r="G43" s="38"/>
      <c r="H43" s="38"/>
      <c r="I43" s="38"/>
      <c r="J43" s="38"/>
      <c r="K43" s="48">
        <f t="shared" si="1"/>
        <v>0</v>
      </c>
    </row>
    <row r="44" spans="1:11" ht="15.75" hidden="1">
      <c r="A44" s="49" t="s">
        <v>50</v>
      </c>
      <c r="B44" s="54">
        <v>4388</v>
      </c>
      <c r="C44" s="38">
        <v>3536</v>
      </c>
      <c r="D44" s="30">
        <v>844</v>
      </c>
      <c r="E44" s="38">
        <v>138</v>
      </c>
      <c r="F44" s="30">
        <v>63</v>
      </c>
      <c r="G44" s="38">
        <v>518</v>
      </c>
      <c r="H44" s="38">
        <v>65</v>
      </c>
      <c r="I44" s="38"/>
      <c r="J44" s="38"/>
      <c r="K44" s="48">
        <f t="shared" si="1"/>
        <v>9552</v>
      </c>
    </row>
    <row r="45" spans="1:11" ht="15.75" hidden="1">
      <c r="A45" s="49" t="s">
        <v>51</v>
      </c>
      <c r="B45" s="54">
        <v>3733</v>
      </c>
      <c r="C45" s="38">
        <v>3113</v>
      </c>
      <c r="D45" s="30">
        <v>869</v>
      </c>
      <c r="E45" s="38">
        <v>158</v>
      </c>
      <c r="F45" s="30">
        <v>111</v>
      </c>
      <c r="G45" s="38">
        <v>498</v>
      </c>
      <c r="H45" s="38">
        <v>74</v>
      </c>
      <c r="I45" s="38"/>
      <c r="J45" s="38"/>
      <c r="K45" s="48">
        <f t="shared" si="1"/>
        <v>8556</v>
      </c>
    </row>
    <row r="46" spans="1:11" ht="15.75" hidden="1">
      <c r="A46" s="49" t="s">
        <v>52</v>
      </c>
      <c r="B46" s="54">
        <v>2901</v>
      </c>
      <c r="C46" s="38">
        <v>3391</v>
      </c>
      <c r="D46" s="30">
        <v>796</v>
      </c>
      <c r="E46" s="38">
        <v>136</v>
      </c>
      <c r="F46" s="30">
        <v>99</v>
      </c>
      <c r="G46" s="38">
        <v>538</v>
      </c>
      <c r="H46" s="38">
        <v>79</v>
      </c>
      <c r="I46" s="38"/>
      <c r="J46" s="38"/>
      <c r="K46" s="48">
        <f t="shared" si="1"/>
        <v>7940</v>
      </c>
    </row>
    <row r="47" spans="1:11" ht="15.75" hidden="1">
      <c r="A47" s="49" t="s">
        <v>53</v>
      </c>
      <c r="B47" s="54">
        <v>2497</v>
      </c>
      <c r="C47" s="38">
        <v>3698</v>
      </c>
      <c r="D47" s="30">
        <v>634</v>
      </c>
      <c r="E47" s="38">
        <v>90</v>
      </c>
      <c r="F47" s="30">
        <v>52</v>
      </c>
      <c r="G47" s="38">
        <v>463</v>
      </c>
      <c r="H47" s="38">
        <v>78</v>
      </c>
      <c r="I47" s="38"/>
      <c r="J47" s="38"/>
      <c r="K47" s="48">
        <f t="shared" si="1"/>
        <v>7512</v>
      </c>
    </row>
    <row r="48" spans="1:11" ht="15.75" hidden="1">
      <c r="A48" s="49" t="s">
        <v>54</v>
      </c>
      <c r="B48" s="54">
        <v>2778</v>
      </c>
      <c r="C48" s="38">
        <v>4032</v>
      </c>
      <c r="D48" s="30">
        <v>589</v>
      </c>
      <c r="E48" s="38">
        <v>92</v>
      </c>
      <c r="F48" s="30">
        <v>17</v>
      </c>
      <c r="G48" s="38">
        <v>397</v>
      </c>
      <c r="H48" s="38">
        <v>69</v>
      </c>
      <c r="I48" s="38"/>
      <c r="J48" s="38"/>
      <c r="K48" s="48">
        <f t="shared" si="1"/>
        <v>7974</v>
      </c>
    </row>
    <row r="49" spans="1:11" ht="15.75" hidden="1">
      <c r="A49" s="49" t="s">
        <v>55</v>
      </c>
      <c r="B49" s="54">
        <v>2799</v>
      </c>
      <c r="C49" s="38">
        <v>3689</v>
      </c>
      <c r="D49" s="30">
        <v>627</v>
      </c>
      <c r="E49" s="38">
        <v>98</v>
      </c>
      <c r="F49" s="30">
        <v>41</v>
      </c>
      <c r="G49" s="38">
        <v>365</v>
      </c>
      <c r="H49" s="38">
        <v>49</v>
      </c>
      <c r="I49" s="38"/>
      <c r="J49" s="38"/>
      <c r="K49" s="48">
        <f t="shared" si="1"/>
        <v>7668</v>
      </c>
    </row>
    <row r="50" spans="1:11" ht="15.75" hidden="1">
      <c r="A50" s="49" t="s">
        <v>56</v>
      </c>
      <c r="B50" s="54">
        <v>2763</v>
      </c>
      <c r="C50" s="38">
        <v>3559</v>
      </c>
      <c r="D50" s="30">
        <v>602</v>
      </c>
      <c r="E50" s="38">
        <v>113</v>
      </c>
      <c r="F50" s="30">
        <v>55</v>
      </c>
      <c r="G50" s="38">
        <v>393</v>
      </c>
      <c r="H50" s="38">
        <v>70</v>
      </c>
      <c r="I50" s="38"/>
      <c r="J50" s="38"/>
      <c r="K50" s="48">
        <f aca="true" t="shared" si="2" ref="K50:K81">B50+C50+D50+E50+F50+G50+H50</f>
        <v>7555</v>
      </c>
    </row>
    <row r="51" spans="1:11" ht="15.75" hidden="1">
      <c r="A51" s="49" t="s">
        <v>57</v>
      </c>
      <c r="B51" s="54">
        <v>2856</v>
      </c>
      <c r="C51" s="38">
        <v>3168</v>
      </c>
      <c r="D51" s="30">
        <v>598</v>
      </c>
      <c r="E51" s="38">
        <v>83</v>
      </c>
      <c r="F51" s="30">
        <v>49</v>
      </c>
      <c r="G51" s="38">
        <v>426</v>
      </c>
      <c r="H51" s="38">
        <v>74</v>
      </c>
      <c r="I51" s="38"/>
      <c r="J51" s="38"/>
      <c r="K51" s="48">
        <f t="shared" si="2"/>
        <v>7254</v>
      </c>
    </row>
    <row r="52" spans="1:11" ht="15.75" hidden="1">
      <c r="A52" s="49" t="s">
        <v>58</v>
      </c>
      <c r="B52" s="54">
        <v>3423</v>
      </c>
      <c r="C52" s="38">
        <v>3516</v>
      </c>
      <c r="D52" s="30">
        <v>842</v>
      </c>
      <c r="E52" s="38">
        <v>118</v>
      </c>
      <c r="F52" s="30">
        <v>60</v>
      </c>
      <c r="G52" s="38">
        <v>439</v>
      </c>
      <c r="H52" s="38">
        <v>73</v>
      </c>
      <c r="I52" s="38"/>
      <c r="J52" s="38"/>
      <c r="K52" s="48">
        <f t="shared" si="2"/>
        <v>8471</v>
      </c>
    </row>
    <row r="53" spans="1:11" ht="15.75" hidden="1">
      <c r="A53" s="49" t="s">
        <v>59</v>
      </c>
      <c r="B53" s="58">
        <v>12398.796</v>
      </c>
      <c r="C53" s="38">
        <v>18524.8</v>
      </c>
      <c r="D53" s="38">
        <v>621.205</v>
      </c>
      <c r="E53" s="38">
        <v>284.841</v>
      </c>
      <c r="F53" s="38">
        <v>371.745</v>
      </c>
      <c r="G53" s="38">
        <v>1439.231</v>
      </c>
      <c r="H53" s="38">
        <v>191.604</v>
      </c>
      <c r="I53" s="38"/>
      <c r="J53" s="38"/>
      <c r="K53" s="48">
        <f t="shared" si="2"/>
        <v>33832.222</v>
      </c>
    </row>
    <row r="54" spans="1:11" ht="15.75" hidden="1">
      <c r="A54" s="49" t="s">
        <v>40</v>
      </c>
      <c r="B54" s="54">
        <v>39642.04</v>
      </c>
      <c r="C54" s="38">
        <v>43873.3</v>
      </c>
      <c r="D54" s="52">
        <v>1204.86</v>
      </c>
      <c r="E54" s="56">
        <v>966.67</v>
      </c>
      <c r="F54" s="52">
        <v>1323.12</v>
      </c>
      <c r="G54" s="38">
        <v>3845.83</v>
      </c>
      <c r="H54" s="38">
        <v>722.06</v>
      </c>
      <c r="I54" s="38"/>
      <c r="J54" s="38"/>
      <c r="K54" s="48">
        <f t="shared" si="2"/>
        <v>91577.87999999999</v>
      </c>
    </row>
    <row r="55" spans="1:11" ht="15.75" hidden="1">
      <c r="A55" s="55"/>
      <c r="B55" s="54"/>
      <c r="C55" s="38"/>
      <c r="D55" s="30"/>
      <c r="E55" s="38"/>
      <c r="F55" s="30"/>
      <c r="G55" s="38"/>
      <c r="H55" s="38" t="s">
        <v>44</v>
      </c>
      <c r="I55" s="38"/>
      <c r="J55" s="38"/>
      <c r="K55" s="48">
        <f t="shared" si="2"/>
        <v>0</v>
      </c>
    </row>
    <row r="56" spans="1:11" ht="15.75" hidden="1">
      <c r="A56" s="49" t="s">
        <v>36</v>
      </c>
      <c r="B56" s="54"/>
      <c r="C56" s="38"/>
      <c r="D56" s="30"/>
      <c r="E56" s="38"/>
      <c r="F56" s="30"/>
      <c r="G56" s="38"/>
      <c r="H56" s="38"/>
      <c r="I56" s="38"/>
      <c r="J56" s="38"/>
      <c r="K56" s="48">
        <f t="shared" si="2"/>
        <v>0</v>
      </c>
    </row>
    <row r="57" spans="1:11" ht="15.75" hidden="1">
      <c r="A57" s="55" t="s">
        <v>12</v>
      </c>
      <c r="B57" s="59">
        <v>15403</v>
      </c>
      <c r="C57" s="52">
        <v>18635.6</v>
      </c>
      <c r="D57" s="52">
        <v>724.77</v>
      </c>
      <c r="E57" s="52">
        <v>372.74799999999993</v>
      </c>
      <c r="F57" s="52">
        <v>438.37</v>
      </c>
      <c r="G57" s="52">
        <v>1630.783</v>
      </c>
      <c r="H57" s="52">
        <v>202.496</v>
      </c>
      <c r="I57" s="52"/>
      <c r="J57" s="52"/>
      <c r="K57" s="48">
        <f t="shared" si="2"/>
        <v>37407.767</v>
      </c>
    </row>
    <row r="58" spans="1:11" ht="15.75" hidden="1">
      <c r="A58" s="55" t="s">
        <v>17</v>
      </c>
      <c r="B58" s="58"/>
      <c r="C58" s="38"/>
      <c r="D58" s="30"/>
      <c r="E58" s="38"/>
      <c r="F58" s="30"/>
      <c r="G58" s="38"/>
      <c r="H58" s="38"/>
      <c r="I58" s="38"/>
      <c r="J58" s="38"/>
      <c r="K58" s="48">
        <f t="shared" si="2"/>
        <v>0</v>
      </c>
    </row>
    <row r="59" spans="1:11" ht="15.75" hidden="1">
      <c r="A59" s="55" t="s">
        <v>27</v>
      </c>
      <c r="B59" s="58">
        <v>3510</v>
      </c>
      <c r="C59" s="38">
        <v>3510</v>
      </c>
      <c r="D59" s="30">
        <v>846</v>
      </c>
      <c r="E59" s="38">
        <v>104</v>
      </c>
      <c r="F59" s="30">
        <v>91</v>
      </c>
      <c r="G59" s="38">
        <v>555</v>
      </c>
      <c r="H59" s="38">
        <v>77</v>
      </c>
      <c r="I59" s="38"/>
      <c r="J59" s="38"/>
      <c r="K59" s="48">
        <f t="shared" si="2"/>
        <v>8693</v>
      </c>
    </row>
    <row r="60" spans="1:11" ht="15.75" hidden="1">
      <c r="A60" s="55" t="s">
        <v>28</v>
      </c>
      <c r="B60" s="58">
        <v>3270</v>
      </c>
      <c r="C60" s="38">
        <v>3270</v>
      </c>
      <c r="D60" s="30">
        <v>791</v>
      </c>
      <c r="E60" s="38">
        <v>177</v>
      </c>
      <c r="F60" s="30">
        <v>127</v>
      </c>
      <c r="G60" s="60">
        <v>542</v>
      </c>
      <c r="H60" s="38">
        <v>68</v>
      </c>
      <c r="I60" s="38"/>
      <c r="J60" s="38"/>
      <c r="K60" s="48">
        <f t="shared" si="2"/>
        <v>8245</v>
      </c>
    </row>
    <row r="61" spans="1:11" ht="15.75" hidden="1">
      <c r="A61" s="55" t="s">
        <v>29</v>
      </c>
      <c r="B61" s="58">
        <v>4693</v>
      </c>
      <c r="C61" s="38">
        <v>4693</v>
      </c>
      <c r="D61" s="30">
        <v>766</v>
      </c>
      <c r="E61" s="38">
        <v>159</v>
      </c>
      <c r="F61" s="30">
        <v>106</v>
      </c>
      <c r="G61" s="38">
        <v>546</v>
      </c>
      <c r="H61" s="38">
        <v>98</v>
      </c>
      <c r="I61" s="38"/>
      <c r="J61" s="38"/>
      <c r="K61" s="48">
        <f t="shared" si="2"/>
        <v>11061</v>
      </c>
    </row>
    <row r="62" spans="1:11" ht="15.75" hidden="1">
      <c r="A62" s="55" t="s">
        <v>19</v>
      </c>
      <c r="B62" s="58">
        <v>4957</v>
      </c>
      <c r="C62" s="38">
        <v>4957</v>
      </c>
      <c r="D62" s="30">
        <v>610</v>
      </c>
      <c r="E62" s="38">
        <v>157</v>
      </c>
      <c r="F62" s="30">
        <f>113+19</f>
        <v>132</v>
      </c>
      <c r="G62" s="38">
        <v>508</v>
      </c>
      <c r="H62" s="38">
        <v>78</v>
      </c>
      <c r="I62" s="38"/>
      <c r="J62" s="38"/>
      <c r="K62" s="48">
        <f t="shared" si="2"/>
        <v>11399</v>
      </c>
    </row>
    <row r="63" spans="1:11" ht="15.75" hidden="1">
      <c r="A63" s="55" t="s">
        <v>20</v>
      </c>
      <c r="B63" s="58">
        <v>5260</v>
      </c>
      <c r="C63" s="38">
        <v>5260</v>
      </c>
      <c r="D63" s="30">
        <v>683</v>
      </c>
      <c r="E63" s="38">
        <v>172</v>
      </c>
      <c r="F63" s="30">
        <v>95</v>
      </c>
      <c r="G63" s="38">
        <v>531</v>
      </c>
      <c r="H63" s="38">
        <v>85</v>
      </c>
      <c r="I63" s="38"/>
      <c r="J63" s="38"/>
      <c r="K63" s="48">
        <f t="shared" si="2"/>
        <v>12086</v>
      </c>
    </row>
    <row r="64" spans="1:11" ht="15.75" hidden="1">
      <c r="A64" s="55" t="s">
        <v>30</v>
      </c>
      <c r="B64" s="58">
        <v>4279</v>
      </c>
      <c r="C64" s="38">
        <v>4279</v>
      </c>
      <c r="D64" s="30">
        <v>585</v>
      </c>
      <c r="E64" s="38">
        <v>158</v>
      </c>
      <c r="F64" s="30">
        <v>30</v>
      </c>
      <c r="G64" s="38">
        <v>517</v>
      </c>
      <c r="H64" s="38">
        <v>61</v>
      </c>
      <c r="I64" s="38"/>
      <c r="J64" s="38"/>
      <c r="K64" s="48">
        <f t="shared" si="2"/>
        <v>9909</v>
      </c>
    </row>
    <row r="65" spans="1:11" ht="15.75" hidden="1">
      <c r="A65" s="55" t="s">
        <v>21</v>
      </c>
      <c r="B65" s="58">
        <v>4574</v>
      </c>
      <c r="C65" s="38">
        <v>4574</v>
      </c>
      <c r="D65" s="30">
        <v>386</v>
      </c>
      <c r="E65" s="38">
        <v>151</v>
      </c>
      <c r="F65" s="30">
        <v>34</v>
      </c>
      <c r="G65" s="38">
        <v>300</v>
      </c>
      <c r="H65" s="38">
        <v>5</v>
      </c>
      <c r="I65" s="38"/>
      <c r="J65" s="38"/>
      <c r="K65" s="48">
        <f t="shared" si="2"/>
        <v>10024</v>
      </c>
    </row>
    <row r="66" spans="1:11" ht="15.75" hidden="1">
      <c r="A66" s="55" t="s">
        <v>22</v>
      </c>
      <c r="B66" s="58">
        <v>4494.3</v>
      </c>
      <c r="C66" s="38">
        <v>4494.3</v>
      </c>
      <c r="D66" s="30">
        <v>323.16</v>
      </c>
      <c r="E66" s="38">
        <v>109.5645</v>
      </c>
      <c r="F66" s="30">
        <f>15.525+7.52</f>
        <v>23.045</v>
      </c>
      <c r="G66" s="38">
        <v>238.074</v>
      </c>
      <c r="H66" s="38">
        <v>97.304</v>
      </c>
      <c r="I66" s="38"/>
      <c r="J66" s="38"/>
      <c r="K66" s="48">
        <f t="shared" si="2"/>
        <v>9779.747500000001</v>
      </c>
    </row>
    <row r="67" spans="1:11" ht="15.75" hidden="1">
      <c r="A67" s="55" t="s">
        <v>23</v>
      </c>
      <c r="B67" s="58">
        <v>4081.6</v>
      </c>
      <c r="C67" s="38">
        <v>4081.6</v>
      </c>
      <c r="D67" s="30">
        <v>192.48</v>
      </c>
      <c r="E67" s="38">
        <v>76.516</v>
      </c>
      <c r="F67" s="30">
        <f>24.442+7.83</f>
        <v>32.272</v>
      </c>
      <c r="G67" s="38">
        <v>386.122</v>
      </c>
      <c r="H67" s="38">
        <v>29.964</v>
      </c>
      <c r="I67" s="38"/>
      <c r="J67" s="38"/>
      <c r="K67" s="48">
        <f t="shared" si="2"/>
        <v>8880.554</v>
      </c>
    </row>
    <row r="68" spans="1:11" ht="15.75" hidden="1">
      <c r="A68" s="55" t="s">
        <v>24</v>
      </c>
      <c r="B68" s="61">
        <v>3621.4</v>
      </c>
      <c r="C68" s="60">
        <v>3621.4</v>
      </c>
      <c r="D68" s="62">
        <v>240</v>
      </c>
      <c r="E68" s="60">
        <v>71.623</v>
      </c>
      <c r="F68" s="62">
        <f>33.289+7.35</f>
        <v>40.639</v>
      </c>
      <c r="G68" s="60">
        <v>301.836</v>
      </c>
      <c r="H68" s="60">
        <v>43.95</v>
      </c>
      <c r="I68" s="60"/>
      <c r="J68" s="60"/>
      <c r="K68" s="48">
        <f t="shared" si="2"/>
        <v>7940.848</v>
      </c>
    </row>
    <row r="69" spans="1:11" ht="15.75" hidden="1">
      <c r="A69" s="55" t="s">
        <v>25</v>
      </c>
      <c r="B69" s="61">
        <v>3568.8</v>
      </c>
      <c r="C69" s="60">
        <v>3568.8</v>
      </c>
      <c r="D69" s="62">
        <v>354.84</v>
      </c>
      <c r="E69" s="60">
        <v>76</v>
      </c>
      <c r="F69" s="62">
        <f>20.88+7.4</f>
        <v>28.28</v>
      </c>
      <c r="G69" s="60">
        <v>453.828</v>
      </c>
      <c r="H69" s="60">
        <v>54.78</v>
      </c>
      <c r="I69" s="60"/>
      <c r="J69" s="60"/>
      <c r="K69" s="48">
        <f t="shared" si="2"/>
        <v>8105.328</v>
      </c>
    </row>
    <row r="70" spans="1:11" ht="15.75" hidden="1">
      <c r="A70" s="55" t="s">
        <v>26</v>
      </c>
      <c r="B70" s="61">
        <v>3006.9</v>
      </c>
      <c r="C70" s="60">
        <v>3006.9</v>
      </c>
      <c r="D70" s="62">
        <v>427.55</v>
      </c>
      <c r="E70" s="60">
        <v>128.394</v>
      </c>
      <c r="F70" s="62">
        <f>38.865+24.12</f>
        <v>62.985</v>
      </c>
      <c r="G70" s="60">
        <v>518.739</v>
      </c>
      <c r="H70" s="60">
        <v>62.148</v>
      </c>
      <c r="I70" s="60"/>
      <c r="J70" s="60"/>
      <c r="K70" s="48">
        <f t="shared" si="2"/>
        <v>7213.616000000001</v>
      </c>
    </row>
    <row r="71" spans="1:11" ht="18.75" customHeight="1" hidden="1">
      <c r="A71" s="38" t="s">
        <v>37</v>
      </c>
      <c r="B71" s="61">
        <v>11064</v>
      </c>
      <c r="C71" s="60">
        <v>20954.3</v>
      </c>
      <c r="D71" s="62">
        <v>880</v>
      </c>
      <c r="E71" s="60">
        <v>300</v>
      </c>
      <c r="F71" s="62">
        <v>438</v>
      </c>
      <c r="G71" s="60">
        <v>1281.16</v>
      </c>
      <c r="H71" s="60">
        <v>246</v>
      </c>
      <c r="I71" s="60"/>
      <c r="J71" s="60"/>
      <c r="K71" s="48">
        <f t="shared" si="2"/>
        <v>35163.46000000001</v>
      </c>
    </row>
    <row r="72" spans="1:11" ht="15.75" hidden="1">
      <c r="A72" s="55" t="s">
        <v>14</v>
      </c>
      <c r="B72" s="61">
        <v>9883</v>
      </c>
      <c r="C72" s="60">
        <v>15445</v>
      </c>
      <c r="D72" s="62">
        <v>763.34</v>
      </c>
      <c r="E72" s="60">
        <v>283.32</v>
      </c>
      <c r="F72" s="62">
        <v>299</v>
      </c>
      <c r="G72" s="60">
        <v>1165.33</v>
      </c>
      <c r="H72" s="60">
        <v>231</v>
      </c>
      <c r="I72" s="60"/>
      <c r="J72" s="60"/>
      <c r="K72" s="48">
        <f t="shared" si="2"/>
        <v>28069.989999999998</v>
      </c>
    </row>
    <row r="73" spans="1:11" ht="15.75" hidden="1">
      <c r="A73" s="55" t="s">
        <v>16</v>
      </c>
      <c r="B73" s="61">
        <v>10467</v>
      </c>
      <c r="C73" s="60">
        <v>13048</v>
      </c>
      <c r="D73" s="62">
        <v>998.99</v>
      </c>
      <c r="E73" s="60">
        <v>376</v>
      </c>
      <c r="F73" s="62">
        <v>120.89</v>
      </c>
      <c r="G73" s="60">
        <v>1438</v>
      </c>
      <c r="H73" s="60">
        <v>210</v>
      </c>
      <c r="I73" s="60"/>
      <c r="J73" s="60"/>
      <c r="K73" s="48">
        <f t="shared" si="2"/>
        <v>26658.88</v>
      </c>
    </row>
    <row r="74" spans="1:11" ht="15.75" hidden="1">
      <c r="A74" s="55"/>
      <c r="B74" s="63"/>
      <c r="C74" s="60"/>
      <c r="D74" s="62"/>
      <c r="E74" s="60"/>
      <c r="F74" s="62"/>
      <c r="G74" s="60"/>
      <c r="H74" s="60"/>
      <c r="I74" s="60"/>
      <c r="J74" s="60"/>
      <c r="K74" s="48">
        <f t="shared" si="2"/>
        <v>0</v>
      </c>
    </row>
    <row r="75" spans="1:11" ht="15.75" hidden="1">
      <c r="A75" s="49" t="s">
        <v>32</v>
      </c>
      <c r="B75" s="63"/>
      <c r="C75" s="60"/>
      <c r="D75" s="62"/>
      <c r="E75" s="60"/>
      <c r="F75" s="62"/>
      <c r="G75" s="60"/>
      <c r="H75" s="60"/>
      <c r="I75" s="60"/>
      <c r="J75" s="60"/>
      <c r="K75" s="48">
        <f t="shared" si="2"/>
        <v>0</v>
      </c>
    </row>
    <row r="76" spans="1:11" ht="15.75" hidden="1">
      <c r="A76" s="55" t="s">
        <v>27</v>
      </c>
      <c r="B76" s="63">
        <v>2975.952</v>
      </c>
      <c r="C76" s="60">
        <v>4030.9</v>
      </c>
      <c r="D76" s="62">
        <v>161.79</v>
      </c>
      <c r="E76" s="60">
        <v>190.408</v>
      </c>
      <c r="F76" s="64">
        <f>79.755+16.89</f>
        <v>96.645</v>
      </c>
      <c r="G76" s="60">
        <v>561</v>
      </c>
      <c r="H76" s="60">
        <v>83.904</v>
      </c>
      <c r="I76" s="60"/>
      <c r="J76" s="60"/>
      <c r="K76" s="48">
        <f t="shared" si="2"/>
        <v>8100.599000000002</v>
      </c>
    </row>
    <row r="77" spans="1:11" ht="15.75" hidden="1">
      <c r="A77" s="55" t="s">
        <v>28</v>
      </c>
      <c r="B77" s="63">
        <v>665</v>
      </c>
      <c r="C77" s="60">
        <v>4683</v>
      </c>
      <c r="D77" s="62">
        <v>186</v>
      </c>
      <c r="E77" s="60">
        <v>110</v>
      </c>
      <c r="F77" s="64">
        <v>120</v>
      </c>
      <c r="G77" s="60">
        <v>650</v>
      </c>
      <c r="H77" s="60">
        <v>88</v>
      </c>
      <c r="I77" s="60"/>
      <c r="J77" s="60"/>
      <c r="K77" s="48">
        <f t="shared" si="2"/>
        <v>6502</v>
      </c>
    </row>
    <row r="78" spans="1:11" ht="15.75" hidden="1">
      <c r="A78" s="55" t="s">
        <v>29</v>
      </c>
      <c r="B78" s="63">
        <v>3041.136</v>
      </c>
      <c r="C78" s="60">
        <v>3781.6</v>
      </c>
      <c r="D78" s="62">
        <v>478.155</v>
      </c>
      <c r="E78" s="60">
        <v>100.336</v>
      </c>
      <c r="F78" s="62">
        <f>93.9+7.94</f>
        <v>101.84</v>
      </c>
      <c r="G78" s="60">
        <v>361</v>
      </c>
      <c r="H78" s="60">
        <v>67.668</v>
      </c>
      <c r="I78" s="60"/>
      <c r="J78" s="60"/>
      <c r="K78" s="48">
        <f t="shared" si="2"/>
        <v>7931.735</v>
      </c>
    </row>
    <row r="79" spans="1:11" ht="15.75" hidden="1">
      <c r="A79" s="55" t="s">
        <v>19</v>
      </c>
      <c r="B79" s="63">
        <v>2859</v>
      </c>
      <c r="C79" s="60">
        <v>5644</v>
      </c>
      <c r="D79" s="62">
        <v>402</v>
      </c>
      <c r="E79" s="60">
        <v>144</v>
      </c>
      <c r="F79" s="62">
        <v>134</v>
      </c>
      <c r="G79" s="60">
        <v>632</v>
      </c>
      <c r="H79" s="60">
        <v>79</v>
      </c>
      <c r="I79" s="60"/>
      <c r="J79" s="60"/>
      <c r="K79" s="48">
        <f t="shared" si="2"/>
        <v>9894</v>
      </c>
    </row>
    <row r="80" spans="1:11" ht="15.75" hidden="1">
      <c r="A80" s="55" t="s">
        <v>20</v>
      </c>
      <c r="B80" s="63">
        <v>3019</v>
      </c>
      <c r="C80" s="60">
        <v>6877</v>
      </c>
      <c r="D80" s="62">
        <v>541</v>
      </c>
      <c r="E80" s="60">
        <v>124</v>
      </c>
      <c r="F80" s="62">
        <v>133</v>
      </c>
      <c r="G80" s="60">
        <v>608</v>
      </c>
      <c r="H80" s="60">
        <v>72</v>
      </c>
      <c r="I80" s="60"/>
      <c r="J80" s="60"/>
      <c r="K80" s="48">
        <f t="shared" si="2"/>
        <v>11374</v>
      </c>
    </row>
    <row r="81" spans="1:11" ht="15.75" hidden="1">
      <c r="A81" s="55" t="s">
        <v>30</v>
      </c>
      <c r="B81" s="63">
        <v>3500</v>
      </c>
      <c r="C81" s="60">
        <v>5036</v>
      </c>
      <c r="D81" s="62">
        <v>213</v>
      </c>
      <c r="E81" s="60">
        <v>103</v>
      </c>
      <c r="F81" s="62">
        <v>114</v>
      </c>
      <c r="G81" s="60">
        <v>610</v>
      </c>
      <c r="H81" s="60">
        <v>73</v>
      </c>
      <c r="I81" s="60"/>
      <c r="J81" s="60"/>
      <c r="K81" s="48">
        <f t="shared" si="2"/>
        <v>9649</v>
      </c>
    </row>
    <row r="82" spans="1:11" ht="15.75" hidden="1">
      <c r="A82" s="55"/>
      <c r="B82" s="63"/>
      <c r="C82" s="62"/>
      <c r="D82" s="62"/>
      <c r="E82" s="62"/>
      <c r="F82" s="62"/>
      <c r="G82" s="62"/>
      <c r="H82" s="62"/>
      <c r="I82" s="62"/>
      <c r="J82" s="62"/>
      <c r="K82" s="48">
        <f aca="true" t="shared" si="3" ref="K82:K111">B82+C82+D82+E82+F82+G82+H82</f>
        <v>0</v>
      </c>
    </row>
    <row r="83" spans="1:11" ht="15.75" hidden="1">
      <c r="A83" s="55" t="s">
        <v>21</v>
      </c>
      <c r="B83" s="61">
        <v>3635</v>
      </c>
      <c r="C83" s="60">
        <v>4486</v>
      </c>
      <c r="D83" s="60">
        <v>226</v>
      </c>
      <c r="E83" s="60">
        <v>72</v>
      </c>
      <c r="F83" s="60">
        <v>99</v>
      </c>
      <c r="G83" s="60">
        <v>425</v>
      </c>
      <c r="H83" s="60">
        <v>62</v>
      </c>
      <c r="I83" s="60"/>
      <c r="J83" s="60"/>
      <c r="K83" s="48">
        <f t="shared" si="3"/>
        <v>9005</v>
      </c>
    </row>
    <row r="84" spans="1:11" ht="15.75" hidden="1">
      <c r="A84" s="55" t="s">
        <v>22</v>
      </c>
      <c r="B84" s="63">
        <v>3493.872</v>
      </c>
      <c r="C84" s="60">
        <v>4730.4</v>
      </c>
      <c r="D84" s="65" t="s">
        <v>35</v>
      </c>
      <c r="E84" s="60">
        <v>50.07</v>
      </c>
      <c r="F84" s="62">
        <f>68.88+24</f>
        <v>92.88</v>
      </c>
      <c r="G84" s="60">
        <v>445.864</v>
      </c>
      <c r="H84" s="60">
        <v>48.517</v>
      </c>
      <c r="I84" s="60"/>
      <c r="J84" s="60"/>
      <c r="K84" s="48">
        <f t="shared" si="3"/>
        <v>8861.602999999997</v>
      </c>
    </row>
    <row r="85" spans="1:11" ht="15.75" hidden="1">
      <c r="A85" s="55" t="s">
        <v>23</v>
      </c>
      <c r="B85" s="63">
        <v>3741.242</v>
      </c>
      <c r="C85" s="60">
        <v>4875</v>
      </c>
      <c r="D85" s="66">
        <v>128.25</v>
      </c>
      <c r="E85" s="60">
        <v>59.174</v>
      </c>
      <c r="F85" s="60">
        <f>45.27+24.35</f>
        <v>69.62</v>
      </c>
      <c r="G85" s="67">
        <v>462</v>
      </c>
      <c r="H85" s="60">
        <v>63.264</v>
      </c>
      <c r="I85" s="60"/>
      <c r="J85" s="60"/>
      <c r="K85" s="48">
        <f t="shared" si="3"/>
        <v>9398.550000000001</v>
      </c>
    </row>
    <row r="86" spans="1:11" ht="15.75" hidden="1">
      <c r="A86" s="55" t="s">
        <v>24</v>
      </c>
      <c r="B86" s="63">
        <v>3917.232</v>
      </c>
      <c r="C86" s="60">
        <v>5728.7</v>
      </c>
      <c r="D86" s="68">
        <v>262.425</v>
      </c>
      <c r="E86" s="69">
        <v>65</v>
      </c>
      <c r="F86" s="60">
        <v>64.68</v>
      </c>
      <c r="G86" s="67">
        <v>485</v>
      </c>
      <c r="H86" s="60">
        <v>82.26</v>
      </c>
      <c r="I86" s="60"/>
      <c r="J86" s="60"/>
      <c r="K86" s="48">
        <f t="shared" si="3"/>
        <v>10605.297</v>
      </c>
    </row>
    <row r="87" spans="1:13" ht="15.75" hidden="1">
      <c r="A87" s="55" t="s">
        <v>25</v>
      </c>
      <c r="B87" s="63">
        <v>4292.028</v>
      </c>
      <c r="C87" s="60">
        <v>6126.6</v>
      </c>
      <c r="D87" s="70">
        <v>224.71</v>
      </c>
      <c r="E87" s="69">
        <v>75.6</v>
      </c>
      <c r="F87" s="60">
        <f>92.455+41.3</f>
        <v>133.755</v>
      </c>
      <c r="G87" s="67">
        <v>476.345</v>
      </c>
      <c r="H87" s="60">
        <v>51.816</v>
      </c>
      <c r="I87" s="60"/>
      <c r="J87" s="60"/>
      <c r="K87" s="48">
        <f t="shared" si="3"/>
        <v>11380.854</v>
      </c>
      <c r="M87" s="12"/>
    </row>
    <row r="88" spans="1:11" ht="15.75" hidden="1">
      <c r="A88" s="55" t="s">
        <v>26</v>
      </c>
      <c r="B88" s="63">
        <v>4189.536</v>
      </c>
      <c r="C88" s="60">
        <v>6669.5</v>
      </c>
      <c r="D88" s="70">
        <v>134.07</v>
      </c>
      <c r="E88" s="69">
        <v>144.241</v>
      </c>
      <c r="F88" s="60">
        <f>131.01+42.3</f>
        <v>173.31</v>
      </c>
      <c r="G88" s="67">
        <v>477.886</v>
      </c>
      <c r="H88" s="60">
        <v>57.528</v>
      </c>
      <c r="I88" s="60"/>
      <c r="J88" s="60"/>
      <c r="K88" s="48">
        <f t="shared" si="3"/>
        <v>11846.071</v>
      </c>
    </row>
    <row r="89" spans="1:11" ht="15.75" hidden="1">
      <c r="A89" s="55"/>
      <c r="B89" s="63"/>
      <c r="C89" s="60"/>
      <c r="D89" s="70"/>
      <c r="E89" s="69"/>
      <c r="F89" s="60"/>
      <c r="G89" s="67"/>
      <c r="H89" s="60"/>
      <c r="I89" s="60"/>
      <c r="J89" s="60"/>
      <c r="K89" s="48">
        <f t="shared" si="3"/>
        <v>0</v>
      </c>
    </row>
    <row r="90" spans="1:11" ht="15.75" hidden="1">
      <c r="A90" s="49" t="s">
        <v>45</v>
      </c>
      <c r="B90" s="63">
        <v>41787.244</v>
      </c>
      <c r="C90" s="60">
        <v>49616.5</v>
      </c>
      <c r="D90" s="70">
        <v>2704.48</v>
      </c>
      <c r="E90" s="71">
        <v>908.556</v>
      </c>
      <c r="F90" s="60">
        <v>1224.412</v>
      </c>
      <c r="G90" s="67">
        <v>3395</v>
      </c>
      <c r="H90" s="60">
        <v>630.936</v>
      </c>
      <c r="I90" s="60"/>
      <c r="J90" s="72" t="s">
        <v>69</v>
      </c>
      <c r="K90" s="48">
        <f t="shared" si="3"/>
        <v>100267.128</v>
      </c>
    </row>
    <row r="91" spans="1:11" ht="15.75" hidden="1">
      <c r="A91" s="49" t="s">
        <v>46</v>
      </c>
      <c r="B91" s="63"/>
      <c r="C91" s="60"/>
      <c r="D91" s="70"/>
      <c r="E91" s="69"/>
      <c r="F91" s="60"/>
      <c r="G91" s="67"/>
      <c r="H91" s="60"/>
      <c r="I91" s="60"/>
      <c r="J91" s="72" t="s">
        <v>69</v>
      </c>
      <c r="K91" s="48">
        <f t="shared" si="3"/>
        <v>0</v>
      </c>
    </row>
    <row r="92" spans="1:11" ht="15.75" hidden="1">
      <c r="A92" s="49" t="s">
        <v>47</v>
      </c>
      <c r="B92" s="63"/>
      <c r="C92" s="60"/>
      <c r="D92" s="70"/>
      <c r="E92" s="69"/>
      <c r="F92" s="60"/>
      <c r="G92" s="67"/>
      <c r="H92" s="60"/>
      <c r="I92" s="60"/>
      <c r="J92" s="72" t="s">
        <v>69</v>
      </c>
      <c r="K92" s="48">
        <f t="shared" si="3"/>
        <v>0</v>
      </c>
    </row>
    <row r="93" spans="1:11" ht="15.75" hidden="1">
      <c r="A93" s="49" t="s">
        <v>48</v>
      </c>
      <c r="B93" s="63">
        <v>12548</v>
      </c>
      <c r="C93" s="60">
        <v>12710.5</v>
      </c>
      <c r="D93" s="70">
        <v>875.99</v>
      </c>
      <c r="E93" s="69">
        <v>271.941</v>
      </c>
      <c r="F93" s="60">
        <v>533</v>
      </c>
      <c r="G93" s="67">
        <v>1125.082</v>
      </c>
      <c r="H93" s="60">
        <v>290.196</v>
      </c>
      <c r="I93" s="60"/>
      <c r="J93" s="72" t="s">
        <v>69</v>
      </c>
      <c r="K93" s="48">
        <f t="shared" si="3"/>
        <v>28354.709</v>
      </c>
    </row>
    <row r="94" spans="1:11" ht="15.75" hidden="1">
      <c r="A94" s="49" t="s">
        <v>49</v>
      </c>
      <c r="B94" s="63">
        <v>14249</v>
      </c>
      <c r="C94" s="60">
        <v>8655</v>
      </c>
      <c r="D94" s="70">
        <v>824</v>
      </c>
      <c r="E94" s="69">
        <v>294</v>
      </c>
      <c r="F94" s="60">
        <v>337</v>
      </c>
      <c r="G94" s="67">
        <v>1267</v>
      </c>
      <c r="H94" s="60">
        <v>275</v>
      </c>
      <c r="I94" s="60"/>
      <c r="J94" s="72" t="s">
        <v>69</v>
      </c>
      <c r="K94" s="48">
        <f t="shared" si="3"/>
        <v>25901</v>
      </c>
    </row>
    <row r="95" spans="1:11" ht="15.75" hidden="1">
      <c r="A95" s="49" t="s">
        <v>50</v>
      </c>
      <c r="B95" s="63">
        <v>6676</v>
      </c>
      <c r="C95" s="60">
        <v>13768</v>
      </c>
      <c r="D95" s="70">
        <v>1111</v>
      </c>
      <c r="E95" s="69">
        <v>231</v>
      </c>
      <c r="F95" s="60">
        <v>272</v>
      </c>
      <c r="G95" s="67">
        <v>910</v>
      </c>
      <c r="H95" s="60">
        <v>277</v>
      </c>
      <c r="I95" s="60"/>
      <c r="J95" s="72" t="s">
        <v>69</v>
      </c>
      <c r="K95" s="48">
        <f t="shared" si="3"/>
        <v>23245</v>
      </c>
    </row>
    <row r="96" spans="1:11" ht="15.75" hidden="1">
      <c r="A96" s="49" t="s">
        <v>51</v>
      </c>
      <c r="B96" s="63">
        <v>10002</v>
      </c>
      <c r="C96" s="60">
        <v>11499</v>
      </c>
      <c r="D96" s="70">
        <v>798</v>
      </c>
      <c r="E96" s="69">
        <v>316</v>
      </c>
      <c r="F96" s="60">
        <v>225</v>
      </c>
      <c r="G96" s="67">
        <v>964</v>
      </c>
      <c r="H96" s="60">
        <v>167</v>
      </c>
      <c r="I96" s="60"/>
      <c r="J96" s="72" t="s">
        <v>69</v>
      </c>
      <c r="K96" s="48">
        <f t="shared" si="3"/>
        <v>23971</v>
      </c>
    </row>
    <row r="97" spans="1:11" ht="15.75" hidden="1">
      <c r="A97" s="49" t="s">
        <v>52</v>
      </c>
      <c r="B97" s="63">
        <f>SUM(B93:B96)</f>
        <v>43475</v>
      </c>
      <c r="C97" s="60"/>
      <c r="D97" s="70"/>
      <c r="E97" s="69"/>
      <c r="F97" s="60"/>
      <c r="G97" s="67"/>
      <c r="H97" s="60"/>
      <c r="I97" s="60"/>
      <c r="J97" s="72" t="s">
        <v>69</v>
      </c>
      <c r="K97" s="48">
        <f t="shared" si="3"/>
        <v>43475</v>
      </c>
    </row>
    <row r="98" spans="1:11" ht="15.75" hidden="1">
      <c r="A98" s="49" t="s">
        <v>53</v>
      </c>
      <c r="B98" s="63"/>
      <c r="C98" s="60"/>
      <c r="D98" s="70"/>
      <c r="E98" s="69"/>
      <c r="F98" s="60"/>
      <c r="G98" s="67"/>
      <c r="H98" s="60"/>
      <c r="I98" s="60"/>
      <c r="J98" s="72" t="s">
        <v>69</v>
      </c>
      <c r="K98" s="48">
        <f t="shared" si="3"/>
        <v>0</v>
      </c>
    </row>
    <row r="99" spans="1:11" ht="15.75" hidden="1">
      <c r="A99" s="49" t="s">
        <v>54</v>
      </c>
      <c r="B99" s="63">
        <v>5504.94</v>
      </c>
      <c r="C99" s="73">
        <v>8451.9</v>
      </c>
      <c r="D99" s="70">
        <v>79.05</v>
      </c>
      <c r="E99" s="69">
        <v>144.379</v>
      </c>
      <c r="F99" s="60">
        <f>104.13+69.6</f>
        <v>173.73</v>
      </c>
      <c r="G99" s="67">
        <v>632.316</v>
      </c>
      <c r="H99" s="60">
        <v>63.88</v>
      </c>
      <c r="I99" s="60"/>
      <c r="J99" s="72" t="s">
        <v>69</v>
      </c>
      <c r="K99" s="48">
        <f t="shared" si="3"/>
        <v>15050.195</v>
      </c>
    </row>
    <row r="100" spans="1:11" ht="15.75" hidden="1">
      <c r="A100" s="49" t="s">
        <v>55</v>
      </c>
      <c r="B100" s="63">
        <v>4729.32</v>
      </c>
      <c r="C100" s="73">
        <v>6082.1</v>
      </c>
      <c r="D100" s="70">
        <v>322.86</v>
      </c>
      <c r="E100" s="69">
        <v>115.969</v>
      </c>
      <c r="F100" s="60">
        <v>153.84</v>
      </c>
      <c r="G100" s="67">
        <v>568.494</v>
      </c>
      <c r="H100" s="60">
        <v>70.516</v>
      </c>
      <c r="I100" s="60"/>
      <c r="J100" s="72" t="s">
        <v>69</v>
      </c>
      <c r="K100" s="48">
        <f t="shared" si="3"/>
        <v>12043.099</v>
      </c>
    </row>
    <row r="101" spans="1:11" ht="15.75" hidden="1">
      <c r="A101" s="49" t="s">
        <v>56</v>
      </c>
      <c r="B101" s="63">
        <v>5168</v>
      </c>
      <c r="C101" s="73">
        <v>4101.6</v>
      </c>
      <c r="D101" s="70">
        <v>322.86</v>
      </c>
      <c r="E101" s="69">
        <v>112.4</v>
      </c>
      <c r="F101" s="60">
        <v>110.8</v>
      </c>
      <c r="G101" s="67">
        <v>429.973</v>
      </c>
      <c r="H101" s="60">
        <v>68.1</v>
      </c>
      <c r="I101" s="60"/>
      <c r="J101" s="72" t="s">
        <v>69</v>
      </c>
      <c r="K101" s="48">
        <f t="shared" si="3"/>
        <v>10313.733</v>
      </c>
    </row>
    <row r="102" spans="1:11" ht="15.75" hidden="1">
      <c r="A102" s="49" t="s">
        <v>57</v>
      </c>
      <c r="B102" s="61">
        <v>4234.896</v>
      </c>
      <c r="C102" s="60">
        <v>7003.132</v>
      </c>
      <c r="D102" s="70">
        <v>311</v>
      </c>
      <c r="E102" s="69">
        <v>106.812</v>
      </c>
      <c r="F102" s="60">
        <v>141</v>
      </c>
      <c r="G102" s="67">
        <v>486.772</v>
      </c>
      <c r="H102" s="60">
        <v>48.96</v>
      </c>
      <c r="I102" s="60"/>
      <c r="J102" s="72" t="s">
        <v>69</v>
      </c>
      <c r="K102" s="48">
        <f t="shared" si="3"/>
        <v>12332.571999999998</v>
      </c>
    </row>
    <row r="103" spans="1:11" ht="15.75" hidden="1">
      <c r="A103" s="49" t="s">
        <v>58</v>
      </c>
      <c r="B103" s="63">
        <v>3631.14</v>
      </c>
      <c r="C103" s="60">
        <v>8123.4</v>
      </c>
      <c r="D103" s="70">
        <v>270.375</v>
      </c>
      <c r="E103" s="69">
        <v>96</v>
      </c>
      <c r="F103" s="60">
        <v>150.5</v>
      </c>
      <c r="G103" s="67">
        <v>481.025</v>
      </c>
      <c r="H103" s="60">
        <v>112</v>
      </c>
      <c r="I103" s="60"/>
      <c r="J103" s="72" t="s">
        <v>69</v>
      </c>
      <c r="K103" s="48">
        <f t="shared" si="3"/>
        <v>12864.439999999999</v>
      </c>
    </row>
    <row r="104" spans="1:11" ht="15.75" hidden="1">
      <c r="A104" s="49" t="s">
        <v>59</v>
      </c>
      <c r="B104" s="63">
        <v>3199.392</v>
      </c>
      <c r="C104" s="60">
        <v>5827.8</v>
      </c>
      <c r="D104" s="70">
        <v>298.5</v>
      </c>
      <c r="E104" s="69">
        <v>97.125</v>
      </c>
      <c r="F104" s="60">
        <v>146.265</v>
      </c>
      <c r="G104" s="67">
        <v>313.362</v>
      </c>
      <c r="H104" s="60">
        <v>84.944</v>
      </c>
      <c r="I104" s="60"/>
      <c r="J104" s="72" t="s">
        <v>69</v>
      </c>
      <c r="K104" s="48">
        <f t="shared" si="3"/>
        <v>9967.387999999997</v>
      </c>
    </row>
    <row r="105" spans="1:11" ht="15.75" hidden="1">
      <c r="A105" s="49" t="s">
        <v>60</v>
      </c>
      <c r="B105" s="63">
        <v>3742.842</v>
      </c>
      <c r="C105" s="60">
        <v>5691.7</v>
      </c>
      <c r="D105" s="70">
        <v>276.15</v>
      </c>
      <c r="E105" s="69">
        <v>99.46</v>
      </c>
      <c r="F105" s="60">
        <v>118.32</v>
      </c>
      <c r="G105" s="67">
        <v>365.52</v>
      </c>
      <c r="H105" s="60">
        <v>70</v>
      </c>
      <c r="I105" s="60"/>
      <c r="J105" s="72" t="s">
        <v>69</v>
      </c>
      <c r="K105" s="48">
        <f t="shared" si="3"/>
        <v>10363.991999999998</v>
      </c>
    </row>
    <row r="106" spans="1:11" ht="15.75" hidden="1">
      <c r="A106" s="49" t="s">
        <v>61</v>
      </c>
      <c r="B106" s="63">
        <v>3226</v>
      </c>
      <c r="C106" s="60">
        <v>5060</v>
      </c>
      <c r="D106" s="70">
        <v>127</v>
      </c>
      <c r="E106" s="69">
        <v>67</v>
      </c>
      <c r="F106" s="60">
        <v>106</v>
      </c>
      <c r="G106" s="67">
        <v>387</v>
      </c>
      <c r="H106" s="60">
        <v>81</v>
      </c>
      <c r="I106" s="60"/>
      <c r="J106" s="72" t="s">
        <v>69</v>
      </c>
      <c r="K106" s="48">
        <f t="shared" si="3"/>
        <v>9054</v>
      </c>
    </row>
    <row r="107" spans="1:11" ht="15.75" hidden="1">
      <c r="A107" s="49" t="s">
        <v>62</v>
      </c>
      <c r="B107" s="63">
        <v>2914.164</v>
      </c>
      <c r="C107" s="60">
        <v>4692.8</v>
      </c>
      <c r="D107" s="70">
        <v>359.535</v>
      </c>
      <c r="E107" s="69">
        <v>117.032</v>
      </c>
      <c r="F107" s="60">
        <v>74.685</v>
      </c>
      <c r="G107" s="67">
        <v>412.345</v>
      </c>
      <c r="H107" s="60">
        <v>80.338</v>
      </c>
      <c r="I107" s="60"/>
      <c r="J107" s="72" t="s">
        <v>69</v>
      </c>
      <c r="K107" s="48">
        <f t="shared" si="3"/>
        <v>8650.899</v>
      </c>
    </row>
    <row r="108" spans="1:11" ht="15.75" hidden="1">
      <c r="A108" s="49" t="s">
        <v>63</v>
      </c>
      <c r="B108" s="63">
        <v>2972.304</v>
      </c>
      <c r="C108" s="60">
        <v>4511.9</v>
      </c>
      <c r="D108" s="70">
        <v>421.632</v>
      </c>
      <c r="E108" s="69">
        <v>128.556</v>
      </c>
      <c r="F108" s="60">
        <v>32.37</v>
      </c>
      <c r="G108" s="67">
        <v>465.231</v>
      </c>
      <c r="H108" s="60">
        <v>74.256</v>
      </c>
      <c r="I108" s="60"/>
      <c r="J108" s="72" t="s">
        <v>69</v>
      </c>
      <c r="K108" s="48">
        <f t="shared" si="3"/>
        <v>8606.248999999998</v>
      </c>
    </row>
    <row r="109" spans="1:13" ht="15.75" hidden="1">
      <c r="A109" s="49" t="s">
        <v>64</v>
      </c>
      <c r="B109" s="63">
        <v>3671.244</v>
      </c>
      <c r="C109" s="60">
        <v>4190.7</v>
      </c>
      <c r="D109" s="70">
        <v>290.58</v>
      </c>
      <c r="E109" s="69">
        <v>146.25</v>
      </c>
      <c r="F109" s="62">
        <v>39.915</v>
      </c>
      <c r="G109" s="69">
        <v>526.341</v>
      </c>
      <c r="H109" s="60">
        <v>83.244</v>
      </c>
      <c r="I109" s="60"/>
      <c r="J109" s="72" t="s">
        <v>69</v>
      </c>
      <c r="K109" s="48">
        <f t="shared" si="3"/>
        <v>8948.274000000001</v>
      </c>
      <c r="M109" s="12"/>
    </row>
    <row r="110" spans="1:13" ht="15.75" hidden="1">
      <c r="A110" s="49" t="s">
        <v>65</v>
      </c>
      <c r="B110" s="63">
        <v>3823.884</v>
      </c>
      <c r="C110" s="60">
        <v>4345.4</v>
      </c>
      <c r="D110" s="70">
        <v>285.75</v>
      </c>
      <c r="E110" s="69">
        <v>100.927</v>
      </c>
      <c r="F110" s="62">
        <v>48.6</v>
      </c>
      <c r="G110" s="69">
        <v>447.472</v>
      </c>
      <c r="H110" s="60">
        <v>53.226</v>
      </c>
      <c r="I110" s="60"/>
      <c r="J110" s="72" t="s">
        <v>69</v>
      </c>
      <c r="K110" s="48">
        <f t="shared" si="3"/>
        <v>9105.259</v>
      </c>
      <c r="M110" s="12"/>
    </row>
    <row r="111" spans="1:13" ht="15.75" hidden="1">
      <c r="A111" s="49" t="s">
        <v>66</v>
      </c>
      <c r="B111" s="74"/>
      <c r="C111" s="75"/>
      <c r="D111" s="76"/>
      <c r="E111" s="77"/>
      <c r="F111" s="78"/>
      <c r="G111" s="77"/>
      <c r="H111" s="75"/>
      <c r="I111" s="75"/>
      <c r="J111" s="72" t="s">
        <v>69</v>
      </c>
      <c r="K111" s="48">
        <f t="shared" si="3"/>
        <v>0</v>
      </c>
      <c r="M111" s="12"/>
    </row>
    <row r="112" spans="1:13" ht="15.75" customHeight="1" hidden="1">
      <c r="A112" s="49" t="s">
        <v>46</v>
      </c>
      <c r="B112" s="63">
        <v>51223.544</v>
      </c>
      <c r="C112" s="60">
        <v>35823.5</v>
      </c>
      <c r="D112" s="79" t="s">
        <v>39</v>
      </c>
      <c r="E112" s="79" t="s">
        <v>39</v>
      </c>
      <c r="F112" s="62">
        <v>828.87</v>
      </c>
      <c r="G112" s="69">
        <v>4478.4310000000005</v>
      </c>
      <c r="H112" s="60">
        <v>981.592</v>
      </c>
      <c r="I112" s="60"/>
      <c r="J112" s="72" t="s">
        <v>69</v>
      </c>
      <c r="K112" s="48">
        <v>93337</v>
      </c>
      <c r="M112" s="12"/>
    </row>
    <row r="113" spans="1:13" ht="15.75" hidden="1">
      <c r="A113" s="49" t="s">
        <v>47</v>
      </c>
      <c r="B113" s="63"/>
      <c r="C113" s="60"/>
      <c r="D113" s="70"/>
      <c r="E113" s="69"/>
      <c r="F113" s="62"/>
      <c r="G113" s="69"/>
      <c r="H113" s="60"/>
      <c r="I113" s="60"/>
      <c r="J113" s="72" t="s">
        <v>69</v>
      </c>
      <c r="K113" s="48">
        <f aca="true" t="shared" si="4" ref="K113:K143">B113+C113+D113+E113+F113+G113+H113</f>
        <v>0</v>
      </c>
      <c r="M113" s="12"/>
    </row>
    <row r="114" spans="1:13" ht="15.75" hidden="1">
      <c r="A114" s="49" t="s">
        <v>48</v>
      </c>
      <c r="B114" s="63"/>
      <c r="C114" s="60"/>
      <c r="D114" s="70"/>
      <c r="E114" s="69"/>
      <c r="F114" s="62"/>
      <c r="G114" s="69"/>
      <c r="H114" s="60"/>
      <c r="I114" s="60"/>
      <c r="J114" s="72" t="s">
        <v>69</v>
      </c>
      <c r="K114" s="48">
        <f t="shared" si="4"/>
        <v>0</v>
      </c>
      <c r="M114" s="12"/>
    </row>
    <row r="115" spans="1:13" ht="15.75" hidden="1">
      <c r="A115" s="49" t="s">
        <v>49</v>
      </c>
      <c r="B115" s="63"/>
      <c r="C115" s="60"/>
      <c r="D115" s="70"/>
      <c r="E115" s="69"/>
      <c r="F115" s="62"/>
      <c r="G115" s="69"/>
      <c r="H115" s="60"/>
      <c r="I115" s="60"/>
      <c r="J115" s="72" t="s">
        <v>69</v>
      </c>
      <c r="K115" s="48">
        <f t="shared" si="4"/>
        <v>0</v>
      </c>
      <c r="M115" s="12"/>
    </row>
    <row r="116" spans="1:13" ht="15.75" hidden="1">
      <c r="A116" s="49" t="s">
        <v>50</v>
      </c>
      <c r="B116" s="63">
        <v>10343.448</v>
      </c>
      <c r="C116" s="60">
        <v>10879.5</v>
      </c>
      <c r="D116" s="70">
        <v>228.46</v>
      </c>
      <c r="E116" s="69">
        <v>273.143</v>
      </c>
      <c r="F116" s="62">
        <v>384.32</v>
      </c>
      <c r="G116" s="69">
        <v>1067.028</v>
      </c>
      <c r="H116" s="60">
        <v>182.628</v>
      </c>
      <c r="I116" s="60"/>
      <c r="J116" s="72" t="s">
        <v>69</v>
      </c>
      <c r="K116" s="48">
        <f t="shared" si="4"/>
        <v>23358.527</v>
      </c>
      <c r="M116" s="12"/>
    </row>
    <row r="117" spans="1:13" ht="15.75" hidden="1">
      <c r="A117" s="49" t="s">
        <v>51</v>
      </c>
      <c r="B117" s="63">
        <v>12080.052</v>
      </c>
      <c r="C117" s="60">
        <v>11080.8</v>
      </c>
      <c r="D117" s="80">
        <f>C2</f>
        <v>0</v>
      </c>
      <c r="E117" s="69">
        <v>239</v>
      </c>
      <c r="F117" s="62">
        <v>534.055</v>
      </c>
      <c r="G117" s="69">
        <v>1167.611</v>
      </c>
      <c r="H117" s="60">
        <v>299.534</v>
      </c>
      <c r="I117" s="60"/>
      <c r="J117" s="72" t="s">
        <v>69</v>
      </c>
      <c r="K117" s="48">
        <f t="shared" si="4"/>
        <v>25401.052</v>
      </c>
      <c r="M117" s="12"/>
    </row>
    <row r="118" spans="1:13" ht="15.75" hidden="1">
      <c r="A118" s="49" t="s">
        <v>52</v>
      </c>
      <c r="B118" s="63">
        <v>7333</v>
      </c>
      <c r="C118" s="60">
        <v>12251.6</v>
      </c>
      <c r="D118" s="80">
        <v>285.52</v>
      </c>
      <c r="E118" s="69">
        <v>218.26</v>
      </c>
      <c r="F118" s="62">
        <v>306</v>
      </c>
      <c r="G118" s="69">
        <v>643</v>
      </c>
      <c r="H118" s="60">
        <v>227.39</v>
      </c>
      <c r="I118" s="60"/>
      <c r="J118" s="72" t="s">
        <v>69</v>
      </c>
      <c r="K118" s="48">
        <f t="shared" si="4"/>
        <v>21264.769999999997</v>
      </c>
      <c r="M118" s="12"/>
    </row>
    <row r="119" spans="1:13" ht="15.75" hidden="1">
      <c r="A119" s="49" t="s">
        <v>53</v>
      </c>
      <c r="B119" s="63">
        <v>9886.18</v>
      </c>
      <c r="C119" s="60">
        <v>9662</v>
      </c>
      <c r="D119" s="80">
        <v>690.89</v>
      </c>
      <c r="E119" s="69">
        <v>235.14</v>
      </c>
      <c r="F119" s="62">
        <v>98.13</v>
      </c>
      <c r="G119" s="69">
        <v>969.23</v>
      </c>
      <c r="H119" s="60">
        <v>12.57</v>
      </c>
      <c r="I119" s="60"/>
      <c r="J119" s="72" t="s">
        <v>69</v>
      </c>
      <c r="K119" s="48">
        <f t="shared" si="4"/>
        <v>21554.14</v>
      </c>
      <c r="M119" s="12"/>
    </row>
    <row r="120" spans="1:13" ht="15.75" hidden="1">
      <c r="A120" s="49" t="s">
        <v>47</v>
      </c>
      <c r="B120" s="81">
        <v>47351.808000000005</v>
      </c>
      <c r="C120" s="60">
        <v>59877.9</v>
      </c>
      <c r="D120" s="80">
        <v>2552.1</v>
      </c>
      <c r="E120" s="69">
        <v>1604.37</v>
      </c>
      <c r="F120" s="62">
        <v>1301</v>
      </c>
      <c r="G120" s="69">
        <v>4180.973</v>
      </c>
      <c r="H120" s="60">
        <v>590.524</v>
      </c>
      <c r="I120" s="60"/>
      <c r="J120" s="72" t="s">
        <v>69</v>
      </c>
      <c r="K120" s="48">
        <f t="shared" si="4"/>
        <v>117458.67500000002</v>
      </c>
      <c r="M120" s="12"/>
    </row>
    <row r="121" spans="1:13" ht="15.75" hidden="1">
      <c r="A121" s="49" t="s">
        <v>48</v>
      </c>
      <c r="B121" s="81">
        <v>42371.272000000004</v>
      </c>
      <c r="C121" s="60">
        <v>55327.124</v>
      </c>
      <c r="D121" s="80">
        <v>4254.456</v>
      </c>
      <c r="E121" s="69">
        <v>4280.8</v>
      </c>
      <c r="F121" s="62">
        <v>1025.7669999999998</v>
      </c>
      <c r="G121" s="69">
        <v>3648.547</v>
      </c>
      <c r="H121" s="60">
        <v>881.3740000000001</v>
      </c>
      <c r="I121" s="122">
        <v>0</v>
      </c>
      <c r="J121" s="72" t="s">
        <v>69</v>
      </c>
      <c r="K121" s="48">
        <f t="shared" si="4"/>
        <v>111789.34000000003</v>
      </c>
      <c r="M121" s="12"/>
    </row>
    <row r="122" spans="1:13" ht="15.75" hidden="1">
      <c r="A122" s="55"/>
      <c r="B122" s="64"/>
      <c r="C122" s="60"/>
      <c r="D122" s="80"/>
      <c r="E122" s="69"/>
      <c r="F122" s="62"/>
      <c r="G122" s="69"/>
      <c r="H122" s="60"/>
      <c r="I122" s="60"/>
      <c r="J122" s="72" t="s">
        <v>69</v>
      </c>
      <c r="K122" s="48">
        <f t="shared" si="4"/>
        <v>0</v>
      </c>
      <c r="M122" s="12"/>
    </row>
    <row r="123" spans="1:13" ht="15.75" hidden="1">
      <c r="A123" s="49"/>
      <c r="B123" s="64"/>
      <c r="C123" s="60"/>
      <c r="D123" s="80"/>
      <c r="E123" s="69"/>
      <c r="F123" s="62"/>
      <c r="G123" s="69"/>
      <c r="H123" s="60"/>
      <c r="I123" s="60"/>
      <c r="J123" s="72" t="s">
        <v>69</v>
      </c>
      <c r="K123" s="48">
        <f t="shared" si="4"/>
        <v>0</v>
      </c>
      <c r="M123" s="12"/>
    </row>
    <row r="124" spans="1:13" ht="15.75" hidden="1">
      <c r="A124" s="49" t="s">
        <v>45</v>
      </c>
      <c r="B124" s="64"/>
      <c r="C124" s="60"/>
      <c r="D124" s="80"/>
      <c r="E124" s="69"/>
      <c r="F124" s="62"/>
      <c r="G124" s="69"/>
      <c r="H124" s="60"/>
      <c r="I124" s="60"/>
      <c r="J124" s="72" t="s">
        <v>69</v>
      </c>
      <c r="K124" s="48">
        <f t="shared" si="4"/>
        <v>0</v>
      </c>
      <c r="M124" s="12"/>
    </row>
    <row r="125" spans="1:13" ht="15.75" hidden="1">
      <c r="A125" s="55" t="s">
        <v>12</v>
      </c>
      <c r="B125" s="64">
        <v>13242.992</v>
      </c>
      <c r="C125" s="60">
        <v>11534.9</v>
      </c>
      <c r="D125" s="80">
        <v>706.69</v>
      </c>
      <c r="E125" s="69">
        <v>271.578</v>
      </c>
      <c r="F125" s="62">
        <v>317.26</v>
      </c>
      <c r="G125" s="69">
        <v>889.863</v>
      </c>
      <c r="H125" s="60">
        <v>83.42</v>
      </c>
      <c r="I125" s="60"/>
      <c r="J125" s="72" t="s">
        <v>69</v>
      </c>
      <c r="K125" s="48">
        <f t="shared" si="4"/>
        <v>27046.702999999998</v>
      </c>
      <c r="M125" s="12"/>
    </row>
    <row r="126" spans="1:13" ht="15.75" hidden="1">
      <c r="A126" s="38" t="s">
        <v>37</v>
      </c>
      <c r="B126" s="64">
        <v>11804.184</v>
      </c>
      <c r="C126" s="60">
        <v>13072.7</v>
      </c>
      <c r="D126" s="80">
        <v>831.375</v>
      </c>
      <c r="E126" s="69">
        <v>280.151</v>
      </c>
      <c r="F126" s="62">
        <v>480.96</v>
      </c>
      <c r="G126" s="69">
        <v>889.311</v>
      </c>
      <c r="H126" s="60">
        <v>148.516</v>
      </c>
      <c r="I126" s="60"/>
      <c r="J126" s="72" t="s">
        <v>69</v>
      </c>
      <c r="K126" s="48">
        <f t="shared" si="4"/>
        <v>27507.197</v>
      </c>
      <c r="M126" s="12"/>
    </row>
    <row r="127" spans="1:13" ht="15.75" hidden="1">
      <c r="A127" s="55" t="s">
        <v>14</v>
      </c>
      <c r="B127" s="64">
        <v>7555.352</v>
      </c>
      <c r="C127" s="60">
        <v>13270.7</v>
      </c>
      <c r="D127" s="80">
        <v>543.33</v>
      </c>
      <c r="E127" s="69">
        <v>219.7775</v>
      </c>
      <c r="F127" s="62">
        <v>272.085</v>
      </c>
      <c r="G127" s="69">
        <v>817.119</v>
      </c>
      <c r="H127" s="60">
        <v>165.95</v>
      </c>
      <c r="I127" s="60"/>
      <c r="J127" s="72" t="s">
        <v>69</v>
      </c>
      <c r="K127" s="48">
        <f t="shared" si="4"/>
        <v>22844.3135</v>
      </c>
      <c r="M127" s="12"/>
    </row>
    <row r="128" spans="1:13" ht="15.75" hidden="1">
      <c r="A128" s="55" t="s">
        <v>16</v>
      </c>
      <c r="B128" s="64">
        <v>9184.716</v>
      </c>
      <c r="C128" s="60">
        <v>11737.8</v>
      </c>
      <c r="D128" s="80">
        <f>385.035+238.05</f>
        <v>623.085</v>
      </c>
      <c r="E128" s="69">
        <v>136.5495</v>
      </c>
      <c r="F128" s="62">
        <v>154.407</v>
      </c>
      <c r="G128" s="69">
        <v>799</v>
      </c>
      <c r="H128" s="60">
        <v>233.05</v>
      </c>
      <c r="I128" s="60"/>
      <c r="J128" s="72" t="s">
        <v>69</v>
      </c>
      <c r="K128" s="48">
        <f t="shared" si="4"/>
        <v>22868.6075</v>
      </c>
      <c r="M128" s="12"/>
    </row>
    <row r="129" spans="1:13" ht="15.75" hidden="1">
      <c r="A129" s="55"/>
      <c r="B129" s="82"/>
      <c r="C129" s="83"/>
      <c r="D129" s="84"/>
      <c r="E129" s="85"/>
      <c r="F129" s="82"/>
      <c r="G129" s="85"/>
      <c r="H129" s="86"/>
      <c r="I129" s="86"/>
      <c r="J129" s="72" t="s">
        <v>69</v>
      </c>
      <c r="K129" s="48">
        <f t="shared" si="4"/>
        <v>0</v>
      </c>
      <c r="M129" s="12"/>
    </row>
    <row r="130" spans="1:13" ht="15.75" hidden="1">
      <c r="A130" s="49" t="s">
        <v>38</v>
      </c>
      <c r="B130" s="64"/>
      <c r="C130" s="60"/>
      <c r="D130" s="70"/>
      <c r="E130" s="69"/>
      <c r="F130" s="62"/>
      <c r="G130" s="69"/>
      <c r="H130" s="60"/>
      <c r="I130" s="60"/>
      <c r="J130" s="72" t="s">
        <v>69</v>
      </c>
      <c r="K130" s="48">
        <f t="shared" si="4"/>
        <v>0</v>
      </c>
      <c r="M130" s="12"/>
    </row>
    <row r="131" spans="1:13" ht="15.75" hidden="1">
      <c r="A131" s="55" t="s">
        <v>27</v>
      </c>
      <c r="B131" s="87">
        <v>3824.86</v>
      </c>
      <c r="C131" s="73">
        <v>4328.9</v>
      </c>
      <c r="D131" s="88">
        <v>346.58</v>
      </c>
      <c r="E131" s="71">
        <v>48.6</v>
      </c>
      <c r="F131" s="64">
        <f>133.17+42</f>
        <v>175.17</v>
      </c>
      <c r="G131" s="71">
        <v>460.32</v>
      </c>
      <c r="H131" s="73">
        <v>98.412</v>
      </c>
      <c r="I131" s="73"/>
      <c r="J131" s="72" t="s">
        <v>69</v>
      </c>
      <c r="K131" s="48">
        <f t="shared" si="4"/>
        <v>9282.842</v>
      </c>
      <c r="M131" s="12"/>
    </row>
    <row r="132" spans="1:13" ht="15.75" hidden="1">
      <c r="A132" s="55" t="s">
        <v>28</v>
      </c>
      <c r="B132" s="87">
        <v>3735.828</v>
      </c>
      <c r="C132" s="73">
        <v>3941</v>
      </c>
      <c r="D132" s="88">
        <v>295.23</v>
      </c>
      <c r="E132" s="71">
        <v>72</v>
      </c>
      <c r="F132" s="64">
        <f>163.97+40</f>
        <v>203.97</v>
      </c>
      <c r="G132" s="71">
        <v>362.514</v>
      </c>
      <c r="H132" s="73">
        <v>94</v>
      </c>
      <c r="I132" s="73"/>
      <c r="J132" s="72" t="s">
        <v>69</v>
      </c>
      <c r="K132" s="48">
        <f t="shared" si="4"/>
        <v>8704.541999999998</v>
      </c>
      <c r="M132" s="12"/>
    </row>
    <row r="133" spans="1:14" ht="15.75" hidden="1">
      <c r="A133" s="55" t="s">
        <v>29</v>
      </c>
      <c r="B133" s="87">
        <v>4986.756</v>
      </c>
      <c r="C133" s="73">
        <v>4441.1</v>
      </c>
      <c r="D133" s="88">
        <v>234.18</v>
      </c>
      <c r="E133" s="71">
        <v>150.6615</v>
      </c>
      <c r="F133" s="64">
        <f>111.965+42.2</f>
        <v>154.16500000000002</v>
      </c>
      <c r="G133" s="71">
        <v>302.248</v>
      </c>
      <c r="H133" s="73">
        <v>98.304</v>
      </c>
      <c r="I133" s="73"/>
      <c r="J133" s="72" t="s">
        <v>69</v>
      </c>
      <c r="K133" s="48">
        <f t="shared" si="4"/>
        <v>10367.4145</v>
      </c>
      <c r="M133" s="12"/>
      <c r="N133" s="13"/>
    </row>
    <row r="134" spans="1:13" ht="15.75" hidden="1">
      <c r="A134" s="55" t="s">
        <v>19</v>
      </c>
      <c r="B134" s="87">
        <v>5229</v>
      </c>
      <c r="C134" s="73">
        <v>3828</v>
      </c>
      <c r="D134" s="88">
        <v>273</v>
      </c>
      <c r="E134" s="71">
        <v>92</v>
      </c>
      <c r="F134" s="64">
        <f>89+26</f>
        <v>115</v>
      </c>
      <c r="G134" s="71">
        <v>337</v>
      </c>
      <c r="H134" s="73">
        <v>83</v>
      </c>
      <c r="I134" s="73"/>
      <c r="J134" s="72" t="s">
        <v>69</v>
      </c>
      <c r="K134" s="48">
        <f t="shared" si="4"/>
        <v>9957</v>
      </c>
      <c r="M134" s="12"/>
    </row>
    <row r="135" spans="1:15" ht="15.75" hidden="1">
      <c r="A135" s="55" t="s">
        <v>20</v>
      </c>
      <c r="B135" s="87">
        <v>5456</v>
      </c>
      <c r="C135" s="73">
        <v>3166</v>
      </c>
      <c r="D135" s="88">
        <v>261</v>
      </c>
      <c r="E135" s="71">
        <v>92</v>
      </c>
      <c r="F135" s="64">
        <f>83+25</f>
        <v>108</v>
      </c>
      <c r="G135" s="71">
        <v>491</v>
      </c>
      <c r="H135" s="73">
        <v>91</v>
      </c>
      <c r="I135" s="73"/>
      <c r="J135" s="72" t="s">
        <v>69</v>
      </c>
      <c r="K135" s="48">
        <f t="shared" si="4"/>
        <v>9665</v>
      </c>
      <c r="M135" s="12"/>
      <c r="O135" s="13"/>
    </row>
    <row r="136" spans="1:15" ht="15.75" hidden="1">
      <c r="A136" s="55" t="s">
        <v>30</v>
      </c>
      <c r="B136" s="87">
        <v>3564</v>
      </c>
      <c r="C136" s="73">
        <v>1661</v>
      </c>
      <c r="D136" s="88">
        <v>290</v>
      </c>
      <c r="E136" s="71">
        <v>110</v>
      </c>
      <c r="F136" s="64">
        <f>80+34</f>
        <v>114</v>
      </c>
      <c r="G136" s="71">
        <v>439</v>
      </c>
      <c r="H136" s="73">
        <v>101</v>
      </c>
      <c r="I136" s="73"/>
      <c r="J136" s="72" t="s">
        <v>69</v>
      </c>
      <c r="K136" s="48">
        <f t="shared" si="4"/>
        <v>6279</v>
      </c>
      <c r="M136" s="12"/>
      <c r="O136" s="13"/>
    </row>
    <row r="137" spans="1:15" ht="15.75" hidden="1">
      <c r="A137" s="55" t="s">
        <v>21</v>
      </c>
      <c r="B137" s="89">
        <v>1152</v>
      </c>
      <c r="C137" s="73">
        <v>5185.8</v>
      </c>
      <c r="D137" s="88">
        <v>260.82</v>
      </c>
      <c r="E137" s="71">
        <v>72.43</v>
      </c>
      <c r="F137" s="64">
        <f>73.065+38.9</f>
        <v>111.965</v>
      </c>
      <c r="G137" s="71">
        <v>407</v>
      </c>
      <c r="H137" s="73">
        <v>92</v>
      </c>
      <c r="I137" s="73"/>
      <c r="J137" s="72" t="s">
        <v>69</v>
      </c>
      <c r="K137" s="48">
        <f t="shared" si="4"/>
        <v>7282.015</v>
      </c>
      <c r="M137" s="12"/>
      <c r="O137" s="13"/>
    </row>
    <row r="138" spans="1:15" ht="15.75" hidden="1">
      <c r="A138" s="55" t="s">
        <v>22</v>
      </c>
      <c r="B138" s="89">
        <v>2719</v>
      </c>
      <c r="C138" s="73">
        <v>4342</v>
      </c>
      <c r="D138" s="88">
        <v>463</v>
      </c>
      <c r="E138" s="71">
        <v>70</v>
      </c>
      <c r="F138" s="64">
        <f>63.435+31.2</f>
        <v>94.635</v>
      </c>
      <c r="G138" s="71">
        <v>241</v>
      </c>
      <c r="H138" s="73">
        <v>94</v>
      </c>
      <c r="I138" s="73"/>
      <c r="J138" s="72" t="s">
        <v>69</v>
      </c>
      <c r="K138" s="48">
        <f t="shared" si="4"/>
        <v>8023.635</v>
      </c>
      <c r="M138" s="12"/>
      <c r="O138" s="13"/>
    </row>
    <row r="139" spans="1:15" ht="15.75" hidden="1">
      <c r="A139" s="55" t="s">
        <v>23</v>
      </c>
      <c r="B139" s="89">
        <v>2805</v>
      </c>
      <c r="C139" s="73">
        <v>4240</v>
      </c>
      <c r="D139" s="88">
        <v>387</v>
      </c>
      <c r="E139" s="71">
        <v>89</v>
      </c>
      <c r="F139" s="64">
        <f>27+38</f>
        <v>65</v>
      </c>
      <c r="G139" s="71">
        <v>262</v>
      </c>
      <c r="H139" s="73">
        <v>91</v>
      </c>
      <c r="I139" s="73"/>
      <c r="J139" s="72" t="s">
        <v>69</v>
      </c>
      <c r="K139" s="48">
        <f t="shared" si="4"/>
        <v>7939</v>
      </c>
      <c r="M139" s="12"/>
      <c r="O139" s="13"/>
    </row>
    <row r="140" spans="1:15" ht="15.75" hidden="1">
      <c r="A140" s="55" t="s">
        <v>24</v>
      </c>
      <c r="B140" s="89">
        <v>3472</v>
      </c>
      <c r="C140" s="73">
        <v>4213</v>
      </c>
      <c r="D140" s="88">
        <v>286</v>
      </c>
      <c r="E140" s="71">
        <v>121</v>
      </c>
      <c r="F140" s="64">
        <f>58+22</f>
        <v>80</v>
      </c>
      <c r="G140" s="71">
        <v>342</v>
      </c>
      <c r="H140" s="73">
        <v>94</v>
      </c>
      <c r="I140" s="73"/>
      <c r="J140" s="72" t="s">
        <v>69</v>
      </c>
      <c r="K140" s="48">
        <f t="shared" si="4"/>
        <v>8608</v>
      </c>
      <c r="M140" s="12"/>
      <c r="O140" s="13"/>
    </row>
    <row r="141" spans="1:15" ht="15.75" hidden="1">
      <c r="A141" s="55" t="s">
        <v>25</v>
      </c>
      <c r="B141" s="89">
        <v>3118</v>
      </c>
      <c r="C141" s="73">
        <v>3843</v>
      </c>
      <c r="D141" s="88">
        <v>256</v>
      </c>
      <c r="E141" s="71">
        <v>104</v>
      </c>
      <c r="F141" s="64">
        <f>30+30</f>
        <v>60</v>
      </c>
      <c r="G141" s="71">
        <v>265</v>
      </c>
      <c r="H141" s="73" t="s">
        <v>39</v>
      </c>
      <c r="I141" s="73"/>
      <c r="J141" s="72" t="s">
        <v>69</v>
      </c>
      <c r="K141" s="48">
        <f t="shared" si="4"/>
        <v>7646</v>
      </c>
      <c r="M141" s="12"/>
      <c r="O141" s="13"/>
    </row>
    <row r="142" spans="1:15" ht="15.75" hidden="1">
      <c r="A142" s="55" t="s">
        <v>26</v>
      </c>
      <c r="B142" s="89">
        <v>3412</v>
      </c>
      <c r="C142" s="73">
        <v>3443</v>
      </c>
      <c r="D142" s="88">
        <v>256</v>
      </c>
      <c r="E142" s="71">
        <v>91</v>
      </c>
      <c r="F142" s="64">
        <f>43+42</f>
        <v>85</v>
      </c>
      <c r="G142" s="71">
        <v>357</v>
      </c>
      <c r="H142" s="73">
        <v>73</v>
      </c>
      <c r="I142" s="73"/>
      <c r="J142" s="72" t="s">
        <v>69</v>
      </c>
      <c r="K142" s="48">
        <f t="shared" si="4"/>
        <v>7717</v>
      </c>
      <c r="M142" s="12"/>
      <c r="O142" s="13"/>
    </row>
    <row r="143" spans="1:15" ht="15.75" hidden="1">
      <c r="A143" s="55"/>
      <c r="B143" s="90"/>
      <c r="C143" s="91"/>
      <c r="D143" s="92"/>
      <c r="E143" s="93"/>
      <c r="F143" s="94"/>
      <c r="G143" s="93"/>
      <c r="H143" s="91"/>
      <c r="I143" s="91"/>
      <c r="J143" s="72" t="s">
        <v>69</v>
      </c>
      <c r="K143" s="48">
        <f t="shared" si="4"/>
        <v>0</v>
      </c>
      <c r="M143" s="12"/>
      <c r="O143" s="13"/>
    </row>
    <row r="144" spans="1:15" ht="15.75" hidden="1">
      <c r="A144" s="49" t="s">
        <v>49</v>
      </c>
      <c r="B144" s="95">
        <f aca="true" t="shared" si="5" ref="B144:K144">SUM(B263:B274)</f>
        <v>48866.922000000006</v>
      </c>
      <c r="C144" s="96">
        <f t="shared" si="5"/>
        <v>49234.59999999999</v>
      </c>
      <c r="D144" s="96">
        <f t="shared" si="5"/>
        <v>5344.34</v>
      </c>
      <c r="E144" s="96">
        <f t="shared" si="5"/>
        <v>5058.960000000001</v>
      </c>
      <c r="F144" s="96">
        <f t="shared" si="5"/>
        <v>1379.7250000000001</v>
      </c>
      <c r="G144" s="96">
        <f t="shared" si="5"/>
        <v>5675.862999999999</v>
      </c>
      <c r="H144" s="96">
        <f t="shared" si="5"/>
        <v>1218.0479999999998</v>
      </c>
      <c r="I144" s="122">
        <v>0</v>
      </c>
      <c r="J144" s="96">
        <f t="shared" si="5"/>
        <v>4368.84</v>
      </c>
      <c r="K144" s="95">
        <f t="shared" si="5"/>
        <v>121147.29800000001</v>
      </c>
      <c r="M144" s="12"/>
      <c r="O144" s="13"/>
    </row>
    <row r="145" spans="1:15" ht="15.75" hidden="1">
      <c r="A145" s="49" t="s">
        <v>50</v>
      </c>
      <c r="B145" s="95">
        <f>SUM(B283:B294)</f>
        <v>42106.6589</v>
      </c>
      <c r="C145" s="95">
        <f aca="true" t="shared" si="6" ref="C145:K145">SUM(C283:C294)</f>
        <v>62709.899999999994</v>
      </c>
      <c r="D145" s="95">
        <f>SUM(D283:D294)</f>
        <v>4314.45</v>
      </c>
      <c r="E145" s="95">
        <f t="shared" si="6"/>
        <v>5200.840300000001</v>
      </c>
      <c r="F145" s="95">
        <f t="shared" si="6"/>
        <v>1546.07</v>
      </c>
      <c r="G145" s="95">
        <f t="shared" si="6"/>
        <v>6891.257</v>
      </c>
      <c r="H145" s="95">
        <f t="shared" si="6"/>
        <v>1725.6919999999998</v>
      </c>
      <c r="I145" s="122">
        <v>0</v>
      </c>
      <c r="J145" s="95">
        <f t="shared" si="6"/>
        <v>17536.313000000002</v>
      </c>
      <c r="K145" s="95">
        <f t="shared" si="6"/>
        <v>142031.1812</v>
      </c>
      <c r="M145" s="12"/>
      <c r="O145" s="13"/>
    </row>
    <row r="146" spans="1:15" ht="15.75" hidden="1">
      <c r="A146" s="49" t="s">
        <v>46</v>
      </c>
      <c r="B146" s="89"/>
      <c r="C146" s="73"/>
      <c r="D146" s="80"/>
      <c r="E146" s="71"/>
      <c r="F146" s="64"/>
      <c r="G146" s="71"/>
      <c r="H146" s="73"/>
      <c r="I146" s="73"/>
      <c r="J146" s="72"/>
      <c r="K146" s="48"/>
      <c r="M146" s="12"/>
      <c r="O146" s="13"/>
    </row>
    <row r="147" spans="1:15" ht="15.75" hidden="1">
      <c r="A147" s="55" t="s">
        <v>12</v>
      </c>
      <c r="B147" s="89">
        <v>11615</v>
      </c>
      <c r="C147" s="73">
        <v>7876</v>
      </c>
      <c r="D147" s="79" t="s">
        <v>39</v>
      </c>
      <c r="E147" s="79" t="s">
        <v>39</v>
      </c>
      <c r="F147" s="64">
        <v>172</v>
      </c>
      <c r="G147" s="71">
        <v>754</v>
      </c>
      <c r="H147" s="73">
        <v>222</v>
      </c>
      <c r="I147" s="73"/>
      <c r="J147" s="72"/>
      <c r="K147" s="48">
        <f>B147+C147+D147+E147+F147+G147+H147</f>
        <v>20639</v>
      </c>
      <c r="M147" s="12"/>
      <c r="O147" s="13"/>
    </row>
    <row r="148" spans="1:15" ht="15.75" hidden="1">
      <c r="A148" s="38" t="s">
        <v>37</v>
      </c>
      <c r="B148" s="89">
        <v>16035</v>
      </c>
      <c r="C148" s="73">
        <v>7307</v>
      </c>
      <c r="D148" s="79" t="s">
        <v>39</v>
      </c>
      <c r="E148" s="79" t="s">
        <v>39</v>
      </c>
      <c r="F148" s="64">
        <v>340.925</v>
      </c>
      <c r="G148" s="71">
        <v>1100.26</v>
      </c>
      <c r="H148" s="73">
        <v>252.5</v>
      </c>
      <c r="I148" s="73"/>
      <c r="J148" s="72"/>
      <c r="K148" s="48">
        <f>B148+C148+D148+E148+F148+G148+H148</f>
        <v>25035.684999999998</v>
      </c>
      <c r="M148" s="12"/>
      <c r="O148" s="13"/>
    </row>
    <row r="149" spans="1:15" ht="15.75" hidden="1">
      <c r="A149" s="55" t="s">
        <v>14</v>
      </c>
      <c r="B149" s="89">
        <v>10357.544</v>
      </c>
      <c r="C149" s="73">
        <v>9688.5</v>
      </c>
      <c r="D149" s="79" t="s">
        <v>39</v>
      </c>
      <c r="E149" s="79" t="s">
        <v>39</v>
      </c>
      <c r="F149" s="64">
        <v>108.945</v>
      </c>
      <c r="G149" s="71">
        <v>1142.171</v>
      </c>
      <c r="H149" s="73">
        <v>250.092</v>
      </c>
      <c r="I149" s="73"/>
      <c r="J149" s="72"/>
      <c r="K149" s="48">
        <v>21548</v>
      </c>
      <c r="M149" s="12"/>
      <c r="O149" s="13"/>
    </row>
    <row r="150" spans="1:15" ht="15.75" hidden="1">
      <c r="A150" s="55" t="s">
        <v>16</v>
      </c>
      <c r="B150" s="89">
        <v>13216</v>
      </c>
      <c r="C150" s="73">
        <v>10952</v>
      </c>
      <c r="D150" s="79" t="s">
        <v>39</v>
      </c>
      <c r="E150" s="79" t="s">
        <v>39</v>
      </c>
      <c r="F150" s="64">
        <v>207</v>
      </c>
      <c r="G150" s="71">
        <v>1482</v>
      </c>
      <c r="H150" s="73">
        <v>257</v>
      </c>
      <c r="I150" s="73"/>
      <c r="J150" s="72"/>
      <c r="K150" s="48">
        <f aca="true" t="shared" si="7" ref="K150:K165">B150+C150+D150+E150+F150+G150+H150</f>
        <v>26114</v>
      </c>
      <c r="M150" s="12"/>
      <c r="O150" s="13"/>
    </row>
    <row r="151" spans="1:15" ht="15.75" hidden="1">
      <c r="A151" s="55"/>
      <c r="B151" s="90"/>
      <c r="C151" s="91"/>
      <c r="D151" s="92"/>
      <c r="E151" s="93"/>
      <c r="F151" s="94"/>
      <c r="G151" s="93"/>
      <c r="H151" s="91"/>
      <c r="I151" s="91"/>
      <c r="J151" s="72"/>
      <c r="K151" s="48">
        <f t="shared" si="7"/>
        <v>0</v>
      </c>
      <c r="M151" s="12"/>
      <c r="O151" s="13"/>
    </row>
    <row r="152" spans="1:15" ht="15.75" hidden="1">
      <c r="A152" s="49"/>
      <c r="B152" s="89"/>
      <c r="C152" s="73"/>
      <c r="D152" s="88"/>
      <c r="E152" s="71"/>
      <c r="F152" s="64"/>
      <c r="G152" s="71"/>
      <c r="H152" s="73"/>
      <c r="I152" s="73"/>
      <c r="J152" s="72"/>
      <c r="K152" s="48">
        <f t="shared" si="7"/>
        <v>0</v>
      </c>
      <c r="M152" s="12"/>
      <c r="O152" s="13"/>
    </row>
    <row r="153" spans="1:15" ht="15.75" hidden="1">
      <c r="A153" s="55" t="s">
        <v>27</v>
      </c>
      <c r="B153" s="89">
        <v>3609.432</v>
      </c>
      <c r="C153" s="73">
        <v>3713.6</v>
      </c>
      <c r="D153" s="88">
        <v>226.635</v>
      </c>
      <c r="E153" s="71">
        <v>94.8105</v>
      </c>
      <c r="F153" s="64">
        <f>130.686+24.6</f>
        <v>155.286</v>
      </c>
      <c r="G153" s="71">
        <v>344.593</v>
      </c>
      <c r="H153" s="73">
        <v>28.308</v>
      </c>
      <c r="I153" s="73"/>
      <c r="J153" s="72"/>
      <c r="K153" s="48">
        <f t="shared" si="7"/>
        <v>8172.664499999999</v>
      </c>
      <c r="M153" s="12"/>
      <c r="O153" s="13"/>
    </row>
    <row r="154" spans="1:15" ht="15.75" hidden="1">
      <c r="A154" s="55" t="s">
        <v>28</v>
      </c>
      <c r="B154" s="89">
        <v>3292.596</v>
      </c>
      <c r="C154" s="73">
        <v>3576.9</v>
      </c>
      <c r="D154" s="88">
        <v>1.82</v>
      </c>
      <c r="E154" s="71">
        <v>85.263</v>
      </c>
      <c r="F154" s="64">
        <f>77.235+24.8</f>
        <v>102.035</v>
      </c>
      <c r="G154" s="71">
        <v>369.127</v>
      </c>
      <c r="H154" s="73">
        <v>70.44</v>
      </c>
      <c r="I154" s="73"/>
      <c r="J154" s="72"/>
      <c r="K154" s="48">
        <f t="shared" si="7"/>
        <v>7498.181</v>
      </c>
      <c r="M154" s="12"/>
      <c r="O154" s="13"/>
    </row>
    <row r="155" spans="1:15" ht="15.75" hidden="1">
      <c r="A155" s="55" t="s">
        <v>29</v>
      </c>
      <c r="B155" s="89">
        <v>3441</v>
      </c>
      <c r="C155" s="73">
        <v>3589</v>
      </c>
      <c r="D155" s="80" t="s">
        <v>39</v>
      </c>
      <c r="E155" s="71">
        <v>93</v>
      </c>
      <c r="F155" s="64">
        <f>79+48</f>
        <v>127</v>
      </c>
      <c r="G155" s="71">
        <v>353</v>
      </c>
      <c r="H155" s="73">
        <v>84</v>
      </c>
      <c r="I155" s="73"/>
      <c r="J155" s="72"/>
      <c r="K155" s="48">
        <f t="shared" si="7"/>
        <v>7687</v>
      </c>
      <c r="M155" s="12"/>
      <c r="O155" s="13"/>
    </row>
    <row r="156" spans="1:15" ht="15.75" hidden="1">
      <c r="A156" s="55" t="s">
        <v>19</v>
      </c>
      <c r="B156" s="89">
        <v>5271</v>
      </c>
      <c r="C156" s="73">
        <v>3660</v>
      </c>
      <c r="D156" s="80" t="s">
        <v>39</v>
      </c>
      <c r="E156" s="71">
        <v>70</v>
      </c>
      <c r="F156" s="64">
        <f>157.65+26.3</f>
        <v>183.95000000000002</v>
      </c>
      <c r="G156" s="71">
        <v>423</v>
      </c>
      <c r="H156" s="73">
        <v>81</v>
      </c>
      <c r="I156" s="73"/>
      <c r="J156" s="72"/>
      <c r="K156" s="48">
        <f t="shared" si="7"/>
        <v>9688.95</v>
      </c>
      <c r="M156" s="12"/>
      <c r="O156" s="13"/>
    </row>
    <row r="157" spans="1:15" ht="15.75" hidden="1">
      <c r="A157" s="49" t="s">
        <v>40</v>
      </c>
      <c r="B157" s="89"/>
      <c r="C157" s="73"/>
      <c r="D157" s="80"/>
      <c r="E157" s="71"/>
      <c r="F157" s="64"/>
      <c r="G157" s="71"/>
      <c r="H157" s="73"/>
      <c r="I157" s="73"/>
      <c r="J157" s="72"/>
      <c r="K157" s="48">
        <f t="shared" si="7"/>
        <v>0</v>
      </c>
      <c r="M157" s="12"/>
      <c r="O157" s="13"/>
    </row>
    <row r="158" spans="1:15" ht="15.75" hidden="1">
      <c r="A158" s="55" t="s">
        <v>20</v>
      </c>
      <c r="B158" s="89">
        <v>4087</v>
      </c>
      <c r="C158" s="73">
        <v>3920</v>
      </c>
      <c r="D158" s="80" t="s">
        <v>39</v>
      </c>
      <c r="E158" s="71">
        <v>92</v>
      </c>
      <c r="F158" s="64">
        <f>162+45</f>
        <v>207</v>
      </c>
      <c r="G158" s="71">
        <v>388</v>
      </c>
      <c r="H158" s="73">
        <v>100</v>
      </c>
      <c r="I158" s="73"/>
      <c r="J158" s="72"/>
      <c r="K158" s="48">
        <f t="shared" si="7"/>
        <v>8794</v>
      </c>
      <c r="M158" s="12"/>
      <c r="O158" s="13"/>
    </row>
    <row r="159" spans="1:15" ht="15.75" hidden="1">
      <c r="A159" s="55" t="s">
        <v>30</v>
      </c>
      <c r="B159" s="89">
        <v>2721.276</v>
      </c>
      <c r="C159" s="73">
        <v>3500.2</v>
      </c>
      <c r="D159" s="80" t="s">
        <v>39</v>
      </c>
      <c r="E159" s="71">
        <v>78.192</v>
      </c>
      <c r="F159" s="64">
        <f>106.275+37.5</f>
        <v>143.775</v>
      </c>
      <c r="G159" s="71">
        <v>356.541</v>
      </c>
      <c r="H159" s="73">
        <v>118.86</v>
      </c>
      <c r="I159" s="73"/>
      <c r="J159" s="72"/>
      <c r="K159" s="48">
        <f t="shared" si="7"/>
        <v>6918.843999999999</v>
      </c>
      <c r="M159" s="12"/>
      <c r="O159" s="13"/>
    </row>
    <row r="160" spans="1:15" ht="15.75" hidden="1">
      <c r="A160" s="55" t="s">
        <v>21</v>
      </c>
      <c r="B160" s="89">
        <v>2340.792</v>
      </c>
      <c r="C160" s="73">
        <v>4269.1</v>
      </c>
      <c r="D160" s="80" t="s">
        <v>39</v>
      </c>
      <c r="E160" s="71">
        <v>56.877</v>
      </c>
      <c r="F160" s="64">
        <f>78.885+30.8</f>
        <v>109.685</v>
      </c>
      <c r="G160" s="71">
        <v>243.247</v>
      </c>
      <c r="H160" s="73">
        <v>81.288</v>
      </c>
      <c r="I160" s="73"/>
      <c r="J160" s="72"/>
      <c r="K160" s="48">
        <f t="shared" si="7"/>
        <v>7100.9890000000005</v>
      </c>
      <c r="M160" s="20"/>
      <c r="O160" s="13"/>
    </row>
    <row r="161" spans="1:15" ht="15.75" hidden="1">
      <c r="A161" s="55" t="s">
        <v>22</v>
      </c>
      <c r="B161" s="89">
        <v>2114.496</v>
      </c>
      <c r="C161" s="73">
        <v>4292.6</v>
      </c>
      <c r="D161" s="80">
        <v>165.735</v>
      </c>
      <c r="E161" s="71">
        <v>82.041</v>
      </c>
      <c r="F161" s="64">
        <f>57.255+42</f>
        <v>99.255</v>
      </c>
      <c r="G161" s="71">
        <v>198.527</v>
      </c>
      <c r="H161" s="73">
        <v>85.848</v>
      </c>
      <c r="I161" s="73"/>
      <c r="J161" s="72"/>
      <c r="K161" s="48">
        <f t="shared" si="7"/>
        <v>7038.502</v>
      </c>
      <c r="M161" s="12"/>
      <c r="O161" s="13"/>
    </row>
    <row r="162" spans="1:15" ht="15.75" hidden="1">
      <c r="A162" s="55" t="s">
        <v>23</v>
      </c>
      <c r="B162" s="89">
        <v>2878.272</v>
      </c>
      <c r="C162" s="73">
        <v>3689.9</v>
      </c>
      <c r="D162" s="80">
        <v>119.781</v>
      </c>
      <c r="E162" s="71">
        <v>79.3425</v>
      </c>
      <c r="F162" s="64">
        <v>97</v>
      </c>
      <c r="G162" s="71">
        <v>200.565</v>
      </c>
      <c r="H162" s="73">
        <v>60.252</v>
      </c>
      <c r="I162" s="73"/>
      <c r="J162" s="72"/>
      <c r="K162" s="48">
        <f t="shared" si="7"/>
        <v>7125.1125</v>
      </c>
      <c r="M162" s="12"/>
      <c r="N162" s="12"/>
      <c r="O162" s="13"/>
    </row>
    <row r="163" spans="1:15" ht="15.75" hidden="1">
      <c r="A163" s="55" t="s">
        <v>24</v>
      </c>
      <c r="B163" s="89">
        <v>2479.896</v>
      </c>
      <c r="C163" s="73">
        <v>3337.3</v>
      </c>
      <c r="D163" s="80">
        <v>241.662</v>
      </c>
      <c r="E163" s="71">
        <v>76.5975</v>
      </c>
      <c r="F163" s="64">
        <f>25.44+4</f>
        <v>29.44</v>
      </c>
      <c r="G163" s="71">
        <v>286.987</v>
      </c>
      <c r="H163" s="73">
        <v>1.008</v>
      </c>
      <c r="I163" s="73"/>
      <c r="J163" s="72"/>
      <c r="K163" s="48">
        <f t="shared" si="7"/>
        <v>6452.8904999999995</v>
      </c>
      <c r="M163" s="12"/>
      <c r="N163" s="12"/>
      <c r="O163" s="13"/>
    </row>
    <row r="164" spans="1:15" ht="15.75" hidden="1">
      <c r="A164" s="55" t="s">
        <v>25</v>
      </c>
      <c r="B164" s="89">
        <v>3121.488</v>
      </c>
      <c r="C164" s="73">
        <v>3128.7</v>
      </c>
      <c r="D164" s="80">
        <v>193.594</v>
      </c>
      <c r="E164" s="71">
        <v>88.65</v>
      </c>
      <c r="F164" s="64">
        <f>21.285+0.992</f>
        <v>22.277</v>
      </c>
      <c r="G164" s="71">
        <v>349.019</v>
      </c>
      <c r="H164" s="73">
        <v>10.356</v>
      </c>
      <c r="I164" s="73"/>
      <c r="J164" s="72"/>
      <c r="K164" s="48">
        <f t="shared" si="7"/>
        <v>6914.084</v>
      </c>
      <c r="M164" s="12"/>
      <c r="O164" s="13"/>
    </row>
    <row r="165" spans="1:15" ht="15.75" hidden="1">
      <c r="A165" s="55" t="s">
        <v>26</v>
      </c>
      <c r="B165" s="89">
        <v>4284.792</v>
      </c>
      <c r="C165" s="73">
        <v>3196</v>
      </c>
      <c r="D165" s="80">
        <v>255.63</v>
      </c>
      <c r="E165" s="71">
        <v>69.895</v>
      </c>
      <c r="F165" s="64">
        <f>26.4+20.016</f>
        <v>46.416</v>
      </c>
      <c r="G165" s="71">
        <v>333.227</v>
      </c>
      <c r="H165" s="73">
        <v>0.703</v>
      </c>
      <c r="I165" s="73"/>
      <c r="J165" s="72"/>
      <c r="K165" s="48">
        <f t="shared" si="7"/>
        <v>8186.663000000001</v>
      </c>
      <c r="M165" s="12"/>
      <c r="O165" s="13"/>
    </row>
    <row r="166" spans="1:15" ht="15.75" hidden="1">
      <c r="A166" s="55"/>
      <c r="B166" s="89"/>
      <c r="C166" s="73"/>
      <c r="D166" s="80"/>
      <c r="E166" s="71"/>
      <c r="F166" s="64"/>
      <c r="G166" s="71"/>
      <c r="H166" s="73"/>
      <c r="I166" s="73"/>
      <c r="J166" s="72"/>
      <c r="K166" s="48"/>
      <c r="M166" s="12"/>
      <c r="O166" s="13"/>
    </row>
    <row r="167" spans="1:15" ht="15.75" hidden="1">
      <c r="A167" s="49" t="s">
        <v>47</v>
      </c>
      <c r="B167" s="89"/>
      <c r="C167" s="73"/>
      <c r="D167" s="80"/>
      <c r="E167" s="71"/>
      <c r="F167" s="64"/>
      <c r="G167" s="71"/>
      <c r="H167" s="73"/>
      <c r="I167" s="73"/>
      <c r="J167" s="72"/>
      <c r="K167" s="48"/>
      <c r="M167" s="12"/>
      <c r="O167" s="13"/>
    </row>
    <row r="168" spans="1:15" ht="15.75" hidden="1">
      <c r="A168" s="55" t="s">
        <v>12</v>
      </c>
      <c r="B168" s="89">
        <v>14832.468</v>
      </c>
      <c r="C168" s="73">
        <v>19994.6</v>
      </c>
      <c r="D168" s="79" t="s">
        <v>39</v>
      </c>
      <c r="E168" s="79" t="s">
        <v>39</v>
      </c>
      <c r="F168" s="64">
        <v>487</v>
      </c>
      <c r="G168" s="71">
        <v>869.361</v>
      </c>
      <c r="H168" s="73">
        <v>257.524</v>
      </c>
      <c r="I168" s="73"/>
      <c r="J168" s="72" t="s">
        <v>69</v>
      </c>
      <c r="K168" s="48">
        <f>B168+C168+D168+E168+F168+G168+H168</f>
        <v>36440.952999999994</v>
      </c>
      <c r="L168" s="16"/>
      <c r="M168" s="12"/>
      <c r="O168" s="13"/>
    </row>
    <row r="169" spans="1:15" ht="15.75" hidden="1">
      <c r="A169" s="38" t="s">
        <v>37</v>
      </c>
      <c r="B169" s="89">
        <v>13688</v>
      </c>
      <c r="C169" s="73">
        <v>14111</v>
      </c>
      <c r="D169" s="79" t="s">
        <v>39</v>
      </c>
      <c r="E169" s="79" t="s">
        <v>39</v>
      </c>
      <c r="F169" s="64">
        <v>415</v>
      </c>
      <c r="G169" s="71">
        <v>1482</v>
      </c>
      <c r="H169" s="73">
        <v>252</v>
      </c>
      <c r="I169" s="73"/>
      <c r="J169" s="72" t="s">
        <v>69</v>
      </c>
      <c r="K169" s="48">
        <f>B169+C169+D169+E169+F169+G169+H169</f>
        <v>29948</v>
      </c>
      <c r="M169" s="12"/>
      <c r="O169" s="13"/>
    </row>
    <row r="170" spans="1:15" ht="15.75" hidden="1">
      <c r="A170" s="55" t="s">
        <v>14</v>
      </c>
      <c r="B170" s="89">
        <v>9695.34</v>
      </c>
      <c r="C170" s="73">
        <v>15517.3</v>
      </c>
      <c r="D170" s="79">
        <v>1156.1</v>
      </c>
      <c r="E170" s="79">
        <v>635.37</v>
      </c>
      <c r="F170" s="64">
        <v>210</v>
      </c>
      <c r="G170" s="71">
        <v>1065.612</v>
      </c>
      <c r="H170" s="73">
        <v>74</v>
      </c>
      <c r="I170" s="73"/>
      <c r="J170" s="72" t="s">
        <v>69</v>
      </c>
      <c r="K170" s="48">
        <f>B170+C170+D170+E170+F170+G170+H170</f>
        <v>28353.721999999998</v>
      </c>
      <c r="M170" s="12"/>
      <c r="O170" s="13"/>
    </row>
    <row r="171" spans="1:15" ht="15.75" hidden="1">
      <c r="A171" s="55" t="s">
        <v>16</v>
      </c>
      <c r="B171" s="89">
        <v>9136</v>
      </c>
      <c r="C171" s="73">
        <v>10255</v>
      </c>
      <c r="D171" s="80">
        <v>1396</v>
      </c>
      <c r="E171" s="79">
        <v>969</v>
      </c>
      <c r="F171" s="64">
        <v>189</v>
      </c>
      <c r="G171" s="71">
        <v>764</v>
      </c>
      <c r="H171" s="73">
        <v>7</v>
      </c>
      <c r="I171" s="73"/>
      <c r="J171" s="72" t="s">
        <v>69</v>
      </c>
      <c r="K171" s="48">
        <f>B171+C171+D171+E171+F171+G171+H171</f>
        <v>22716</v>
      </c>
      <c r="M171" s="12"/>
      <c r="O171" s="13"/>
    </row>
    <row r="172" spans="1:15" ht="15.75" hidden="1">
      <c r="A172" s="49" t="s">
        <v>51</v>
      </c>
      <c r="B172" s="95">
        <f>B257+B258+B259+B260</f>
        <v>46575.63250000001</v>
      </c>
      <c r="C172" s="95">
        <f aca="true" t="shared" si="8" ref="C172:K172">C257+C258+C259+C260</f>
        <v>57543.7</v>
      </c>
      <c r="D172" s="95">
        <f t="shared" si="8"/>
        <v>4996.477</v>
      </c>
      <c r="E172" s="96">
        <f t="shared" si="8"/>
        <v>5140.389999999999</v>
      </c>
      <c r="F172" s="95">
        <f t="shared" si="8"/>
        <v>1411.845</v>
      </c>
      <c r="G172" s="95">
        <f t="shared" si="8"/>
        <v>11101.201472</v>
      </c>
      <c r="H172" s="95">
        <f t="shared" si="8"/>
        <v>1476.48</v>
      </c>
      <c r="I172" s="122">
        <v>0</v>
      </c>
      <c r="J172" s="95">
        <f t="shared" si="8"/>
        <v>12904.805</v>
      </c>
      <c r="K172" s="95">
        <f t="shared" si="8"/>
        <v>141150.530972</v>
      </c>
      <c r="M172" s="12"/>
      <c r="O172" s="13"/>
    </row>
    <row r="173" spans="1:15" ht="15.75" hidden="1">
      <c r="A173" s="49" t="s">
        <v>52</v>
      </c>
      <c r="B173" s="89"/>
      <c r="C173" s="73"/>
      <c r="D173" s="80"/>
      <c r="E173" s="79"/>
      <c r="F173" s="64"/>
      <c r="G173" s="71"/>
      <c r="H173" s="73"/>
      <c r="I173" s="73"/>
      <c r="J173" s="72"/>
      <c r="K173" s="48"/>
      <c r="M173" s="12"/>
      <c r="O173" s="13"/>
    </row>
    <row r="174" spans="1:15" ht="15.75" hidden="1">
      <c r="A174" s="49" t="s">
        <v>53</v>
      </c>
      <c r="B174" s="97">
        <v>12851.532</v>
      </c>
      <c r="C174" s="73">
        <v>7360.524</v>
      </c>
      <c r="D174" s="80">
        <v>1387</v>
      </c>
      <c r="E174" s="79">
        <v>1368.48</v>
      </c>
      <c r="F174" s="64">
        <v>376.703</v>
      </c>
      <c r="G174" s="71">
        <v>791.876</v>
      </c>
      <c r="H174" s="73">
        <v>125.668</v>
      </c>
      <c r="I174" s="73"/>
      <c r="J174" s="72" t="s">
        <v>69</v>
      </c>
      <c r="K174" s="48">
        <f>B174+C174+D174+E174+F174+G174+H174</f>
        <v>24261.783000000003</v>
      </c>
      <c r="M174" s="12"/>
      <c r="O174" s="13"/>
    </row>
    <row r="175" spans="1:15" ht="15.75" hidden="1">
      <c r="A175" s="49" t="s">
        <v>54</v>
      </c>
      <c r="B175" s="97">
        <v>11587.996</v>
      </c>
      <c r="C175" s="73">
        <v>13030</v>
      </c>
      <c r="D175" s="80">
        <v>703.69</v>
      </c>
      <c r="E175" s="79">
        <v>1053.4</v>
      </c>
      <c r="F175" s="64">
        <v>362.409</v>
      </c>
      <c r="G175" s="71">
        <v>989.6680000000001</v>
      </c>
      <c r="H175" s="73">
        <v>260.01</v>
      </c>
      <c r="I175" s="73"/>
      <c r="J175" s="72" t="s">
        <v>69</v>
      </c>
      <c r="K175" s="48">
        <f>B175+C175+D175+E175+F175+G175+H175</f>
        <v>27987.173</v>
      </c>
      <c r="M175" s="12"/>
      <c r="O175" s="13"/>
    </row>
    <row r="176" spans="1:15" ht="15.75" hidden="1">
      <c r="A176" s="49" t="s">
        <v>55</v>
      </c>
      <c r="B176" s="81">
        <v>7733.052</v>
      </c>
      <c r="C176" s="73">
        <v>19376.4</v>
      </c>
      <c r="D176" s="80">
        <v>920.25</v>
      </c>
      <c r="E176" s="79">
        <v>835.9</v>
      </c>
      <c r="F176" s="64">
        <v>129.8</v>
      </c>
      <c r="G176" s="71">
        <v>900.7890000000001</v>
      </c>
      <c r="H176" s="73">
        <v>254.61599999999999</v>
      </c>
      <c r="I176" s="73"/>
      <c r="J176" s="72" t="s">
        <v>69</v>
      </c>
      <c r="K176" s="48">
        <f>B176+C176+D176+E176+F176+G176+H176</f>
        <v>30150.807</v>
      </c>
      <c r="M176" s="12"/>
      <c r="O176" s="13"/>
    </row>
    <row r="177" spans="1:15" ht="15.75" hidden="1">
      <c r="A177" s="49" t="s">
        <v>56</v>
      </c>
      <c r="B177" s="89">
        <v>10198.692000000001</v>
      </c>
      <c r="C177" s="73">
        <v>15559.8</v>
      </c>
      <c r="D177" s="80">
        <v>1242.86</v>
      </c>
      <c r="E177" s="79">
        <v>1023.02</v>
      </c>
      <c r="F177" s="64">
        <v>156.855</v>
      </c>
      <c r="G177" s="71">
        <v>966.2139999999999</v>
      </c>
      <c r="H177" s="73">
        <v>241.08</v>
      </c>
      <c r="I177" s="73"/>
      <c r="J177" s="72" t="s">
        <v>69</v>
      </c>
      <c r="K177" s="48">
        <f>B177+C177+D177+E177+F177+G177+H177</f>
        <v>29388.521</v>
      </c>
      <c r="M177" s="12"/>
      <c r="O177" s="13"/>
    </row>
    <row r="178" spans="1:15" ht="15.75" hidden="1">
      <c r="A178" s="49" t="s">
        <v>57</v>
      </c>
      <c r="B178" s="89">
        <f>SUM(B174:B177)</f>
        <v>42371.272</v>
      </c>
      <c r="C178" s="73"/>
      <c r="D178" s="80"/>
      <c r="E178" s="71"/>
      <c r="F178" s="64"/>
      <c r="G178" s="71"/>
      <c r="H178" s="73"/>
      <c r="I178" s="73"/>
      <c r="J178" s="72" t="s">
        <v>69</v>
      </c>
      <c r="K178" s="48"/>
      <c r="M178" s="12"/>
      <c r="O178" s="13"/>
    </row>
    <row r="179" spans="1:15" ht="15.75" hidden="1">
      <c r="A179" s="49" t="s">
        <v>58</v>
      </c>
      <c r="B179" s="98"/>
      <c r="C179" s="98"/>
      <c r="D179" s="98"/>
      <c r="E179" s="98"/>
      <c r="F179" s="98"/>
      <c r="G179" s="98"/>
      <c r="H179" s="98"/>
      <c r="I179" s="98"/>
      <c r="J179" s="72" t="s">
        <v>69</v>
      </c>
      <c r="K179" s="48"/>
      <c r="M179" s="12"/>
      <c r="O179" s="13"/>
    </row>
    <row r="180" spans="1:15" ht="15.75" hidden="1">
      <c r="A180" s="49" t="s">
        <v>59</v>
      </c>
      <c r="B180" s="98"/>
      <c r="C180" s="98"/>
      <c r="D180" s="98"/>
      <c r="E180" s="98"/>
      <c r="F180" s="98"/>
      <c r="G180" s="98"/>
      <c r="H180" s="98"/>
      <c r="I180" s="98"/>
      <c r="J180" s="72" t="s">
        <v>69</v>
      </c>
      <c r="K180" s="48"/>
      <c r="M180" s="12"/>
      <c r="O180" s="13"/>
    </row>
    <row r="181" spans="1:15" ht="15.75" hidden="1">
      <c r="A181" s="49" t="s">
        <v>60</v>
      </c>
      <c r="B181" s="90"/>
      <c r="C181" s="91"/>
      <c r="D181" s="99"/>
      <c r="E181" s="93"/>
      <c r="F181" s="94"/>
      <c r="G181" s="93"/>
      <c r="H181" s="91"/>
      <c r="I181" s="91"/>
      <c r="J181" s="72" t="s">
        <v>69</v>
      </c>
      <c r="K181" s="48"/>
      <c r="M181" s="12"/>
      <c r="O181" s="13"/>
    </row>
    <row r="182" spans="1:15" ht="15.75" hidden="1">
      <c r="A182" s="49" t="s">
        <v>61</v>
      </c>
      <c r="B182" s="89"/>
      <c r="C182" s="73"/>
      <c r="D182" s="80"/>
      <c r="E182" s="71"/>
      <c r="F182" s="64"/>
      <c r="G182" s="71"/>
      <c r="H182" s="73"/>
      <c r="I182" s="73"/>
      <c r="J182" s="72" t="s">
        <v>69</v>
      </c>
      <c r="K182" s="48"/>
      <c r="M182" s="12"/>
      <c r="O182" s="13"/>
    </row>
    <row r="183" spans="1:15" ht="15.75" hidden="1">
      <c r="A183" s="49" t="s">
        <v>62</v>
      </c>
      <c r="B183" s="89"/>
      <c r="C183" s="73"/>
      <c r="D183" s="80"/>
      <c r="E183" s="71"/>
      <c r="F183" s="64"/>
      <c r="G183" s="71"/>
      <c r="H183" s="73"/>
      <c r="I183" s="73"/>
      <c r="J183" s="72" t="s">
        <v>69</v>
      </c>
      <c r="K183" s="48"/>
      <c r="M183" s="12"/>
      <c r="O183" s="13"/>
    </row>
    <row r="184" spans="1:15" ht="15.75" hidden="1">
      <c r="A184" s="49" t="s">
        <v>63</v>
      </c>
      <c r="B184" s="89">
        <v>4784</v>
      </c>
      <c r="C184" s="73">
        <v>3198</v>
      </c>
      <c r="D184" s="80">
        <v>241</v>
      </c>
      <c r="E184" s="71">
        <v>74</v>
      </c>
      <c r="F184" s="64">
        <f>63+49</f>
        <v>112</v>
      </c>
      <c r="G184" s="71">
        <v>333</v>
      </c>
      <c r="H184" s="73">
        <v>13</v>
      </c>
      <c r="I184" s="73"/>
      <c r="J184" s="72" t="s">
        <v>69</v>
      </c>
      <c r="K184" s="48">
        <f aca="true" t="shared" si="9" ref="K184:K195">B184+C184+D184+E184+F184+G184+H184</f>
        <v>8755</v>
      </c>
      <c r="M184" s="12"/>
      <c r="O184" s="13"/>
    </row>
    <row r="185" spans="1:15" ht="15.75" hidden="1">
      <c r="A185" s="49" t="s">
        <v>64</v>
      </c>
      <c r="B185" s="89">
        <v>3930.552</v>
      </c>
      <c r="C185" s="73">
        <v>4070.9</v>
      </c>
      <c r="D185" s="80">
        <v>233.895</v>
      </c>
      <c r="E185" s="71">
        <v>107.3865</v>
      </c>
      <c r="F185" s="64">
        <f>50.835+53.91</f>
        <v>104.745</v>
      </c>
      <c r="G185" s="71">
        <v>303.203</v>
      </c>
      <c r="H185" s="73">
        <v>32.264</v>
      </c>
      <c r="I185" s="73"/>
      <c r="J185" s="72" t="s">
        <v>69</v>
      </c>
      <c r="K185" s="48">
        <f t="shared" si="9"/>
        <v>8782.9455</v>
      </c>
      <c r="M185" s="12"/>
      <c r="O185" s="13"/>
    </row>
    <row r="186" spans="1:15" ht="15.75" hidden="1">
      <c r="A186" s="49" t="s">
        <v>65</v>
      </c>
      <c r="B186" s="89">
        <v>4528.44</v>
      </c>
      <c r="C186" s="73">
        <v>4266</v>
      </c>
      <c r="D186" s="80">
        <v>231.795</v>
      </c>
      <c r="E186" s="71">
        <v>90.0915</v>
      </c>
      <c r="F186" s="64">
        <f>33.415+67.1</f>
        <v>100.51499999999999</v>
      </c>
      <c r="G186" s="71">
        <v>253.66</v>
      </c>
      <c r="H186" s="73">
        <v>38.16</v>
      </c>
      <c r="I186" s="73"/>
      <c r="J186" s="72" t="s">
        <v>69</v>
      </c>
      <c r="K186" s="48">
        <f t="shared" si="9"/>
        <v>9508.661499999998</v>
      </c>
      <c r="M186" s="12"/>
      <c r="O186" s="13"/>
    </row>
    <row r="187" spans="1:15" ht="15.75" hidden="1">
      <c r="A187" s="49" t="s">
        <v>66</v>
      </c>
      <c r="B187" s="89">
        <v>4202.928</v>
      </c>
      <c r="C187" s="73">
        <v>4022.9</v>
      </c>
      <c r="D187" s="80">
        <v>222.3</v>
      </c>
      <c r="E187" s="71">
        <v>113.9505</v>
      </c>
      <c r="F187" s="64">
        <f>50.46+68.2</f>
        <v>118.66</v>
      </c>
      <c r="G187" s="71">
        <v>295.393</v>
      </c>
      <c r="H187" s="73">
        <v>39.54</v>
      </c>
      <c r="I187" s="73"/>
      <c r="J187" s="72" t="s">
        <v>69</v>
      </c>
      <c r="K187" s="48">
        <f t="shared" si="9"/>
        <v>9015.6715</v>
      </c>
      <c r="M187" s="12"/>
      <c r="O187" s="13"/>
    </row>
    <row r="188" spans="1:15" ht="15.75" hidden="1">
      <c r="A188" s="49" t="s">
        <v>80</v>
      </c>
      <c r="B188" s="89">
        <v>4244.724</v>
      </c>
      <c r="C188" s="73">
        <v>4252.9</v>
      </c>
      <c r="D188" s="80">
        <v>232.05</v>
      </c>
      <c r="E188" s="71">
        <v>84.9</v>
      </c>
      <c r="F188" s="64">
        <f>123.27+82.8</f>
        <v>206.07</v>
      </c>
      <c r="G188" s="71">
        <v>307.43</v>
      </c>
      <c r="H188" s="73">
        <v>49.008</v>
      </c>
      <c r="I188" s="73"/>
      <c r="J188" s="72" t="s">
        <v>69</v>
      </c>
      <c r="K188" s="48">
        <f t="shared" si="9"/>
        <v>9377.081999999999</v>
      </c>
      <c r="M188" s="12"/>
      <c r="O188" s="13"/>
    </row>
    <row r="189" spans="1:39" ht="15.75" hidden="1">
      <c r="A189" s="49" t="s">
        <v>81</v>
      </c>
      <c r="B189" s="89">
        <v>3356.532</v>
      </c>
      <c r="C189" s="73">
        <v>4796.9</v>
      </c>
      <c r="D189" s="80">
        <v>377.025</v>
      </c>
      <c r="E189" s="71">
        <v>81.3</v>
      </c>
      <c r="F189" s="64">
        <f>111.03+45.2</f>
        <v>156.23000000000002</v>
      </c>
      <c r="G189" s="71">
        <v>286.488</v>
      </c>
      <c r="H189" s="73">
        <v>59.868</v>
      </c>
      <c r="I189" s="73"/>
      <c r="J189" s="72" t="s">
        <v>69</v>
      </c>
      <c r="K189" s="48">
        <f t="shared" si="9"/>
        <v>9114.342999999999</v>
      </c>
      <c r="M189" s="12"/>
      <c r="N189" s="16"/>
      <c r="O189" s="13"/>
      <c r="AM189" s="12">
        <f>9114*100/8688</f>
        <v>104.90331491712708</v>
      </c>
    </row>
    <row r="190" spans="1:15" ht="15.75" hidden="1">
      <c r="A190" s="49" t="s">
        <v>82</v>
      </c>
      <c r="B190" s="89">
        <v>2771.028</v>
      </c>
      <c r="C190" s="73">
        <v>4750.1</v>
      </c>
      <c r="D190" s="80">
        <v>289.45</v>
      </c>
      <c r="E190" s="71">
        <v>56.727</v>
      </c>
      <c r="F190" s="64">
        <f>68.895+43.1</f>
        <v>111.995</v>
      </c>
      <c r="G190" s="71">
        <v>196.017</v>
      </c>
      <c r="H190" s="73">
        <v>82.968</v>
      </c>
      <c r="I190" s="73"/>
      <c r="J190" s="72" t="s">
        <v>69</v>
      </c>
      <c r="K190" s="48">
        <f t="shared" si="9"/>
        <v>8258.285</v>
      </c>
      <c r="M190" s="12"/>
      <c r="N190" s="16"/>
      <c r="O190" s="13"/>
    </row>
    <row r="191" spans="1:15" ht="15.75" hidden="1">
      <c r="A191" s="49" t="s">
        <v>83</v>
      </c>
      <c r="B191" s="89">
        <v>2777</v>
      </c>
      <c r="C191" s="73">
        <v>4391.9</v>
      </c>
      <c r="D191" s="80">
        <v>253.88</v>
      </c>
      <c r="E191" s="71">
        <v>75.5775</v>
      </c>
      <c r="F191" s="64">
        <f>44.82+43.2</f>
        <v>88.02000000000001</v>
      </c>
      <c r="G191" s="71">
        <v>298.182</v>
      </c>
      <c r="H191" s="73">
        <v>77.328</v>
      </c>
      <c r="I191" s="73"/>
      <c r="J191" s="72" t="s">
        <v>69</v>
      </c>
      <c r="K191" s="48">
        <f t="shared" si="9"/>
        <v>7961.887500000001</v>
      </c>
      <c r="M191" s="12"/>
      <c r="O191" s="13"/>
    </row>
    <row r="192" spans="1:15" ht="15.75" hidden="1">
      <c r="A192" s="49" t="s">
        <v>84</v>
      </c>
      <c r="B192" s="89">
        <v>2007.324</v>
      </c>
      <c r="C192" s="73">
        <v>4128.7</v>
      </c>
      <c r="D192" s="80" t="s">
        <v>39</v>
      </c>
      <c r="E192" s="71">
        <v>87.473</v>
      </c>
      <c r="F192" s="64">
        <f>32.97+39.1</f>
        <v>72.07</v>
      </c>
      <c r="G192" s="71">
        <v>322.92</v>
      </c>
      <c r="H192" s="73">
        <v>5.658</v>
      </c>
      <c r="I192" s="73"/>
      <c r="J192" s="72" t="s">
        <v>69</v>
      </c>
      <c r="K192" s="48">
        <f t="shared" si="9"/>
        <v>6624.1449999999995</v>
      </c>
      <c r="M192" s="13"/>
      <c r="N192" s="12"/>
      <c r="O192" s="13"/>
    </row>
    <row r="193" spans="1:15" ht="15.75" hidden="1">
      <c r="A193" s="49" t="s">
        <v>85</v>
      </c>
      <c r="B193" s="89">
        <v>2939.652</v>
      </c>
      <c r="C193" s="73">
        <v>4223.4</v>
      </c>
      <c r="D193" s="80">
        <v>141.15</v>
      </c>
      <c r="E193" s="71">
        <v>62.8125</v>
      </c>
      <c r="F193" s="64">
        <f>11.925+43.9</f>
        <v>55.825</v>
      </c>
      <c r="G193" s="71">
        <v>344.068</v>
      </c>
      <c r="H193" s="73">
        <v>70.932</v>
      </c>
      <c r="I193" s="73"/>
      <c r="J193" s="72" t="s">
        <v>69</v>
      </c>
      <c r="K193" s="48">
        <f t="shared" si="9"/>
        <v>7837.839499999999</v>
      </c>
      <c r="M193" s="13"/>
      <c r="N193" s="12"/>
      <c r="O193" s="13"/>
    </row>
    <row r="194" spans="1:15" ht="15.75" hidden="1">
      <c r="A194" s="49" t="s">
        <v>86</v>
      </c>
      <c r="B194" s="89">
        <v>3062.016</v>
      </c>
      <c r="C194" s="73">
        <v>3971.6</v>
      </c>
      <c r="D194" s="80">
        <v>243.885</v>
      </c>
      <c r="E194" s="71">
        <v>57.57</v>
      </c>
      <c r="F194" s="64">
        <f>1.191+48.2</f>
        <v>49.391000000000005</v>
      </c>
      <c r="G194" s="71">
        <v>220.04</v>
      </c>
      <c r="H194" s="73">
        <v>81.06</v>
      </c>
      <c r="I194" s="73"/>
      <c r="J194" s="72" t="s">
        <v>69</v>
      </c>
      <c r="K194" s="48">
        <f t="shared" si="9"/>
        <v>7685.562</v>
      </c>
      <c r="M194" s="13"/>
      <c r="N194" s="12"/>
      <c r="O194" s="13"/>
    </row>
    <row r="195" spans="1:15" ht="15.75" hidden="1">
      <c r="A195" s="49" t="s">
        <v>87</v>
      </c>
      <c r="B195" s="89">
        <v>3183.048</v>
      </c>
      <c r="C195" s="73">
        <v>3542.8</v>
      </c>
      <c r="D195" s="80">
        <v>238.05</v>
      </c>
      <c r="E195" s="71">
        <v>15.867</v>
      </c>
      <c r="F195" s="64">
        <f>1.191+48.2</f>
        <v>49.391000000000005</v>
      </c>
      <c r="G195" s="71">
        <v>235</v>
      </c>
      <c r="H195" s="73">
        <v>81.06</v>
      </c>
      <c r="I195" s="73"/>
      <c r="J195" s="72" t="s">
        <v>69</v>
      </c>
      <c r="K195" s="48">
        <f t="shared" si="9"/>
        <v>7345.216</v>
      </c>
      <c r="M195" s="13"/>
      <c r="N195" s="12"/>
      <c r="O195" s="13"/>
    </row>
    <row r="196" spans="1:15" ht="15.75" hidden="1">
      <c r="A196" s="49" t="s">
        <v>88</v>
      </c>
      <c r="B196" s="90"/>
      <c r="C196" s="91"/>
      <c r="D196" s="99"/>
      <c r="E196" s="93"/>
      <c r="F196" s="94"/>
      <c r="G196" s="93"/>
      <c r="H196" s="91" t="s">
        <v>0</v>
      </c>
      <c r="I196" s="91"/>
      <c r="J196" s="72" t="s">
        <v>69</v>
      </c>
      <c r="K196" s="48"/>
      <c r="M196" s="13"/>
      <c r="N196" s="12"/>
      <c r="O196" s="13"/>
    </row>
    <row r="197" spans="1:15" ht="15.75" hidden="1">
      <c r="A197" s="49" t="s">
        <v>89</v>
      </c>
      <c r="B197" s="89"/>
      <c r="C197" s="73"/>
      <c r="D197" s="80"/>
      <c r="E197" s="71"/>
      <c r="F197" s="64"/>
      <c r="G197" s="71"/>
      <c r="H197" s="73"/>
      <c r="I197" s="73"/>
      <c r="J197" s="72" t="s">
        <v>69</v>
      </c>
      <c r="K197" s="48"/>
      <c r="M197" s="13"/>
      <c r="N197" s="12"/>
      <c r="O197" s="13"/>
    </row>
    <row r="198" spans="1:15" ht="15.75" hidden="1">
      <c r="A198" s="49" t="s">
        <v>90</v>
      </c>
      <c r="B198" s="89"/>
      <c r="C198" s="73"/>
      <c r="D198" s="80"/>
      <c r="E198" s="71"/>
      <c r="F198" s="64"/>
      <c r="G198" s="71"/>
      <c r="H198" s="73"/>
      <c r="I198" s="73"/>
      <c r="J198" s="72" t="s">
        <v>69</v>
      </c>
      <c r="K198" s="48"/>
      <c r="M198" s="13"/>
      <c r="N198" s="12"/>
      <c r="O198" s="13"/>
    </row>
    <row r="199" spans="1:15" ht="15.75" hidden="1">
      <c r="A199" s="49" t="s">
        <v>91</v>
      </c>
      <c r="B199" s="89">
        <v>3539</v>
      </c>
      <c r="C199" s="73">
        <v>2456</v>
      </c>
      <c r="D199" s="79" t="s">
        <v>39</v>
      </c>
      <c r="E199" s="79" t="s">
        <v>39</v>
      </c>
      <c r="F199" s="64">
        <f>0.975+38</f>
        <v>38.975</v>
      </c>
      <c r="G199" s="71">
        <v>235</v>
      </c>
      <c r="H199" s="73">
        <v>103</v>
      </c>
      <c r="I199" s="73"/>
      <c r="J199" s="72" t="s">
        <v>69</v>
      </c>
      <c r="K199" s="48">
        <f aca="true" t="shared" si="10" ref="K199:K211">B199+C199+D199+E199+F199+G199+H199</f>
        <v>6371.975</v>
      </c>
      <c r="M199" s="13"/>
      <c r="N199" s="12"/>
      <c r="O199" s="13"/>
    </row>
    <row r="200" spans="1:15" ht="15.75" hidden="1">
      <c r="A200" s="49" t="s">
        <v>92</v>
      </c>
      <c r="B200" s="89">
        <v>3299</v>
      </c>
      <c r="C200" s="73">
        <v>2360</v>
      </c>
      <c r="D200" s="79" t="s">
        <v>39</v>
      </c>
      <c r="E200" s="79" t="s">
        <v>39</v>
      </c>
      <c r="F200" s="64">
        <f>9+59</f>
        <v>68</v>
      </c>
      <c r="G200" s="71">
        <v>232</v>
      </c>
      <c r="H200" s="73">
        <v>60</v>
      </c>
      <c r="I200" s="73"/>
      <c r="J200" s="72" t="s">
        <v>69</v>
      </c>
      <c r="K200" s="48">
        <f t="shared" si="10"/>
        <v>6019</v>
      </c>
      <c r="M200" s="13"/>
      <c r="N200" s="12"/>
      <c r="O200" s="13"/>
    </row>
    <row r="201" spans="1:15" ht="15.75" hidden="1">
      <c r="A201" s="49" t="s">
        <v>93</v>
      </c>
      <c r="B201" s="89">
        <v>4776.732</v>
      </c>
      <c r="C201" s="73">
        <v>3059.5</v>
      </c>
      <c r="D201" s="79" t="s">
        <v>39</v>
      </c>
      <c r="E201" s="79" t="s">
        <v>39</v>
      </c>
      <c r="F201" s="64">
        <f>15.24+50.194</f>
        <v>65.434</v>
      </c>
      <c r="G201" s="71">
        <v>287.102</v>
      </c>
      <c r="H201" s="73">
        <v>59.112</v>
      </c>
      <c r="I201" s="73"/>
      <c r="J201" s="72" t="s">
        <v>69</v>
      </c>
      <c r="K201" s="48">
        <f t="shared" si="10"/>
        <v>8247.88</v>
      </c>
      <c r="M201" s="13"/>
      <c r="N201" s="12"/>
      <c r="O201" s="13"/>
    </row>
    <row r="202" spans="1:15" ht="15.75" hidden="1">
      <c r="A202" s="49" t="s">
        <v>94</v>
      </c>
      <c r="B202" s="89">
        <v>5343</v>
      </c>
      <c r="C202" s="73">
        <v>2421</v>
      </c>
      <c r="D202" s="79" t="s">
        <v>39</v>
      </c>
      <c r="E202" s="79" t="s">
        <v>39</v>
      </c>
      <c r="F202" s="64">
        <f>7+52</f>
        <v>59</v>
      </c>
      <c r="G202" s="71">
        <v>363</v>
      </c>
      <c r="H202" s="73">
        <v>68</v>
      </c>
      <c r="I202" s="73"/>
      <c r="J202" s="72" t="s">
        <v>69</v>
      </c>
      <c r="K202" s="48">
        <f t="shared" si="10"/>
        <v>8254</v>
      </c>
      <c r="M202" s="13"/>
      <c r="N202" s="12"/>
      <c r="O202" s="13"/>
    </row>
    <row r="203" spans="1:15" ht="15.75" hidden="1">
      <c r="A203" s="49" t="s">
        <v>95</v>
      </c>
      <c r="B203" s="89">
        <v>5941.914</v>
      </c>
      <c r="C203" s="73">
        <v>2453.3</v>
      </c>
      <c r="D203" s="79" t="s">
        <v>39</v>
      </c>
      <c r="E203" s="79" t="s">
        <v>39</v>
      </c>
      <c r="F203" s="64">
        <v>146.685</v>
      </c>
      <c r="G203" s="71">
        <v>354.26</v>
      </c>
      <c r="H203" s="73">
        <v>87.588</v>
      </c>
      <c r="I203" s="73"/>
      <c r="J203" s="72" t="s">
        <v>69</v>
      </c>
      <c r="K203" s="48">
        <f t="shared" si="10"/>
        <v>8983.747</v>
      </c>
      <c r="M203" s="13"/>
      <c r="N203" s="12"/>
      <c r="O203" s="13"/>
    </row>
    <row r="204" spans="1:15" ht="15.75" hidden="1">
      <c r="A204" s="49" t="s">
        <v>96</v>
      </c>
      <c r="B204" s="89">
        <v>4750.488</v>
      </c>
      <c r="C204" s="73">
        <v>2432.5</v>
      </c>
      <c r="D204" s="79" t="s">
        <v>39</v>
      </c>
      <c r="E204" s="79" t="s">
        <v>39</v>
      </c>
      <c r="F204" s="64">
        <v>135.24</v>
      </c>
      <c r="G204" s="71">
        <v>383.156</v>
      </c>
      <c r="H204" s="73">
        <v>96.912</v>
      </c>
      <c r="I204" s="73"/>
      <c r="J204" s="72" t="s">
        <v>69</v>
      </c>
      <c r="K204" s="48">
        <f t="shared" si="10"/>
        <v>7798.296</v>
      </c>
      <c r="M204" s="13"/>
      <c r="N204" s="12"/>
      <c r="O204" s="13"/>
    </row>
    <row r="205" spans="1:15" ht="15.75" hidden="1">
      <c r="A205" s="49" t="s">
        <v>97</v>
      </c>
      <c r="B205" s="89">
        <v>3962.908</v>
      </c>
      <c r="C205" s="73">
        <v>2997.5</v>
      </c>
      <c r="D205" s="79" t="s">
        <v>39</v>
      </c>
      <c r="E205" s="79" t="s">
        <v>39</v>
      </c>
      <c r="F205" s="64">
        <v>52.83</v>
      </c>
      <c r="G205" s="71">
        <v>388.22</v>
      </c>
      <c r="H205" s="73">
        <v>85.272</v>
      </c>
      <c r="I205" s="73"/>
      <c r="J205" s="72" t="s">
        <v>69</v>
      </c>
      <c r="K205" s="48">
        <f t="shared" si="10"/>
        <v>7486.73</v>
      </c>
      <c r="M205" s="13"/>
      <c r="N205" s="12"/>
      <c r="O205" s="13"/>
    </row>
    <row r="206" spans="1:15" ht="15.75" hidden="1">
      <c r="A206" s="49" t="s">
        <v>98</v>
      </c>
      <c r="B206" s="89">
        <v>3556.828</v>
      </c>
      <c r="C206" s="73">
        <v>3171</v>
      </c>
      <c r="D206" s="79" t="s">
        <v>39</v>
      </c>
      <c r="E206" s="79" t="s">
        <v>39</v>
      </c>
      <c r="F206" s="64">
        <v>32.94</v>
      </c>
      <c r="G206" s="71">
        <v>355.932</v>
      </c>
      <c r="H206" s="73">
        <v>89.1</v>
      </c>
      <c r="I206" s="73"/>
      <c r="J206" s="72" t="s">
        <v>69</v>
      </c>
      <c r="K206" s="48">
        <f t="shared" si="10"/>
        <v>7205.799999999999</v>
      </c>
      <c r="M206" s="13"/>
      <c r="N206" s="12"/>
      <c r="O206" s="13"/>
    </row>
    <row r="207" spans="1:15" ht="15.75" hidden="1">
      <c r="A207" s="49" t="s">
        <v>99</v>
      </c>
      <c r="B207" s="89">
        <v>2837.808</v>
      </c>
      <c r="C207" s="73">
        <v>3520</v>
      </c>
      <c r="D207" s="79" t="s">
        <v>39</v>
      </c>
      <c r="E207" s="79" t="s">
        <v>39</v>
      </c>
      <c r="F207" s="64">
        <v>23.175</v>
      </c>
      <c r="G207" s="71">
        <v>398.019</v>
      </c>
      <c r="H207" s="73">
        <v>75.72</v>
      </c>
      <c r="I207" s="73"/>
      <c r="J207" s="72" t="s">
        <v>69</v>
      </c>
      <c r="K207" s="48">
        <f t="shared" si="10"/>
        <v>6854.722000000001</v>
      </c>
      <c r="M207" s="13"/>
      <c r="N207" s="12"/>
      <c r="O207" s="13"/>
    </row>
    <row r="208" spans="1:15" ht="15.75" hidden="1">
      <c r="A208" s="49" t="s">
        <v>100</v>
      </c>
      <c r="B208" s="89">
        <v>3031.496</v>
      </c>
      <c r="C208" s="73">
        <v>3560.2</v>
      </c>
      <c r="D208" s="79" t="s">
        <v>39</v>
      </c>
      <c r="E208" s="79" t="s">
        <v>39</v>
      </c>
      <c r="F208" s="64">
        <v>7.605</v>
      </c>
      <c r="G208" s="71">
        <v>416.036</v>
      </c>
      <c r="H208" s="73">
        <v>77.016</v>
      </c>
      <c r="I208" s="73"/>
      <c r="J208" s="72" t="s">
        <v>69</v>
      </c>
      <c r="K208" s="48">
        <f t="shared" si="10"/>
        <v>7092.352999999999</v>
      </c>
      <c r="M208" s="13"/>
      <c r="N208" s="12"/>
      <c r="O208" s="13"/>
    </row>
    <row r="209" spans="1:15" ht="15.75" hidden="1">
      <c r="A209" s="49" t="s">
        <v>101</v>
      </c>
      <c r="B209" s="89">
        <v>4518.576</v>
      </c>
      <c r="C209" s="73">
        <v>3471.9</v>
      </c>
      <c r="D209" s="79" t="s">
        <v>39</v>
      </c>
      <c r="E209" s="79" t="s">
        <v>39</v>
      </c>
      <c r="F209" s="64">
        <f>141.8134+4.347</f>
        <v>146.1604</v>
      </c>
      <c r="G209" s="71">
        <v>530.161</v>
      </c>
      <c r="H209" s="73">
        <v>90.912</v>
      </c>
      <c r="I209" s="73"/>
      <c r="J209" s="72" t="s">
        <v>69</v>
      </c>
      <c r="K209" s="48">
        <f t="shared" si="10"/>
        <v>8757.7094</v>
      </c>
      <c r="M209" s="13"/>
      <c r="N209" s="12"/>
      <c r="O209" s="13"/>
    </row>
    <row r="210" spans="1:15" ht="15.75" hidden="1">
      <c r="A210" s="49" t="s">
        <v>102</v>
      </c>
      <c r="B210" s="89">
        <v>5666</v>
      </c>
      <c r="C210" s="73">
        <v>3920</v>
      </c>
      <c r="D210" s="79" t="s">
        <v>39</v>
      </c>
      <c r="E210" s="79" t="s">
        <v>39</v>
      </c>
      <c r="F210" s="64">
        <v>53.325</v>
      </c>
      <c r="G210" s="71">
        <v>535.77</v>
      </c>
      <c r="H210" s="73">
        <v>88.836</v>
      </c>
      <c r="I210" s="73"/>
      <c r="J210" s="72" t="s">
        <v>69</v>
      </c>
      <c r="K210" s="48">
        <f t="shared" si="10"/>
        <v>10263.931</v>
      </c>
      <c r="M210" s="13"/>
      <c r="N210" s="12"/>
      <c r="O210" s="13"/>
    </row>
    <row r="211" spans="1:15" ht="15.75" hidden="1">
      <c r="A211" s="49" t="s">
        <v>103</v>
      </c>
      <c r="B211" s="90">
        <f>SUM(B199:B210)</f>
        <v>51223.75</v>
      </c>
      <c r="C211" s="91"/>
      <c r="D211" s="99"/>
      <c r="E211" s="100"/>
      <c r="F211" s="94">
        <f>SUM(F199:F210)</f>
        <v>829.3694</v>
      </c>
      <c r="G211" s="93"/>
      <c r="H211" s="91"/>
      <c r="I211" s="91"/>
      <c r="J211" s="72" t="s">
        <v>69</v>
      </c>
      <c r="K211" s="48">
        <f t="shared" si="10"/>
        <v>52053.1194</v>
      </c>
      <c r="M211" s="13"/>
      <c r="N211" s="12"/>
      <c r="O211" s="13"/>
    </row>
    <row r="212" spans="1:15" ht="15.75" hidden="1">
      <c r="A212" s="49" t="s">
        <v>52</v>
      </c>
      <c r="B212" s="90"/>
      <c r="C212" s="91"/>
      <c r="D212" s="99"/>
      <c r="E212" s="100"/>
      <c r="F212" s="94"/>
      <c r="G212" s="93"/>
      <c r="H212" s="91"/>
      <c r="I212" s="91"/>
      <c r="J212" s="72"/>
      <c r="K212" s="48"/>
      <c r="M212" s="13"/>
      <c r="N212" s="12"/>
      <c r="O212" s="13"/>
    </row>
    <row r="213" spans="1:15" ht="15.75">
      <c r="A213" s="49" t="s">
        <v>52</v>
      </c>
      <c r="B213" s="95">
        <f>B277+B278+B279+B280</f>
        <v>51328.777500000004</v>
      </c>
      <c r="C213" s="95">
        <f aca="true" t="shared" si="11" ref="C213:K213">C277+C278+C279+C280</f>
        <v>63732.799999999996</v>
      </c>
      <c r="D213" s="95">
        <f t="shared" si="11"/>
        <v>6594.710000000001</v>
      </c>
      <c r="E213" s="95">
        <f t="shared" si="11"/>
        <v>5240.15</v>
      </c>
      <c r="F213" s="95">
        <f t="shared" si="11"/>
        <v>1191.4950000000001</v>
      </c>
      <c r="G213" s="95">
        <f t="shared" si="11"/>
        <v>9325.445</v>
      </c>
      <c r="H213" s="95">
        <f t="shared" si="11"/>
        <v>1393.836</v>
      </c>
      <c r="I213" s="122">
        <v>0</v>
      </c>
      <c r="J213" s="95">
        <f t="shared" si="11"/>
        <v>2887.6000000000004</v>
      </c>
      <c r="K213" s="95">
        <f t="shared" si="11"/>
        <v>141694.8135</v>
      </c>
      <c r="M213" s="13"/>
      <c r="N213" s="12"/>
      <c r="O213" s="13"/>
    </row>
    <row r="214" spans="1:15" ht="15.75">
      <c r="A214" s="49" t="s">
        <v>53</v>
      </c>
      <c r="B214" s="95">
        <f>B297+B298+B299+B300</f>
        <v>48949.761</v>
      </c>
      <c r="C214" s="95">
        <f aca="true" t="shared" si="12" ref="C214:K214">C297+C298+C299+C300</f>
        <v>63866.42</v>
      </c>
      <c r="D214" s="95">
        <f t="shared" si="12"/>
        <v>8599.26</v>
      </c>
      <c r="E214" s="95">
        <f t="shared" si="12"/>
        <v>4394.6</v>
      </c>
      <c r="F214" s="95">
        <f t="shared" si="12"/>
        <v>1577.817</v>
      </c>
      <c r="G214" s="95">
        <f t="shared" si="12"/>
        <v>9464.689</v>
      </c>
      <c r="H214" s="95">
        <f t="shared" si="12"/>
        <v>991.584</v>
      </c>
      <c r="I214" s="95">
        <f t="shared" si="12"/>
        <v>623.712</v>
      </c>
      <c r="J214" s="95">
        <f t="shared" si="12"/>
        <v>20653.055</v>
      </c>
      <c r="K214" s="95">
        <f t="shared" si="12"/>
        <v>159120.898</v>
      </c>
      <c r="M214" s="13"/>
      <c r="N214" s="12"/>
      <c r="O214" s="13"/>
    </row>
    <row r="215" spans="1:15" ht="15.75">
      <c r="A215" s="49" t="s">
        <v>54</v>
      </c>
      <c r="B215" s="95">
        <f>B303+B304+B305+B306</f>
        <v>52811.844000000005</v>
      </c>
      <c r="C215" s="95">
        <f aca="true" t="shared" si="13" ref="C215:K215">C303+C304+C305+C306</f>
        <v>53953.92</v>
      </c>
      <c r="D215" s="95">
        <f>D303+D304+D305+D306</f>
        <v>8149.280000000001</v>
      </c>
      <c r="E215" s="95">
        <f t="shared" si="13"/>
        <v>5776.81</v>
      </c>
      <c r="F215" s="95">
        <f t="shared" si="13"/>
        <v>1044.685</v>
      </c>
      <c r="G215" s="95">
        <f t="shared" si="13"/>
        <v>14794.373</v>
      </c>
      <c r="H215" s="95">
        <f t="shared" si="13"/>
        <v>1133.819</v>
      </c>
      <c r="I215" s="95">
        <f t="shared" si="13"/>
        <v>2663.287</v>
      </c>
      <c r="J215" s="95">
        <f t="shared" si="13"/>
        <v>33520.286</v>
      </c>
      <c r="K215" s="95">
        <f t="shared" si="13"/>
        <v>173848.304</v>
      </c>
      <c r="M215" s="13"/>
      <c r="N215" s="12"/>
      <c r="O215" s="13"/>
    </row>
    <row r="216" spans="1:15" ht="15.75">
      <c r="A216" s="49" t="s">
        <v>55</v>
      </c>
      <c r="B216" s="95">
        <f>B309+B310+B311+B312</f>
        <v>54346.4738</v>
      </c>
      <c r="C216" s="95">
        <f>C309+C310+C311+C312</f>
        <v>53224.90000000001</v>
      </c>
      <c r="D216" s="95">
        <f aca="true" t="shared" si="14" ref="D216:J216">D309+D310+D311+D312</f>
        <v>8234.683</v>
      </c>
      <c r="E216" s="95">
        <f t="shared" si="14"/>
        <v>6765.4</v>
      </c>
      <c r="F216" s="95">
        <f>F309+F310+F311+F312</f>
        <v>1310.415</v>
      </c>
      <c r="G216" s="95">
        <f t="shared" si="14"/>
        <v>10368.554</v>
      </c>
      <c r="H216" s="95">
        <f t="shared" si="14"/>
        <v>303.9</v>
      </c>
      <c r="I216" s="95">
        <f t="shared" si="14"/>
        <v>2731.8</v>
      </c>
      <c r="J216" s="95">
        <f t="shared" si="14"/>
        <v>28698.458000000002</v>
      </c>
      <c r="K216" s="95">
        <f>K309+K310+K311+K312</f>
        <v>165984.5838</v>
      </c>
      <c r="M216" s="13"/>
      <c r="N216" s="12"/>
      <c r="O216" s="13"/>
    </row>
    <row r="217" spans="1:15" ht="15.75">
      <c r="A217" s="49" t="s">
        <v>56</v>
      </c>
      <c r="B217" s="95">
        <f>B315+B316+B317+B318</f>
        <v>46580.199</v>
      </c>
      <c r="C217" s="95">
        <f aca="true" t="shared" si="15" ref="C217:K217">C315+C316+C317+C318</f>
        <v>70527.09999999999</v>
      </c>
      <c r="D217" s="95">
        <f t="shared" si="15"/>
        <v>5426</v>
      </c>
      <c r="E217" s="95">
        <f t="shared" si="15"/>
        <v>5681.41</v>
      </c>
      <c r="F217" s="95">
        <f t="shared" si="15"/>
        <v>1006.86</v>
      </c>
      <c r="G217" s="95">
        <f t="shared" si="15"/>
        <v>11151.27908</v>
      </c>
      <c r="H217" s="95">
        <f t="shared" si="15"/>
        <v>41.135999999999996</v>
      </c>
      <c r="I217" s="95">
        <f t="shared" si="15"/>
        <v>2896.445</v>
      </c>
      <c r="J217" s="95">
        <f t="shared" si="15"/>
        <v>24085.799</v>
      </c>
      <c r="K217" s="95">
        <f t="shared" si="15"/>
        <v>167396.22808000003</v>
      </c>
      <c r="M217" s="13"/>
      <c r="N217" s="12"/>
      <c r="O217" s="13"/>
    </row>
    <row r="218" spans="1:15" ht="15.75">
      <c r="A218" s="49"/>
      <c r="B218" s="90"/>
      <c r="C218" s="91"/>
      <c r="D218" s="99"/>
      <c r="E218" s="100"/>
      <c r="F218" s="94"/>
      <c r="G218" s="93"/>
      <c r="H218" s="91"/>
      <c r="I218" s="91"/>
      <c r="J218" s="72"/>
      <c r="K218" s="48"/>
      <c r="M218" s="13"/>
      <c r="N218" s="12"/>
      <c r="O218" s="13"/>
    </row>
    <row r="219" spans="1:15" ht="15.75" hidden="1">
      <c r="A219" s="49" t="s">
        <v>49</v>
      </c>
      <c r="B219" s="90"/>
      <c r="C219" s="91"/>
      <c r="D219" s="99"/>
      <c r="E219" s="100"/>
      <c r="F219" s="94"/>
      <c r="G219" s="93"/>
      <c r="H219" s="91"/>
      <c r="I219" s="91"/>
      <c r="J219" s="72"/>
      <c r="K219" s="48"/>
      <c r="M219" s="13"/>
      <c r="N219" s="12"/>
      <c r="O219" s="13"/>
    </row>
    <row r="220" spans="1:15" ht="15.75" hidden="1">
      <c r="A220" s="55" t="s">
        <v>12</v>
      </c>
      <c r="B220" s="89">
        <v>14825.88</v>
      </c>
      <c r="C220" s="73">
        <v>9050.9</v>
      </c>
      <c r="D220" s="80">
        <v>1279.37</v>
      </c>
      <c r="E220" s="79">
        <v>1424.9</v>
      </c>
      <c r="F220" s="64">
        <v>388.665</v>
      </c>
      <c r="G220" s="71">
        <v>916.3059999999999</v>
      </c>
      <c r="H220" s="73">
        <v>240.936</v>
      </c>
      <c r="I220" s="73"/>
      <c r="J220" s="72" t="s">
        <v>69</v>
      </c>
      <c r="K220" s="48">
        <f>B220+C220+D220+E220+F220+G220+H220</f>
        <v>28126.957000000002</v>
      </c>
      <c r="M220" s="13"/>
      <c r="N220" s="12"/>
      <c r="O220" s="13"/>
    </row>
    <row r="221" spans="1:15" ht="15.75" hidden="1">
      <c r="A221" s="38" t="s">
        <v>37</v>
      </c>
      <c r="B221" s="89">
        <v>13549.878</v>
      </c>
      <c r="C221" s="73">
        <v>11017.7</v>
      </c>
      <c r="D221" s="80">
        <v>1594.72</v>
      </c>
      <c r="E221" s="79">
        <v>1548.4</v>
      </c>
      <c r="F221" s="64">
        <v>614.715</v>
      </c>
      <c r="G221" s="71">
        <v>848.983</v>
      </c>
      <c r="H221" s="73">
        <v>375.66</v>
      </c>
      <c r="I221" s="73"/>
      <c r="J221" s="72" t="s">
        <v>69</v>
      </c>
      <c r="K221" s="48">
        <f>B221+C221+D221+E221+F221+G221+H221</f>
        <v>29550.056000000004</v>
      </c>
      <c r="M221" s="13"/>
      <c r="N221" s="12"/>
      <c r="O221" s="13"/>
    </row>
    <row r="222" spans="1:15" ht="15.75" hidden="1">
      <c r="A222" s="55" t="s">
        <v>14</v>
      </c>
      <c r="B222" s="89">
        <v>8641.188</v>
      </c>
      <c r="C222" s="73">
        <v>17366.9</v>
      </c>
      <c r="D222" s="80">
        <v>1344.99</v>
      </c>
      <c r="E222" s="79">
        <v>861.73</v>
      </c>
      <c r="F222" s="64">
        <v>217.135</v>
      </c>
      <c r="G222" s="71">
        <v>1231.15</v>
      </c>
      <c r="H222" s="73">
        <v>268.77599999999995</v>
      </c>
      <c r="I222" s="73"/>
      <c r="J222" s="72" t="s">
        <v>69</v>
      </c>
      <c r="K222" s="48">
        <f>B222+C222+D222+E222+F222+G222+H222</f>
        <v>29931.869000000006</v>
      </c>
      <c r="M222" s="13"/>
      <c r="N222" s="12"/>
      <c r="O222" s="13"/>
    </row>
    <row r="223" spans="1:15" ht="15.75" hidden="1">
      <c r="A223" s="55" t="s">
        <v>16</v>
      </c>
      <c r="B223" s="89">
        <f aca="true" t="shared" si="16" ref="B223:H223">B272+B273+B274</f>
        <v>11849.976</v>
      </c>
      <c r="C223" s="101">
        <f t="shared" si="16"/>
        <v>11799.099999999999</v>
      </c>
      <c r="D223" s="101">
        <f t="shared" si="16"/>
        <v>1125.26</v>
      </c>
      <c r="E223" s="101">
        <f t="shared" si="16"/>
        <v>1223.93</v>
      </c>
      <c r="F223" s="101">
        <f t="shared" si="16"/>
        <v>159.21</v>
      </c>
      <c r="G223" s="101">
        <f t="shared" si="16"/>
        <v>2679.424</v>
      </c>
      <c r="H223" s="101">
        <f t="shared" si="16"/>
        <v>332.676</v>
      </c>
      <c r="I223" s="101"/>
      <c r="J223" s="72" t="s">
        <v>69</v>
      </c>
      <c r="K223" s="95">
        <f>K272+K273+K274</f>
        <v>31970.076</v>
      </c>
      <c r="L223" s="7"/>
      <c r="M223" s="13"/>
      <c r="N223" s="12"/>
      <c r="O223" s="13"/>
    </row>
    <row r="224" spans="1:15" ht="15.75" hidden="1">
      <c r="A224" s="49" t="s">
        <v>50</v>
      </c>
      <c r="B224" s="89"/>
      <c r="C224" s="101"/>
      <c r="D224" s="101"/>
      <c r="E224" s="101"/>
      <c r="F224" s="101"/>
      <c r="G224" s="101"/>
      <c r="H224" s="101"/>
      <c r="I224" s="101"/>
      <c r="J224" s="72"/>
      <c r="K224" s="95"/>
      <c r="L224" s="8"/>
      <c r="M224" s="13"/>
      <c r="N224" s="12"/>
      <c r="O224" s="13"/>
    </row>
    <row r="225" spans="1:15" ht="15.75" hidden="1">
      <c r="A225" s="55" t="s">
        <v>78</v>
      </c>
      <c r="B225" s="95">
        <f>SUM(B283:B285)</f>
        <v>13809.14</v>
      </c>
      <c r="C225" s="95">
        <f>SUM(C283:C285)</f>
        <v>12130.8</v>
      </c>
      <c r="D225" s="95">
        <f aca="true" t="shared" si="17" ref="D225:K225">SUM(D283:D285)</f>
        <v>977.4</v>
      </c>
      <c r="E225" s="95">
        <f t="shared" si="17"/>
        <v>1638.8600000000001</v>
      </c>
      <c r="F225" s="95">
        <f t="shared" si="17"/>
        <v>656.81</v>
      </c>
      <c r="G225" s="95">
        <f t="shared" si="17"/>
        <v>2090.2980000000002</v>
      </c>
      <c r="H225" s="95">
        <f t="shared" si="17"/>
        <v>329.52099999999996</v>
      </c>
      <c r="I225" s="95"/>
      <c r="J225" s="95">
        <f t="shared" si="17"/>
        <v>3435.88</v>
      </c>
      <c r="K225" s="95">
        <f t="shared" si="17"/>
        <v>35068.708999999995</v>
      </c>
      <c r="M225" s="13"/>
      <c r="N225" s="12"/>
      <c r="O225" s="13"/>
    </row>
    <row r="226" spans="1:15" ht="15.75" hidden="1">
      <c r="A226" s="49" t="s">
        <v>47</v>
      </c>
      <c r="B226" s="90"/>
      <c r="C226" s="91"/>
      <c r="D226" s="99"/>
      <c r="E226" s="100"/>
      <c r="F226" s="94"/>
      <c r="G226" s="93"/>
      <c r="H226" s="91"/>
      <c r="I226" s="91"/>
      <c r="J226" s="72"/>
      <c r="K226" s="48"/>
      <c r="M226" s="13"/>
      <c r="N226" s="12"/>
      <c r="O226" s="13"/>
    </row>
    <row r="227" spans="1:15" ht="15.75" hidden="1">
      <c r="A227" s="55" t="s">
        <v>27</v>
      </c>
      <c r="B227" s="102">
        <v>4703.94</v>
      </c>
      <c r="C227" s="73">
        <v>6629.7</v>
      </c>
      <c r="D227" s="79" t="s">
        <v>39</v>
      </c>
      <c r="E227" s="79" t="s">
        <v>39</v>
      </c>
      <c r="F227" s="64">
        <v>143</v>
      </c>
      <c r="G227" s="71">
        <v>383.903</v>
      </c>
      <c r="H227" s="73">
        <v>92.172</v>
      </c>
      <c r="I227" s="73"/>
      <c r="J227" s="72"/>
      <c r="K227" s="48">
        <f aca="true" t="shared" si="18" ref="K227:K238">B227+C227+D227+E227+F227+G227+H227</f>
        <v>11952.715</v>
      </c>
      <c r="M227" s="13"/>
      <c r="N227" s="12"/>
      <c r="O227" s="13"/>
    </row>
    <row r="228" spans="1:15" ht="15.75" hidden="1">
      <c r="A228" s="55" t="s">
        <v>28</v>
      </c>
      <c r="B228" s="102">
        <v>5280.696</v>
      </c>
      <c r="C228" s="73">
        <v>6758.8</v>
      </c>
      <c r="D228" s="79" t="s">
        <v>39</v>
      </c>
      <c r="E228" s="79" t="s">
        <v>39</v>
      </c>
      <c r="F228" s="64">
        <v>181.465</v>
      </c>
      <c r="G228" s="71">
        <v>217.39</v>
      </c>
      <c r="H228" s="73">
        <v>87.936</v>
      </c>
      <c r="I228" s="73"/>
      <c r="J228" s="72"/>
      <c r="K228" s="48">
        <f t="shared" si="18"/>
        <v>12526.286999999998</v>
      </c>
      <c r="M228" s="13"/>
      <c r="N228" s="12"/>
      <c r="O228" s="13"/>
    </row>
    <row r="229" spans="1:15" ht="15.75" hidden="1">
      <c r="A229" s="55" t="s">
        <v>29</v>
      </c>
      <c r="B229" s="102">
        <v>4847.832</v>
      </c>
      <c r="C229" s="73">
        <v>6606.1</v>
      </c>
      <c r="D229" s="79" t="s">
        <v>39</v>
      </c>
      <c r="E229" s="79" t="s">
        <v>39</v>
      </c>
      <c r="F229" s="64">
        <v>163.08</v>
      </c>
      <c r="G229" s="71">
        <v>268.068</v>
      </c>
      <c r="H229" s="73">
        <v>77.416</v>
      </c>
      <c r="I229" s="73"/>
      <c r="J229" s="72"/>
      <c r="K229" s="48">
        <f t="shared" si="18"/>
        <v>11962.496</v>
      </c>
      <c r="M229" s="13"/>
      <c r="N229" s="12"/>
      <c r="O229" s="13"/>
    </row>
    <row r="230" spans="1:15" ht="15.75" hidden="1">
      <c r="A230" s="55" t="s">
        <v>19</v>
      </c>
      <c r="B230" s="102">
        <v>4941.18</v>
      </c>
      <c r="C230" s="73">
        <v>4750.9</v>
      </c>
      <c r="D230" s="79" t="s">
        <v>39</v>
      </c>
      <c r="E230" s="79" t="s">
        <v>39</v>
      </c>
      <c r="F230" s="64">
        <v>114.12</v>
      </c>
      <c r="G230" s="71">
        <v>475.586</v>
      </c>
      <c r="H230" s="73">
        <v>82.428</v>
      </c>
      <c r="I230" s="73"/>
      <c r="J230" s="72"/>
      <c r="K230" s="48">
        <f t="shared" si="18"/>
        <v>10364.214</v>
      </c>
      <c r="M230" s="13"/>
      <c r="N230" s="12"/>
      <c r="O230" s="13"/>
    </row>
    <row r="231" spans="1:15" ht="15.75" hidden="1">
      <c r="A231" s="55" t="s">
        <v>20</v>
      </c>
      <c r="B231" s="102">
        <v>4524.876</v>
      </c>
      <c r="C231" s="73">
        <v>4918.7</v>
      </c>
      <c r="D231" s="79" t="s">
        <v>39</v>
      </c>
      <c r="E231" s="79" t="s">
        <v>39</v>
      </c>
      <c r="F231" s="64">
        <v>162.345</v>
      </c>
      <c r="G231" s="71">
        <v>491.795</v>
      </c>
      <c r="H231" s="73">
        <v>76.224</v>
      </c>
      <c r="I231" s="73"/>
      <c r="J231" s="72"/>
      <c r="K231" s="48">
        <f t="shared" si="18"/>
        <v>10173.94</v>
      </c>
      <c r="M231" s="13"/>
      <c r="N231" s="12"/>
      <c r="O231" s="13"/>
    </row>
    <row r="232" spans="1:15" ht="15.75" hidden="1">
      <c r="A232" s="55" t="s">
        <v>30</v>
      </c>
      <c r="B232" s="102">
        <v>4221.9</v>
      </c>
      <c r="C232" s="73">
        <v>4440.6</v>
      </c>
      <c r="D232" s="79" t="s">
        <v>39</v>
      </c>
      <c r="E232" s="79" t="s">
        <v>39</v>
      </c>
      <c r="F232" s="64">
        <v>139.4762</v>
      </c>
      <c r="G232" s="71">
        <v>513.784</v>
      </c>
      <c r="H232" s="73">
        <v>94.2</v>
      </c>
      <c r="I232" s="73"/>
      <c r="J232" s="72"/>
      <c r="K232" s="48">
        <f t="shared" si="18"/>
        <v>9409.9602</v>
      </c>
      <c r="M232" s="13"/>
      <c r="N232" s="12"/>
      <c r="O232" s="13"/>
    </row>
    <row r="233" spans="1:15" ht="15.75" hidden="1">
      <c r="A233" s="55" t="s">
        <v>21</v>
      </c>
      <c r="B233" s="102">
        <v>3570.228</v>
      </c>
      <c r="C233" s="73">
        <v>5599</v>
      </c>
      <c r="D233" s="79" t="s">
        <v>39</v>
      </c>
      <c r="E233" s="79" t="s">
        <v>39</v>
      </c>
      <c r="F233" s="64">
        <v>149.805</v>
      </c>
      <c r="G233" s="71">
        <v>497.081</v>
      </c>
      <c r="H233" s="73">
        <v>45.84</v>
      </c>
      <c r="I233" s="73"/>
      <c r="J233" s="72"/>
      <c r="K233" s="48">
        <f t="shared" si="18"/>
        <v>9861.954</v>
      </c>
      <c r="M233" s="13"/>
      <c r="N233" s="12"/>
      <c r="O233" s="13"/>
    </row>
    <row r="234" spans="1:15" ht="15.75" hidden="1">
      <c r="A234" s="55" t="s">
        <v>22</v>
      </c>
      <c r="B234" s="102">
        <v>3184.776</v>
      </c>
      <c r="C234" s="73">
        <v>5568.9</v>
      </c>
      <c r="D234" s="80">
        <v>620.32</v>
      </c>
      <c r="E234" s="79">
        <v>335.18</v>
      </c>
      <c r="F234" s="64">
        <v>21.885</v>
      </c>
      <c r="G234" s="71">
        <v>315.491</v>
      </c>
      <c r="H234" s="73">
        <v>12.048</v>
      </c>
      <c r="I234" s="73"/>
      <c r="J234" s="72"/>
      <c r="K234" s="48">
        <f t="shared" si="18"/>
        <v>10058.6</v>
      </c>
      <c r="M234" s="13"/>
      <c r="N234" s="12"/>
      <c r="O234" s="13"/>
    </row>
    <row r="235" spans="1:15" ht="15.75" hidden="1">
      <c r="A235" s="55" t="s">
        <v>23</v>
      </c>
      <c r="B235" s="102">
        <v>2940.336</v>
      </c>
      <c r="C235" s="73">
        <v>4349.4</v>
      </c>
      <c r="D235" s="80">
        <v>535.78</v>
      </c>
      <c r="E235" s="79">
        <v>300.19</v>
      </c>
      <c r="F235" s="64">
        <v>37.56</v>
      </c>
      <c r="G235" s="71">
        <v>253.04</v>
      </c>
      <c r="H235" s="73">
        <v>15.536</v>
      </c>
      <c r="I235" s="73"/>
      <c r="J235" s="72"/>
      <c r="K235" s="48">
        <f t="shared" si="18"/>
        <v>8431.841999999999</v>
      </c>
      <c r="M235" s="13"/>
      <c r="N235" s="12"/>
      <c r="O235" s="13"/>
    </row>
    <row r="236" spans="1:15" ht="15.75" hidden="1">
      <c r="A236" s="55" t="s">
        <v>24</v>
      </c>
      <c r="B236" s="102">
        <v>2992.644</v>
      </c>
      <c r="C236" s="73">
        <v>3736.1</v>
      </c>
      <c r="D236" s="80">
        <v>453.39</v>
      </c>
      <c r="E236" s="79">
        <v>314.17</v>
      </c>
      <c r="F236" s="64">
        <v>24.79</v>
      </c>
      <c r="G236" s="71">
        <v>254.344</v>
      </c>
      <c r="H236" s="73">
        <v>6.78</v>
      </c>
      <c r="I236" s="73"/>
      <c r="J236" s="72"/>
      <c r="K236" s="48">
        <f t="shared" si="18"/>
        <v>7782.218</v>
      </c>
      <c r="M236" s="13"/>
      <c r="N236" s="12"/>
      <c r="O236" s="13"/>
    </row>
    <row r="237" spans="1:15" ht="15.75" hidden="1">
      <c r="A237" s="55" t="s">
        <v>25</v>
      </c>
      <c r="B237" s="102">
        <v>3127.392</v>
      </c>
      <c r="C237" s="73">
        <v>3134.6</v>
      </c>
      <c r="D237" s="80">
        <v>457.91</v>
      </c>
      <c r="E237" s="79">
        <v>344.87</v>
      </c>
      <c r="F237" s="64">
        <v>60.12</v>
      </c>
      <c r="G237" s="71">
        <v>257.483</v>
      </c>
      <c r="H237" s="79" t="s">
        <v>39</v>
      </c>
      <c r="I237" s="79"/>
      <c r="J237" s="72"/>
      <c r="K237" s="48">
        <f t="shared" si="18"/>
        <v>7382.375</v>
      </c>
      <c r="M237" s="13"/>
      <c r="N237" s="12"/>
      <c r="O237" s="13"/>
    </row>
    <row r="238" spans="1:15" ht="15.75" hidden="1">
      <c r="A238" s="55" t="s">
        <v>26</v>
      </c>
      <c r="B238" s="102">
        <v>3016.296</v>
      </c>
      <c r="C238" s="73">
        <v>3384.7</v>
      </c>
      <c r="D238" s="80">
        <v>484.66</v>
      </c>
      <c r="E238" s="79">
        <v>310.26</v>
      </c>
      <c r="F238" s="64">
        <v>103.77</v>
      </c>
      <c r="G238" s="71">
        <v>252.144</v>
      </c>
      <c r="H238" s="79" t="s">
        <v>39</v>
      </c>
      <c r="I238" s="79"/>
      <c r="J238" s="72"/>
      <c r="K238" s="48">
        <f t="shared" si="18"/>
        <v>7551.83</v>
      </c>
      <c r="M238" s="13"/>
      <c r="N238" s="12"/>
      <c r="O238" s="13"/>
    </row>
    <row r="239" spans="1:15" ht="15.75" hidden="1">
      <c r="A239" s="38" t="s">
        <v>37</v>
      </c>
      <c r="B239" s="102">
        <f>B286+B287+B288</f>
        <v>12377.483999999999</v>
      </c>
      <c r="C239" s="103">
        <f aca="true" t="shared" si="19" ref="C239:K239">C286+C287+C288</f>
        <v>15164</v>
      </c>
      <c r="D239" s="103">
        <f t="shared" si="19"/>
        <v>937.1700000000001</v>
      </c>
      <c r="E239" s="103">
        <f t="shared" si="19"/>
        <v>1565.4</v>
      </c>
      <c r="F239" s="103">
        <f t="shared" si="19"/>
        <v>517.425</v>
      </c>
      <c r="G239" s="103">
        <f t="shared" si="19"/>
        <v>1640.353</v>
      </c>
      <c r="H239" s="103">
        <f t="shared" si="19"/>
        <v>357.036</v>
      </c>
      <c r="I239" s="103"/>
      <c r="J239" s="103">
        <f t="shared" si="19"/>
        <v>2187.01</v>
      </c>
      <c r="K239" s="104">
        <f t="shared" si="19"/>
        <v>34745.878</v>
      </c>
      <c r="L239" s="7"/>
      <c r="M239" s="13"/>
      <c r="N239" s="12"/>
      <c r="O239" s="13"/>
    </row>
    <row r="240" spans="1:15" ht="15.75" hidden="1">
      <c r="A240" s="55" t="s">
        <v>14</v>
      </c>
      <c r="B240" s="104">
        <f>B289+B290+B291</f>
        <v>4972.1049</v>
      </c>
      <c r="C240" s="104">
        <f aca="true" t="shared" si="20" ref="C240:K240">C289+C290+C291</f>
        <v>22123.5</v>
      </c>
      <c r="D240" s="104">
        <f t="shared" si="20"/>
        <v>1039.01</v>
      </c>
      <c r="E240" s="104">
        <f t="shared" si="20"/>
        <v>933.4799999999999</v>
      </c>
      <c r="F240" s="104">
        <f t="shared" si="20"/>
        <v>216.705</v>
      </c>
      <c r="G240" s="104">
        <f t="shared" si="20"/>
        <v>960.2860000000001</v>
      </c>
      <c r="H240" s="104">
        <f t="shared" si="20"/>
        <v>716.971</v>
      </c>
      <c r="I240" s="122">
        <v>0</v>
      </c>
      <c r="J240" s="104">
        <f t="shared" si="20"/>
        <v>2615.768</v>
      </c>
      <c r="K240" s="104">
        <f t="shared" si="20"/>
        <v>33577.8249</v>
      </c>
      <c r="L240" s="8"/>
      <c r="M240" s="13"/>
      <c r="N240" s="12"/>
      <c r="O240" s="13"/>
    </row>
    <row r="241" spans="1:15" s="8" customFormat="1" ht="15.75" hidden="1">
      <c r="A241" s="55" t="s">
        <v>16</v>
      </c>
      <c r="B241" s="104">
        <f>B292+B293+B294</f>
        <v>10947.93</v>
      </c>
      <c r="C241" s="104">
        <f aca="true" t="shared" si="21" ref="C241:K241">C292+C293+C294</f>
        <v>13291.600000000002</v>
      </c>
      <c r="D241" s="104">
        <f t="shared" si="21"/>
        <v>1360.87</v>
      </c>
      <c r="E241" s="104">
        <f t="shared" si="21"/>
        <v>1063.1003</v>
      </c>
      <c r="F241" s="104">
        <f t="shared" si="21"/>
        <v>155.13</v>
      </c>
      <c r="G241" s="104">
        <f t="shared" si="21"/>
        <v>2200.3199999999997</v>
      </c>
      <c r="H241" s="104">
        <f t="shared" si="21"/>
        <v>322.164</v>
      </c>
      <c r="I241" s="122">
        <v>0</v>
      </c>
      <c r="J241" s="104">
        <f t="shared" si="21"/>
        <v>9297.655000000002</v>
      </c>
      <c r="K241" s="104">
        <f t="shared" si="21"/>
        <v>38638.7693</v>
      </c>
      <c r="M241" s="14"/>
      <c r="N241" s="28"/>
      <c r="O241" s="14"/>
    </row>
    <row r="242" spans="1:15" ht="15.75" hidden="1">
      <c r="A242" s="49" t="s">
        <v>48</v>
      </c>
      <c r="B242" s="102"/>
      <c r="C242" s="73"/>
      <c r="D242" s="80"/>
      <c r="E242" s="79"/>
      <c r="F242" s="64"/>
      <c r="G242" s="71"/>
      <c r="H242" s="79"/>
      <c r="I242" s="79"/>
      <c r="J242" s="72"/>
      <c r="K242" s="48"/>
      <c r="M242" s="13"/>
      <c r="N242" s="12"/>
      <c r="O242" s="13"/>
    </row>
    <row r="243" spans="1:15" ht="15.75" hidden="1">
      <c r="A243" s="55" t="s">
        <v>27</v>
      </c>
      <c r="B243" s="102">
        <v>2982.924</v>
      </c>
      <c r="C243" s="73">
        <v>3122.924</v>
      </c>
      <c r="D243" s="80">
        <v>589.92</v>
      </c>
      <c r="E243" s="79">
        <v>370.95</v>
      </c>
      <c r="F243" s="64">
        <v>65.64</v>
      </c>
      <c r="G243" s="71">
        <v>258.219</v>
      </c>
      <c r="H243" s="79">
        <v>41.532</v>
      </c>
      <c r="I243" s="79"/>
      <c r="J243" s="72" t="s">
        <v>69</v>
      </c>
      <c r="K243" s="48">
        <f aca="true" t="shared" si="22" ref="K243:K254">B243+C243+D243+E243+F243+G243+H243</f>
        <v>7432.109</v>
      </c>
      <c r="M243" s="13"/>
      <c r="N243" s="12"/>
      <c r="O243" s="13"/>
    </row>
    <row r="244" spans="1:15" ht="15.75" hidden="1">
      <c r="A244" s="55" t="s">
        <v>28</v>
      </c>
      <c r="B244" s="102">
        <v>4250.052</v>
      </c>
      <c r="C244" s="73">
        <v>2210.1</v>
      </c>
      <c r="D244" s="80">
        <v>477.366</v>
      </c>
      <c r="E244" s="79">
        <v>408.41</v>
      </c>
      <c r="F244" s="64">
        <v>157.68</v>
      </c>
      <c r="G244" s="71">
        <v>277.707</v>
      </c>
      <c r="H244" s="79">
        <v>48.72</v>
      </c>
      <c r="I244" s="79"/>
      <c r="J244" s="72" t="s">
        <v>69</v>
      </c>
      <c r="K244" s="48">
        <f t="shared" si="22"/>
        <v>7830.035000000001</v>
      </c>
      <c r="M244" s="13"/>
      <c r="N244" s="12"/>
      <c r="O244" s="13"/>
    </row>
    <row r="245" spans="1:15" ht="15.75" hidden="1">
      <c r="A245" s="55" t="s">
        <v>29</v>
      </c>
      <c r="B245" s="102">
        <v>5618.556</v>
      </c>
      <c r="C245" s="73">
        <v>2027.5</v>
      </c>
      <c r="D245" s="80">
        <v>320.37</v>
      </c>
      <c r="E245" s="79">
        <v>589.12</v>
      </c>
      <c r="F245" s="64">
        <v>153.383</v>
      </c>
      <c r="G245" s="71">
        <v>255.95</v>
      </c>
      <c r="H245" s="79">
        <v>35.416</v>
      </c>
      <c r="I245" s="79"/>
      <c r="J245" s="72" t="s">
        <v>69</v>
      </c>
      <c r="K245" s="48">
        <f t="shared" si="22"/>
        <v>9000.295</v>
      </c>
      <c r="M245" s="13"/>
      <c r="N245" s="12"/>
      <c r="O245" s="13"/>
    </row>
    <row r="246" spans="1:15" ht="15.75" hidden="1">
      <c r="A246" s="55" t="s">
        <v>19</v>
      </c>
      <c r="B246" s="102">
        <v>5046.58</v>
      </c>
      <c r="C246" s="73">
        <v>2904.8</v>
      </c>
      <c r="D246" s="80">
        <v>135.45</v>
      </c>
      <c r="E246" s="79">
        <v>557.36</v>
      </c>
      <c r="F246" s="64">
        <v>154.658</v>
      </c>
      <c r="G246" s="71">
        <v>302.862</v>
      </c>
      <c r="H246" s="79">
        <v>69.762</v>
      </c>
      <c r="I246" s="79"/>
      <c r="J246" s="72" t="s">
        <v>69</v>
      </c>
      <c r="K246" s="48">
        <f t="shared" si="22"/>
        <v>9171.472</v>
      </c>
      <c r="M246" s="13"/>
      <c r="N246" s="12"/>
      <c r="O246" s="13"/>
    </row>
    <row r="247" spans="1:15" ht="15.75" hidden="1">
      <c r="A247" s="55" t="s">
        <v>20</v>
      </c>
      <c r="B247" s="102">
        <v>3454.452</v>
      </c>
      <c r="C247" s="73">
        <v>4595.7</v>
      </c>
      <c r="D247" s="80">
        <v>259.9</v>
      </c>
      <c r="E247" s="79">
        <v>496.04</v>
      </c>
      <c r="F247" s="64">
        <v>155.506</v>
      </c>
      <c r="G247" s="71">
        <v>339.251</v>
      </c>
      <c r="H247" s="79">
        <v>77.76</v>
      </c>
      <c r="I247" s="79"/>
      <c r="J247" s="72" t="s">
        <v>69</v>
      </c>
      <c r="K247" s="48">
        <f t="shared" si="22"/>
        <v>9378.609</v>
      </c>
      <c r="M247" s="13"/>
      <c r="N247" s="12"/>
      <c r="O247" s="13"/>
    </row>
    <row r="248" spans="1:15" ht="15.75" hidden="1">
      <c r="A248" s="55" t="s">
        <v>30</v>
      </c>
      <c r="B248" s="102">
        <v>3086.964</v>
      </c>
      <c r="C248" s="73">
        <v>5529.5</v>
      </c>
      <c r="D248" s="80">
        <v>308.34</v>
      </c>
      <c r="E248" s="79" t="s">
        <v>39</v>
      </c>
      <c r="F248" s="64">
        <v>52.245</v>
      </c>
      <c r="G248" s="71">
        <v>347.555</v>
      </c>
      <c r="H248" s="79">
        <v>112.488</v>
      </c>
      <c r="I248" s="79"/>
      <c r="J248" s="72" t="s">
        <v>69</v>
      </c>
      <c r="K248" s="48">
        <f t="shared" si="22"/>
        <v>9437.092</v>
      </c>
      <c r="M248" s="13"/>
      <c r="N248" s="12"/>
      <c r="O248" s="13"/>
    </row>
    <row r="249" spans="1:15" ht="15.75" hidden="1">
      <c r="A249" s="55" t="s">
        <v>21</v>
      </c>
      <c r="B249" s="102">
        <v>2705.94</v>
      </c>
      <c r="C249" s="73">
        <v>6063.1</v>
      </c>
      <c r="D249" s="80">
        <v>299.46</v>
      </c>
      <c r="E249" s="79">
        <v>323.14</v>
      </c>
      <c r="F249" s="64">
        <v>43.62</v>
      </c>
      <c r="G249" s="71">
        <v>342.326</v>
      </c>
      <c r="H249" s="79">
        <v>91.68</v>
      </c>
      <c r="I249" s="79"/>
      <c r="J249" s="72" t="s">
        <v>69</v>
      </c>
      <c r="K249" s="48">
        <f t="shared" si="22"/>
        <v>9869.266</v>
      </c>
      <c r="M249" s="13"/>
      <c r="N249" s="12"/>
      <c r="O249" s="13"/>
    </row>
    <row r="250" spans="1:15" ht="15.75" hidden="1">
      <c r="A250" s="55" t="s">
        <v>22</v>
      </c>
      <c r="B250" s="102">
        <v>2532.636</v>
      </c>
      <c r="C250" s="73">
        <v>6865.3</v>
      </c>
      <c r="D250" s="80">
        <v>321.08</v>
      </c>
      <c r="E250" s="79">
        <v>262.48</v>
      </c>
      <c r="F250" s="64">
        <v>41.66</v>
      </c>
      <c r="G250" s="71">
        <v>289.708</v>
      </c>
      <c r="H250" s="79">
        <v>101.772</v>
      </c>
      <c r="I250" s="79"/>
      <c r="J250" s="72" t="s">
        <v>69</v>
      </c>
      <c r="K250" s="48">
        <f t="shared" si="22"/>
        <v>10414.636</v>
      </c>
      <c r="M250" s="13"/>
      <c r="N250" s="12"/>
      <c r="O250" s="13"/>
    </row>
    <row r="251" spans="1:15" ht="15.75" hidden="1">
      <c r="A251" s="55" t="s">
        <v>23</v>
      </c>
      <c r="B251" s="102">
        <v>2494.476</v>
      </c>
      <c r="C251" s="73">
        <v>6448.4</v>
      </c>
      <c r="D251" s="80">
        <v>299.71</v>
      </c>
      <c r="E251" s="79">
        <v>250.28</v>
      </c>
      <c r="F251" s="64">
        <v>44.52</v>
      </c>
      <c r="G251" s="71">
        <v>268.755</v>
      </c>
      <c r="H251" s="79">
        <v>61.164</v>
      </c>
      <c r="I251" s="79"/>
      <c r="J251" s="72" t="s">
        <v>69</v>
      </c>
      <c r="K251" s="48">
        <f t="shared" si="22"/>
        <v>9867.305</v>
      </c>
      <c r="M251" s="13"/>
      <c r="N251" s="12"/>
      <c r="O251" s="13"/>
    </row>
    <row r="252" spans="1:15" ht="15.75" hidden="1">
      <c r="A252" s="55" t="s">
        <v>24</v>
      </c>
      <c r="B252" s="102">
        <v>3258</v>
      </c>
      <c r="C252" s="73">
        <v>5163.1</v>
      </c>
      <c r="D252" s="80">
        <v>346.03</v>
      </c>
      <c r="E252" s="79">
        <v>354</v>
      </c>
      <c r="F252" s="64">
        <v>46.185</v>
      </c>
      <c r="G252" s="71">
        <v>327.577</v>
      </c>
      <c r="H252" s="79">
        <v>111.108</v>
      </c>
      <c r="I252" s="79"/>
      <c r="J252" s="72" t="s">
        <v>69</v>
      </c>
      <c r="K252" s="48">
        <f t="shared" si="22"/>
        <v>9606</v>
      </c>
      <c r="M252" s="13"/>
      <c r="N252" s="12"/>
      <c r="O252" s="13"/>
    </row>
    <row r="253" spans="1:15" ht="15.75" hidden="1">
      <c r="A253" s="55" t="s">
        <v>25</v>
      </c>
      <c r="B253" s="102">
        <v>3492.36</v>
      </c>
      <c r="C253" s="73">
        <v>4849</v>
      </c>
      <c r="D253" s="80">
        <v>301.69</v>
      </c>
      <c r="E253" s="79">
        <v>354.05</v>
      </c>
      <c r="F253" s="64">
        <v>49.17</v>
      </c>
      <c r="G253" s="71">
        <v>326.197</v>
      </c>
      <c r="H253" s="79">
        <v>115.08</v>
      </c>
      <c r="I253" s="79"/>
      <c r="J253" s="72" t="s">
        <v>69</v>
      </c>
      <c r="K253" s="48">
        <f t="shared" si="22"/>
        <v>9487.547</v>
      </c>
      <c r="M253" s="13"/>
      <c r="N253" s="12"/>
      <c r="O253" s="13"/>
    </row>
    <row r="254" spans="1:15" ht="15.75" hidden="1">
      <c r="A254" s="55" t="s">
        <v>26</v>
      </c>
      <c r="B254" s="102">
        <v>3448.332</v>
      </c>
      <c r="C254" s="73">
        <v>5547.7</v>
      </c>
      <c r="D254" s="80">
        <v>595.14</v>
      </c>
      <c r="E254" s="79">
        <v>314.97</v>
      </c>
      <c r="F254" s="64">
        <v>61.5</v>
      </c>
      <c r="G254" s="71">
        <v>312.44</v>
      </c>
      <c r="H254" s="79">
        <v>14.892</v>
      </c>
      <c r="I254" s="79"/>
      <c r="J254" s="72" t="s">
        <v>69</v>
      </c>
      <c r="K254" s="48">
        <f t="shared" si="22"/>
        <v>10294.973999999998</v>
      </c>
      <c r="M254" s="13"/>
      <c r="N254" s="12"/>
      <c r="O254" s="13"/>
    </row>
    <row r="255" spans="1:15" ht="15.75" hidden="1">
      <c r="A255" s="55"/>
      <c r="B255" s="102"/>
      <c r="C255" s="73"/>
      <c r="D255" s="80"/>
      <c r="E255" s="79"/>
      <c r="F255" s="64"/>
      <c r="G255" s="71"/>
      <c r="H255" s="79"/>
      <c r="I255" s="79"/>
      <c r="J255" s="72"/>
      <c r="K255" s="48"/>
      <c r="M255" s="13"/>
      <c r="N255" s="12"/>
      <c r="O255" s="13"/>
    </row>
    <row r="256" spans="1:15" ht="15.75" hidden="1">
      <c r="A256" s="49" t="s">
        <v>51</v>
      </c>
      <c r="B256" s="102"/>
      <c r="C256" s="73"/>
      <c r="D256" s="80"/>
      <c r="E256" s="79"/>
      <c r="F256" s="64"/>
      <c r="G256" s="71"/>
      <c r="H256" s="79"/>
      <c r="I256" s="79"/>
      <c r="J256" s="72"/>
      <c r="K256" s="48"/>
      <c r="M256" s="13"/>
      <c r="N256" s="12"/>
      <c r="O256" s="13"/>
    </row>
    <row r="257" spans="1:15" ht="15.75" hidden="1">
      <c r="A257" s="55" t="s">
        <v>79</v>
      </c>
      <c r="B257" s="102">
        <f>SUM(B326:B328)</f>
        <v>12725.202000000001</v>
      </c>
      <c r="C257" s="103">
        <f aca="true" t="shared" si="23" ref="C257:K257">SUM(C326:C328)</f>
        <v>10242.2</v>
      </c>
      <c r="D257" s="103">
        <f t="shared" si="23"/>
        <v>1685.2069999999999</v>
      </c>
      <c r="E257" s="103">
        <f t="shared" si="23"/>
        <v>1332.93</v>
      </c>
      <c r="F257" s="103">
        <f t="shared" si="23"/>
        <v>208.66500000000002</v>
      </c>
      <c r="G257" s="103">
        <f t="shared" si="23"/>
        <v>2220.757</v>
      </c>
      <c r="H257" s="103">
        <f t="shared" si="23"/>
        <v>361.2</v>
      </c>
      <c r="I257" s="122">
        <v>0</v>
      </c>
      <c r="J257" s="103">
        <f t="shared" si="23"/>
        <v>6567.573</v>
      </c>
      <c r="K257" s="104">
        <f t="shared" si="23"/>
        <v>35343.734</v>
      </c>
      <c r="L257" s="7"/>
      <c r="M257" s="13"/>
      <c r="N257" s="12"/>
      <c r="O257" s="13"/>
    </row>
    <row r="258" spans="1:15" ht="15.75" hidden="1">
      <c r="A258" s="38" t="s">
        <v>37</v>
      </c>
      <c r="B258" s="104">
        <f>SUM(B329:B331)</f>
        <v>11744.865</v>
      </c>
      <c r="C258" s="104">
        <f aca="true" t="shared" si="24" ref="C258:K258">SUM(C329:C331)</f>
        <v>16494.3</v>
      </c>
      <c r="D258" s="104">
        <f t="shared" si="24"/>
        <v>1039.38</v>
      </c>
      <c r="E258" s="104">
        <f t="shared" si="24"/>
        <v>1430.83</v>
      </c>
      <c r="F258" s="104">
        <f t="shared" si="24"/>
        <v>279.345</v>
      </c>
      <c r="G258" s="104">
        <f t="shared" si="24"/>
        <v>2964.436472</v>
      </c>
      <c r="H258" s="104">
        <f t="shared" si="24"/>
        <v>383.124</v>
      </c>
      <c r="I258" s="122">
        <v>0</v>
      </c>
      <c r="J258" s="104">
        <f t="shared" si="24"/>
        <v>4595.4220000000005</v>
      </c>
      <c r="K258" s="105">
        <f t="shared" si="24"/>
        <v>38931.702472</v>
      </c>
      <c r="L258" s="8"/>
      <c r="M258" s="13"/>
      <c r="N258" s="12"/>
      <c r="O258" s="13"/>
    </row>
    <row r="259" spans="1:15" ht="15.75" hidden="1">
      <c r="A259" s="38" t="s">
        <v>72</v>
      </c>
      <c r="B259" s="104">
        <f>SUM(B332:B334)</f>
        <v>8445.874</v>
      </c>
      <c r="C259" s="104">
        <f aca="true" t="shared" si="25" ref="C259:K259">SUM(C332:C334)</f>
        <v>19218.2</v>
      </c>
      <c r="D259" s="104">
        <f t="shared" si="25"/>
        <v>951.2299999999999</v>
      </c>
      <c r="E259" s="104">
        <f t="shared" si="25"/>
        <v>876.4499999999999</v>
      </c>
      <c r="F259" s="104">
        <f t="shared" si="25"/>
        <v>209.7</v>
      </c>
      <c r="G259" s="104">
        <f t="shared" si="25"/>
        <v>3172.95374</v>
      </c>
      <c r="H259" s="104">
        <f>SUM(H332:H334)</f>
        <v>364.632</v>
      </c>
      <c r="I259" s="122">
        <v>0</v>
      </c>
      <c r="J259" s="104">
        <f t="shared" si="25"/>
        <v>1196.24</v>
      </c>
      <c r="K259" s="105">
        <f t="shared" si="25"/>
        <v>34435.27974</v>
      </c>
      <c r="L259" s="8"/>
      <c r="M259" s="13"/>
      <c r="N259" s="12"/>
      <c r="O259" s="13"/>
    </row>
    <row r="260" spans="1:15" ht="15.75" hidden="1">
      <c r="A260" s="55" t="s">
        <v>16</v>
      </c>
      <c r="B260" s="104">
        <f>SUM(B335:B337)</f>
        <v>13659.6915</v>
      </c>
      <c r="C260" s="104">
        <f aca="true" t="shared" si="26" ref="C260:K260">SUM(C335:C337)</f>
        <v>11589</v>
      </c>
      <c r="D260" s="104">
        <f t="shared" si="26"/>
        <v>1320.6599999999999</v>
      </c>
      <c r="E260" s="104">
        <f t="shared" si="26"/>
        <v>1500.1799999999998</v>
      </c>
      <c r="F260" s="104">
        <f t="shared" si="26"/>
        <v>714.135</v>
      </c>
      <c r="G260" s="104">
        <f t="shared" si="26"/>
        <v>2743.05426</v>
      </c>
      <c r="H260" s="104">
        <f t="shared" si="26"/>
        <v>367.524</v>
      </c>
      <c r="I260" s="122">
        <v>0</v>
      </c>
      <c r="J260" s="104">
        <f t="shared" si="26"/>
        <v>545.57</v>
      </c>
      <c r="K260" s="104">
        <f t="shared" si="26"/>
        <v>32439.81476</v>
      </c>
      <c r="L260" s="8"/>
      <c r="M260" s="13"/>
      <c r="N260" s="12"/>
      <c r="O260" s="13"/>
    </row>
    <row r="261" spans="1:15" ht="15.75" hidden="1">
      <c r="A261" s="55"/>
      <c r="B261" s="102"/>
      <c r="C261" s="104"/>
      <c r="D261" s="102"/>
      <c r="E261" s="104"/>
      <c r="F261" s="102"/>
      <c r="G261" s="104"/>
      <c r="H261" s="104"/>
      <c r="I261" s="104"/>
      <c r="J261" s="104"/>
      <c r="K261" s="104"/>
      <c r="L261" s="8"/>
      <c r="M261" s="13"/>
      <c r="N261" s="12"/>
      <c r="O261" s="13"/>
    </row>
    <row r="262" spans="1:11" ht="15.75" hidden="1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</row>
    <row r="263" spans="1:15" ht="15.75" hidden="1">
      <c r="A263" s="55" t="s">
        <v>27</v>
      </c>
      <c r="B263" s="102">
        <v>4835.412</v>
      </c>
      <c r="C263" s="73">
        <v>3492</v>
      </c>
      <c r="D263" s="80">
        <v>444.58</v>
      </c>
      <c r="E263" s="79">
        <v>460.19</v>
      </c>
      <c r="F263" s="64">
        <v>91.56</v>
      </c>
      <c r="G263" s="71">
        <v>301.894</v>
      </c>
      <c r="H263" s="79">
        <v>52.32</v>
      </c>
      <c r="I263" s="79"/>
      <c r="J263" s="72" t="s">
        <v>69</v>
      </c>
      <c r="K263" s="48">
        <f aca="true" t="shared" si="27" ref="K263:K269">B263+C263+D263+E263+F263+G263+H263</f>
        <v>9677.956</v>
      </c>
      <c r="M263" s="13"/>
      <c r="N263" s="12"/>
      <c r="O263" s="13"/>
    </row>
    <row r="264" spans="1:15" ht="15.75" hidden="1">
      <c r="A264" s="55" t="s">
        <v>28</v>
      </c>
      <c r="B264" s="102">
        <v>4580.532</v>
      </c>
      <c r="C264" s="73">
        <v>2625.8</v>
      </c>
      <c r="D264" s="80">
        <v>448.2</v>
      </c>
      <c r="E264" s="79">
        <v>460.31</v>
      </c>
      <c r="F264" s="64">
        <v>71.475</v>
      </c>
      <c r="G264" s="71">
        <v>288.455</v>
      </c>
      <c r="H264" s="79">
        <v>91.068</v>
      </c>
      <c r="I264" s="79"/>
      <c r="J264" s="72" t="s">
        <v>69</v>
      </c>
      <c r="K264" s="48">
        <f t="shared" si="27"/>
        <v>8565.84</v>
      </c>
      <c r="M264" s="13"/>
      <c r="N264" s="12"/>
      <c r="O264" s="13"/>
    </row>
    <row r="265" spans="1:15" ht="15.75" hidden="1">
      <c r="A265" s="55" t="s">
        <v>29</v>
      </c>
      <c r="B265" s="102">
        <v>5409.936</v>
      </c>
      <c r="C265" s="73">
        <v>2933.1</v>
      </c>
      <c r="D265" s="80">
        <v>386.59</v>
      </c>
      <c r="E265" s="79">
        <v>504.4</v>
      </c>
      <c r="F265" s="64">
        <v>225.63</v>
      </c>
      <c r="G265" s="71">
        <v>325.957</v>
      </c>
      <c r="H265" s="79">
        <v>97.548</v>
      </c>
      <c r="I265" s="79"/>
      <c r="J265" s="72" t="s">
        <v>69</v>
      </c>
      <c r="K265" s="48">
        <f t="shared" si="27"/>
        <v>9883.161</v>
      </c>
      <c r="M265" s="13"/>
      <c r="N265" s="12"/>
      <c r="O265" s="13"/>
    </row>
    <row r="266" spans="1:15" ht="15.75" hidden="1">
      <c r="A266" s="55" t="s">
        <v>19</v>
      </c>
      <c r="B266" s="102">
        <v>5219.91</v>
      </c>
      <c r="C266" s="73">
        <v>2522</v>
      </c>
      <c r="D266" s="80">
        <v>461.08</v>
      </c>
      <c r="E266" s="79">
        <v>574.4</v>
      </c>
      <c r="F266" s="64">
        <v>232.665</v>
      </c>
      <c r="G266" s="71">
        <v>302.76</v>
      </c>
      <c r="H266" s="79">
        <v>114.132</v>
      </c>
      <c r="I266" s="79"/>
      <c r="J266" s="72" t="s">
        <v>69</v>
      </c>
      <c r="K266" s="48">
        <f t="shared" si="27"/>
        <v>9426.947</v>
      </c>
      <c r="M266" s="13"/>
      <c r="N266" s="12"/>
      <c r="O266" s="13"/>
    </row>
    <row r="267" spans="1:15" ht="15.75" hidden="1">
      <c r="A267" s="55" t="s">
        <v>20</v>
      </c>
      <c r="B267" s="102">
        <v>4720.608</v>
      </c>
      <c r="C267" s="73">
        <v>3567.8</v>
      </c>
      <c r="D267" s="80">
        <v>541.54</v>
      </c>
      <c r="E267" s="79">
        <v>574.42</v>
      </c>
      <c r="F267" s="64">
        <v>253.5</v>
      </c>
      <c r="G267" s="71">
        <v>314.928</v>
      </c>
      <c r="H267" s="79">
        <v>158.412</v>
      </c>
      <c r="I267" s="79"/>
      <c r="J267" s="72" t="s">
        <v>69</v>
      </c>
      <c r="K267" s="48">
        <f t="shared" si="27"/>
        <v>10131.208</v>
      </c>
      <c r="M267" s="13"/>
      <c r="N267" s="12"/>
      <c r="O267" s="13"/>
    </row>
    <row r="268" spans="1:15" ht="15.75" hidden="1">
      <c r="A268" s="55" t="s">
        <v>30</v>
      </c>
      <c r="B268" s="102">
        <v>3609.36</v>
      </c>
      <c r="C268" s="73">
        <v>4927.9</v>
      </c>
      <c r="D268" s="80">
        <v>592.1</v>
      </c>
      <c r="E268" s="79">
        <v>399.58</v>
      </c>
      <c r="F268" s="64">
        <v>128.55</v>
      </c>
      <c r="G268" s="71">
        <v>231.295</v>
      </c>
      <c r="H268" s="79">
        <v>103.116</v>
      </c>
      <c r="I268" s="79"/>
      <c r="J268" s="72" t="s">
        <v>69</v>
      </c>
      <c r="K268" s="48">
        <f t="shared" si="27"/>
        <v>9991.901</v>
      </c>
      <c r="M268" s="13"/>
      <c r="N268" s="12"/>
      <c r="O268" s="13"/>
    </row>
    <row r="269" spans="1:15" ht="15.75" hidden="1">
      <c r="A269" s="55" t="s">
        <v>21</v>
      </c>
      <c r="B269" s="102">
        <v>2868.264</v>
      </c>
      <c r="C269" s="73">
        <v>6315.2</v>
      </c>
      <c r="D269" s="80">
        <v>531.99</v>
      </c>
      <c r="E269" s="79">
        <v>315.13</v>
      </c>
      <c r="F269" s="64">
        <v>87.13</v>
      </c>
      <c r="G269" s="71">
        <v>200.568</v>
      </c>
      <c r="H269" s="79">
        <v>116.64</v>
      </c>
      <c r="I269" s="79"/>
      <c r="J269" s="72" t="s">
        <v>69</v>
      </c>
      <c r="K269" s="48">
        <f t="shared" si="27"/>
        <v>10434.921999999997</v>
      </c>
      <c r="M269" s="13"/>
      <c r="N269" s="12"/>
      <c r="O269" s="13"/>
    </row>
    <row r="270" spans="1:15" ht="15.75" hidden="1">
      <c r="A270" s="55" t="s">
        <v>22</v>
      </c>
      <c r="B270" s="102">
        <v>2808.108</v>
      </c>
      <c r="C270" s="73">
        <v>6039.3</v>
      </c>
      <c r="D270" s="80">
        <v>466.46</v>
      </c>
      <c r="E270" s="79">
        <v>269.11</v>
      </c>
      <c r="F270" s="64">
        <v>67.92</v>
      </c>
      <c r="G270" s="71">
        <v>327.145</v>
      </c>
      <c r="H270" s="79">
        <v>83.988</v>
      </c>
      <c r="I270" s="79"/>
      <c r="J270" s="79">
        <v>697.8</v>
      </c>
      <c r="K270" s="48">
        <f>B270+C270+D270+E270+F270+G270+H270+J270</f>
        <v>10759.830999999998</v>
      </c>
      <c r="M270" s="13"/>
      <c r="N270" s="12"/>
      <c r="O270" s="13"/>
    </row>
    <row r="271" spans="1:15" ht="15.75" hidden="1">
      <c r="A271" s="55" t="s">
        <v>23</v>
      </c>
      <c r="B271" s="102">
        <v>2964.816</v>
      </c>
      <c r="C271" s="73">
        <v>5012.4</v>
      </c>
      <c r="D271" s="80">
        <v>346.54</v>
      </c>
      <c r="E271" s="79">
        <v>277.49</v>
      </c>
      <c r="F271" s="64">
        <v>62.085</v>
      </c>
      <c r="G271" s="71">
        <v>703.437</v>
      </c>
      <c r="H271" s="79">
        <v>68.148</v>
      </c>
      <c r="I271" s="79"/>
      <c r="J271" s="79">
        <v>870.54</v>
      </c>
      <c r="K271" s="48">
        <f>B271+C271+D271+E271+F271+G271+H271+J271</f>
        <v>10305.455999999998</v>
      </c>
      <c r="M271" s="13"/>
      <c r="N271" s="12"/>
      <c r="O271" s="13"/>
    </row>
    <row r="272" spans="1:15" ht="15.75" hidden="1">
      <c r="A272" s="55" t="s">
        <v>24</v>
      </c>
      <c r="B272" s="102">
        <v>3119.112</v>
      </c>
      <c r="C272" s="73">
        <v>4063.2</v>
      </c>
      <c r="D272" s="80">
        <v>363.57</v>
      </c>
      <c r="E272" s="79">
        <v>297.97</v>
      </c>
      <c r="F272" s="64">
        <v>28.38</v>
      </c>
      <c r="G272" s="71">
        <v>1053.187</v>
      </c>
      <c r="H272" s="79">
        <v>93.708</v>
      </c>
      <c r="I272" s="79"/>
      <c r="J272" s="79">
        <v>908.55</v>
      </c>
      <c r="K272" s="48">
        <f>B272+C272+D272+E272+F272+G272+H272+J272</f>
        <v>9927.677</v>
      </c>
      <c r="M272" s="13"/>
      <c r="N272" s="12"/>
      <c r="O272" s="13"/>
    </row>
    <row r="273" spans="1:15" ht="15.75" hidden="1">
      <c r="A273" s="55" t="s">
        <v>25</v>
      </c>
      <c r="B273" s="102">
        <v>4251.564</v>
      </c>
      <c r="C273" s="73">
        <v>3746.2</v>
      </c>
      <c r="D273" s="80">
        <v>435.14</v>
      </c>
      <c r="E273" s="79">
        <v>445.54</v>
      </c>
      <c r="F273" s="64">
        <v>52.005</v>
      </c>
      <c r="G273" s="71">
        <v>804.041</v>
      </c>
      <c r="H273" s="79">
        <v>107.868</v>
      </c>
      <c r="I273" s="79"/>
      <c r="J273" s="79">
        <v>785.25</v>
      </c>
      <c r="K273" s="48">
        <f>B273+C273+D273+E273+F273+G273+H273+J273</f>
        <v>10627.608</v>
      </c>
      <c r="M273" s="13"/>
      <c r="N273" s="12"/>
      <c r="O273" s="13"/>
    </row>
    <row r="274" spans="1:15" ht="15.75" hidden="1">
      <c r="A274" s="55" t="s">
        <v>26</v>
      </c>
      <c r="B274" s="102">
        <v>4479.3</v>
      </c>
      <c r="C274" s="73">
        <v>3989.7</v>
      </c>
      <c r="D274" s="80">
        <v>326.55</v>
      </c>
      <c r="E274" s="79">
        <v>480.42</v>
      </c>
      <c r="F274" s="64">
        <v>78.825</v>
      </c>
      <c r="G274" s="71">
        <v>822.196</v>
      </c>
      <c r="H274" s="79">
        <v>131.1</v>
      </c>
      <c r="I274" s="79"/>
      <c r="J274" s="79">
        <v>1106.7</v>
      </c>
      <c r="K274" s="48">
        <f>B274+C274+D274+E274+F274+G274+H274+J274</f>
        <v>11414.791000000001</v>
      </c>
      <c r="M274" s="13"/>
      <c r="N274" s="12"/>
      <c r="O274" s="13"/>
    </row>
    <row r="275" spans="1:15" ht="15.75" hidden="1">
      <c r="A275" s="55"/>
      <c r="B275" s="102"/>
      <c r="C275" s="73"/>
      <c r="D275" s="80"/>
      <c r="E275" s="79"/>
      <c r="F275" s="64"/>
      <c r="G275" s="71"/>
      <c r="H275" s="79"/>
      <c r="I275" s="79"/>
      <c r="J275" s="79"/>
      <c r="K275" s="48"/>
      <c r="M275" s="13"/>
      <c r="N275" s="12"/>
      <c r="O275" s="13"/>
    </row>
    <row r="276" spans="1:15" ht="15.75" hidden="1">
      <c r="A276" s="49" t="s">
        <v>52</v>
      </c>
      <c r="B276" s="102"/>
      <c r="C276" s="73"/>
      <c r="D276" s="80"/>
      <c r="E276" s="79"/>
      <c r="F276" s="64"/>
      <c r="G276" s="71"/>
      <c r="H276" s="79"/>
      <c r="I276" s="79"/>
      <c r="J276" s="72"/>
      <c r="K276" s="48"/>
      <c r="M276" s="13"/>
      <c r="N276" s="12"/>
      <c r="O276" s="13"/>
    </row>
    <row r="277" spans="1:15" ht="15.75" hidden="1">
      <c r="A277" s="55" t="s">
        <v>78</v>
      </c>
      <c r="B277" s="104">
        <f>SUM(B340:B342)</f>
        <v>15029.6685</v>
      </c>
      <c r="C277" s="104">
        <f aca="true" t="shared" si="28" ref="C277:H277">SUM(C340:C342)</f>
        <v>18972.3</v>
      </c>
      <c r="D277" s="104">
        <f t="shared" si="28"/>
        <v>856.6</v>
      </c>
      <c r="E277" s="104">
        <f t="shared" si="28"/>
        <v>1517.52</v>
      </c>
      <c r="F277" s="104">
        <f t="shared" si="28"/>
        <v>257.415</v>
      </c>
      <c r="G277" s="104">
        <f t="shared" si="28"/>
        <v>2404.165</v>
      </c>
      <c r="H277" s="104">
        <f t="shared" si="28"/>
        <v>408.34799999999996</v>
      </c>
      <c r="I277" s="122">
        <v>0</v>
      </c>
      <c r="J277" s="106" t="s">
        <v>35</v>
      </c>
      <c r="K277" s="104">
        <f>SUM(K340:K342)</f>
        <v>39446.0165</v>
      </c>
      <c r="L277" s="7"/>
      <c r="M277" s="13"/>
      <c r="N277" s="12"/>
      <c r="O277" s="13"/>
    </row>
    <row r="278" spans="1:15" ht="15.75" hidden="1">
      <c r="A278" s="38" t="s">
        <v>37</v>
      </c>
      <c r="B278" s="104">
        <f>SUM(B343:B345)</f>
        <v>14639.982</v>
      </c>
      <c r="C278" s="105">
        <f aca="true" t="shared" si="29" ref="C278:K278">SUM(C343:C345)</f>
        <v>16261.3</v>
      </c>
      <c r="D278" s="104">
        <f t="shared" si="29"/>
        <v>1687.53</v>
      </c>
      <c r="E278" s="104">
        <f t="shared" si="29"/>
        <v>1699.5</v>
      </c>
      <c r="F278" s="104">
        <f t="shared" si="29"/>
        <v>411.94500000000005</v>
      </c>
      <c r="G278" s="104">
        <f t="shared" si="29"/>
        <v>2347.6769999999997</v>
      </c>
      <c r="H278" s="104">
        <f>SUM(H343:H345)</f>
        <v>338.196</v>
      </c>
      <c r="I278" s="122">
        <v>0</v>
      </c>
      <c r="J278" s="102">
        <f>SUM(J343:J345)</f>
        <v>63.89</v>
      </c>
      <c r="K278" s="104">
        <f t="shared" si="29"/>
        <v>37450.020000000004</v>
      </c>
      <c r="L278" s="8"/>
      <c r="M278" s="13"/>
      <c r="N278" s="12"/>
      <c r="O278" s="13"/>
    </row>
    <row r="279" spans="1:15" ht="15.75" hidden="1">
      <c r="A279" s="38" t="s">
        <v>72</v>
      </c>
      <c r="B279" s="104">
        <f>SUM(B346:B348)</f>
        <v>9096.187</v>
      </c>
      <c r="C279" s="104">
        <f aca="true" t="shared" si="30" ref="C279:K279">SUM(C346:C348)</f>
        <v>15172.3</v>
      </c>
      <c r="D279" s="104">
        <f t="shared" si="30"/>
        <v>1840.98</v>
      </c>
      <c r="E279" s="104">
        <f t="shared" si="30"/>
        <v>1190.44</v>
      </c>
      <c r="F279" s="104">
        <f t="shared" si="30"/>
        <v>229.245</v>
      </c>
      <c r="G279" s="104">
        <f t="shared" si="30"/>
        <v>2144.378</v>
      </c>
      <c r="H279" s="104">
        <f t="shared" si="30"/>
        <v>287.544</v>
      </c>
      <c r="I279" s="122">
        <v>0</v>
      </c>
      <c r="J279" s="104">
        <f t="shared" si="30"/>
        <v>1653.5900000000001</v>
      </c>
      <c r="K279" s="104">
        <f t="shared" si="30"/>
        <v>31614.663999999997</v>
      </c>
      <c r="L279" s="8"/>
      <c r="M279" s="13"/>
      <c r="N279" s="12"/>
      <c r="O279" s="13"/>
    </row>
    <row r="280" spans="1:15" ht="15.75" hidden="1">
      <c r="A280" s="38" t="s">
        <v>15</v>
      </c>
      <c r="B280" s="104">
        <f>SUM(B349:B351)</f>
        <v>12562.94</v>
      </c>
      <c r="C280" s="104">
        <f>SUM(C349:C351)</f>
        <v>13326.900000000001</v>
      </c>
      <c r="D280" s="104">
        <f aca="true" t="shared" si="31" ref="D280:K280">SUM(D349:D351)</f>
        <v>2209.6000000000004</v>
      </c>
      <c r="E280" s="104">
        <f t="shared" si="31"/>
        <v>832.6899999999999</v>
      </c>
      <c r="F280" s="104">
        <f t="shared" si="31"/>
        <v>292.89</v>
      </c>
      <c r="G280" s="104">
        <f t="shared" si="31"/>
        <v>2429.225</v>
      </c>
      <c r="H280" s="104">
        <f>SUM(H349:H351)</f>
        <v>359.748</v>
      </c>
      <c r="I280" s="122">
        <v>0</v>
      </c>
      <c r="J280" s="104">
        <f t="shared" si="31"/>
        <v>1170.12</v>
      </c>
      <c r="K280" s="104">
        <f t="shared" si="31"/>
        <v>33184.113</v>
      </c>
      <c r="L280" s="8"/>
      <c r="M280" s="13"/>
      <c r="N280" s="12"/>
      <c r="O280" s="13"/>
    </row>
    <row r="281" spans="1:15" ht="15.75" hidden="1">
      <c r="A281" s="55"/>
      <c r="B281" s="102"/>
      <c r="C281" s="104"/>
      <c r="D281" s="102"/>
      <c r="E281" s="104"/>
      <c r="F281" s="102"/>
      <c r="G281" s="104"/>
      <c r="H281" s="104"/>
      <c r="I281" s="104"/>
      <c r="J281" s="106"/>
      <c r="K281" s="104"/>
      <c r="L281" s="8"/>
      <c r="M281" s="13"/>
      <c r="N281" s="12"/>
      <c r="O281" s="13"/>
    </row>
    <row r="282" spans="1:15" ht="15.75" hidden="1">
      <c r="A282" s="49" t="s">
        <v>50</v>
      </c>
      <c r="B282" s="102"/>
      <c r="C282" s="73"/>
      <c r="D282" s="80"/>
      <c r="E282" s="79"/>
      <c r="F282" s="64"/>
      <c r="G282" s="71"/>
      <c r="H282" s="79"/>
      <c r="I282" s="79"/>
      <c r="J282" s="79"/>
      <c r="K282" s="48"/>
      <c r="M282" s="13"/>
      <c r="N282" s="12"/>
      <c r="O282" s="13"/>
    </row>
    <row r="283" spans="1:15" ht="15.75" hidden="1">
      <c r="A283" s="55" t="s">
        <v>27</v>
      </c>
      <c r="B283" s="102">
        <v>4928.94</v>
      </c>
      <c r="C283" s="73">
        <v>3567.7</v>
      </c>
      <c r="D283" s="80">
        <v>332</v>
      </c>
      <c r="E283" s="79">
        <v>506.97</v>
      </c>
      <c r="F283" s="64">
        <v>252.015</v>
      </c>
      <c r="G283" s="71">
        <v>1072.685</v>
      </c>
      <c r="H283" s="79">
        <v>119.208</v>
      </c>
      <c r="I283" s="79"/>
      <c r="J283" s="79">
        <v>1178.22</v>
      </c>
      <c r="K283" s="48">
        <f>B283+C283+D283+E283+F283+G283+H283+J283</f>
        <v>11957.737999999998</v>
      </c>
      <c r="M283" s="13"/>
      <c r="N283" s="12"/>
      <c r="O283" s="13"/>
    </row>
    <row r="284" spans="1:15" ht="15.75" hidden="1">
      <c r="A284" s="55" t="s">
        <v>28</v>
      </c>
      <c r="B284" s="102">
        <v>3692.8</v>
      </c>
      <c r="C284" s="73">
        <v>4231.5</v>
      </c>
      <c r="D284" s="80">
        <v>308.5</v>
      </c>
      <c r="E284" s="79">
        <v>516.39</v>
      </c>
      <c r="F284" s="64">
        <v>147.195</v>
      </c>
      <c r="G284" s="71">
        <v>542.813</v>
      </c>
      <c r="H284" s="79">
        <v>107.913</v>
      </c>
      <c r="I284" s="79"/>
      <c r="J284" s="79">
        <v>1248.76</v>
      </c>
      <c r="K284" s="48">
        <f aca="true" t="shared" si="32" ref="K284:K294">SUM(B284:J284)</f>
        <v>10795.871</v>
      </c>
      <c r="M284" s="13"/>
      <c r="N284" s="12"/>
      <c r="O284" s="13"/>
    </row>
    <row r="285" spans="1:15" ht="15.75" hidden="1">
      <c r="A285" s="55" t="s">
        <v>29</v>
      </c>
      <c r="B285" s="102">
        <v>5187.4</v>
      </c>
      <c r="C285" s="73">
        <v>4331.6</v>
      </c>
      <c r="D285" s="80">
        <v>336.9</v>
      </c>
      <c r="E285" s="79">
        <v>615.5</v>
      </c>
      <c r="F285" s="64">
        <v>257.6</v>
      </c>
      <c r="G285" s="71">
        <v>474.8</v>
      </c>
      <c r="H285" s="79">
        <v>102.4</v>
      </c>
      <c r="I285" s="79"/>
      <c r="J285" s="79">
        <v>1008.9</v>
      </c>
      <c r="K285" s="48">
        <f t="shared" si="32"/>
        <v>12315.099999999999</v>
      </c>
      <c r="M285" s="13"/>
      <c r="N285" s="12"/>
      <c r="O285" s="13"/>
    </row>
    <row r="286" spans="1:15" ht="15.75" hidden="1">
      <c r="A286" s="55" t="s">
        <v>19</v>
      </c>
      <c r="B286" s="102">
        <v>4219.056</v>
      </c>
      <c r="C286" s="73">
        <v>4530.2</v>
      </c>
      <c r="D286" s="80">
        <v>312.07</v>
      </c>
      <c r="E286" s="79">
        <v>587.84</v>
      </c>
      <c r="F286" s="64">
        <v>166.335</v>
      </c>
      <c r="G286" s="71">
        <v>463.188</v>
      </c>
      <c r="H286" s="71">
        <v>110.976</v>
      </c>
      <c r="I286" s="71"/>
      <c r="J286" s="79">
        <v>959.62</v>
      </c>
      <c r="K286" s="48">
        <f t="shared" si="32"/>
        <v>11349.285</v>
      </c>
      <c r="M286" s="13"/>
      <c r="N286" s="12"/>
      <c r="O286" s="13"/>
    </row>
    <row r="287" spans="1:15" ht="15.75" hidden="1">
      <c r="A287" s="55" t="s">
        <v>20</v>
      </c>
      <c r="B287" s="102">
        <v>4312.296</v>
      </c>
      <c r="C287" s="73">
        <v>4764</v>
      </c>
      <c r="D287" s="80">
        <v>337.63</v>
      </c>
      <c r="E287" s="79">
        <v>568.07</v>
      </c>
      <c r="F287" s="64">
        <v>246.435</v>
      </c>
      <c r="G287" s="71">
        <v>598.772</v>
      </c>
      <c r="H287" s="71">
        <v>118.116</v>
      </c>
      <c r="I287" s="71"/>
      <c r="J287" s="79">
        <v>826.24</v>
      </c>
      <c r="K287" s="48">
        <f t="shared" si="32"/>
        <v>11771.559</v>
      </c>
      <c r="M287" s="13"/>
      <c r="N287" s="12"/>
      <c r="O287" s="13"/>
    </row>
    <row r="288" spans="1:15" ht="15.75" hidden="1">
      <c r="A288" s="55" t="s">
        <v>30</v>
      </c>
      <c r="B288" s="102">
        <v>3846.132</v>
      </c>
      <c r="C288" s="73">
        <v>5869.8</v>
      </c>
      <c r="D288" s="80">
        <v>287.47</v>
      </c>
      <c r="E288" s="79">
        <v>409.49</v>
      </c>
      <c r="F288" s="64">
        <v>104.655</v>
      </c>
      <c r="G288" s="71">
        <v>578.393</v>
      </c>
      <c r="H288" s="71">
        <v>127.944</v>
      </c>
      <c r="I288" s="71"/>
      <c r="J288" s="79">
        <v>401.15</v>
      </c>
      <c r="K288" s="48">
        <f t="shared" si="32"/>
        <v>11625.034</v>
      </c>
      <c r="M288" s="13"/>
      <c r="N288" s="12"/>
      <c r="O288" s="13"/>
    </row>
    <row r="289" spans="1:15" ht="15.75" hidden="1">
      <c r="A289" s="55" t="s">
        <v>21</v>
      </c>
      <c r="B289" s="102">
        <v>3329.8569</v>
      </c>
      <c r="C289" s="73">
        <v>6437.9</v>
      </c>
      <c r="D289" s="80">
        <v>348.22</v>
      </c>
      <c r="E289" s="79">
        <v>347.34</v>
      </c>
      <c r="F289" s="64">
        <v>66.615</v>
      </c>
      <c r="G289" s="71">
        <v>538.453</v>
      </c>
      <c r="H289" s="71">
        <v>133.548</v>
      </c>
      <c r="I289" s="71"/>
      <c r="J289" s="79">
        <v>345.98</v>
      </c>
      <c r="K289" s="48">
        <f t="shared" si="32"/>
        <v>11547.9129</v>
      </c>
      <c r="M289" s="13"/>
      <c r="N289" s="12"/>
      <c r="O289" s="13"/>
    </row>
    <row r="290" spans="1:15" ht="15.75" hidden="1">
      <c r="A290" s="55" t="s">
        <v>22</v>
      </c>
      <c r="B290" s="102">
        <v>1642.248</v>
      </c>
      <c r="C290" s="73">
        <v>7332.6</v>
      </c>
      <c r="D290" s="80">
        <v>331.62</v>
      </c>
      <c r="E290" s="79">
        <v>275.76</v>
      </c>
      <c r="F290" s="64">
        <v>79.185</v>
      </c>
      <c r="G290" s="71">
        <v>126.048</v>
      </c>
      <c r="H290" s="71">
        <v>473.575</v>
      </c>
      <c r="I290" s="71"/>
      <c r="J290" s="79">
        <v>754.97</v>
      </c>
      <c r="K290" s="48">
        <f t="shared" si="32"/>
        <v>11016.006000000001</v>
      </c>
      <c r="M290" s="13"/>
      <c r="N290" s="12"/>
      <c r="O290" s="13"/>
    </row>
    <row r="291" spans="1:15" ht="15.75" hidden="1">
      <c r="A291" s="55" t="s">
        <v>23</v>
      </c>
      <c r="B291" s="102" t="s">
        <v>39</v>
      </c>
      <c r="C291" s="73">
        <v>8353</v>
      </c>
      <c r="D291" s="80">
        <v>359.17</v>
      </c>
      <c r="E291" s="79">
        <v>310.38</v>
      </c>
      <c r="F291" s="64">
        <v>70.905</v>
      </c>
      <c r="G291" s="71">
        <v>295.785</v>
      </c>
      <c r="H291" s="71">
        <v>109.848</v>
      </c>
      <c r="I291" s="71"/>
      <c r="J291" s="79">
        <f>861.06+653.758</f>
        <v>1514.818</v>
      </c>
      <c r="K291" s="48">
        <f t="shared" si="32"/>
        <v>11013.905999999999</v>
      </c>
      <c r="M291" s="13"/>
      <c r="N291" s="12"/>
      <c r="O291" s="13"/>
    </row>
    <row r="292" spans="1:15" ht="15.75" hidden="1">
      <c r="A292" s="55" t="s">
        <v>24</v>
      </c>
      <c r="B292" s="102">
        <v>2825.34</v>
      </c>
      <c r="C292" s="73">
        <v>5092.3</v>
      </c>
      <c r="D292" s="80">
        <v>369.54</v>
      </c>
      <c r="E292" s="79">
        <v>307.1103</v>
      </c>
      <c r="F292" s="64">
        <v>32.625</v>
      </c>
      <c r="G292" s="71">
        <v>815.265</v>
      </c>
      <c r="H292" s="71">
        <v>121.224</v>
      </c>
      <c r="I292" s="71"/>
      <c r="J292" s="79">
        <f>355.3+1900.159</f>
        <v>2255.4590000000003</v>
      </c>
      <c r="K292" s="48">
        <f t="shared" si="32"/>
        <v>11818.8633</v>
      </c>
      <c r="M292" s="13"/>
      <c r="N292" s="12"/>
      <c r="O292" s="13"/>
    </row>
    <row r="293" spans="1:15" ht="15.75" hidden="1">
      <c r="A293" s="55" t="s">
        <v>25</v>
      </c>
      <c r="B293" s="102">
        <v>3798.48</v>
      </c>
      <c r="C293" s="73">
        <v>4177.6</v>
      </c>
      <c r="D293" s="80">
        <v>469.17</v>
      </c>
      <c r="E293" s="79">
        <v>351.53</v>
      </c>
      <c r="F293" s="64">
        <v>36.96</v>
      </c>
      <c r="G293" s="71">
        <v>776.851</v>
      </c>
      <c r="H293" s="71">
        <v>127.692</v>
      </c>
      <c r="I293" s="71"/>
      <c r="J293" s="79">
        <f>1049.58+3837.94</f>
        <v>4887.52</v>
      </c>
      <c r="K293" s="48">
        <f t="shared" si="32"/>
        <v>14625.803</v>
      </c>
      <c r="M293" s="13"/>
      <c r="N293" s="12"/>
      <c r="O293" s="13"/>
    </row>
    <row r="294" spans="1:15" ht="15.75" hidden="1">
      <c r="A294" s="55" t="s">
        <v>70</v>
      </c>
      <c r="B294" s="102">
        <v>4324.11</v>
      </c>
      <c r="C294" s="73">
        <v>4021.7</v>
      </c>
      <c r="D294" s="80">
        <v>522.16</v>
      </c>
      <c r="E294" s="79">
        <v>404.46</v>
      </c>
      <c r="F294" s="64">
        <v>85.545</v>
      </c>
      <c r="G294" s="71">
        <v>608.204</v>
      </c>
      <c r="H294" s="71">
        <v>73.248</v>
      </c>
      <c r="I294" s="71"/>
      <c r="J294" s="79">
        <f>936.69+1217.986</f>
        <v>2154.6760000000004</v>
      </c>
      <c r="K294" s="48">
        <f t="shared" si="32"/>
        <v>12194.103</v>
      </c>
      <c r="M294" s="13"/>
      <c r="N294" s="12"/>
      <c r="O294" s="13"/>
    </row>
    <row r="295" spans="1:15" ht="15.75" hidden="1">
      <c r="A295" s="55"/>
      <c r="B295" s="102"/>
      <c r="C295" s="73"/>
      <c r="D295" s="80"/>
      <c r="E295" s="79"/>
      <c r="F295" s="64"/>
      <c r="G295" s="71"/>
      <c r="H295" s="71"/>
      <c r="I295" s="71"/>
      <c r="J295" s="79"/>
      <c r="K295" s="48"/>
      <c r="M295" s="13"/>
      <c r="N295" s="12"/>
      <c r="O295" s="13"/>
    </row>
    <row r="296" spans="1:15" ht="15.75" hidden="1">
      <c r="A296" s="49" t="s">
        <v>53</v>
      </c>
      <c r="B296" s="102"/>
      <c r="C296" s="73"/>
      <c r="D296" s="80"/>
      <c r="E296" s="79"/>
      <c r="F296" s="64"/>
      <c r="G296" s="71"/>
      <c r="H296" s="71"/>
      <c r="I296" s="71"/>
      <c r="J296" s="79"/>
      <c r="K296" s="48"/>
      <c r="M296" s="13"/>
      <c r="N296" s="12"/>
      <c r="O296" s="13"/>
    </row>
    <row r="297" spans="1:15" ht="15.75" hidden="1">
      <c r="A297" s="55" t="s">
        <v>78</v>
      </c>
      <c r="B297" s="104">
        <f>SUM(B354:B356)</f>
        <v>13792.212</v>
      </c>
      <c r="C297" s="104">
        <f aca="true" t="shared" si="33" ref="C297:K297">SUM(C354:C356)</f>
        <v>11893.900000000001</v>
      </c>
      <c r="D297" s="104">
        <f t="shared" si="33"/>
        <v>2355.75</v>
      </c>
      <c r="E297" s="104">
        <f t="shared" si="33"/>
        <v>1139.75</v>
      </c>
      <c r="F297" s="104">
        <f t="shared" si="33"/>
        <v>482.025</v>
      </c>
      <c r="G297" s="104">
        <f t="shared" si="33"/>
        <v>2273.801</v>
      </c>
      <c r="H297" s="104">
        <f t="shared" si="33"/>
        <v>254.352</v>
      </c>
      <c r="I297" s="122">
        <v>0</v>
      </c>
      <c r="J297" s="104">
        <f t="shared" si="33"/>
        <v>1302</v>
      </c>
      <c r="K297" s="104">
        <f t="shared" si="33"/>
        <v>33493.79</v>
      </c>
      <c r="M297" s="13"/>
      <c r="N297" s="12"/>
      <c r="O297" s="13"/>
    </row>
    <row r="298" spans="1:15" ht="15.75" hidden="1">
      <c r="A298" s="38" t="s">
        <v>37</v>
      </c>
      <c r="B298" s="104">
        <f>B357+B358+B359</f>
        <v>13981.359</v>
      </c>
      <c r="C298" s="104">
        <f aca="true" t="shared" si="34" ref="C298:K298">C357+C358+C359</f>
        <v>14883.7</v>
      </c>
      <c r="D298" s="104">
        <f t="shared" si="34"/>
        <v>2672.83</v>
      </c>
      <c r="E298" s="104">
        <f t="shared" si="34"/>
        <v>856.02</v>
      </c>
      <c r="F298" s="104">
        <f t="shared" si="34"/>
        <v>535.155</v>
      </c>
      <c r="G298" s="104">
        <f t="shared" si="34"/>
        <v>2345.692</v>
      </c>
      <c r="H298" s="104">
        <f t="shared" si="34"/>
        <v>247.01999999999998</v>
      </c>
      <c r="I298" s="122">
        <v>0</v>
      </c>
      <c r="J298" s="104">
        <f t="shared" si="34"/>
        <v>4122.388999999999</v>
      </c>
      <c r="K298" s="104">
        <f t="shared" si="34"/>
        <v>39644.165</v>
      </c>
      <c r="M298" s="13"/>
      <c r="N298" s="12"/>
      <c r="O298" s="13"/>
    </row>
    <row r="299" spans="1:15" ht="15.75" hidden="1">
      <c r="A299" s="38" t="s">
        <v>72</v>
      </c>
      <c r="B299" s="105">
        <f>SUM(B360:B362)</f>
        <v>8739.276</v>
      </c>
      <c r="C299" s="105">
        <f aca="true" t="shared" si="35" ref="C299:K299">SUM(C360:C362)</f>
        <v>21150.82</v>
      </c>
      <c r="D299" s="105">
        <f t="shared" si="35"/>
        <v>1916.5100000000002</v>
      </c>
      <c r="E299" s="105">
        <f t="shared" si="35"/>
        <v>1020.91</v>
      </c>
      <c r="F299" s="105">
        <f t="shared" si="35"/>
        <v>174.495</v>
      </c>
      <c r="G299" s="105">
        <f t="shared" si="35"/>
        <v>2384.205</v>
      </c>
      <c r="H299" s="105">
        <f t="shared" si="35"/>
        <v>235.992</v>
      </c>
      <c r="I299" s="122">
        <v>0</v>
      </c>
      <c r="J299" s="105">
        <f t="shared" si="35"/>
        <v>6625.517000000001</v>
      </c>
      <c r="K299" s="105">
        <f t="shared" si="35"/>
        <v>42247.725</v>
      </c>
      <c r="M299" s="13"/>
      <c r="N299" s="12"/>
      <c r="O299" s="13"/>
    </row>
    <row r="300" spans="1:15" ht="15.75" hidden="1">
      <c r="A300" s="38" t="s">
        <v>15</v>
      </c>
      <c r="B300" s="104">
        <f>B363+B364+B365</f>
        <v>12436.914</v>
      </c>
      <c r="C300" s="104">
        <f aca="true" t="shared" si="36" ref="C300:K300">C363+C364+C365</f>
        <v>15938</v>
      </c>
      <c r="D300" s="104">
        <f t="shared" si="36"/>
        <v>1654.17</v>
      </c>
      <c r="E300" s="104">
        <f t="shared" si="36"/>
        <v>1377.92</v>
      </c>
      <c r="F300" s="104">
        <f t="shared" si="36"/>
        <v>386.142</v>
      </c>
      <c r="G300" s="104">
        <f t="shared" si="36"/>
        <v>2460.991</v>
      </c>
      <c r="H300" s="104">
        <f t="shared" si="36"/>
        <v>254.22</v>
      </c>
      <c r="I300" s="104">
        <f t="shared" si="36"/>
        <v>623.712</v>
      </c>
      <c r="J300" s="104">
        <f t="shared" si="36"/>
        <v>8603.149000000001</v>
      </c>
      <c r="K300" s="104">
        <f t="shared" si="36"/>
        <v>43735.218</v>
      </c>
      <c r="M300" s="13"/>
      <c r="N300" s="12"/>
      <c r="O300" s="13"/>
    </row>
    <row r="301" spans="1:15" ht="15.75" hidden="1">
      <c r="A301" s="38"/>
      <c r="B301" s="102"/>
      <c r="C301" s="104"/>
      <c r="D301" s="102"/>
      <c r="E301" s="104"/>
      <c r="F301" s="102"/>
      <c r="G301" s="104"/>
      <c r="H301" s="104"/>
      <c r="I301" s="104"/>
      <c r="J301" s="104"/>
      <c r="K301" s="104"/>
      <c r="M301" s="13"/>
      <c r="N301" s="12"/>
      <c r="O301" s="13"/>
    </row>
    <row r="302" spans="1:15" ht="15.75">
      <c r="A302" s="49" t="s">
        <v>54</v>
      </c>
      <c r="B302" s="102"/>
      <c r="C302" s="104"/>
      <c r="D302" s="102"/>
      <c r="E302" s="104"/>
      <c r="F302" s="102"/>
      <c r="G302" s="104"/>
      <c r="H302" s="104"/>
      <c r="I302" s="104"/>
      <c r="J302" s="104"/>
      <c r="K302" s="104"/>
      <c r="M302" s="13"/>
      <c r="N302" s="12"/>
      <c r="O302" s="13"/>
    </row>
    <row r="303" spans="1:15" ht="15.75" hidden="1">
      <c r="A303" s="55" t="s">
        <v>78</v>
      </c>
      <c r="B303" s="104">
        <f>B368+B369+B370</f>
        <v>16079.592</v>
      </c>
      <c r="C303" s="104">
        <f aca="true" t="shared" si="37" ref="C303:J303">C368+C369+C370</f>
        <v>17454.1</v>
      </c>
      <c r="D303" s="104">
        <f t="shared" si="37"/>
        <v>2297.78</v>
      </c>
      <c r="E303" s="104">
        <f t="shared" si="37"/>
        <v>1684.72</v>
      </c>
      <c r="F303" s="104">
        <f t="shared" si="37"/>
        <v>394.86</v>
      </c>
      <c r="G303" s="104">
        <f t="shared" si="37"/>
        <v>1899.809</v>
      </c>
      <c r="H303" s="104">
        <f t="shared" si="37"/>
        <v>255.78000000000003</v>
      </c>
      <c r="I303" s="104">
        <f t="shared" si="37"/>
        <v>702.0419999999999</v>
      </c>
      <c r="J303" s="104">
        <f t="shared" si="37"/>
        <v>6776.037</v>
      </c>
      <c r="K303" s="104">
        <f>K368+K369+K370</f>
        <v>47544.72</v>
      </c>
      <c r="M303" s="13"/>
      <c r="N303" s="12"/>
      <c r="O303" s="13"/>
    </row>
    <row r="304" spans="1:15" ht="15.75" hidden="1">
      <c r="A304" s="38" t="s">
        <v>37</v>
      </c>
      <c r="B304" s="104">
        <f>B371+B372+B373</f>
        <v>14006.757</v>
      </c>
      <c r="C304" s="104">
        <f aca="true" t="shared" si="38" ref="C304:J304">C371+C372+C373</f>
        <v>15336.32</v>
      </c>
      <c r="D304" s="104">
        <f t="shared" si="38"/>
        <v>2249</v>
      </c>
      <c r="E304" s="104">
        <f t="shared" si="38"/>
        <v>1534.54</v>
      </c>
      <c r="F304" s="104">
        <f t="shared" si="38"/>
        <v>222.85000000000002</v>
      </c>
      <c r="G304" s="104">
        <f t="shared" si="38"/>
        <v>4112.743</v>
      </c>
      <c r="H304" s="104">
        <f t="shared" si="38"/>
        <v>283.524</v>
      </c>
      <c r="I304" s="104">
        <f t="shared" si="38"/>
        <v>720.062</v>
      </c>
      <c r="J304" s="104">
        <f t="shared" si="38"/>
        <v>6866.7</v>
      </c>
      <c r="K304" s="104">
        <f>K371+K372+K373</f>
        <v>45332.49599999999</v>
      </c>
      <c r="M304" s="13"/>
      <c r="N304" s="12"/>
      <c r="O304" s="13"/>
    </row>
    <row r="305" spans="1:15" ht="15.75">
      <c r="A305" s="38" t="s">
        <v>72</v>
      </c>
      <c r="B305" s="104">
        <f>B374+B375+B376</f>
        <v>9556.626</v>
      </c>
      <c r="C305" s="104">
        <f aca="true" t="shared" si="39" ref="C305:K305">C374+C375+C376</f>
        <v>10562</v>
      </c>
      <c r="D305" s="104">
        <f t="shared" si="39"/>
        <v>1343.3000000000002</v>
      </c>
      <c r="E305" s="104">
        <f t="shared" si="39"/>
        <v>975.13</v>
      </c>
      <c r="F305" s="104">
        <f t="shared" si="39"/>
        <v>151.965</v>
      </c>
      <c r="G305" s="104">
        <f t="shared" si="39"/>
        <v>5399.859</v>
      </c>
      <c r="H305" s="104">
        <f t="shared" si="39"/>
        <v>335.196</v>
      </c>
      <c r="I305" s="104">
        <f t="shared" si="39"/>
        <v>539.783</v>
      </c>
      <c r="J305" s="104">
        <f t="shared" si="39"/>
        <v>9016.558</v>
      </c>
      <c r="K305" s="104">
        <f t="shared" si="39"/>
        <v>37880.417</v>
      </c>
      <c r="M305" s="13"/>
      <c r="N305" s="12"/>
      <c r="O305" s="13"/>
    </row>
    <row r="306" spans="1:15" ht="15.75">
      <c r="A306" s="38" t="s">
        <v>15</v>
      </c>
      <c r="B306" s="104">
        <f>SUM(B377:B379)</f>
        <v>13168.868999999999</v>
      </c>
      <c r="C306" s="104">
        <f aca="true" t="shared" si="40" ref="C306:K306">SUM(C377:C379)</f>
        <v>10601.5</v>
      </c>
      <c r="D306" s="104">
        <f t="shared" si="40"/>
        <v>2259.2</v>
      </c>
      <c r="E306" s="104">
        <f t="shared" si="40"/>
        <v>1582.42</v>
      </c>
      <c r="F306" s="104">
        <f t="shared" si="40"/>
        <v>275.01</v>
      </c>
      <c r="G306" s="104">
        <f t="shared" si="40"/>
        <v>3381.962</v>
      </c>
      <c r="H306" s="104">
        <f t="shared" si="40"/>
        <v>259.31899999999996</v>
      </c>
      <c r="I306" s="104">
        <f t="shared" si="40"/>
        <v>701.4</v>
      </c>
      <c r="J306" s="104">
        <f t="shared" si="40"/>
        <v>10860.991</v>
      </c>
      <c r="K306" s="104">
        <f t="shared" si="40"/>
        <v>43090.671</v>
      </c>
      <c r="M306" s="13"/>
      <c r="N306" s="12"/>
      <c r="O306" s="13"/>
    </row>
    <row r="307" spans="1:15" ht="15.75">
      <c r="A307" s="38"/>
      <c r="B307" s="102"/>
      <c r="C307" s="104"/>
      <c r="D307" s="102"/>
      <c r="E307" s="104"/>
      <c r="F307" s="102"/>
      <c r="G307" s="104"/>
      <c r="H307" s="104"/>
      <c r="I307" s="104"/>
      <c r="J307" s="104"/>
      <c r="K307" s="104"/>
      <c r="M307" s="13"/>
      <c r="N307" s="12"/>
      <c r="O307" s="13"/>
    </row>
    <row r="308" spans="1:15" ht="15.75">
      <c r="A308" s="49" t="s">
        <v>55</v>
      </c>
      <c r="B308" s="102"/>
      <c r="C308" s="104"/>
      <c r="D308" s="102"/>
      <c r="E308" s="104"/>
      <c r="F308" s="102"/>
      <c r="G308" s="104"/>
      <c r="H308" s="104"/>
      <c r="I308" s="104"/>
      <c r="J308" s="104"/>
      <c r="K308" s="104"/>
      <c r="M308" s="13"/>
      <c r="N308" s="12"/>
      <c r="O308" s="13"/>
    </row>
    <row r="309" spans="1:15" ht="15.75">
      <c r="A309" s="55" t="s">
        <v>78</v>
      </c>
      <c r="B309" s="104">
        <f>B382+B383+B384</f>
        <v>14497.287</v>
      </c>
      <c r="C309" s="104">
        <f aca="true" t="shared" si="41" ref="C309:J309">C382+C383+C384</f>
        <v>16049.7</v>
      </c>
      <c r="D309" s="104">
        <f t="shared" si="41"/>
        <v>2539.3999999999996</v>
      </c>
      <c r="E309" s="104">
        <f t="shared" si="41"/>
        <v>1912.82</v>
      </c>
      <c r="F309" s="104">
        <f t="shared" si="41"/>
        <v>280.005</v>
      </c>
      <c r="G309" s="104">
        <f t="shared" si="41"/>
        <v>1987.667</v>
      </c>
      <c r="H309" s="104">
        <f t="shared" si="41"/>
        <v>249.92399999999998</v>
      </c>
      <c r="I309" s="104">
        <f t="shared" si="41"/>
        <v>555.5</v>
      </c>
      <c r="J309" s="104">
        <f t="shared" si="41"/>
        <v>5232.723</v>
      </c>
      <c r="K309" s="104">
        <f>K382+K383+K384</f>
        <v>43305.026</v>
      </c>
      <c r="M309" s="13"/>
      <c r="N309" s="12"/>
      <c r="O309" s="13"/>
    </row>
    <row r="310" spans="1:15" ht="15.75">
      <c r="A310" s="38" t="s">
        <v>37</v>
      </c>
      <c r="B310" s="104">
        <f>B385+B386+B387</f>
        <v>16035.795</v>
      </c>
      <c r="C310" s="104">
        <f aca="true" t="shared" si="42" ref="C310:J310">C385+C386+C387</f>
        <v>13260.1</v>
      </c>
      <c r="D310" s="104">
        <f t="shared" si="42"/>
        <v>2437.483</v>
      </c>
      <c r="E310" s="104">
        <f t="shared" si="42"/>
        <v>1989.7000000000003</v>
      </c>
      <c r="F310" s="104">
        <f t="shared" si="42"/>
        <v>528.21</v>
      </c>
      <c r="G310" s="104">
        <f t="shared" si="42"/>
        <v>3971.4440000000004</v>
      </c>
      <c r="H310" s="104">
        <f t="shared" si="42"/>
        <v>53.976</v>
      </c>
      <c r="I310" s="104">
        <f t="shared" si="42"/>
        <v>718.9</v>
      </c>
      <c r="J310" s="104">
        <f t="shared" si="42"/>
        <v>4585.297</v>
      </c>
      <c r="K310" s="104">
        <f>K385+K386+K387</f>
        <v>43580.905</v>
      </c>
      <c r="M310" s="13"/>
      <c r="N310" s="12"/>
      <c r="O310" s="13"/>
    </row>
    <row r="311" spans="1:15" ht="15.75">
      <c r="A311" s="38" t="s">
        <v>72</v>
      </c>
      <c r="B311" s="104">
        <f>B388+B389+B390</f>
        <v>10869.2538</v>
      </c>
      <c r="C311" s="104">
        <f aca="true" t="shared" si="43" ref="C311:K311">C388+C389+C390</f>
        <v>14553.100000000002</v>
      </c>
      <c r="D311" s="104">
        <f t="shared" si="43"/>
        <v>1361.6</v>
      </c>
      <c r="E311" s="104">
        <f t="shared" si="43"/>
        <v>1039.74</v>
      </c>
      <c r="F311" s="104">
        <f t="shared" si="43"/>
        <v>184.425</v>
      </c>
      <c r="G311" s="104">
        <f t="shared" si="43"/>
        <v>2679.331</v>
      </c>
      <c r="H311" s="104">
        <f t="shared" si="43"/>
        <v>0</v>
      </c>
      <c r="I311" s="104">
        <f t="shared" si="43"/>
        <v>710.1</v>
      </c>
      <c r="J311" s="104">
        <f t="shared" si="43"/>
        <v>8041.88</v>
      </c>
      <c r="K311" s="104">
        <f t="shared" si="43"/>
        <v>39439.4298</v>
      </c>
      <c r="M311" s="13"/>
      <c r="N311" s="12"/>
      <c r="O311" s="13"/>
    </row>
    <row r="312" spans="1:15" ht="15.75">
      <c r="A312" s="38" t="s">
        <v>15</v>
      </c>
      <c r="B312" s="104">
        <f>B391+B392+B393</f>
        <v>12944.137999999999</v>
      </c>
      <c r="C312" s="104">
        <f aca="true" t="shared" si="44" ref="C312:J312">C391+C392+C393</f>
        <v>9362</v>
      </c>
      <c r="D312" s="104">
        <f t="shared" si="44"/>
        <v>1896.2</v>
      </c>
      <c r="E312" s="104">
        <f t="shared" si="44"/>
        <v>1823.1399999999999</v>
      </c>
      <c r="F312" s="104">
        <f t="shared" si="44"/>
        <v>317.775</v>
      </c>
      <c r="G312" s="104">
        <f t="shared" si="44"/>
        <v>1730.1119999999999</v>
      </c>
      <c r="H312" s="104">
        <f t="shared" si="44"/>
        <v>0</v>
      </c>
      <c r="I312" s="104">
        <f t="shared" si="44"/>
        <v>747.3</v>
      </c>
      <c r="J312" s="104">
        <f t="shared" si="44"/>
        <v>10838.558</v>
      </c>
      <c r="K312" s="104">
        <f>K391+K392+K393</f>
        <v>39659.223</v>
      </c>
      <c r="M312" s="13"/>
      <c r="N312" s="12"/>
      <c r="O312" s="13"/>
    </row>
    <row r="313" spans="1:15" ht="15.75">
      <c r="A313" s="55"/>
      <c r="B313" s="102"/>
      <c r="C313" s="104"/>
      <c r="D313" s="102"/>
      <c r="E313" s="104"/>
      <c r="F313" s="102"/>
      <c r="G313" s="104"/>
      <c r="H313" s="104"/>
      <c r="I313" s="104"/>
      <c r="J313" s="104"/>
      <c r="K313" s="104"/>
      <c r="M313" s="13"/>
      <c r="N313" s="12"/>
      <c r="O313" s="13"/>
    </row>
    <row r="314" spans="1:15" ht="15.75">
      <c r="A314" s="49" t="s">
        <v>56</v>
      </c>
      <c r="B314" s="102"/>
      <c r="C314" s="104"/>
      <c r="D314" s="102"/>
      <c r="E314" s="104"/>
      <c r="F314" s="102"/>
      <c r="G314" s="104"/>
      <c r="H314" s="104"/>
      <c r="I314" s="104"/>
      <c r="J314" s="104"/>
      <c r="K314" s="104"/>
      <c r="M314" s="13"/>
      <c r="N314" s="12"/>
      <c r="O314" s="13"/>
    </row>
    <row r="315" spans="1:15" ht="15.75">
      <c r="A315" s="55" t="s">
        <v>78</v>
      </c>
      <c r="B315" s="104">
        <f>B396+B397+B398</f>
        <v>15091.293</v>
      </c>
      <c r="C315" s="104">
        <f aca="true" t="shared" si="45" ref="C315:K315">C396+C397+C398</f>
        <v>12716.5</v>
      </c>
      <c r="D315" s="104">
        <f t="shared" si="45"/>
        <v>640.2</v>
      </c>
      <c r="E315" s="104">
        <f t="shared" si="45"/>
        <v>2033.8899999999999</v>
      </c>
      <c r="F315" s="104">
        <f t="shared" si="45"/>
        <v>364.28999999999996</v>
      </c>
      <c r="G315" s="104">
        <f t="shared" si="45"/>
        <v>2395.976</v>
      </c>
      <c r="H315" s="104">
        <f t="shared" si="45"/>
        <v>0</v>
      </c>
      <c r="I315" s="104">
        <f t="shared" si="45"/>
        <v>652.7</v>
      </c>
      <c r="J315" s="104">
        <f t="shared" si="45"/>
        <v>4773.864</v>
      </c>
      <c r="K315" s="104">
        <f t="shared" si="45"/>
        <v>38668.713</v>
      </c>
      <c r="M315" s="13"/>
      <c r="N315" s="12"/>
      <c r="O315" s="13"/>
    </row>
    <row r="316" spans="1:15" ht="15.75">
      <c r="A316" s="38" t="s">
        <v>37</v>
      </c>
      <c r="B316" s="104">
        <f>B399+B400+B401</f>
        <v>13758.42</v>
      </c>
      <c r="C316" s="104">
        <f aca="true" t="shared" si="46" ref="C316:K316">C399+C400+C401</f>
        <v>21646.7</v>
      </c>
      <c r="D316" s="104">
        <f t="shared" si="46"/>
        <v>1602.7</v>
      </c>
      <c r="E316" s="104">
        <f t="shared" si="46"/>
        <v>1383.44</v>
      </c>
      <c r="F316" s="104">
        <f t="shared" si="46"/>
        <v>339.84000000000003</v>
      </c>
      <c r="G316" s="104">
        <f t="shared" si="46"/>
        <v>2176.63144</v>
      </c>
      <c r="H316" s="104">
        <f t="shared" si="46"/>
        <v>9.336</v>
      </c>
      <c r="I316" s="104">
        <f t="shared" si="46"/>
        <v>833.6</v>
      </c>
      <c r="J316" s="104">
        <f t="shared" si="46"/>
        <v>2679.571</v>
      </c>
      <c r="K316" s="104">
        <f t="shared" si="46"/>
        <v>44430.23844</v>
      </c>
      <c r="M316" s="13"/>
      <c r="N316" s="12"/>
      <c r="O316" s="13"/>
    </row>
    <row r="317" spans="1:15" ht="15.75">
      <c r="A317" s="38" t="s">
        <v>72</v>
      </c>
      <c r="B317" s="104">
        <f>B402+B403+B404</f>
        <v>8170.907999999999</v>
      </c>
      <c r="C317" s="104">
        <f aca="true" t="shared" si="47" ref="C317:K317">C402+C403+C404</f>
        <v>20085.5</v>
      </c>
      <c r="D317" s="104">
        <f t="shared" si="47"/>
        <v>1635</v>
      </c>
      <c r="E317" s="104">
        <f t="shared" si="47"/>
        <v>995.8000000000001</v>
      </c>
      <c r="F317" s="104">
        <f t="shared" si="47"/>
        <v>117.09</v>
      </c>
      <c r="G317" s="104">
        <f t="shared" si="47"/>
        <v>2996.1796400000003</v>
      </c>
      <c r="H317" s="104">
        <f t="shared" si="47"/>
        <v>0</v>
      </c>
      <c r="I317" s="104">
        <f t="shared" si="47"/>
        <v>671.745</v>
      </c>
      <c r="J317" s="104">
        <f t="shared" si="47"/>
        <v>7062.753</v>
      </c>
      <c r="K317" s="104">
        <f t="shared" si="47"/>
        <v>41734.975640000004</v>
      </c>
      <c r="M317" s="13"/>
      <c r="N317" s="12"/>
      <c r="O317" s="13"/>
    </row>
    <row r="318" spans="1:15" ht="15.75">
      <c r="A318" s="38" t="s">
        <v>15</v>
      </c>
      <c r="B318" s="104">
        <f>B405+B406+B407</f>
        <v>9559.578</v>
      </c>
      <c r="C318" s="104">
        <f aca="true" t="shared" si="48" ref="C318:K318">C405+C406+C407</f>
        <v>16078.4</v>
      </c>
      <c r="D318" s="104">
        <f t="shared" si="48"/>
        <v>1548.1</v>
      </c>
      <c r="E318" s="104">
        <f t="shared" si="48"/>
        <v>1268.28</v>
      </c>
      <c r="F318" s="104">
        <f t="shared" si="48"/>
        <v>185.64</v>
      </c>
      <c r="G318" s="104">
        <f t="shared" si="48"/>
        <v>3582.4919999999997</v>
      </c>
      <c r="H318" s="104">
        <f t="shared" si="48"/>
        <v>31.799999999999997</v>
      </c>
      <c r="I318" s="104">
        <f t="shared" si="48"/>
        <v>738.4</v>
      </c>
      <c r="J318" s="104">
        <f t="shared" si="48"/>
        <v>9569.611</v>
      </c>
      <c r="K318" s="104">
        <f t="shared" si="48"/>
        <v>42562.30100000001</v>
      </c>
      <c r="M318" s="13"/>
      <c r="N318" s="12"/>
      <c r="O318" s="13"/>
    </row>
    <row r="319" spans="1:15" ht="15.75">
      <c r="A319" s="38"/>
      <c r="B319" s="102"/>
      <c r="C319" s="104"/>
      <c r="D319" s="102"/>
      <c r="E319" s="104"/>
      <c r="F319" s="102"/>
      <c r="G319" s="104"/>
      <c r="H319" s="104"/>
      <c r="I319" s="104"/>
      <c r="J319" s="104"/>
      <c r="K319" s="104"/>
      <c r="M319" s="13"/>
      <c r="N319" s="12"/>
      <c r="O319" s="13"/>
    </row>
    <row r="320" spans="1:15" ht="15.75">
      <c r="A320" s="49" t="s">
        <v>57</v>
      </c>
      <c r="B320" s="102"/>
      <c r="C320" s="104"/>
      <c r="D320" s="102"/>
      <c r="E320" s="104"/>
      <c r="F320" s="102"/>
      <c r="G320" s="104"/>
      <c r="H320" s="104"/>
      <c r="I320" s="104"/>
      <c r="J320" s="104"/>
      <c r="K320" s="104"/>
      <c r="M320" s="13"/>
      <c r="N320" s="12"/>
      <c r="O320" s="13"/>
    </row>
    <row r="321" spans="1:15" ht="15.75">
      <c r="A321" s="55" t="s">
        <v>78</v>
      </c>
      <c r="B321" s="104">
        <f>B410+B411+B412</f>
        <v>12744.458999999999</v>
      </c>
      <c r="C321" s="104">
        <f aca="true" t="shared" si="49" ref="C321:K321">C410+C411+C412</f>
        <v>9749.22</v>
      </c>
      <c r="D321" s="104">
        <f t="shared" si="49"/>
        <v>1543.9</v>
      </c>
      <c r="E321" s="104">
        <f t="shared" si="49"/>
        <v>1642.22</v>
      </c>
      <c r="F321" s="104">
        <f t="shared" si="49"/>
        <v>249.465</v>
      </c>
      <c r="G321" s="104">
        <f t="shared" si="49"/>
        <v>3666.7598900000003</v>
      </c>
      <c r="H321" s="104">
        <f t="shared" si="49"/>
        <v>0</v>
      </c>
      <c r="I321" s="104">
        <f t="shared" si="49"/>
        <v>778.7</v>
      </c>
      <c r="J321" s="104">
        <f t="shared" si="49"/>
        <v>10054.842</v>
      </c>
      <c r="K321" s="104">
        <f t="shared" si="49"/>
        <v>40429.56589</v>
      </c>
      <c r="M321" s="13">
        <f>(K323/K317-1)*100</f>
        <v>-3.859139523388988</v>
      </c>
      <c r="N321" s="12"/>
      <c r="O321" s="13"/>
    </row>
    <row r="322" spans="1:15" ht="15.75">
      <c r="A322" s="38" t="s">
        <v>37</v>
      </c>
      <c r="B322" s="104">
        <f>B413+B414+B415</f>
        <v>9258.354000000001</v>
      </c>
      <c r="C322" s="104">
        <f aca="true" t="shared" si="50" ref="C322:J322">C413+C414+C415</f>
        <v>11168.6</v>
      </c>
      <c r="D322" s="104">
        <f t="shared" si="50"/>
        <v>860.0999999999999</v>
      </c>
      <c r="E322" s="104">
        <f t="shared" si="50"/>
        <v>1357.06</v>
      </c>
      <c r="F322" s="104">
        <f t="shared" si="50"/>
        <v>294</v>
      </c>
      <c r="G322" s="104">
        <f t="shared" si="50"/>
        <v>4463.17148</v>
      </c>
      <c r="H322" s="104">
        <f t="shared" si="50"/>
        <v>0</v>
      </c>
      <c r="I322" s="104">
        <f t="shared" si="50"/>
        <v>398.09999999999997</v>
      </c>
      <c r="J322" s="104">
        <f t="shared" si="50"/>
        <v>10026.244</v>
      </c>
      <c r="K322" s="104">
        <f>K413+K414+K415</f>
        <v>37825.62948</v>
      </c>
      <c r="M322" s="13">
        <f>(K323/K322-1)*100</f>
        <v>6.077189597638899</v>
      </c>
      <c r="N322" s="12"/>
      <c r="O322" s="13"/>
    </row>
    <row r="323" spans="1:15" ht="15.75">
      <c r="A323" s="38" t="s">
        <v>72</v>
      </c>
      <c r="B323" s="104">
        <f>B416+B417+B418</f>
        <v>5904.2970000000005</v>
      </c>
      <c r="C323" s="104">
        <f aca="true" t="shared" si="51" ref="C323:K323">C416+C417+C418</f>
        <v>10259.400000000001</v>
      </c>
      <c r="D323" s="104">
        <f t="shared" si="51"/>
        <v>904.3</v>
      </c>
      <c r="E323" s="104">
        <f t="shared" si="51"/>
        <v>759.6</v>
      </c>
      <c r="F323" s="104">
        <f t="shared" si="51"/>
        <v>78.15</v>
      </c>
      <c r="G323" s="104">
        <f t="shared" si="51"/>
        <v>4252.6527</v>
      </c>
      <c r="H323" s="104">
        <f t="shared" si="51"/>
        <v>0</v>
      </c>
      <c r="I323" s="104">
        <f t="shared" si="51"/>
        <v>581.1999999999999</v>
      </c>
      <c r="J323" s="104">
        <f t="shared" si="51"/>
        <v>17384.765</v>
      </c>
      <c r="K323" s="104">
        <f t="shared" si="51"/>
        <v>40124.3647</v>
      </c>
      <c r="M323" s="13"/>
      <c r="N323" s="12"/>
      <c r="O323" s="13"/>
    </row>
    <row r="324" spans="1:15" ht="15.75">
      <c r="A324" s="55"/>
      <c r="B324" s="102"/>
      <c r="C324" s="73"/>
      <c r="D324" s="80"/>
      <c r="E324" s="79"/>
      <c r="F324" s="64"/>
      <c r="G324" s="71"/>
      <c r="H324" s="71"/>
      <c r="I324" s="71"/>
      <c r="J324" s="79"/>
      <c r="K324" s="48"/>
      <c r="M324" s="13"/>
      <c r="N324" s="12"/>
      <c r="O324" s="13"/>
    </row>
    <row r="325" spans="1:15" ht="15.75" hidden="1">
      <c r="A325" s="49" t="s">
        <v>51</v>
      </c>
      <c r="B325" s="102"/>
      <c r="C325" s="73"/>
      <c r="D325" s="80"/>
      <c r="E325" s="79"/>
      <c r="F325" s="64"/>
      <c r="G325" s="71"/>
      <c r="H325" s="79"/>
      <c r="I325" s="79"/>
      <c r="J325" s="79"/>
      <c r="K325" s="48"/>
      <c r="M325" s="13"/>
      <c r="N325" s="12"/>
      <c r="O325" s="13"/>
    </row>
    <row r="326" spans="1:15" ht="15.75" hidden="1">
      <c r="A326" s="55" t="s">
        <v>27</v>
      </c>
      <c r="B326" s="102">
        <v>3944.01</v>
      </c>
      <c r="C326" s="73">
        <v>3432.3</v>
      </c>
      <c r="D326" s="80">
        <v>506.4</v>
      </c>
      <c r="E326" s="79">
        <v>420.61</v>
      </c>
      <c r="F326" s="64">
        <v>85.395</v>
      </c>
      <c r="G326" s="71">
        <v>713.222</v>
      </c>
      <c r="H326" s="79">
        <v>126.876</v>
      </c>
      <c r="I326" s="79"/>
      <c r="J326" s="79">
        <f>1080.26+1255.371</f>
        <v>2335.6310000000003</v>
      </c>
      <c r="K326" s="48">
        <f aca="true" t="shared" si="52" ref="K326:K337">SUM(B326:J326)</f>
        <v>11564.444</v>
      </c>
      <c r="M326" s="13"/>
      <c r="N326" s="12"/>
      <c r="O326" s="13"/>
    </row>
    <row r="327" spans="1:15" ht="15.75" hidden="1">
      <c r="A327" s="55" t="s">
        <v>28</v>
      </c>
      <c r="B327" s="102">
        <v>3779.727</v>
      </c>
      <c r="C327" s="73">
        <v>3368.2</v>
      </c>
      <c r="D327" s="80">
        <v>560.447</v>
      </c>
      <c r="E327" s="79">
        <v>376.84</v>
      </c>
      <c r="F327" s="64">
        <v>59.04</v>
      </c>
      <c r="G327" s="71">
        <v>659.229</v>
      </c>
      <c r="H327" s="79">
        <v>116.844</v>
      </c>
      <c r="I327" s="79"/>
      <c r="J327" s="79">
        <f>995.49+1117.37</f>
        <v>2112.8599999999997</v>
      </c>
      <c r="K327" s="48">
        <f t="shared" si="52"/>
        <v>11033.186999999998</v>
      </c>
      <c r="M327" s="13"/>
      <c r="N327" s="12"/>
      <c r="O327" s="13"/>
    </row>
    <row r="328" spans="1:15" ht="15.75" hidden="1">
      <c r="A328" s="55" t="s">
        <v>29</v>
      </c>
      <c r="B328" s="102">
        <v>5001.465</v>
      </c>
      <c r="C328" s="73">
        <v>3441.7</v>
      </c>
      <c r="D328" s="80">
        <v>618.36</v>
      </c>
      <c r="E328" s="79">
        <v>535.48</v>
      </c>
      <c r="F328" s="64">
        <v>64.23</v>
      </c>
      <c r="G328" s="71">
        <v>848.306</v>
      </c>
      <c r="H328" s="79">
        <v>117.48</v>
      </c>
      <c r="I328" s="79"/>
      <c r="J328" s="79">
        <f>957.92+1161.162</f>
        <v>2119.082</v>
      </c>
      <c r="K328" s="48">
        <f t="shared" si="52"/>
        <v>12746.103000000001</v>
      </c>
      <c r="M328" s="13"/>
      <c r="N328" s="12"/>
      <c r="O328" s="13"/>
    </row>
    <row r="329" spans="1:15" ht="15.75" hidden="1">
      <c r="A329" s="55" t="s">
        <v>19</v>
      </c>
      <c r="B329" s="102">
        <v>4409.882</v>
      </c>
      <c r="C329" s="73">
        <v>4297.8</v>
      </c>
      <c r="D329" s="80">
        <v>259.66</v>
      </c>
      <c r="E329" s="79">
        <v>590.06</v>
      </c>
      <c r="F329" s="64">
        <v>64.23</v>
      </c>
      <c r="G329" s="71">
        <v>836.383</v>
      </c>
      <c r="H329" s="79">
        <v>127.488</v>
      </c>
      <c r="I329" s="79"/>
      <c r="J329" s="79">
        <f>1203.71+758.882</f>
        <v>1962.592</v>
      </c>
      <c r="K329" s="48">
        <f t="shared" si="52"/>
        <v>12548.095</v>
      </c>
      <c r="M329" s="13"/>
      <c r="N329" s="12"/>
      <c r="O329" s="13"/>
    </row>
    <row r="330" spans="1:15" ht="15.75" hidden="1">
      <c r="A330" s="55" t="s">
        <v>20</v>
      </c>
      <c r="B330" s="102">
        <v>4334.608</v>
      </c>
      <c r="C330" s="73">
        <v>5699</v>
      </c>
      <c r="D330" s="80">
        <v>401.56</v>
      </c>
      <c r="E330" s="79">
        <v>538.8</v>
      </c>
      <c r="F330" s="64">
        <v>132.195</v>
      </c>
      <c r="G330" s="71">
        <v>1114.071456</v>
      </c>
      <c r="H330" s="79">
        <v>130.896</v>
      </c>
      <c r="I330" s="79"/>
      <c r="J330" s="79">
        <v>1384.46</v>
      </c>
      <c r="K330" s="48">
        <f t="shared" si="52"/>
        <v>13735.590455999998</v>
      </c>
      <c r="M330" s="13"/>
      <c r="N330" s="12"/>
      <c r="O330" s="13"/>
    </row>
    <row r="331" spans="1:15" ht="15.75" hidden="1">
      <c r="A331" s="55" t="s">
        <v>30</v>
      </c>
      <c r="B331" s="102">
        <v>3000.375</v>
      </c>
      <c r="C331" s="73">
        <v>6497.5</v>
      </c>
      <c r="D331" s="80">
        <v>378.16</v>
      </c>
      <c r="E331" s="79">
        <v>301.97</v>
      </c>
      <c r="F331" s="64">
        <v>82.92</v>
      </c>
      <c r="G331" s="71">
        <v>1013.982016</v>
      </c>
      <c r="H331" s="79">
        <v>124.74</v>
      </c>
      <c r="I331" s="79"/>
      <c r="J331" s="79">
        <v>1248.37</v>
      </c>
      <c r="K331" s="48">
        <f t="shared" si="52"/>
        <v>12648.017015999998</v>
      </c>
      <c r="M331" s="13"/>
      <c r="N331" s="12"/>
      <c r="O331" s="13"/>
    </row>
    <row r="332" spans="1:15" ht="15.75" hidden="1">
      <c r="A332" s="55" t="s">
        <v>71</v>
      </c>
      <c r="B332" s="102">
        <v>2786.742</v>
      </c>
      <c r="C332" s="73">
        <v>6917.5</v>
      </c>
      <c r="D332" s="80">
        <v>268.32</v>
      </c>
      <c r="E332" s="79">
        <v>324.63</v>
      </c>
      <c r="F332" s="64">
        <v>88.05</v>
      </c>
      <c r="G332" s="71">
        <v>1291.76888</v>
      </c>
      <c r="H332" s="79">
        <v>129.444</v>
      </c>
      <c r="I332" s="79"/>
      <c r="J332" s="79">
        <v>948.56</v>
      </c>
      <c r="K332" s="48">
        <f t="shared" si="52"/>
        <v>12755.014879999997</v>
      </c>
      <c r="M332" s="13"/>
      <c r="N332" s="12"/>
      <c r="O332" s="13"/>
    </row>
    <row r="333" spans="1:15" ht="15.75" hidden="1">
      <c r="A333" s="55" t="s">
        <v>22</v>
      </c>
      <c r="B333" s="102">
        <v>2560.95</v>
      </c>
      <c r="C333" s="73">
        <v>7507.9</v>
      </c>
      <c r="D333" s="80">
        <v>344.78</v>
      </c>
      <c r="E333" s="79">
        <v>264.45</v>
      </c>
      <c r="F333" s="64">
        <v>54.12</v>
      </c>
      <c r="G333" s="71">
        <v>937.66928</v>
      </c>
      <c r="H333" s="79">
        <v>122.496</v>
      </c>
      <c r="I333" s="79"/>
      <c r="J333" s="106" t="s">
        <v>35</v>
      </c>
      <c r="K333" s="48">
        <f t="shared" si="52"/>
        <v>11792.36528</v>
      </c>
      <c r="M333" s="13"/>
      <c r="N333" s="12"/>
      <c r="O333" s="13"/>
    </row>
    <row r="334" spans="1:15" ht="15.75" hidden="1">
      <c r="A334" s="55" t="s">
        <v>73</v>
      </c>
      <c r="B334" s="102">
        <v>3098.182</v>
      </c>
      <c r="C334" s="73">
        <v>4792.8</v>
      </c>
      <c r="D334" s="80">
        <v>338.13</v>
      </c>
      <c r="E334" s="79">
        <v>287.37</v>
      </c>
      <c r="F334" s="73">
        <v>67.53</v>
      </c>
      <c r="G334" s="79">
        <v>943.51558</v>
      </c>
      <c r="H334" s="71">
        <v>112.692</v>
      </c>
      <c r="I334" s="71"/>
      <c r="J334" s="79">
        <v>247.68</v>
      </c>
      <c r="K334" s="48">
        <f t="shared" si="52"/>
        <v>9887.89958</v>
      </c>
      <c r="M334" s="13"/>
      <c r="N334" s="12"/>
      <c r="O334" s="13"/>
    </row>
    <row r="335" spans="1:15" ht="15.75" hidden="1">
      <c r="A335" s="55" t="s">
        <v>74</v>
      </c>
      <c r="B335" s="102">
        <v>3495.9645</v>
      </c>
      <c r="C335" s="73">
        <v>3522.8</v>
      </c>
      <c r="D335" s="80">
        <v>357.46</v>
      </c>
      <c r="E335" s="79">
        <v>384.64</v>
      </c>
      <c r="F335" s="64">
        <v>184.02</v>
      </c>
      <c r="G335" s="79">
        <v>1090.8171</v>
      </c>
      <c r="H335" s="71">
        <v>110.028</v>
      </c>
      <c r="I335" s="122">
        <v>0</v>
      </c>
      <c r="J335" s="79">
        <v>524.71</v>
      </c>
      <c r="K335" s="48">
        <f t="shared" si="52"/>
        <v>9670.439600000002</v>
      </c>
      <c r="M335" s="13"/>
      <c r="N335" s="12"/>
      <c r="O335" s="13"/>
    </row>
    <row r="336" spans="1:15" ht="15.75" hidden="1">
      <c r="A336" s="55" t="s">
        <v>75</v>
      </c>
      <c r="B336" s="38">
        <v>4703.045</v>
      </c>
      <c r="C336" s="104">
        <v>3688.1</v>
      </c>
      <c r="D336" s="80">
        <v>410.89</v>
      </c>
      <c r="E336" s="79">
        <v>536.64</v>
      </c>
      <c r="F336" s="64">
        <v>227.415</v>
      </c>
      <c r="G336" s="79">
        <v>868.7759</v>
      </c>
      <c r="H336" s="71">
        <v>116.46</v>
      </c>
      <c r="I336" s="122">
        <v>0</v>
      </c>
      <c r="J336" s="79">
        <v>20.86</v>
      </c>
      <c r="K336" s="48">
        <f t="shared" si="52"/>
        <v>10572.1859</v>
      </c>
      <c r="M336" s="13"/>
      <c r="N336" s="12"/>
      <c r="O336" s="13"/>
    </row>
    <row r="337" spans="1:15" ht="15.75" hidden="1">
      <c r="A337" s="55" t="s">
        <v>70</v>
      </c>
      <c r="B337" s="107">
        <v>5460.682</v>
      </c>
      <c r="C337" s="104">
        <v>4378.1</v>
      </c>
      <c r="D337" s="80">
        <v>552.31</v>
      </c>
      <c r="E337" s="79">
        <v>578.9</v>
      </c>
      <c r="F337" s="64">
        <v>302.7</v>
      </c>
      <c r="G337" s="79">
        <v>783.46126</v>
      </c>
      <c r="H337" s="71">
        <v>141.036</v>
      </c>
      <c r="I337" s="122">
        <v>0</v>
      </c>
      <c r="J337" s="106" t="s">
        <v>35</v>
      </c>
      <c r="K337" s="48">
        <f t="shared" si="52"/>
        <v>12197.18926</v>
      </c>
      <c r="M337" s="13"/>
      <c r="N337" s="12"/>
      <c r="O337" s="13"/>
    </row>
    <row r="338" spans="1:15" ht="15.75" hidden="1">
      <c r="A338" s="55"/>
      <c r="B338" s="107"/>
      <c r="C338" s="104"/>
      <c r="D338" s="80"/>
      <c r="E338" s="79"/>
      <c r="F338" s="64"/>
      <c r="G338" s="79"/>
      <c r="H338" s="71"/>
      <c r="I338" s="71"/>
      <c r="J338" s="79"/>
      <c r="K338" s="48"/>
      <c r="M338" s="13"/>
      <c r="N338" s="12"/>
      <c r="O338" s="13"/>
    </row>
    <row r="339" spans="1:15" ht="15.75" hidden="1">
      <c r="A339" s="49" t="s">
        <v>52</v>
      </c>
      <c r="B339" s="107"/>
      <c r="C339" s="104"/>
      <c r="D339" s="80"/>
      <c r="E339" s="79"/>
      <c r="F339" s="64"/>
      <c r="G339" s="79"/>
      <c r="H339" s="71"/>
      <c r="I339" s="71"/>
      <c r="J339" s="79"/>
      <c r="K339" s="48"/>
      <c r="M339" s="13"/>
      <c r="N339" s="12"/>
      <c r="O339" s="13"/>
    </row>
    <row r="340" spans="1:15" ht="15.75" hidden="1">
      <c r="A340" s="55" t="s">
        <v>27</v>
      </c>
      <c r="B340" s="107">
        <v>4421.928</v>
      </c>
      <c r="C340" s="104">
        <v>6503.5</v>
      </c>
      <c r="D340" s="80">
        <v>373.83</v>
      </c>
      <c r="E340" s="79">
        <v>349.48</v>
      </c>
      <c r="F340" s="64">
        <v>110.49</v>
      </c>
      <c r="G340" s="79">
        <v>866.428</v>
      </c>
      <c r="H340" s="71">
        <v>144.924</v>
      </c>
      <c r="I340" s="122">
        <v>0</v>
      </c>
      <c r="J340" s="106" t="s">
        <v>35</v>
      </c>
      <c r="K340" s="48">
        <f aca="true" t="shared" si="53" ref="K340:K350">SUM(B340:J340)</f>
        <v>12770.58</v>
      </c>
      <c r="M340" s="13"/>
      <c r="N340" s="12"/>
      <c r="O340" s="13"/>
    </row>
    <row r="341" spans="1:15" ht="15.75" hidden="1">
      <c r="A341" s="55" t="s">
        <v>28</v>
      </c>
      <c r="B341" s="107">
        <v>5857.7085</v>
      </c>
      <c r="C341" s="104">
        <v>6224.9</v>
      </c>
      <c r="D341" s="80">
        <v>311.67</v>
      </c>
      <c r="E341" s="79">
        <v>493.25</v>
      </c>
      <c r="F341" s="64">
        <v>67.125</v>
      </c>
      <c r="G341" s="79">
        <v>858.116</v>
      </c>
      <c r="H341" s="71">
        <v>129.24</v>
      </c>
      <c r="I341" s="122">
        <v>0</v>
      </c>
      <c r="J341" s="106" t="s">
        <v>35</v>
      </c>
      <c r="K341" s="48">
        <f t="shared" si="53"/>
        <v>13942.009499999998</v>
      </c>
      <c r="M341" s="13"/>
      <c r="N341" s="12"/>
      <c r="O341" s="13"/>
    </row>
    <row r="342" spans="1:15" ht="15.75" hidden="1">
      <c r="A342" s="55" t="s">
        <v>29</v>
      </c>
      <c r="B342" s="108">
        <v>4750.032</v>
      </c>
      <c r="C342" s="108">
        <v>6243.9</v>
      </c>
      <c r="D342" s="80">
        <v>171.1</v>
      </c>
      <c r="E342" s="79">
        <v>674.79</v>
      </c>
      <c r="F342" s="64">
        <v>79.8</v>
      </c>
      <c r="G342" s="79">
        <v>679.621</v>
      </c>
      <c r="H342" s="71">
        <v>134.184</v>
      </c>
      <c r="I342" s="122">
        <v>0</v>
      </c>
      <c r="J342" s="106" t="s">
        <v>35</v>
      </c>
      <c r="K342" s="48">
        <f t="shared" si="53"/>
        <v>12733.426999999998</v>
      </c>
      <c r="M342" s="13"/>
      <c r="N342" s="12"/>
      <c r="O342" s="13"/>
    </row>
    <row r="343" spans="1:15" ht="15.75" hidden="1">
      <c r="A343" s="55" t="s">
        <v>19</v>
      </c>
      <c r="B343" s="107">
        <v>5104.407</v>
      </c>
      <c r="C343" s="108">
        <v>5507.7</v>
      </c>
      <c r="D343" s="80">
        <v>298.68</v>
      </c>
      <c r="E343" s="79">
        <v>534.74</v>
      </c>
      <c r="F343" s="64">
        <v>119.415</v>
      </c>
      <c r="G343" s="79">
        <v>672.567</v>
      </c>
      <c r="H343" s="71">
        <v>134.28</v>
      </c>
      <c r="I343" s="122">
        <v>0</v>
      </c>
      <c r="J343" s="106" t="s">
        <v>35</v>
      </c>
      <c r="K343" s="48">
        <f t="shared" si="53"/>
        <v>12371.789000000002</v>
      </c>
      <c r="M343" s="13"/>
      <c r="N343" s="12"/>
      <c r="O343" s="13"/>
    </row>
    <row r="344" spans="1:15" ht="15.75" hidden="1">
      <c r="A344" s="55" t="s">
        <v>77</v>
      </c>
      <c r="B344" s="107">
        <v>5481.441</v>
      </c>
      <c r="C344" s="108">
        <v>4751.8</v>
      </c>
      <c r="D344" s="80">
        <v>722.04</v>
      </c>
      <c r="E344" s="79">
        <v>631.09</v>
      </c>
      <c r="F344" s="64">
        <v>205.5</v>
      </c>
      <c r="G344" s="79">
        <v>851.801</v>
      </c>
      <c r="H344" s="71">
        <v>139.116</v>
      </c>
      <c r="I344" s="122">
        <v>0</v>
      </c>
      <c r="J344" s="106" t="s">
        <v>35</v>
      </c>
      <c r="K344" s="48">
        <f t="shared" si="53"/>
        <v>12782.787999999999</v>
      </c>
      <c r="M344" s="13"/>
      <c r="N344" s="12"/>
      <c r="O344" s="13"/>
    </row>
    <row r="345" spans="1:15" ht="15.75" hidden="1">
      <c r="A345" s="55" t="s">
        <v>30</v>
      </c>
      <c r="B345" s="107">
        <v>4054.134</v>
      </c>
      <c r="C345" s="108">
        <v>6001.8</v>
      </c>
      <c r="D345" s="80">
        <v>666.81</v>
      </c>
      <c r="E345" s="79">
        <v>533.67</v>
      </c>
      <c r="F345" s="73">
        <v>87.03</v>
      </c>
      <c r="G345" s="79">
        <v>823.309</v>
      </c>
      <c r="H345" s="79">
        <v>64.8</v>
      </c>
      <c r="I345" s="122">
        <v>0</v>
      </c>
      <c r="J345" s="79">
        <v>63.89</v>
      </c>
      <c r="K345" s="48">
        <f t="shared" si="53"/>
        <v>12295.443</v>
      </c>
      <c r="M345" s="13"/>
      <c r="N345" s="12"/>
      <c r="O345" s="13"/>
    </row>
    <row r="346" spans="1:15" ht="15.75" hidden="1">
      <c r="A346" s="55" t="s">
        <v>71</v>
      </c>
      <c r="B346" s="107">
        <v>3247.604</v>
      </c>
      <c r="C346" s="108">
        <v>5469.4</v>
      </c>
      <c r="D346" s="80">
        <v>699.42</v>
      </c>
      <c r="E346" s="79">
        <v>438.54</v>
      </c>
      <c r="F346" s="64">
        <v>95.205</v>
      </c>
      <c r="G346" s="79">
        <v>824.146</v>
      </c>
      <c r="H346" s="79">
        <v>65.004</v>
      </c>
      <c r="I346" s="122">
        <v>0</v>
      </c>
      <c r="J346" s="79">
        <v>367.54</v>
      </c>
      <c r="K346" s="48">
        <f t="shared" si="53"/>
        <v>11206.859000000002</v>
      </c>
      <c r="M346" s="13"/>
      <c r="N346" s="12"/>
      <c r="O346" s="13"/>
    </row>
    <row r="347" spans="1:15" ht="15.75" hidden="1">
      <c r="A347" s="55" t="s">
        <v>22</v>
      </c>
      <c r="B347" s="107">
        <v>2900.288</v>
      </c>
      <c r="C347" s="108">
        <v>5014.4</v>
      </c>
      <c r="D347" s="80">
        <v>549.83</v>
      </c>
      <c r="E347" s="79">
        <v>383.3</v>
      </c>
      <c r="F347" s="64">
        <v>75.66</v>
      </c>
      <c r="G347" s="79">
        <v>774.745</v>
      </c>
      <c r="H347" s="79">
        <v>104.436</v>
      </c>
      <c r="I347" s="122">
        <v>0</v>
      </c>
      <c r="J347" s="79">
        <v>573.92</v>
      </c>
      <c r="K347" s="48">
        <f t="shared" si="53"/>
        <v>10376.579</v>
      </c>
      <c r="M347" s="13"/>
      <c r="N347" s="12"/>
      <c r="O347" s="13"/>
    </row>
    <row r="348" spans="1:15" ht="15.75" hidden="1">
      <c r="A348" s="55" t="s">
        <v>73</v>
      </c>
      <c r="B348" s="107">
        <v>2948.295</v>
      </c>
      <c r="C348" s="108">
        <v>4688.5</v>
      </c>
      <c r="D348" s="80">
        <v>591.73</v>
      </c>
      <c r="E348" s="79">
        <v>368.6</v>
      </c>
      <c r="F348" s="64">
        <v>58.38</v>
      </c>
      <c r="G348" s="79">
        <v>545.487</v>
      </c>
      <c r="H348" s="79">
        <v>118.104</v>
      </c>
      <c r="I348" s="122">
        <v>0</v>
      </c>
      <c r="J348" s="79">
        <v>712.13</v>
      </c>
      <c r="K348" s="48">
        <f t="shared" si="53"/>
        <v>10031.225999999997</v>
      </c>
      <c r="M348" s="13"/>
      <c r="N348" s="12"/>
      <c r="O348" s="13"/>
    </row>
    <row r="349" spans="1:15" ht="15.75" hidden="1">
      <c r="A349" s="55" t="s">
        <v>74</v>
      </c>
      <c r="B349" s="107">
        <v>3881.829</v>
      </c>
      <c r="C349" s="108">
        <v>5046.1</v>
      </c>
      <c r="D349" s="80">
        <v>595.85</v>
      </c>
      <c r="E349" s="79">
        <v>366.65</v>
      </c>
      <c r="F349" s="64">
        <v>45.21</v>
      </c>
      <c r="G349" s="79">
        <v>745.346</v>
      </c>
      <c r="H349" s="79">
        <v>111.096</v>
      </c>
      <c r="I349" s="122">
        <v>0</v>
      </c>
      <c r="J349" s="79">
        <v>480.65</v>
      </c>
      <c r="K349" s="48">
        <f t="shared" si="53"/>
        <v>11272.730999999998</v>
      </c>
      <c r="L349" s="11"/>
      <c r="M349" s="13"/>
      <c r="N349" s="12"/>
      <c r="O349" s="13"/>
    </row>
    <row r="350" spans="1:15" ht="15.75" hidden="1">
      <c r="A350" s="55" t="s">
        <v>75</v>
      </c>
      <c r="B350" s="107">
        <v>3869.717</v>
      </c>
      <c r="C350" s="108">
        <v>4701.5</v>
      </c>
      <c r="D350" s="80">
        <v>746.03</v>
      </c>
      <c r="E350" s="79">
        <v>330.46</v>
      </c>
      <c r="F350" s="64">
        <v>108.48</v>
      </c>
      <c r="G350" s="79">
        <v>829.478</v>
      </c>
      <c r="H350" s="79">
        <v>114.696</v>
      </c>
      <c r="I350" s="122">
        <v>0</v>
      </c>
      <c r="J350" s="79">
        <v>248.47</v>
      </c>
      <c r="K350" s="48">
        <f t="shared" si="53"/>
        <v>10948.830999999998</v>
      </c>
      <c r="L350" s="11"/>
      <c r="M350" s="13"/>
      <c r="N350" s="12"/>
      <c r="O350" s="13"/>
    </row>
    <row r="351" spans="1:15" ht="15.75" hidden="1">
      <c r="A351" s="55" t="s">
        <v>70</v>
      </c>
      <c r="B351" s="38">
        <v>4811.394</v>
      </c>
      <c r="C351" s="108">
        <v>3579.3</v>
      </c>
      <c r="D351" s="80">
        <v>867.72</v>
      </c>
      <c r="E351" s="79">
        <v>135.58</v>
      </c>
      <c r="F351" s="73">
        <v>139.2</v>
      </c>
      <c r="G351" s="79">
        <v>854.401</v>
      </c>
      <c r="H351" s="79">
        <v>133.956</v>
      </c>
      <c r="I351" s="122">
        <v>0</v>
      </c>
      <c r="J351" s="79">
        <v>441</v>
      </c>
      <c r="K351" s="48">
        <f>SUM(B351:J351)</f>
        <v>10962.551</v>
      </c>
      <c r="L351" s="11"/>
      <c r="M351" s="13"/>
      <c r="N351" s="12"/>
      <c r="O351" s="13"/>
    </row>
    <row r="352" spans="1:15" ht="15.75" hidden="1">
      <c r="A352" s="55"/>
      <c r="B352" s="30"/>
      <c r="C352" s="108"/>
      <c r="D352" s="80"/>
      <c r="E352" s="79"/>
      <c r="F352" s="64"/>
      <c r="G352" s="79"/>
      <c r="H352" s="79"/>
      <c r="I352" s="79"/>
      <c r="J352" s="79"/>
      <c r="K352" s="48"/>
      <c r="L352" s="11"/>
      <c r="M352" s="13"/>
      <c r="N352" s="12"/>
      <c r="O352" s="13"/>
    </row>
    <row r="353" spans="1:15" ht="15.75" hidden="1">
      <c r="A353" s="49" t="s">
        <v>53</v>
      </c>
      <c r="B353" s="30"/>
      <c r="C353" s="108"/>
      <c r="D353" s="80"/>
      <c r="E353" s="79"/>
      <c r="F353" s="64"/>
      <c r="G353" s="79"/>
      <c r="H353" s="79"/>
      <c r="I353" s="79"/>
      <c r="J353" s="79"/>
      <c r="K353" s="48"/>
      <c r="L353" s="11"/>
      <c r="M353" s="13"/>
      <c r="N353" s="12"/>
      <c r="O353" s="13"/>
    </row>
    <row r="354" spans="1:15" ht="15.75" hidden="1">
      <c r="A354" s="55" t="s">
        <v>27</v>
      </c>
      <c r="B354" s="38">
        <v>4730.523</v>
      </c>
      <c r="C354" s="52">
        <v>3302.9</v>
      </c>
      <c r="D354" s="80">
        <v>666.54</v>
      </c>
      <c r="E354" s="79">
        <v>159.04</v>
      </c>
      <c r="F354" s="64">
        <v>219.255</v>
      </c>
      <c r="G354" s="79">
        <v>799.571</v>
      </c>
      <c r="H354" s="79">
        <v>90.768</v>
      </c>
      <c r="I354" s="122">
        <v>0</v>
      </c>
      <c r="J354" s="79">
        <v>483.83</v>
      </c>
      <c r="K354" s="48">
        <f aca="true" t="shared" si="54" ref="K354:K360">SUM(B354:J354)</f>
        <v>10452.427</v>
      </c>
      <c r="L354" s="11"/>
      <c r="M354" s="13"/>
      <c r="N354" s="12"/>
      <c r="O354" s="13"/>
    </row>
    <row r="355" spans="1:15" ht="15.75" hidden="1">
      <c r="A355" s="55" t="s">
        <v>28</v>
      </c>
      <c r="B355" s="52">
        <v>4185.783</v>
      </c>
      <c r="C355" s="52">
        <v>3583.4</v>
      </c>
      <c r="D355" s="80">
        <v>743.78</v>
      </c>
      <c r="E355" s="79">
        <v>465.18</v>
      </c>
      <c r="F355" s="64">
        <v>128.145</v>
      </c>
      <c r="G355" s="79">
        <v>702.294</v>
      </c>
      <c r="H355" s="79">
        <v>73.008</v>
      </c>
      <c r="I355" s="122">
        <v>0</v>
      </c>
      <c r="J355" s="79">
        <v>332.32</v>
      </c>
      <c r="K355" s="48">
        <f t="shared" si="54"/>
        <v>10213.910000000002</v>
      </c>
      <c r="L355" s="11"/>
      <c r="M355" s="13"/>
      <c r="N355" s="12"/>
      <c r="O355" s="13"/>
    </row>
    <row r="356" spans="1:15" ht="15.75" hidden="1">
      <c r="A356" s="55" t="s">
        <v>29</v>
      </c>
      <c r="B356" s="52">
        <v>4875.906</v>
      </c>
      <c r="C356" s="52">
        <v>5007.6</v>
      </c>
      <c r="D356" s="80">
        <v>945.43</v>
      </c>
      <c r="E356" s="79">
        <v>515.53</v>
      </c>
      <c r="F356" s="64">
        <v>134.625</v>
      </c>
      <c r="G356" s="79">
        <v>771.936</v>
      </c>
      <c r="H356" s="79">
        <v>90.576</v>
      </c>
      <c r="I356" s="122">
        <v>0</v>
      </c>
      <c r="J356" s="79">
        <v>485.85</v>
      </c>
      <c r="K356" s="48">
        <f t="shared" si="54"/>
        <v>12827.453000000001</v>
      </c>
      <c r="L356" s="11"/>
      <c r="M356" s="13"/>
      <c r="N356" s="12"/>
      <c r="O356" s="13"/>
    </row>
    <row r="357" spans="1:15" ht="15.75" hidden="1">
      <c r="A357" s="55" t="s">
        <v>19</v>
      </c>
      <c r="B357" s="52">
        <v>5674.095</v>
      </c>
      <c r="C357" s="52">
        <v>3416.3</v>
      </c>
      <c r="D357" s="80">
        <v>886.11</v>
      </c>
      <c r="E357" s="79">
        <v>456.98</v>
      </c>
      <c r="F357" s="64">
        <v>214.74</v>
      </c>
      <c r="G357" s="79">
        <v>813.953</v>
      </c>
      <c r="H357" s="79">
        <v>88.488</v>
      </c>
      <c r="I357" s="122">
        <v>0</v>
      </c>
      <c r="J357" s="79">
        <f>149.01+889.824</f>
        <v>1038.8339999999998</v>
      </c>
      <c r="K357" s="48">
        <f t="shared" si="54"/>
        <v>12589.5</v>
      </c>
      <c r="L357" s="11"/>
      <c r="M357" s="13"/>
      <c r="N357" s="12"/>
      <c r="O357" s="13"/>
    </row>
    <row r="358" spans="1:15" ht="15.75" hidden="1">
      <c r="A358" s="55" t="s">
        <v>77</v>
      </c>
      <c r="B358" s="52">
        <v>4844.637</v>
      </c>
      <c r="C358" s="52">
        <v>5774.2</v>
      </c>
      <c r="D358" s="80">
        <v>963.58</v>
      </c>
      <c r="E358" s="79">
        <v>43.59</v>
      </c>
      <c r="F358" s="64">
        <v>189.645</v>
      </c>
      <c r="G358" s="79">
        <v>657.445</v>
      </c>
      <c r="H358" s="79">
        <v>76.236</v>
      </c>
      <c r="I358" s="122">
        <v>0</v>
      </c>
      <c r="J358" s="79">
        <f>59.47+1391.387</f>
        <v>1450.857</v>
      </c>
      <c r="K358" s="48">
        <f t="shared" si="54"/>
        <v>14000.19</v>
      </c>
      <c r="L358" s="11"/>
      <c r="M358" s="13"/>
      <c r="N358" s="12"/>
      <c r="O358" s="13"/>
    </row>
    <row r="359" spans="1:15" ht="15.75" hidden="1">
      <c r="A359" s="55" t="s">
        <v>30</v>
      </c>
      <c r="B359" s="50">
        <v>3462.627</v>
      </c>
      <c r="C359" s="52">
        <v>5693.2</v>
      </c>
      <c r="D359" s="80">
        <v>823.14</v>
      </c>
      <c r="E359" s="79">
        <v>355.45</v>
      </c>
      <c r="F359" s="64">
        <v>130.77</v>
      </c>
      <c r="G359" s="79">
        <v>874.294</v>
      </c>
      <c r="H359" s="79">
        <v>82.296</v>
      </c>
      <c r="I359" s="122">
        <v>0</v>
      </c>
      <c r="J359" s="79">
        <f>92.04+1540.658</f>
        <v>1632.6979999999999</v>
      </c>
      <c r="K359" s="48">
        <f t="shared" si="54"/>
        <v>13054.475</v>
      </c>
      <c r="L359" s="11"/>
      <c r="M359" s="13"/>
      <c r="N359" s="12"/>
      <c r="O359" s="13"/>
    </row>
    <row r="360" spans="1:15" ht="15.75" hidden="1">
      <c r="A360" s="55" t="s">
        <v>71</v>
      </c>
      <c r="B360" s="50">
        <v>2921.016</v>
      </c>
      <c r="C360" s="52">
        <v>7093.8</v>
      </c>
      <c r="D360" s="80">
        <v>714.59</v>
      </c>
      <c r="E360" s="79">
        <v>358.85</v>
      </c>
      <c r="F360" s="64">
        <v>87.75</v>
      </c>
      <c r="G360" s="79">
        <v>709.558</v>
      </c>
      <c r="H360" s="79">
        <v>83.532</v>
      </c>
      <c r="I360" s="122">
        <v>0</v>
      </c>
      <c r="J360" s="79">
        <f>36.51+1552.156</f>
        <v>1588.666</v>
      </c>
      <c r="K360" s="48">
        <f t="shared" si="54"/>
        <v>13557.762</v>
      </c>
      <c r="L360" s="11"/>
      <c r="M360" s="13"/>
      <c r="N360" s="12"/>
      <c r="O360" s="13"/>
    </row>
    <row r="361" spans="1:15" ht="15.75" hidden="1">
      <c r="A361" s="55" t="s">
        <v>22</v>
      </c>
      <c r="B361" s="50">
        <v>2912.721</v>
      </c>
      <c r="C361" s="52">
        <v>7232.02</v>
      </c>
      <c r="D361" s="80">
        <v>655.1</v>
      </c>
      <c r="E361" s="79">
        <v>340.16</v>
      </c>
      <c r="F361" s="64">
        <v>52.38</v>
      </c>
      <c r="G361" s="79">
        <v>861.179</v>
      </c>
      <c r="H361" s="79">
        <v>70.776</v>
      </c>
      <c r="I361" s="122">
        <v>0</v>
      </c>
      <c r="J361" s="79">
        <f>689.282+1559.996</f>
        <v>2249.2780000000002</v>
      </c>
      <c r="K361" s="48">
        <f>SUM(B361:J361)</f>
        <v>14373.614</v>
      </c>
      <c r="L361" s="11"/>
      <c r="M361" s="13"/>
      <c r="N361" s="12"/>
      <c r="O361" s="13"/>
    </row>
    <row r="362" spans="1:15" ht="15.75" hidden="1">
      <c r="A362" s="55" t="s">
        <v>73</v>
      </c>
      <c r="B362" s="50">
        <v>2905.539</v>
      </c>
      <c r="C362" s="52">
        <v>6825</v>
      </c>
      <c r="D362" s="80">
        <v>546.82</v>
      </c>
      <c r="E362" s="79">
        <v>321.9</v>
      </c>
      <c r="F362" s="64">
        <v>34.365</v>
      </c>
      <c r="G362" s="79">
        <v>813.468</v>
      </c>
      <c r="H362" s="79">
        <v>81.684</v>
      </c>
      <c r="I362" s="122">
        <v>0</v>
      </c>
      <c r="J362" s="79">
        <f>1295.534+1492.039</f>
        <v>2787.5730000000003</v>
      </c>
      <c r="K362" s="48">
        <f>SUM(B362:J362)</f>
        <v>14316.349</v>
      </c>
      <c r="L362" s="11"/>
      <c r="M362" s="13"/>
      <c r="N362" s="12"/>
      <c r="O362" s="13"/>
    </row>
    <row r="363" spans="1:15" ht="15.75" hidden="1">
      <c r="A363" s="55" t="s">
        <v>74</v>
      </c>
      <c r="B363" s="50">
        <v>3148.74</v>
      </c>
      <c r="C363" s="52">
        <v>7431.9</v>
      </c>
      <c r="D363" s="80">
        <v>604.5</v>
      </c>
      <c r="E363" s="79">
        <v>347.43</v>
      </c>
      <c r="F363" s="64">
        <v>69.122</v>
      </c>
      <c r="G363" s="79">
        <v>781.229</v>
      </c>
      <c r="H363" s="79">
        <v>83.7</v>
      </c>
      <c r="I363" s="79">
        <v>181.685</v>
      </c>
      <c r="J363" s="79">
        <f>802.308+1371.764</f>
        <v>2174.072</v>
      </c>
      <c r="K363" s="48">
        <f>SUM(B363:J363)</f>
        <v>14822.377999999999</v>
      </c>
      <c r="L363" s="11"/>
      <c r="M363" s="13"/>
      <c r="N363" s="12"/>
      <c r="O363" s="13"/>
    </row>
    <row r="364" spans="1:15" ht="15.75" hidden="1">
      <c r="A364" s="55" t="s">
        <v>75</v>
      </c>
      <c r="B364" s="50">
        <v>4001.655</v>
      </c>
      <c r="C364" s="52">
        <v>4479.4</v>
      </c>
      <c r="D364" s="80">
        <v>623.02</v>
      </c>
      <c r="E364" s="79">
        <v>423.62</v>
      </c>
      <c r="F364" s="64">
        <v>115.075</v>
      </c>
      <c r="G364" s="79">
        <v>819.425</v>
      </c>
      <c r="H364" s="79">
        <v>79.764</v>
      </c>
      <c r="I364" s="79">
        <v>202.519</v>
      </c>
      <c r="J364" s="79">
        <f>54.017+2245.326</f>
        <v>2299.343</v>
      </c>
      <c r="K364" s="48">
        <f>SUM(B364:J364)</f>
        <v>13043.821</v>
      </c>
      <c r="L364" s="11"/>
      <c r="M364" s="13"/>
      <c r="N364" s="12"/>
      <c r="O364" s="13"/>
    </row>
    <row r="365" spans="1:15" ht="15.75" hidden="1">
      <c r="A365" s="55" t="s">
        <v>70</v>
      </c>
      <c r="B365" s="52">
        <v>5286.519</v>
      </c>
      <c r="C365" s="51">
        <v>4026.7</v>
      </c>
      <c r="D365" s="80">
        <v>426.65</v>
      </c>
      <c r="E365" s="79">
        <v>606.87</v>
      </c>
      <c r="F365" s="64">
        <v>201.945</v>
      </c>
      <c r="G365" s="79">
        <v>860.337</v>
      </c>
      <c r="H365" s="79">
        <v>90.756</v>
      </c>
      <c r="I365" s="79">
        <v>239.508</v>
      </c>
      <c r="J365" s="79">
        <f>41.791+2528.267+1559.676</f>
        <v>4129.734</v>
      </c>
      <c r="K365" s="48">
        <f>SUM(B365:J365)</f>
        <v>15869.019</v>
      </c>
      <c r="L365" s="11"/>
      <c r="M365" s="13"/>
      <c r="N365" s="12"/>
      <c r="O365" s="13"/>
    </row>
    <row r="366" spans="1:15" ht="15.75" hidden="1">
      <c r="A366" s="55"/>
      <c r="B366" s="52"/>
      <c r="C366" s="51"/>
      <c r="D366" s="80"/>
      <c r="E366" s="79"/>
      <c r="F366" s="64"/>
      <c r="G366" s="79"/>
      <c r="H366" s="79"/>
      <c r="I366" s="79"/>
      <c r="J366" s="79"/>
      <c r="K366" s="48"/>
      <c r="L366" s="11"/>
      <c r="M366" s="13"/>
      <c r="N366" s="12"/>
      <c r="O366" s="13"/>
    </row>
    <row r="367" spans="1:15" ht="15.75" hidden="1">
      <c r="A367" s="49" t="s">
        <v>54</v>
      </c>
      <c r="B367" s="52"/>
      <c r="C367" s="51"/>
      <c r="D367" s="80"/>
      <c r="E367" s="79"/>
      <c r="F367" s="64"/>
      <c r="G367" s="79"/>
      <c r="H367" s="79"/>
      <c r="I367" s="79"/>
      <c r="J367" s="79"/>
      <c r="K367" s="48"/>
      <c r="L367" s="11"/>
      <c r="M367" s="13"/>
      <c r="N367" s="12"/>
      <c r="O367" s="13"/>
    </row>
    <row r="368" spans="1:15" ht="15.75" hidden="1">
      <c r="A368" s="55" t="s">
        <v>27</v>
      </c>
      <c r="B368" s="52">
        <v>5472.432</v>
      </c>
      <c r="C368" s="52">
        <v>4534.1</v>
      </c>
      <c r="D368" s="80">
        <v>716.09</v>
      </c>
      <c r="E368" s="79">
        <v>580.19</v>
      </c>
      <c r="F368" s="64">
        <v>85.47</v>
      </c>
      <c r="G368" s="79">
        <v>995.162</v>
      </c>
      <c r="H368" s="79">
        <v>87.144</v>
      </c>
      <c r="I368" s="79">
        <v>258.929</v>
      </c>
      <c r="J368" s="79">
        <f>54.38+1192.329+1559.716</f>
        <v>2806.425</v>
      </c>
      <c r="K368" s="48">
        <f aca="true" t="shared" si="55" ref="K368:K378">SUM(B368:J368)</f>
        <v>15535.942</v>
      </c>
      <c r="L368" s="11"/>
      <c r="M368" s="13"/>
      <c r="N368" s="12"/>
      <c r="O368" s="13"/>
    </row>
    <row r="369" spans="1:15" ht="15.75" hidden="1">
      <c r="A369" s="55" t="s">
        <v>28</v>
      </c>
      <c r="B369" s="52">
        <v>5211.192</v>
      </c>
      <c r="C369" s="52">
        <v>6074.7</v>
      </c>
      <c r="D369" s="52">
        <v>762.79</v>
      </c>
      <c r="E369" s="52">
        <v>526.02</v>
      </c>
      <c r="F369" s="52">
        <v>160.455</v>
      </c>
      <c r="G369" s="52">
        <v>455.982</v>
      </c>
      <c r="H369" s="52">
        <v>76.668</v>
      </c>
      <c r="I369" s="52">
        <v>192.243</v>
      </c>
      <c r="J369" s="52">
        <f>96.95+220.786+1536.916</f>
        <v>1854.652</v>
      </c>
      <c r="K369" s="52">
        <f t="shared" si="55"/>
        <v>15314.702000000001</v>
      </c>
      <c r="L369" s="11"/>
      <c r="M369" s="13"/>
      <c r="N369" s="12"/>
      <c r="O369" s="13"/>
    </row>
    <row r="370" spans="1:15" ht="15.75" hidden="1">
      <c r="A370" s="55" t="s">
        <v>29</v>
      </c>
      <c r="B370" s="52">
        <v>5395.968</v>
      </c>
      <c r="C370" s="52">
        <v>6845.3</v>
      </c>
      <c r="D370" s="80">
        <v>818.9</v>
      </c>
      <c r="E370" s="79">
        <v>578.51</v>
      </c>
      <c r="F370" s="64">
        <v>148.935</v>
      </c>
      <c r="G370" s="79">
        <v>448.665</v>
      </c>
      <c r="H370" s="79">
        <v>91.968</v>
      </c>
      <c r="I370" s="79">
        <v>250.87</v>
      </c>
      <c r="J370" s="79">
        <f>554.971+1559.989</f>
        <v>2114.96</v>
      </c>
      <c r="K370" s="52">
        <f t="shared" si="55"/>
        <v>16694.076</v>
      </c>
      <c r="L370" s="11"/>
      <c r="M370" s="13"/>
      <c r="N370" s="12"/>
      <c r="O370" s="13"/>
    </row>
    <row r="371" spans="1:15" ht="15.75" hidden="1">
      <c r="A371" s="55" t="s">
        <v>19</v>
      </c>
      <c r="B371" s="52">
        <v>5607.187</v>
      </c>
      <c r="C371" s="52">
        <v>4814</v>
      </c>
      <c r="D371" s="80">
        <v>898.2</v>
      </c>
      <c r="E371" s="79">
        <v>658.97</v>
      </c>
      <c r="F371" s="64">
        <v>82.05</v>
      </c>
      <c r="G371" s="79">
        <v>670.69</v>
      </c>
      <c r="H371" s="79">
        <v>71.892</v>
      </c>
      <c r="I371" s="79">
        <v>236.42</v>
      </c>
      <c r="J371" s="79">
        <f>88.11+704.179+1559.256</f>
        <v>2351.545</v>
      </c>
      <c r="K371" s="52">
        <f t="shared" si="55"/>
        <v>15390.954</v>
      </c>
      <c r="L371" s="11"/>
      <c r="M371" s="13"/>
      <c r="N371" s="12"/>
      <c r="O371" s="13"/>
    </row>
    <row r="372" spans="1:15" ht="15.75" hidden="1">
      <c r="A372" s="55" t="s">
        <v>77</v>
      </c>
      <c r="B372" s="52">
        <v>4477.838</v>
      </c>
      <c r="C372" s="52">
        <v>5576.4</v>
      </c>
      <c r="D372" s="80">
        <v>693.9</v>
      </c>
      <c r="E372" s="79">
        <v>528.3</v>
      </c>
      <c r="F372" s="64">
        <v>76</v>
      </c>
      <c r="G372" s="79">
        <v>1681.583</v>
      </c>
      <c r="H372" s="79">
        <v>88.332</v>
      </c>
      <c r="I372" s="79">
        <v>228.867</v>
      </c>
      <c r="J372" s="79">
        <f>444.12+415.727+1559.639</f>
        <v>2419.486</v>
      </c>
      <c r="K372" s="52">
        <f t="shared" si="55"/>
        <v>15770.705999999998</v>
      </c>
      <c r="L372" s="11"/>
      <c r="M372" s="13"/>
      <c r="N372" s="12"/>
      <c r="O372" s="13"/>
    </row>
    <row r="373" spans="1:15" ht="15.75" hidden="1">
      <c r="A373" s="55" t="s">
        <v>30</v>
      </c>
      <c r="B373" s="50">
        <v>3921.732</v>
      </c>
      <c r="C373" s="52">
        <v>4945.92</v>
      </c>
      <c r="D373" s="80">
        <v>656.9</v>
      </c>
      <c r="E373" s="79">
        <v>347.27</v>
      </c>
      <c r="F373" s="64">
        <v>64.8</v>
      </c>
      <c r="G373" s="79">
        <v>1760.47</v>
      </c>
      <c r="H373" s="79">
        <v>123.3</v>
      </c>
      <c r="I373" s="79">
        <v>254.775</v>
      </c>
      <c r="J373" s="79">
        <f>70.94+464.73+1559.999</f>
        <v>2095.669</v>
      </c>
      <c r="K373" s="52">
        <f t="shared" si="55"/>
        <v>14170.835999999998</v>
      </c>
      <c r="L373" s="11"/>
      <c r="M373" s="13"/>
      <c r="N373" s="12"/>
      <c r="O373" s="13"/>
    </row>
    <row r="374" spans="1:15" ht="15.75" hidden="1">
      <c r="A374" s="55" t="s">
        <v>71</v>
      </c>
      <c r="B374" s="52">
        <v>3120.336</v>
      </c>
      <c r="C374" s="51">
        <v>4210.1</v>
      </c>
      <c r="D374" s="80">
        <v>574.1</v>
      </c>
      <c r="E374" s="79">
        <v>335.83</v>
      </c>
      <c r="F374" s="64">
        <v>81.33</v>
      </c>
      <c r="G374" s="79">
        <v>1912.839</v>
      </c>
      <c r="H374" s="79">
        <v>122.4</v>
      </c>
      <c r="I374" s="79">
        <v>161.283</v>
      </c>
      <c r="J374" s="79">
        <f>125.94+511.129+1559.998</f>
        <v>2197.067</v>
      </c>
      <c r="K374" s="52">
        <f t="shared" si="55"/>
        <v>12715.285</v>
      </c>
      <c r="L374" s="11"/>
      <c r="M374" s="13"/>
      <c r="N374" s="12"/>
      <c r="O374" s="13"/>
    </row>
    <row r="375" spans="1:15" ht="15.75" hidden="1">
      <c r="A375" s="55" t="s">
        <v>22</v>
      </c>
      <c r="B375" s="52">
        <v>3048.57</v>
      </c>
      <c r="C375" s="51">
        <v>3279.5</v>
      </c>
      <c r="D375" s="80">
        <v>166.6</v>
      </c>
      <c r="E375" s="79">
        <v>287.33</v>
      </c>
      <c r="F375" s="64">
        <v>0</v>
      </c>
      <c r="G375" s="79">
        <v>1783.259</v>
      </c>
      <c r="H375" s="79">
        <v>104.676</v>
      </c>
      <c r="I375" s="79">
        <v>120.7</v>
      </c>
      <c r="J375" s="79">
        <f>57.1+355.51+3153.757</f>
        <v>3566.367</v>
      </c>
      <c r="K375" s="52">
        <f t="shared" si="55"/>
        <v>12357.002</v>
      </c>
      <c r="L375" s="11"/>
      <c r="M375" s="13"/>
      <c r="N375" s="12"/>
      <c r="O375" s="13"/>
    </row>
    <row r="376" spans="1:15" ht="15.75" hidden="1">
      <c r="A376" s="55" t="s">
        <v>73</v>
      </c>
      <c r="B376" s="52">
        <v>3387.72</v>
      </c>
      <c r="C376" s="51">
        <v>3072.4</v>
      </c>
      <c r="D376" s="80">
        <v>602.6</v>
      </c>
      <c r="E376" s="79">
        <v>351.97</v>
      </c>
      <c r="F376" s="64">
        <v>70.635</v>
      </c>
      <c r="G376" s="79">
        <v>1703.761</v>
      </c>
      <c r="H376" s="79">
        <v>108.12</v>
      </c>
      <c r="I376" s="79">
        <v>257.8</v>
      </c>
      <c r="J376" s="79">
        <f>19.91+13.535+3219.679</f>
        <v>3253.1240000000003</v>
      </c>
      <c r="K376" s="52">
        <f t="shared" si="55"/>
        <v>12808.130000000001</v>
      </c>
      <c r="L376" s="11"/>
      <c r="M376" s="13"/>
      <c r="N376" s="12"/>
      <c r="O376" s="13"/>
    </row>
    <row r="377" spans="1:15" ht="15.75" hidden="1">
      <c r="A377" s="55" t="s">
        <v>74</v>
      </c>
      <c r="B377" s="52">
        <v>4230.114</v>
      </c>
      <c r="C377" s="51">
        <v>3243.9</v>
      </c>
      <c r="D377" s="80">
        <v>762.4</v>
      </c>
      <c r="E377" s="79">
        <v>507.39</v>
      </c>
      <c r="F377" s="64">
        <v>93.825</v>
      </c>
      <c r="G377" s="79">
        <v>1356.635</v>
      </c>
      <c r="H377" s="79">
        <v>78.816</v>
      </c>
      <c r="I377" s="79">
        <v>264.8</v>
      </c>
      <c r="J377" s="79">
        <f>293.733+3219.231</f>
        <v>3512.9640000000004</v>
      </c>
      <c r="K377" s="52">
        <f t="shared" si="55"/>
        <v>14050.844</v>
      </c>
      <c r="L377" s="11"/>
      <c r="M377" s="13"/>
      <c r="N377" s="12"/>
      <c r="O377" s="13"/>
    </row>
    <row r="378" spans="1:15" ht="15.75" hidden="1">
      <c r="A378" s="55" t="s">
        <v>75</v>
      </c>
      <c r="B378" s="52">
        <v>3983.196</v>
      </c>
      <c r="C378" s="51">
        <v>3450.6</v>
      </c>
      <c r="D378" s="80">
        <v>665</v>
      </c>
      <c r="E378" s="79">
        <v>512.74</v>
      </c>
      <c r="F378" s="64">
        <v>53.235</v>
      </c>
      <c r="G378" s="79">
        <v>1051.644</v>
      </c>
      <c r="H378" s="79">
        <v>85.283</v>
      </c>
      <c r="I378" s="79">
        <v>268</v>
      </c>
      <c r="J378" s="79">
        <f>525.542+3138.307</f>
        <v>3663.8489999999997</v>
      </c>
      <c r="K378" s="52">
        <f t="shared" si="55"/>
        <v>13733.547</v>
      </c>
      <c r="L378" s="11"/>
      <c r="M378" s="13"/>
      <c r="N378" s="12"/>
      <c r="O378" s="13"/>
    </row>
    <row r="379" spans="1:15" ht="15.75" hidden="1">
      <c r="A379" s="55" t="s">
        <v>70</v>
      </c>
      <c r="B379" s="52">
        <v>4955.559</v>
      </c>
      <c r="C379" s="51">
        <v>3907</v>
      </c>
      <c r="D379" s="80">
        <v>831.8</v>
      </c>
      <c r="E379" s="79">
        <v>562.29</v>
      </c>
      <c r="F379" s="64">
        <v>127.95</v>
      </c>
      <c r="G379" s="79">
        <v>973.683</v>
      </c>
      <c r="H379" s="79">
        <v>95.22</v>
      </c>
      <c r="I379" s="79">
        <v>168.6</v>
      </c>
      <c r="J379" s="79">
        <f>470.145+3214.033</f>
        <v>3684.178</v>
      </c>
      <c r="K379" s="52">
        <f>SUM(B379:J379)</f>
        <v>15306.280000000002</v>
      </c>
      <c r="L379" s="11"/>
      <c r="M379" s="13"/>
      <c r="N379" s="12"/>
      <c r="O379" s="13"/>
    </row>
    <row r="380" spans="1:15" ht="15.75" hidden="1">
      <c r="A380" s="55"/>
      <c r="B380" s="52"/>
      <c r="C380" s="51"/>
      <c r="D380" s="80"/>
      <c r="E380" s="79"/>
      <c r="F380" s="64"/>
      <c r="G380" s="79"/>
      <c r="H380" s="79"/>
      <c r="I380" s="79"/>
      <c r="J380" s="79"/>
      <c r="K380" s="52"/>
      <c r="L380" s="11"/>
      <c r="M380" s="13"/>
      <c r="N380" s="12"/>
      <c r="O380" s="13"/>
    </row>
    <row r="381" spans="1:15" ht="15.75">
      <c r="A381" s="49" t="s">
        <v>55</v>
      </c>
      <c r="B381" s="52"/>
      <c r="C381" s="51"/>
      <c r="D381" s="80"/>
      <c r="E381" s="79"/>
      <c r="F381" s="64"/>
      <c r="G381" s="79"/>
      <c r="H381" s="79"/>
      <c r="I381" s="79"/>
      <c r="J381" s="79"/>
      <c r="K381" s="52"/>
      <c r="L381" s="11"/>
      <c r="M381" s="13"/>
      <c r="N381" s="12"/>
      <c r="O381" s="13"/>
    </row>
    <row r="382" spans="1:15" ht="15.75" hidden="1">
      <c r="A382" s="55" t="s">
        <v>27</v>
      </c>
      <c r="B382" s="52">
        <v>5146.617</v>
      </c>
      <c r="C382" s="51">
        <v>4863.3</v>
      </c>
      <c r="D382" s="80">
        <v>883.9</v>
      </c>
      <c r="E382" s="79">
        <v>667.9</v>
      </c>
      <c r="F382" s="64">
        <v>101.01</v>
      </c>
      <c r="G382" s="79">
        <v>807.543</v>
      </c>
      <c r="H382" s="79">
        <v>86.316</v>
      </c>
      <c r="I382" s="79">
        <v>159</v>
      </c>
      <c r="J382" s="79">
        <f>248.612+1559.998</f>
        <v>1808.6100000000001</v>
      </c>
      <c r="K382" s="52">
        <f aca="true" t="shared" si="56" ref="K382:K393">SUM(B382:J382)</f>
        <v>14524.196000000002</v>
      </c>
      <c r="L382" s="11"/>
      <c r="M382" s="13"/>
      <c r="N382" s="12"/>
      <c r="O382" s="13"/>
    </row>
    <row r="383" spans="1:15" ht="15.75" hidden="1">
      <c r="A383" s="55" t="s">
        <v>28</v>
      </c>
      <c r="B383" s="52">
        <v>4683.735</v>
      </c>
      <c r="C383" s="51">
        <v>5216.4</v>
      </c>
      <c r="D383" s="80">
        <v>791.7</v>
      </c>
      <c r="E383" s="79">
        <v>591.36</v>
      </c>
      <c r="F383" s="64">
        <v>88.995</v>
      </c>
      <c r="G383" s="79">
        <v>327.677</v>
      </c>
      <c r="H383" s="79">
        <v>81.54</v>
      </c>
      <c r="I383" s="79">
        <v>204.4</v>
      </c>
      <c r="J383" s="79">
        <f>220.515+1559.999</f>
        <v>1780.5140000000001</v>
      </c>
      <c r="K383" s="52">
        <f t="shared" si="56"/>
        <v>13766.321</v>
      </c>
      <c r="L383" s="11"/>
      <c r="M383" s="13"/>
      <c r="N383" s="12"/>
      <c r="O383" s="13"/>
    </row>
    <row r="384" spans="1:15" ht="15.75" hidden="1">
      <c r="A384" s="55" t="s">
        <v>29</v>
      </c>
      <c r="B384" s="52">
        <v>4666.935</v>
      </c>
      <c r="C384" s="51">
        <v>5970</v>
      </c>
      <c r="D384" s="80">
        <v>863.8</v>
      </c>
      <c r="E384" s="79">
        <v>653.56</v>
      </c>
      <c r="F384" s="64">
        <v>90</v>
      </c>
      <c r="G384" s="79">
        <v>852.447</v>
      </c>
      <c r="H384" s="79">
        <v>82.068</v>
      </c>
      <c r="I384" s="79">
        <v>192.1</v>
      </c>
      <c r="J384" s="79">
        <f>83.61+1559.989</f>
        <v>1643.599</v>
      </c>
      <c r="K384" s="52">
        <f t="shared" si="56"/>
        <v>15014.509</v>
      </c>
      <c r="L384" s="11"/>
      <c r="M384" s="13"/>
      <c r="N384" s="12"/>
      <c r="O384" s="13"/>
    </row>
    <row r="385" spans="1:15" ht="15.75" hidden="1">
      <c r="A385" s="55" t="s">
        <v>19</v>
      </c>
      <c r="B385" s="52">
        <v>5841.927</v>
      </c>
      <c r="C385" s="51">
        <v>4874.2</v>
      </c>
      <c r="D385" s="80">
        <v>893.7</v>
      </c>
      <c r="E385" s="79">
        <v>671.55</v>
      </c>
      <c r="F385" s="64">
        <v>167.7</v>
      </c>
      <c r="G385" s="79">
        <v>1274.691</v>
      </c>
      <c r="H385" s="79">
        <v>53.976</v>
      </c>
      <c r="I385" s="79">
        <v>147.4</v>
      </c>
      <c r="J385" s="79">
        <v>1489.284</v>
      </c>
      <c r="K385" s="52">
        <f t="shared" si="56"/>
        <v>15414.428000000002</v>
      </c>
      <c r="L385" s="11"/>
      <c r="M385" s="13"/>
      <c r="N385" s="12"/>
      <c r="O385" s="13"/>
    </row>
    <row r="386" spans="1:15" ht="15.75" hidden="1">
      <c r="A386" s="55" t="s">
        <v>77</v>
      </c>
      <c r="B386" s="52">
        <v>5612.652</v>
      </c>
      <c r="C386" s="51">
        <v>3596.9</v>
      </c>
      <c r="D386" s="80">
        <v>883.2</v>
      </c>
      <c r="E386" s="79">
        <v>697.58</v>
      </c>
      <c r="F386" s="64">
        <v>239.55</v>
      </c>
      <c r="G386" s="79">
        <v>1494.074</v>
      </c>
      <c r="H386" s="79">
        <v>0</v>
      </c>
      <c r="I386" s="79">
        <v>306</v>
      </c>
      <c r="J386" s="79">
        <v>1536.023</v>
      </c>
      <c r="K386" s="52">
        <f t="shared" si="56"/>
        <v>14365.979</v>
      </c>
      <c r="L386" s="11"/>
      <c r="M386" s="13"/>
      <c r="N386" s="12"/>
      <c r="O386" s="13"/>
    </row>
    <row r="387" spans="1:15" ht="15.75" hidden="1">
      <c r="A387" s="55" t="s">
        <v>30</v>
      </c>
      <c r="B387" s="52">
        <v>4581.216</v>
      </c>
      <c r="C387" s="51">
        <v>4789</v>
      </c>
      <c r="D387" s="80">
        <v>660.583</v>
      </c>
      <c r="E387" s="79">
        <v>620.57</v>
      </c>
      <c r="F387" s="64">
        <v>120.96</v>
      </c>
      <c r="G387" s="79">
        <v>1202.679</v>
      </c>
      <c r="H387" s="79">
        <v>0</v>
      </c>
      <c r="I387" s="79">
        <v>265.5</v>
      </c>
      <c r="J387" s="79">
        <v>1559.99</v>
      </c>
      <c r="K387" s="52">
        <f t="shared" si="56"/>
        <v>13800.498</v>
      </c>
      <c r="L387" s="11"/>
      <c r="M387" s="13"/>
      <c r="N387" s="12"/>
      <c r="O387" s="13"/>
    </row>
    <row r="388" spans="1:15" ht="15.75" hidden="1">
      <c r="A388" s="55" t="s">
        <v>71</v>
      </c>
      <c r="B388" s="52">
        <v>3935.862</v>
      </c>
      <c r="C388" s="51">
        <v>6221.1</v>
      </c>
      <c r="D388" s="80">
        <v>512.7</v>
      </c>
      <c r="E388" s="79">
        <v>407.08</v>
      </c>
      <c r="F388" s="64">
        <v>90.825</v>
      </c>
      <c r="G388" s="79">
        <v>1219.963</v>
      </c>
      <c r="H388" s="79">
        <v>0</v>
      </c>
      <c r="I388" s="79">
        <v>262.7</v>
      </c>
      <c r="J388" s="79">
        <f>16.187+1559.994</f>
        <v>1576.1809999999998</v>
      </c>
      <c r="K388" s="52">
        <f t="shared" si="56"/>
        <v>14226.411000000002</v>
      </c>
      <c r="L388" s="11"/>
      <c r="M388" s="13"/>
      <c r="N388" s="12"/>
      <c r="O388" s="13"/>
    </row>
    <row r="389" spans="1:15" ht="15.75" hidden="1">
      <c r="A389" s="55" t="s">
        <v>22</v>
      </c>
      <c r="B389" s="52">
        <v>3935.872</v>
      </c>
      <c r="C389" s="51">
        <v>5299.8</v>
      </c>
      <c r="D389" s="80">
        <v>385.3</v>
      </c>
      <c r="E389" s="79">
        <v>333.58</v>
      </c>
      <c r="F389" s="64">
        <v>61.95</v>
      </c>
      <c r="G389" s="79">
        <v>979.01</v>
      </c>
      <c r="H389" s="79">
        <v>0</v>
      </c>
      <c r="I389" s="79">
        <v>234</v>
      </c>
      <c r="J389" s="79">
        <f>195.137+2484.732</f>
        <v>2679.869</v>
      </c>
      <c r="K389" s="52">
        <f t="shared" si="56"/>
        <v>13909.381000000001</v>
      </c>
      <c r="L389" s="11"/>
      <c r="M389" s="13"/>
      <c r="N389" s="12"/>
      <c r="O389" s="13"/>
    </row>
    <row r="390" spans="1:15" ht="15.75" hidden="1">
      <c r="A390" s="55" t="s">
        <v>73</v>
      </c>
      <c r="B390" s="52">
        <v>2997.5198</v>
      </c>
      <c r="C390" s="51">
        <v>3032.2</v>
      </c>
      <c r="D390" s="80">
        <v>463.6</v>
      </c>
      <c r="E390" s="79">
        <v>299.08</v>
      </c>
      <c r="F390" s="64">
        <v>31.65</v>
      </c>
      <c r="G390" s="79">
        <v>480.358</v>
      </c>
      <c r="H390" s="79">
        <v>0</v>
      </c>
      <c r="I390" s="79">
        <v>213.4</v>
      </c>
      <c r="J390" s="79">
        <f>797.788+2988.042</f>
        <v>3785.83</v>
      </c>
      <c r="K390" s="52">
        <f t="shared" si="56"/>
        <v>11303.6378</v>
      </c>
      <c r="L390" s="11"/>
      <c r="M390" s="13"/>
      <c r="N390" s="12"/>
      <c r="O390" s="13"/>
    </row>
    <row r="391" spans="1:15" ht="15.75">
      <c r="A391" s="55" t="s">
        <v>74</v>
      </c>
      <c r="B391" s="52">
        <v>2889.8</v>
      </c>
      <c r="C391" s="51">
        <v>3919.5</v>
      </c>
      <c r="D391" s="80">
        <v>480.6</v>
      </c>
      <c r="E391" s="79">
        <v>503.33</v>
      </c>
      <c r="F391" s="64">
        <v>36.03</v>
      </c>
      <c r="G391" s="79">
        <v>494.58</v>
      </c>
      <c r="H391" s="79">
        <v>0</v>
      </c>
      <c r="I391" s="79">
        <v>252.3</v>
      </c>
      <c r="J391" s="79">
        <f>755.333+3353.39</f>
        <v>4108.723</v>
      </c>
      <c r="K391" s="52">
        <f t="shared" si="56"/>
        <v>12684.863</v>
      </c>
      <c r="L391" s="11"/>
      <c r="M391" s="13"/>
      <c r="N391" s="12"/>
      <c r="O391" s="13"/>
    </row>
    <row r="392" spans="1:15" ht="15.75">
      <c r="A392" s="55" t="s">
        <v>75</v>
      </c>
      <c r="B392" s="52">
        <v>4932.312</v>
      </c>
      <c r="C392" s="51">
        <v>2216.1</v>
      </c>
      <c r="D392" s="80">
        <v>631.4</v>
      </c>
      <c r="E392" s="79">
        <v>636.2</v>
      </c>
      <c r="F392" s="64">
        <v>93.405</v>
      </c>
      <c r="G392" s="79">
        <v>672.204</v>
      </c>
      <c r="H392" s="79">
        <v>0</v>
      </c>
      <c r="I392" s="79">
        <v>237.5</v>
      </c>
      <c r="J392" s="79">
        <f>509.282+3078.256</f>
        <v>3587.538</v>
      </c>
      <c r="K392" s="52">
        <f t="shared" si="56"/>
        <v>13006.659000000001</v>
      </c>
      <c r="L392" s="11"/>
      <c r="M392" s="13"/>
      <c r="N392" s="12"/>
      <c r="O392" s="13"/>
    </row>
    <row r="393" spans="1:15" ht="15.75">
      <c r="A393" s="55" t="s">
        <v>70</v>
      </c>
      <c r="B393" s="52">
        <v>5122.026</v>
      </c>
      <c r="C393" s="52">
        <v>3226.4</v>
      </c>
      <c r="D393" s="80">
        <v>784.2</v>
      </c>
      <c r="E393" s="79">
        <v>683.61</v>
      </c>
      <c r="F393" s="64">
        <v>188.34</v>
      </c>
      <c r="G393" s="79">
        <v>563.328</v>
      </c>
      <c r="H393" s="79">
        <v>0</v>
      </c>
      <c r="I393" s="79">
        <v>257.5</v>
      </c>
      <c r="J393" s="79">
        <f>128.251+3014.046</f>
        <v>3142.297</v>
      </c>
      <c r="K393" s="52">
        <f t="shared" si="56"/>
        <v>13967.701000000001</v>
      </c>
      <c r="L393" s="11"/>
      <c r="M393" s="13"/>
      <c r="N393" s="12"/>
      <c r="O393" s="13"/>
    </row>
    <row r="394" spans="1:15" ht="15.75">
      <c r="A394" s="55"/>
      <c r="B394" s="50"/>
      <c r="C394" s="52"/>
      <c r="D394" s="80"/>
      <c r="E394" s="79"/>
      <c r="F394" s="64"/>
      <c r="G394" s="79"/>
      <c r="H394" s="79"/>
      <c r="I394" s="79"/>
      <c r="J394" s="79"/>
      <c r="K394" s="52"/>
      <c r="L394" s="11"/>
      <c r="M394" s="13"/>
      <c r="N394" s="12"/>
      <c r="O394" s="13"/>
    </row>
    <row r="395" spans="1:15" ht="15.75">
      <c r="A395" s="49" t="s">
        <v>56</v>
      </c>
      <c r="B395" s="50"/>
      <c r="C395" s="52"/>
      <c r="D395" s="80"/>
      <c r="E395" s="79"/>
      <c r="F395" s="64"/>
      <c r="G395" s="79"/>
      <c r="H395" s="79"/>
      <c r="I395" s="79"/>
      <c r="J395" s="79"/>
      <c r="K395" s="52"/>
      <c r="L395" s="11"/>
      <c r="M395" s="13"/>
      <c r="N395" s="12"/>
      <c r="O395" s="13"/>
    </row>
    <row r="396" spans="1:15" ht="15.75">
      <c r="A396" s="55" t="s">
        <v>27</v>
      </c>
      <c r="B396" s="50">
        <v>5158.86</v>
      </c>
      <c r="C396" s="52">
        <v>3656.4</v>
      </c>
      <c r="D396" s="80">
        <v>640.2</v>
      </c>
      <c r="E396" s="79">
        <v>636.52</v>
      </c>
      <c r="F396" s="64">
        <v>81.63</v>
      </c>
      <c r="G396" s="79">
        <v>925.28</v>
      </c>
      <c r="H396" s="79">
        <v>0</v>
      </c>
      <c r="I396" s="79">
        <v>200.6</v>
      </c>
      <c r="J396" s="79">
        <f>72.348+1700.348</f>
        <v>1772.696</v>
      </c>
      <c r="K396" s="52">
        <f aca="true" t="shared" si="57" ref="K396:K407">SUM(B396:J396)</f>
        <v>13072.186000000002</v>
      </c>
      <c r="L396" s="11"/>
      <c r="M396" s="13"/>
      <c r="N396" s="12"/>
      <c r="O396" s="13"/>
    </row>
    <row r="397" spans="1:15" ht="15.75">
      <c r="A397" s="55" t="s">
        <v>28</v>
      </c>
      <c r="B397" s="50">
        <v>4699.8</v>
      </c>
      <c r="C397" s="52">
        <v>3594.5</v>
      </c>
      <c r="D397" s="80">
        <v>0</v>
      </c>
      <c r="E397" s="79">
        <v>672.87</v>
      </c>
      <c r="F397" s="64">
        <v>150.99</v>
      </c>
      <c r="G397" s="79">
        <v>828.167</v>
      </c>
      <c r="H397" s="79">
        <v>0</v>
      </c>
      <c r="I397" s="79">
        <v>196.3</v>
      </c>
      <c r="J397" s="79">
        <f>34.768+1559.897</f>
        <v>1594.665</v>
      </c>
      <c r="K397" s="52">
        <f t="shared" si="57"/>
        <v>11737.291999999998</v>
      </c>
      <c r="L397" s="11"/>
      <c r="M397" s="13"/>
      <c r="N397" s="12"/>
      <c r="O397" s="13"/>
    </row>
    <row r="398" spans="1:15" ht="15.75">
      <c r="A398" s="55" t="s">
        <v>29</v>
      </c>
      <c r="B398" s="50">
        <v>5232.633</v>
      </c>
      <c r="C398" s="52">
        <v>5465.6</v>
      </c>
      <c r="D398" s="80">
        <v>0</v>
      </c>
      <c r="E398" s="79">
        <v>724.5</v>
      </c>
      <c r="F398" s="64">
        <v>131.67</v>
      </c>
      <c r="G398" s="79">
        <v>642.529</v>
      </c>
      <c r="H398" s="79">
        <v>0</v>
      </c>
      <c r="I398" s="79">
        <v>255.8</v>
      </c>
      <c r="J398" s="79">
        <f>132.654+1273.849</f>
        <v>1406.503</v>
      </c>
      <c r="K398" s="52">
        <f t="shared" si="57"/>
        <v>13859.235</v>
      </c>
      <c r="L398" s="11"/>
      <c r="M398" s="13"/>
      <c r="N398" s="12"/>
      <c r="O398" s="13"/>
    </row>
    <row r="399" spans="1:15" ht="15.75">
      <c r="A399" s="55" t="s">
        <v>19</v>
      </c>
      <c r="B399" s="50">
        <v>5168.457</v>
      </c>
      <c r="C399" s="52">
        <v>7835.9</v>
      </c>
      <c r="D399" s="80">
        <v>359.2</v>
      </c>
      <c r="E399" s="79">
        <v>457.48</v>
      </c>
      <c r="F399" s="64">
        <v>131.805</v>
      </c>
      <c r="G399" s="79">
        <v>741.875</v>
      </c>
      <c r="H399" s="79">
        <v>0</v>
      </c>
      <c r="I399" s="79">
        <v>248.4</v>
      </c>
      <c r="J399" s="79">
        <f>97.977+366.688</f>
        <v>464.66499999999996</v>
      </c>
      <c r="K399" s="52">
        <f t="shared" si="57"/>
        <v>15407.782</v>
      </c>
      <c r="L399" s="11"/>
      <c r="M399" s="13"/>
      <c r="N399" s="12"/>
      <c r="O399" s="13"/>
    </row>
    <row r="400" spans="1:15" ht="15.75">
      <c r="A400" s="55" t="s">
        <v>77</v>
      </c>
      <c r="B400" s="50">
        <v>5100.123</v>
      </c>
      <c r="C400" s="52">
        <v>7499.6</v>
      </c>
      <c r="D400" s="80">
        <v>630.2</v>
      </c>
      <c r="E400" s="79">
        <v>597.46</v>
      </c>
      <c r="F400" s="64">
        <v>132.495</v>
      </c>
      <c r="G400" s="79">
        <v>606.51104</v>
      </c>
      <c r="H400" s="79">
        <v>0</v>
      </c>
      <c r="I400" s="79">
        <v>308.8</v>
      </c>
      <c r="J400" s="79">
        <f>64.292+620.182</f>
        <v>684.474</v>
      </c>
      <c r="K400" s="52">
        <f t="shared" si="57"/>
        <v>15559.663040000001</v>
      </c>
      <c r="L400" s="11"/>
      <c r="M400" s="13"/>
      <c r="N400" s="12"/>
      <c r="O400" s="13"/>
    </row>
    <row r="401" spans="1:15" ht="15.75">
      <c r="A401" s="55" t="s">
        <v>30</v>
      </c>
      <c r="B401" s="50">
        <v>3489.84</v>
      </c>
      <c r="C401" s="52">
        <v>6311.2</v>
      </c>
      <c r="D401" s="80">
        <v>613.3</v>
      </c>
      <c r="E401" s="79">
        <v>328.5</v>
      </c>
      <c r="F401" s="64">
        <v>75.54</v>
      </c>
      <c r="G401" s="79">
        <v>828.2454</v>
      </c>
      <c r="H401" s="79">
        <v>9.336</v>
      </c>
      <c r="I401" s="79">
        <v>276.4</v>
      </c>
      <c r="J401" s="79">
        <f>77.88+1452.552</f>
        <v>1530.4319999999998</v>
      </c>
      <c r="K401" s="52">
        <f t="shared" si="57"/>
        <v>13462.793399999999</v>
      </c>
      <c r="L401" s="11"/>
      <c r="M401" s="13"/>
      <c r="N401" s="12"/>
      <c r="O401" s="13"/>
    </row>
    <row r="402" spans="1:15" ht="15.75">
      <c r="A402" s="55" t="s">
        <v>71</v>
      </c>
      <c r="B402" s="50">
        <v>3154.176</v>
      </c>
      <c r="C402" s="52">
        <v>7393.2</v>
      </c>
      <c r="D402" s="80">
        <v>692</v>
      </c>
      <c r="E402" s="79">
        <v>363.5</v>
      </c>
      <c r="F402" s="64">
        <v>75.195</v>
      </c>
      <c r="G402" s="79">
        <v>712.68544</v>
      </c>
      <c r="H402" s="79">
        <v>0</v>
      </c>
      <c r="I402" s="79">
        <v>287.9</v>
      </c>
      <c r="J402" s="79">
        <f>165.989+1559.859</f>
        <v>1725.848</v>
      </c>
      <c r="K402" s="52">
        <f t="shared" si="57"/>
        <v>14404.504439999999</v>
      </c>
      <c r="L402" s="11"/>
      <c r="M402" s="13"/>
      <c r="N402" s="12"/>
      <c r="O402" s="13"/>
    </row>
    <row r="403" spans="1:15" ht="15.75">
      <c r="A403" s="55" t="s">
        <v>22</v>
      </c>
      <c r="B403" s="50">
        <v>2516.619</v>
      </c>
      <c r="C403" s="52">
        <v>6810.4</v>
      </c>
      <c r="D403" s="80">
        <v>595.7</v>
      </c>
      <c r="E403" s="79">
        <v>332.94</v>
      </c>
      <c r="F403" s="64">
        <v>41.895</v>
      </c>
      <c r="G403" s="79">
        <v>1168.21024</v>
      </c>
      <c r="H403" s="79">
        <v>0</v>
      </c>
      <c r="I403" s="79">
        <v>267</v>
      </c>
      <c r="J403" s="79">
        <f>160.385+2242.066</f>
        <v>2402.451</v>
      </c>
      <c r="K403" s="52">
        <f t="shared" si="57"/>
        <v>14135.215240000001</v>
      </c>
      <c r="L403" s="11"/>
      <c r="M403" s="13"/>
      <c r="N403" s="12"/>
      <c r="O403" s="13"/>
    </row>
    <row r="404" spans="1:15" ht="15.75">
      <c r="A404" s="55" t="s">
        <v>73</v>
      </c>
      <c r="B404" s="50">
        <v>2500.113</v>
      </c>
      <c r="C404" s="52">
        <v>5881.9</v>
      </c>
      <c r="D404" s="80">
        <v>347.3</v>
      </c>
      <c r="E404" s="79">
        <v>299.36</v>
      </c>
      <c r="F404" s="64">
        <v>0</v>
      </c>
      <c r="G404" s="79">
        <v>1115.28396</v>
      </c>
      <c r="H404" s="79">
        <v>0</v>
      </c>
      <c r="I404" s="79">
        <v>116.845</v>
      </c>
      <c r="J404" s="79">
        <f>144.385+2790.069</f>
        <v>2934.4539999999997</v>
      </c>
      <c r="K404" s="52">
        <f t="shared" si="57"/>
        <v>13195.255959999999</v>
      </c>
      <c r="L404" s="11"/>
      <c r="M404" s="13"/>
      <c r="N404" s="12"/>
      <c r="O404" s="13"/>
    </row>
    <row r="405" spans="1:15" ht="15.75">
      <c r="A405" s="55" t="s">
        <v>74</v>
      </c>
      <c r="B405" s="50">
        <v>2965.683</v>
      </c>
      <c r="C405" s="52">
        <v>5717</v>
      </c>
      <c r="D405" s="80">
        <v>430.7</v>
      </c>
      <c r="E405" s="79">
        <v>401.39</v>
      </c>
      <c r="F405" s="64">
        <v>71.025</v>
      </c>
      <c r="G405" s="79">
        <v>1190.35472</v>
      </c>
      <c r="H405" s="79">
        <v>0</v>
      </c>
      <c r="I405" s="79">
        <v>225.8</v>
      </c>
      <c r="J405" s="79">
        <f>269.801+2856.764</f>
        <v>3126.565</v>
      </c>
      <c r="K405" s="52">
        <f t="shared" si="57"/>
        <v>14128.51772</v>
      </c>
      <c r="L405" s="11"/>
      <c r="M405" s="13"/>
      <c r="N405" s="12"/>
      <c r="O405" s="13"/>
    </row>
    <row r="406" spans="1:15" ht="15.75">
      <c r="A406" s="55" t="s">
        <v>75</v>
      </c>
      <c r="B406" s="50">
        <v>3020.199</v>
      </c>
      <c r="C406" s="52">
        <v>5333.8</v>
      </c>
      <c r="D406" s="80">
        <v>539.3</v>
      </c>
      <c r="E406" s="79">
        <v>448.16</v>
      </c>
      <c r="F406" s="64">
        <v>50.94</v>
      </c>
      <c r="G406" s="79">
        <v>1157.14788</v>
      </c>
      <c r="H406" s="79">
        <v>12.984</v>
      </c>
      <c r="I406" s="79">
        <v>252.6</v>
      </c>
      <c r="J406" s="79">
        <f>270.702+3040.159</f>
        <v>3310.861</v>
      </c>
      <c r="K406" s="52">
        <f t="shared" si="57"/>
        <v>14125.991880000001</v>
      </c>
      <c r="L406" s="11"/>
      <c r="M406" s="13"/>
      <c r="N406" s="12"/>
      <c r="O406" s="13"/>
    </row>
    <row r="407" spans="1:15" ht="15.75">
      <c r="A407" s="55" t="s">
        <v>70</v>
      </c>
      <c r="B407" s="50">
        <v>3573.696</v>
      </c>
      <c r="C407" s="52">
        <v>5027.6</v>
      </c>
      <c r="D407" s="80">
        <v>578.1</v>
      </c>
      <c r="E407" s="79">
        <v>418.73</v>
      </c>
      <c r="F407" s="64">
        <v>63.675</v>
      </c>
      <c r="G407" s="79">
        <v>1234.9894</v>
      </c>
      <c r="H407" s="79">
        <v>18.816</v>
      </c>
      <c r="I407" s="79">
        <v>260</v>
      </c>
      <c r="J407" s="79">
        <f>325.269+2806.916</f>
        <v>3132.1850000000004</v>
      </c>
      <c r="K407" s="52">
        <f t="shared" si="57"/>
        <v>14307.791400000002</v>
      </c>
      <c r="L407" s="11"/>
      <c r="M407" s="13"/>
      <c r="N407" s="12"/>
      <c r="O407" s="13"/>
    </row>
    <row r="408" spans="1:15" ht="15.75">
      <c r="A408" s="55"/>
      <c r="B408" s="50"/>
      <c r="C408" s="52"/>
      <c r="D408" s="80"/>
      <c r="E408" s="79"/>
      <c r="F408" s="64"/>
      <c r="G408" s="79"/>
      <c r="H408" s="79"/>
      <c r="I408" s="79"/>
      <c r="J408" s="79"/>
      <c r="K408" s="52"/>
      <c r="L408" s="11"/>
      <c r="M408" s="13"/>
      <c r="N408" s="12"/>
      <c r="O408" s="13"/>
    </row>
    <row r="409" spans="1:15" ht="15.75">
      <c r="A409" s="49" t="s">
        <v>57</v>
      </c>
      <c r="B409" s="50"/>
      <c r="C409" s="52"/>
      <c r="D409" s="80"/>
      <c r="E409" s="79"/>
      <c r="F409" s="64"/>
      <c r="G409" s="79"/>
      <c r="H409" s="79"/>
      <c r="I409" s="79"/>
      <c r="J409" s="79"/>
      <c r="K409" s="52"/>
      <c r="L409" s="11"/>
      <c r="M409" s="13"/>
      <c r="N409" s="12"/>
      <c r="O409" s="13"/>
    </row>
    <row r="410" spans="1:15" ht="15.75">
      <c r="A410" s="55" t="s">
        <v>27</v>
      </c>
      <c r="B410" s="50">
        <v>4270.413</v>
      </c>
      <c r="C410" s="52">
        <v>3273</v>
      </c>
      <c r="D410" s="80">
        <v>586.07</v>
      </c>
      <c r="E410" s="79">
        <v>545.38</v>
      </c>
      <c r="F410" s="64">
        <v>35.415</v>
      </c>
      <c r="G410" s="79">
        <v>1296.45152</v>
      </c>
      <c r="H410" s="79">
        <v>0</v>
      </c>
      <c r="I410" s="79">
        <v>260.9</v>
      </c>
      <c r="J410" s="79">
        <f>336.913+2965.146</f>
        <v>3302.059</v>
      </c>
      <c r="K410" s="52">
        <f aca="true" t="shared" si="58" ref="K410:K419">SUM(B410:J410)</f>
        <v>13569.68852</v>
      </c>
      <c r="L410" s="11"/>
      <c r="M410" s="13"/>
      <c r="N410" s="12"/>
      <c r="O410" s="13"/>
    </row>
    <row r="411" spans="1:15" ht="15.75">
      <c r="A411" s="55" t="s">
        <v>28</v>
      </c>
      <c r="B411" s="50">
        <v>3695.055</v>
      </c>
      <c r="C411" s="52">
        <v>3033.22</v>
      </c>
      <c r="D411" s="80">
        <v>534.23</v>
      </c>
      <c r="E411" s="79">
        <v>461.98</v>
      </c>
      <c r="F411" s="64">
        <v>35.19</v>
      </c>
      <c r="G411" s="79">
        <v>1333.33777</v>
      </c>
      <c r="H411" s="79">
        <v>0</v>
      </c>
      <c r="I411" s="79">
        <v>248.8</v>
      </c>
      <c r="J411" s="79">
        <f>324.647+2831.452</f>
        <v>3156.099</v>
      </c>
      <c r="K411" s="52">
        <f t="shared" si="58"/>
        <v>12497.911769999997</v>
      </c>
      <c r="L411" s="11"/>
      <c r="M411" s="13"/>
      <c r="N411" s="12"/>
      <c r="O411" s="13"/>
    </row>
    <row r="412" spans="1:15" ht="15.75">
      <c r="A412" s="55" t="s">
        <v>29</v>
      </c>
      <c r="B412" s="50">
        <v>4778.991</v>
      </c>
      <c r="C412" s="52">
        <v>3443</v>
      </c>
      <c r="D412" s="80">
        <v>423.6</v>
      </c>
      <c r="E412" s="79">
        <v>634.86</v>
      </c>
      <c r="F412" s="64">
        <v>178.86</v>
      </c>
      <c r="G412" s="79">
        <v>1036.9706</v>
      </c>
      <c r="H412" s="79">
        <v>0</v>
      </c>
      <c r="I412" s="79">
        <v>269</v>
      </c>
      <c r="J412" s="79">
        <f>396.811+3199.873</f>
        <v>3596.684</v>
      </c>
      <c r="K412" s="52">
        <f t="shared" si="58"/>
        <v>14361.965600000003</v>
      </c>
      <c r="L412" s="11"/>
      <c r="M412" s="13"/>
      <c r="N412" s="12"/>
      <c r="O412" s="13"/>
    </row>
    <row r="413" spans="1:15" ht="15.75">
      <c r="A413" s="55" t="s">
        <v>19</v>
      </c>
      <c r="B413" s="50">
        <v>3906</v>
      </c>
      <c r="C413" s="52">
        <v>3596</v>
      </c>
      <c r="D413" s="80">
        <v>307.2</v>
      </c>
      <c r="E413" s="79">
        <v>562.4</v>
      </c>
      <c r="F413" s="64">
        <v>100.44</v>
      </c>
      <c r="G413" s="79">
        <v>1478.53222</v>
      </c>
      <c r="H413" s="79">
        <v>0</v>
      </c>
      <c r="I413" s="79">
        <v>215.8</v>
      </c>
      <c r="J413" s="79">
        <f>150.302+2599.913</f>
        <v>2750.215</v>
      </c>
      <c r="K413" s="52">
        <f t="shared" si="58"/>
        <v>12916.587220000001</v>
      </c>
      <c r="L413" s="11"/>
      <c r="M413" s="13"/>
      <c r="N413" s="12"/>
      <c r="O413" s="13"/>
    </row>
    <row r="414" spans="1:15" ht="15.75">
      <c r="A414" s="55" t="s">
        <v>77</v>
      </c>
      <c r="B414" s="50">
        <v>3042.753</v>
      </c>
      <c r="C414" s="52">
        <v>3861.6</v>
      </c>
      <c r="D414" s="80">
        <v>299.4</v>
      </c>
      <c r="E414" s="79">
        <v>485.56</v>
      </c>
      <c r="F414" s="64">
        <v>120.3</v>
      </c>
      <c r="G414" s="79">
        <v>1500.73378</v>
      </c>
      <c r="H414" s="79">
        <v>0</v>
      </c>
      <c r="I414" s="79">
        <v>114.1</v>
      </c>
      <c r="J414" s="79">
        <f>146.406+3403.518</f>
        <v>3549.924</v>
      </c>
      <c r="K414" s="52">
        <f t="shared" si="58"/>
        <v>12974.370780000001</v>
      </c>
      <c r="L414" s="11"/>
      <c r="M414" s="13"/>
      <c r="N414" s="12"/>
      <c r="O414" s="13"/>
    </row>
    <row r="415" spans="1:15" ht="15.75">
      <c r="A415" s="55" t="s">
        <v>30</v>
      </c>
      <c r="B415" s="50">
        <v>2309.601</v>
      </c>
      <c r="C415" s="52">
        <v>3711</v>
      </c>
      <c r="D415" s="80">
        <v>253.5</v>
      </c>
      <c r="E415" s="79">
        <v>309.1</v>
      </c>
      <c r="F415" s="64">
        <v>73.26</v>
      </c>
      <c r="G415" s="79">
        <v>1483.90548</v>
      </c>
      <c r="H415" s="79">
        <v>0</v>
      </c>
      <c r="I415" s="79">
        <v>68.2</v>
      </c>
      <c r="J415" s="79">
        <f>304.877+3421.228</f>
        <v>3726.105</v>
      </c>
      <c r="K415" s="52">
        <f t="shared" si="58"/>
        <v>11934.67148</v>
      </c>
      <c r="L415" s="11"/>
      <c r="M415" s="13"/>
      <c r="N415" s="12"/>
      <c r="O415" s="13"/>
    </row>
    <row r="416" spans="1:15" ht="15.75">
      <c r="A416" s="55" t="s">
        <v>71</v>
      </c>
      <c r="B416" s="50">
        <v>1967.343</v>
      </c>
      <c r="C416" s="52">
        <v>3858.2</v>
      </c>
      <c r="D416" s="80">
        <v>351</v>
      </c>
      <c r="E416" s="79">
        <v>278.47</v>
      </c>
      <c r="F416" s="64">
        <v>67.575</v>
      </c>
      <c r="G416" s="79">
        <v>1690.31368</v>
      </c>
      <c r="H416" s="79">
        <v>0</v>
      </c>
      <c r="I416" s="79">
        <v>204.2</v>
      </c>
      <c r="J416" s="79">
        <f>573.417+3818.041</f>
        <v>4391.4580000000005</v>
      </c>
      <c r="K416" s="52">
        <f t="shared" si="58"/>
        <v>12808.55968</v>
      </c>
      <c r="L416" s="11"/>
      <c r="M416" s="13"/>
      <c r="N416" s="12"/>
      <c r="O416" s="13"/>
    </row>
    <row r="417" spans="1:15" ht="15.75">
      <c r="A417" s="55" t="s">
        <v>22</v>
      </c>
      <c r="B417" s="50">
        <v>1938.846</v>
      </c>
      <c r="C417" s="52">
        <v>3952.4</v>
      </c>
      <c r="D417" s="80">
        <v>315.1</v>
      </c>
      <c r="E417" s="79">
        <v>245.34</v>
      </c>
      <c r="F417" s="64">
        <v>10.575</v>
      </c>
      <c r="G417" s="79">
        <v>1321.03432</v>
      </c>
      <c r="H417" s="79">
        <v>0</v>
      </c>
      <c r="I417" s="79">
        <v>183.6</v>
      </c>
      <c r="J417" s="79">
        <f>941.735+4011.014</f>
        <v>4952.749</v>
      </c>
      <c r="K417" s="52">
        <f t="shared" si="58"/>
        <v>12919.64432</v>
      </c>
      <c r="L417" s="11"/>
      <c r="M417" s="13"/>
      <c r="N417" s="12"/>
      <c r="O417" s="13"/>
    </row>
    <row r="418" spans="1:15" ht="15.75">
      <c r="A418" s="55" t="s">
        <v>73</v>
      </c>
      <c r="B418" s="50">
        <v>1998.108</v>
      </c>
      <c r="C418" s="52">
        <v>2448.8</v>
      </c>
      <c r="D418" s="80">
        <v>238.2</v>
      </c>
      <c r="E418" s="79">
        <v>235.79</v>
      </c>
      <c r="F418" s="64">
        <v>0</v>
      </c>
      <c r="G418" s="79">
        <v>1241.3047</v>
      </c>
      <c r="H418" s="79">
        <v>0</v>
      </c>
      <c r="I418" s="79">
        <v>193.4</v>
      </c>
      <c r="J418" s="79">
        <f>3278.3+937.375+3824.883</f>
        <v>8040.558</v>
      </c>
      <c r="K418" s="52">
        <f t="shared" si="58"/>
        <v>14396.1607</v>
      </c>
      <c r="L418" s="11"/>
      <c r="M418" s="13"/>
      <c r="N418" s="12"/>
      <c r="O418" s="13"/>
    </row>
    <row r="419" spans="1:15" ht="15.75">
      <c r="A419" s="55" t="s">
        <v>74</v>
      </c>
      <c r="B419" s="50">
        <v>1198.2</v>
      </c>
      <c r="C419" s="52">
        <v>1543.3</v>
      </c>
      <c r="D419" s="80">
        <v>120.8</v>
      </c>
      <c r="E419" s="79">
        <v>296.4</v>
      </c>
      <c r="F419" s="64">
        <v>5.505</v>
      </c>
      <c r="G419" s="79">
        <v>937.96668</v>
      </c>
      <c r="H419" s="79">
        <v>0</v>
      </c>
      <c r="I419" s="79">
        <v>224.9</v>
      </c>
      <c r="J419" s="79">
        <f>8934.066+59.315+3633.931</f>
        <v>12627.312000000002</v>
      </c>
      <c r="K419" s="52">
        <f t="shared" si="58"/>
        <v>16954.383680000003</v>
      </c>
      <c r="L419" s="11"/>
      <c r="M419" s="13"/>
      <c r="N419" s="12"/>
      <c r="O419" s="13"/>
    </row>
    <row r="420" spans="1:14" ht="15.75">
      <c r="A420" s="55"/>
      <c r="B420" s="109"/>
      <c r="C420" s="110"/>
      <c r="D420" s="111"/>
      <c r="E420" s="112"/>
      <c r="F420" s="111"/>
      <c r="G420" s="113"/>
      <c r="H420" s="114"/>
      <c r="I420" s="114"/>
      <c r="J420" s="114"/>
      <c r="K420" s="115"/>
      <c r="M420" s="12"/>
      <c r="N420" s="13"/>
    </row>
    <row r="421" spans="1:15" ht="15.75">
      <c r="A421" s="44"/>
      <c r="B421" s="116"/>
      <c r="C421" s="116"/>
      <c r="D421" s="116"/>
      <c r="E421" s="116"/>
      <c r="F421" s="117"/>
      <c r="G421" s="116"/>
      <c r="H421" s="116"/>
      <c r="I421" s="116"/>
      <c r="J421" s="116"/>
      <c r="K421" s="123"/>
      <c r="M421" s="13"/>
      <c r="N421" s="13"/>
      <c r="O421" s="13"/>
    </row>
    <row r="422" spans="1:15" ht="15.75">
      <c r="A422" s="127" t="s">
        <v>31</v>
      </c>
      <c r="B422" s="30"/>
      <c r="C422" s="30"/>
      <c r="D422" s="30"/>
      <c r="E422" s="30"/>
      <c r="F422" s="30"/>
      <c r="G422" s="118"/>
      <c r="H422" s="118"/>
      <c r="I422" s="118"/>
      <c r="J422" s="118"/>
      <c r="K422" s="31"/>
      <c r="L422" s="16"/>
      <c r="O422" s="13"/>
    </row>
    <row r="423" spans="1:13" ht="15.75" hidden="1">
      <c r="A423" s="29"/>
      <c r="B423" s="30"/>
      <c r="C423" s="30"/>
      <c r="D423" s="30"/>
      <c r="E423" s="30"/>
      <c r="F423" s="30"/>
      <c r="G423" s="30"/>
      <c r="H423" s="30"/>
      <c r="I423" s="30"/>
      <c r="J423" s="30"/>
      <c r="K423" s="31"/>
      <c r="L423" s="11"/>
      <c r="M423" s="23"/>
    </row>
    <row r="424" spans="1:15" ht="15.75">
      <c r="A424" s="32"/>
      <c r="B424" s="33"/>
      <c r="C424" s="33"/>
      <c r="D424" s="119"/>
      <c r="E424" s="120"/>
      <c r="F424" s="119"/>
      <c r="G424" s="119"/>
      <c r="H424" s="119"/>
      <c r="I424" s="119"/>
      <c r="J424" s="119"/>
      <c r="K424" s="121"/>
      <c r="O424" s="16"/>
    </row>
    <row r="425" spans="5:14" ht="15.75">
      <c r="E425" s="3"/>
      <c r="K425" s="2"/>
      <c r="N425" s="13"/>
    </row>
    <row r="426" spans="2:15" ht="15.75">
      <c r="B426" s="18"/>
      <c r="C426" s="13"/>
      <c r="D426" s="13"/>
      <c r="E426" s="18"/>
      <c r="F426" s="18"/>
      <c r="G426" s="18"/>
      <c r="H426" s="18"/>
      <c r="I426" s="18"/>
      <c r="J426" s="18"/>
      <c r="N426" s="13"/>
      <c r="O426" s="16"/>
    </row>
    <row r="427" spans="2:14" ht="15.75">
      <c r="B427" s="18"/>
      <c r="C427" s="13"/>
      <c r="D427" s="13"/>
      <c r="E427" s="19"/>
      <c r="F427" s="13"/>
      <c r="G427" s="18"/>
      <c r="H427" s="18"/>
      <c r="I427" s="18"/>
      <c r="J427" s="18"/>
      <c r="N427" s="16"/>
    </row>
    <row r="428" spans="4:11" ht="15.75">
      <c r="D428" s="126"/>
      <c r="E428" s="3"/>
      <c r="F428" s="16"/>
      <c r="G428" s="11"/>
      <c r="H428" s="13"/>
      <c r="I428" s="13"/>
      <c r="J428" s="13"/>
      <c r="K428" s="3"/>
    </row>
    <row r="429" spans="3:11" ht="15.75">
      <c r="C429" s="12"/>
      <c r="D429" s="126"/>
      <c r="E429" s="3"/>
      <c r="F429" s="18"/>
      <c r="G429" s="12"/>
      <c r="K429" s="15"/>
    </row>
    <row r="430" spans="3:11" ht="15.75">
      <c r="C430" s="8"/>
      <c r="D430" s="8"/>
      <c r="E430" s="25"/>
      <c r="F430" s="8"/>
      <c r="G430" s="21"/>
      <c r="H430" s="14"/>
      <c r="I430" s="14"/>
      <c r="J430" s="14"/>
      <c r="K430" s="25"/>
    </row>
    <row r="431" spans="3:14" ht="15.75">
      <c r="C431" s="8"/>
      <c r="D431" s="8"/>
      <c r="E431" s="26"/>
      <c r="F431" s="8"/>
      <c r="G431" s="8"/>
      <c r="H431" s="8"/>
      <c r="I431" s="8"/>
      <c r="J431" s="125"/>
      <c r="K431" s="124"/>
      <c r="N431" s="13"/>
    </row>
    <row r="432" spans="3:14" ht="15.75">
      <c r="C432" s="28"/>
      <c r="D432" s="8"/>
      <c r="E432" s="25"/>
      <c r="F432" s="8"/>
      <c r="G432" s="8"/>
      <c r="H432" s="8"/>
      <c r="I432" s="8"/>
      <c r="J432" s="8"/>
      <c r="K432" s="27"/>
      <c r="N432" s="13"/>
    </row>
    <row r="433" spans="3:11" ht="15.75">
      <c r="C433" s="8"/>
      <c r="D433" s="8"/>
      <c r="E433" s="8"/>
      <c r="F433" s="8"/>
      <c r="G433" s="8"/>
      <c r="H433" s="8"/>
      <c r="I433" s="8"/>
      <c r="J433" s="8"/>
      <c r="K433" s="8"/>
    </row>
    <row r="434" spans="3:11" ht="15.75">
      <c r="C434" s="8"/>
      <c r="D434" s="8"/>
      <c r="E434" s="8"/>
      <c r="F434" s="8"/>
      <c r="G434" s="8"/>
      <c r="H434" s="8"/>
      <c r="I434" s="8"/>
      <c r="J434" s="8"/>
      <c r="K434" s="8"/>
    </row>
    <row r="435" spans="3:11" ht="15.75">
      <c r="C435" s="8"/>
      <c r="D435" s="8"/>
      <c r="E435" s="8"/>
      <c r="F435" s="8"/>
      <c r="G435" s="8"/>
      <c r="H435" s="8"/>
      <c r="I435" s="8"/>
      <c r="J435" s="8"/>
      <c r="K435" s="8"/>
    </row>
    <row r="437" spans="3:4" ht="15.75">
      <c r="C437" s="24"/>
      <c r="D437" s="13"/>
    </row>
    <row r="438" ht="15.75">
      <c r="C438" s="13"/>
    </row>
  </sheetData>
  <sheetProtection/>
  <mergeCells count="2">
    <mergeCell ref="A4:K4"/>
    <mergeCell ref="A5:K5"/>
  </mergeCells>
  <printOptions horizontalCentered="1" verticalCentered="1"/>
  <pageMargins left="0.5118110236220472" right="0.5118110236220472" top="0.6299212598425197" bottom="0.7480314960629921" header="0.5118110236220472" footer="0.5118110236220472"/>
  <pageSetup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2017-01-17T07:16:08Z</cp:lastPrinted>
  <dcterms:created xsi:type="dcterms:W3CDTF">2000-08-22T08:23:40Z</dcterms:created>
  <dcterms:modified xsi:type="dcterms:W3CDTF">2017-12-29T07:07:29Z</dcterms:modified>
  <cp:category/>
  <cp:version/>
  <cp:contentType/>
  <cp:contentStatus/>
</cp:coreProperties>
</file>