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35" windowHeight="4455" activeTab="0"/>
  </bookViews>
  <sheets>
    <sheet name="I.8 Fr" sheetId="1" r:id="rId1"/>
  </sheets>
  <definedNames>
    <definedName name="_xlnm.Print_Area" localSheetId="0">'I.8 Fr'!$B$1:$F$403</definedName>
    <definedName name="Zone_impres_MI">'I.8 Fr'!$B$1:$G$403</definedName>
  </definedNames>
  <calcPr fullCalcOnLoad="1"/>
</workbook>
</file>

<file path=xl/sharedStrings.xml><?xml version="1.0" encoding="utf-8"?>
<sst xmlns="http://schemas.openxmlformats.org/spreadsheetml/2006/main" count="356" uniqueCount="72">
  <si>
    <t xml:space="preserve"> </t>
  </si>
  <si>
    <t xml:space="preserve">  BUJUMBURA</t>
  </si>
  <si>
    <t xml:space="preserve">   GITEGA</t>
  </si>
  <si>
    <t xml:space="preserve">     TOTAL</t>
  </si>
  <si>
    <t>1995</t>
  </si>
  <si>
    <t>1996 *</t>
  </si>
  <si>
    <t>1998</t>
  </si>
  <si>
    <t>1999</t>
  </si>
  <si>
    <t xml:space="preserve">  1er     Trim.</t>
  </si>
  <si>
    <t xml:space="preserve">  2ème Trim. </t>
  </si>
  <si>
    <t xml:space="preserve">  3ème Trim. </t>
  </si>
  <si>
    <t xml:space="preserve">  4ème Trim.</t>
  </si>
  <si>
    <t xml:space="preserve">  4ème Trim. </t>
  </si>
  <si>
    <t>2000</t>
  </si>
  <si>
    <t xml:space="preserve">  Avril </t>
  </si>
  <si>
    <t xml:space="preserve">  Mai </t>
  </si>
  <si>
    <t xml:space="preserve">  Juillet</t>
  </si>
  <si>
    <t xml:space="preserve">  Août</t>
  </si>
  <si>
    <t xml:space="preserve">  Septembre </t>
  </si>
  <si>
    <t xml:space="preserve">  Octobre  </t>
  </si>
  <si>
    <t xml:space="preserve">  Novembre  </t>
  </si>
  <si>
    <t xml:space="preserve">  Décembre</t>
  </si>
  <si>
    <t xml:space="preserve">  Janvier</t>
  </si>
  <si>
    <t xml:space="preserve">  Février</t>
  </si>
  <si>
    <t xml:space="preserve">  Mars</t>
  </si>
  <si>
    <t xml:space="preserve">  Juin</t>
  </si>
  <si>
    <t xml:space="preserve">  2ème Trim.</t>
  </si>
  <si>
    <t>2001</t>
  </si>
  <si>
    <t>2002</t>
  </si>
  <si>
    <t>2003</t>
  </si>
  <si>
    <t xml:space="preserve">  Octobre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</si>
  <si>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</si>
  <si>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</si>
  <si>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</si>
  <si>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</si>
  <si>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</si>
  <si>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</si>
  <si>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</si>
  <si>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</si>
  <si>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</si>
  <si>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</si>
  <si>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</si>
  <si>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</si>
  <si>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 xml:space="preserve">                                                                                                            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</si>
  <si>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</si>
  <si>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</si>
  <si>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</si>
  <si>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</si>
  <si>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</si>
  <si>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</si>
  <si>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</si>
  <si>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</si>
  <si>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</si>
  <si>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</si>
  <si>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</si>
  <si>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</si>
  <si>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 xml:space="preserve">                                        CONSOMMATION D'ENERGIE ELECTRIQUE</t>
  </si>
  <si>
    <t>2028</t>
  </si>
  <si>
    <t>2029</t>
  </si>
  <si>
    <t xml:space="preserve">                              (en milliers de KWH)</t>
  </si>
  <si>
    <t xml:space="preserve">  Avril</t>
  </si>
  <si>
    <t xml:space="preserve">  3ème Trim.</t>
  </si>
  <si>
    <t xml:space="preserve">  Septembre</t>
  </si>
  <si>
    <t xml:space="preserve">  Novembre</t>
  </si>
  <si>
    <t>I.8</t>
  </si>
  <si>
    <t xml:space="preserve">  Mai</t>
  </si>
  <si>
    <t>Période</t>
  </si>
  <si>
    <t>AUTRES</t>
  </si>
  <si>
    <t xml:space="preserve">  1er Trim.</t>
  </si>
  <si>
    <t xml:space="preserve">  1er  Trim.</t>
  </si>
  <si>
    <t>Ville</t>
  </si>
  <si>
    <t>Source :  REGIDESO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</si>
</sst>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General_)"/>
    <numFmt numFmtId="189" formatCode="#,##0.0_);\(#,##0.0\)"/>
    <numFmt numFmtId="190" formatCode="_-* #,##0.000\ _F_-;\-* #,##0.000\ _F_-;_-* &quot;-&quot;??\ _F_-;_-@_-"/>
    <numFmt numFmtId="191" formatCode="_-* #,##0.0000\ _F_-;\-* #,##0.0000\ _F_-;_-* &quot;-&quot;??\ _F_-;_-@_-"/>
    <numFmt numFmtId="192" formatCode="_-* #,##0.00000\ _F_-;\-* #,##0.00000\ _F_-;_-* &quot;-&quot;??\ _F_-;_-@_-"/>
    <numFmt numFmtId="193" formatCode="_-* #,##0.000000\ _F_-;\-* #,##0.000000\ _F_-;_-* &quot;-&quot;??\ _F_-;_-@_-"/>
    <numFmt numFmtId="194" formatCode="_-* #,##0.0000000\ _F_-;\-* #,##0.0000000\ _F_-;_-* &quot;-&quot;??\ _F_-;_-@_-"/>
    <numFmt numFmtId="195" formatCode="_-* #,##0.00000000\ _F_-;\-* #,##0.00000000\ _F_-;_-* &quot;-&quot;??\ _F_-;_-@_-"/>
    <numFmt numFmtId="196" formatCode="_-* #,##0.000000000\ _F_-;\-* #,##0.000000000\ _F_-;_-* &quot;-&quot;??\ _F_-;_-@_-"/>
    <numFmt numFmtId="197" formatCode="_-* #,##0.0000000000\ _F_-;\-* #,##0.0000000000\ _F_-;_-* &quot;-&quot;??\ _F_-;_-@_-"/>
    <numFmt numFmtId="198" formatCode="_-* #,##0.00000000000\ _F_-;\-* #,##0.00000000000\ _F_-;_-* &quot;-&quot;??\ _F_-;_-@_-"/>
    <numFmt numFmtId="199" formatCode="_-* #,##0.000000000000\ _F_-;\-* #,##0.000000000000\ _F_-;_-* &quot;-&quot;??\ _F_-;_-@_-"/>
    <numFmt numFmtId="200" formatCode="_-* #,##0.0\ _F_-;\-* #,##0.0\ _F_-;_-* &quot;-&quot;??\ _F_-;_-@_-"/>
    <numFmt numFmtId="201" formatCode="_-* #,##0\ _F_-;\-* #,##0\ _F_-;_-* &quot;-&quot;??\ _F_-;_-@_-"/>
    <numFmt numFmtId="202" formatCode="#,##0.000_);\(#,##0.000\)"/>
    <numFmt numFmtId="203" formatCode="#,##0.0000_);\(#,##0.0000\)"/>
    <numFmt numFmtId="204" formatCode="#,##0.0"/>
    <numFmt numFmtId="205" formatCode="#,##0.000"/>
    <numFmt numFmtId="206" formatCode="#,##0.0000"/>
    <numFmt numFmtId="207" formatCode="#,##0.00000"/>
    <numFmt numFmtId="208" formatCode="#,##0.00000_);\(#,##0.00000\)"/>
    <numFmt numFmtId="209" formatCode="0.0000"/>
    <numFmt numFmtId="210" formatCode="_-* #,##0.000\ _F_-;\-* #,##0.000\ _F_-;_-* &quot;-&quot;???\ _F_-;_-@_-"/>
    <numFmt numFmtId="211" formatCode="_-* #,##0.000\ _€_-;\-* #,##0.000\ _€_-;_-* &quot;-&quot;???\ _€_-;_-@_-"/>
    <numFmt numFmtId="212" formatCode="#,##0.000\ _€;\-#,##0.000\ _€"/>
    <numFmt numFmtId="213" formatCode="#,##0.0000\ _€;\-#,##0.0000\ _€"/>
  </numFmts>
  <fonts count="42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2" fillId="30" borderId="0" applyNumberFormat="0" applyBorder="0" applyAlignment="0" applyProtection="0"/>
    <xf numFmtId="9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15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0" xfId="0" applyBorder="1" applyAlignment="1">
      <alignment/>
    </xf>
    <xf numFmtId="37" fontId="0" fillId="0" borderId="0" xfId="0" applyBorder="1" applyAlignment="1">
      <alignment horizontal="right"/>
    </xf>
    <xf numFmtId="37" fontId="0" fillId="0" borderId="10" xfId="0" applyBorder="1" applyAlignment="1">
      <alignment horizontal="left"/>
    </xf>
    <xf numFmtId="189" fontId="0" fillId="0" borderId="0" xfId="0" applyNumberFormat="1" applyAlignment="1">
      <alignment/>
    </xf>
    <xf numFmtId="202" fontId="0" fillId="0" borderId="0" xfId="0" applyNumberFormat="1" applyAlignment="1">
      <alignment/>
    </xf>
    <xf numFmtId="37" fontId="0" fillId="0" borderId="0" xfId="0" applyFill="1" applyBorder="1" applyAlignment="1">
      <alignment/>
    </xf>
    <xf numFmtId="39" fontId="0" fillId="0" borderId="0" xfId="0" applyNumberFormat="1" applyAlignment="1">
      <alignment/>
    </xf>
    <xf numFmtId="187" fontId="0" fillId="0" borderId="0" xfId="45" applyFont="1" applyAlignment="1">
      <alignment/>
    </xf>
    <xf numFmtId="3" fontId="0" fillId="0" borderId="0" xfId="0" applyNumberFormat="1" applyBorder="1" applyAlignment="1">
      <alignment horizontal="right"/>
    </xf>
    <xf numFmtId="203" fontId="0" fillId="0" borderId="0" xfId="0" applyNumberFormat="1" applyBorder="1" applyAlignment="1">
      <alignment/>
    </xf>
    <xf numFmtId="37" fontId="0" fillId="0" borderId="11" xfId="0" applyNumberFormat="1" applyFont="1" applyFill="1" applyBorder="1" applyAlignment="1">
      <alignment horizontal="right"/>
    </xf>
    <xf numFmtId="37" fontId="0" fillId="0" borderId="0" xfId="0" applyNumberFormat="1" applyFont="1" applyFill="1" applyBorder="1" applyAlignment="1">
      <alignment horizontal="right"/>
    </xf>
    <xf numFmtId="39" fontId="0" fillId="0" borderId="0" xfId="0" applyNumberFormat="1" applyFill="1" applyAlignment="1">
      <alignment/>
    </xf>
    <xf numFmtId="37" fontId="0" fillId="0" borderId="0" xfId="0" applyFill="1" applyAlignment="1">
      <alignment/>
    </xf>
    <xf numFmtId="37" fontId="23" fillId="0" borderId="12" xfId="0" applyFont="1" applyBorder="1" applyAlignment="1">
      <alignment horizontal="fill"/>
    </xf>
    <xf numFmtId="37" fontId="23" fillId="0" borderId="13" xfId="0" applyFont="1" applyBorder="1" applyAlignment="1">
      <alignment horizontal="fill"/>
    </xf>
    <xf numFmtId="37" fontId="23" fillId="0" borderId="14" xfId="0" applyFont="1" applyBorder="1" applyAlignment="1">
      <alignment horizontal="fill"/>
    </xf>
    <xf numFmtId="37" fontId="23" fillId="0" borderId="10" xfId="0" applyFont="1" applyBorder="1" applyAlignment="1">
      <alignment/>
    </xf>
    <xf numFmtId="37" fontId="23" fillId="0" borderId="0" xfId="0" applyFont="1" applyBorder="1" applyAlignment="1">
      <alignment horizontal="left"/>
    </xf>
    <xf numFmtId="37" fontId="23" fillId="0" borderId="0" xfId="0" applyFont="1" applyBorder="1" applyAlignment="1">
      <alignment/>
    </xf>
    <xf numFmtId="37" fontId="24" fillId="0" borderId="11" xfId="0" applyFont="1" applyBorder="1" applyAlignment="1">
      <alignment horizontal="right"/>
    </xf>
    <xf numFmtId="37" fontId="23" fillId="0" borderId="11" xfId="0" applyFont="1" applyBorder="1" applyAlignment="1">
      <alignment/>
    </xf>
    <xf numFmtId="37" fontId="23" fillId="0" borderId="10" xfId="0" applyFont="1" applyBorder="1" applyAlignment="1">
      <alignment horizontal="fill"/>
    </xf>
    <xf numFmtId="37" fontId="23" fillId="0" borderId="15" xfId="0" applyFont="1" applyBorder="1" applyAlignment="1">
      <alignment horizontal="fill"/>
    </xf>
    <xf numFmtId="37" fontId="23" fillId="0" borderId="16" xfId="0" applyFont="1" applyBorder="1" applyAlignment="1">
      <alignment horizontal="fill"/>
    </xf>
    <xf numFmtId="37" fontId="23" fillId="0" borderId="13" xfId="0" applyFont="1" applyBorder="1" applyAlignment="1">
      <alignment/>
    </xf>
    <xf numFmtId="37" fontId="23" fillId="0" borderId="17" xfId="0" applyFont="1" applyBorder="1" applyAlignment="1">
      <alignment/>
    </xf>
    <xf numFmtId="37" fontId="23" fillId="0" borderId="14" xfId="0" applyFont="1" applyBorder="1" applyAlignment="1">
      <alignment/>
    </xf>
    <xf numFmtId="37" fontId="23" fillId="0" borderId="18" xfId="0" applyFont="1" applyBorder="1" applyAlignment="1">
      <alignment/>
    </xf>
    <xf numFmtId="37" fontId="23" fillId="0" borderId="0" xfId="0" applyFont="1" applyBorder="1" applyAlignment="1">
      <alignment horizontal="right"/>
    </xf>
    <xf numFmtId="37" fontId="23" fillId="0" borderId="18" xfId="0" applyFont="1" applyBorder="1" applyAlignment="1">
      <alignment horizontal="right"/>
    </xf>
    <xf numFmtId="37" fontId="23" fillId="0" borderId="11" xfId="0" applyFont="1" applyBorder="1" applyAlignment="1">
      <alignment horizontal="right"/>
    </xf>
    <xf numFmtId="37" fontId="23" fillId="0" borderId="19" xfId="0" applyFont="1" applyBorder="1" applyAlignment="1">
      <alignment horizontal="fill"/>
    </xf>
    <xf numFmtId="3" fontId="23" fillId="0" borderId="13" xfId="0" applyNumberFormat="1" applyFont="1" applyBorder="1" applyAlignment="1">
      <alignment/>
    </xf>
    <xf numFmtId="3" fontId="23" fillId="0" borderId="17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3" fontId="23" fillId="0" borderId="18" xfId="0" applyNumberFormat="1" applyFont="1" applyBorder="1" applyAlignment="1">
      <alignment/>
    </xf>
    <xf numFmtId="37" fontId="23" fillId="0" borderId="18" xfId="0" applyFont="1" applyBorder="1" applyAlignment="1">
      <alignment horizontal="left"/>
    </xf>
    <xf numFmtId="1" fontId="23" fillId="0" borderId="18" xfId="0" applyNumberFormat="1" applyFont="1" applyBorder="1" applyAlignment="1">
      <alignment horizontal="left"/>
    </xf>
    <xf numFmtId="3" fontId="23" fillId="0" borderId="0" xfId="0" applyNumberFormat="1" applyFont="1" applyFill="1" applyBorder="1" applyAlignment="1">
      <alignment/>
    </xf>
    <xf numFmtId="37" fontId="23" fillId="0" borderId="18" xfId="0" applyFont="1" applyBorder="1" applyAlignment="1" quotePrefix="1">
      <alignment horizontal="left"/>
    </xf>
    <xf numFmtId="3" fontId="23" fillId="0" borderId="11" xfId="0" applyNumberFormat="1" applyFont="1" applyBorder="1" applyAlignment="1">
      <alignment/>
    </xf>
    <xf numFmtId="3" fontId="23" fillId="0" borderId="0" xfId="0" applyNumberFormat="1" applyFont="1" applyBorder="1" applyAlignment="1">
      <alignment horizontal="right"/>
    </xf>
    <xf numFmtId="3" fontId="23" fillId="0" borderId="18" xfId="0" applyNumberFormat="1" applyFont="1" applyBorder="1" applyAlignment="1">
      <alignment horizontal="right"/>
    </xf>
    <xf numFmtId="3" fontId="23" fillId="0" borderId="0" xfId="0" applyNumberFormat="1" applyFont="1" applyBorder="1" applyAlignment="1">
      <alignment/>
    </xf>
    <xf numFmtId="3" fontId="23" fillId="0" borderId="0" xfId="45" applyNumberFormat="1" applyFont="1" applyBorder="1" applyAlignment="1">
      <alignment horizontal="right"/>
    </xf>
    <xf numFmtId="3" fontId="23" fillId="0" borderId="18" xfId="45" applyNumberFormat="1" applyFont="1" applyBorder="1" applyAlignment="1">
      <alignment horizontal="right"/>
    </xf>
    <xf numFmtId="3" fontId="24" fillId="0" borderId="0" xfId="0" applyNumberFormat="1" applyFont="1" applyBorder="1" applyAlignment="1">
      <alignment horizontal="right"/>
    </xf>
    <xf numFmtId="3" fontId="24" fillId="0" borderId="18" xfId="0" applyNumberFormat="1" applyFont="1" applyBorder="1" applyAlignment="1">
      <alignment horizontal="right"/>
    </xf>
    <xf numFmtId="3" fontId="23" fillId="0" borderId="10" xfId="0" applyNumberFormat="1" applyFont="1" applyBorder="1" applyAlignment="1">
      <alignment horizontal="right"/>
    </xf>
    <xf numFmtId="3" fontId="24" fillId="0" borderId="10" xfId="0" applyNumberFormat="1" applyFont="1" applyBorder="1" applyAlignment="1">
      <alignment horizontal="right"/>
    </xf>
    <xf numFmtId="3" fontId="24" fillId="0" borderId="18" xfId="0" applyNumberFormat="1" applyFont="1" applyBorder="1" applyAlignment="1">
      <alignment/>
    </xf>
    <xf numFmtId="37" fontId="24" fillId="0" borderId="0" xfId="0" applyFont="1" applyAlignment="1">
      <alignment/>
    </xf>
    <xf numFmtId="3" fontId="23" fillId="0" borderId="11" xfId="0" applyNumberFormat="1" applyFont="1" applyBorder="1" applyAlignment="1">
      <alignment horizontal="right"/>
    </xf>
    <xf numFmtId="3" fontId="23" fillId="0" borderId="0" xfId="0" applyNumberFormat="1" applyFont="1" applyAlignment="1">
      <alignment horizontal="right"/>
    </xf>
    <xf numFmtId="3" fontId="24" fillId="0" borderId="11" xfId="0" applyNumberFormat="1" applyFont="1" applyBorder="1" applyAlignment="1">
      <alignment horizontal="right"/>
    </xf>
    <xf numFmtId="3" fontId="24" fillId="0" borderId="0" xfId="0" applyNumberFormat="1" applyFont="1" applyAlignment="1">
      <alignment horizontal="right"/>
    </xf>
    <xf numFmtId="37" fontId="23" fillId="0" borderId="0" xfId="0" applyFont="1" applyAlignment="1">
      <alignment/>
    </xf>
    <xf numFmtId="3" fontId="23" fillId="0" borderId="18" xfId="45" applyNumberFormat="1" applyFont="1" applyBorder="1" applyAlignment="1">
      <alignment/>
    </xf>
    <xf numFmtId="3" fontId="23" fillId="0" borderId="11" xfId="45" applyNumberFormat="1" applyFont="1" applyBorder="1" applyAlignment="1">
      <alignment/>
    </xf>
    <xf numFmtId="37" fontId="23" fillId="0" borderId="18" xfId="0" applyFont="1" applyFill="1" applyBorder="1" applyAlignment="1">
      <alignment horizontal="left"/>
    </xf>
    <xf numFmtId="3" fontId="23" fillId="0" borderId="18" xfId="0" applyNumberFormat="1" applyFont="1" applyFill="1" applyBorder="1" applyAlignment="1">
      <alignment horizontal="right"/>
    </xf>
    <xf numFmtId="37" fontId="23" fillId="0" borderId="0" xfId="0" applyNumberFormat="1" applyFont="1" applyAlignment="1">
      <alignment/>
    </xf>
    <xf numFmtId="37" fontId="23" fillId="0" borderId="18" xfId="0" applyNumberFormat="1" applyFont="1" applyBorder="1" applyAlignment="1">
      <alignment/>
    </xf>
    <xf numFmtId="3" fontId="23" fillId="0" borderId="19" xfId="0" applyNumberFormat="1" applyFont="1" applyBorder="1" applyAlignment="1">
      <alignment/>
    </xf>
    <xf numFmtId="37" fontId="23" fillId="0" borderId="12" xfId="0" applyFont="1" applyBorder="1" applyAlignment="1">
      <alignment/>
    </xf>
    <xf numFmtId="190" fontId="23" fillId="0" borderId="13" xfId="45" applyNumberFormat="1" applyFont="1" applyBorder="1" applyAlignment="1">
      <alignment/>
    </xf>
    <xf numFmtId="203" fontId="23" fillId="0" borderId="11" xfId="0" applyNumberFormat="1" applyFont="1" applyBorder="1" applyAlignment="1">
      <alignment/>
    </xf>
    <xf numFmtId="37" fontId="23" fillId="0" borderId="20" xfId="0" applyFont="1" applyBorder="1" applyAlignment="1">
      <alignment horizontal="fill"/>
    </xf>
    <xf numFmtId="37" fontId="23" fillId="0" borderId="11" xfId="0" applyNumberFormat="1" applyFont="1" applyBorder="1" applyAlignment="1">
      <alignment/>
    </xf>
    <xf numFmtId="37" fontId="23" fillId="0" borderId="18" xfId="0" applyFont="1" applyBorder="1" applyAlignment="1">
      <alignment horizontal="left" indent="1"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NumberFormat="1" applyFont="1" applyBorder="1" applyAlignment="1">
      <alignment/>
    </xf>
    <xf numFmtId="37" fontId="23" fillId="0" borderId="10" xfId="0" applyNumberFormat="1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Fill="1" applyBorder="1" applyAlignment="1">
      <alignment/>
    </xf>
    <xf numFmtId="37" fontId="23" fillId="0" borderId="18" xfId="0" applyFont="1" applyFill="1" applyBorder="1" applyAlignment="1">
      <alignment/>
    </xf>
    <xf numFmtId="3" fontId="23" fillId="0" borderId="18" xfId="0" applyNumberFormat="1" applyFont="1" applyFill="1" applyBorder="1" applyAlignment="1">
      <alignment/>
    </xf>
    <xf numFmtId="37" fontId="23" fillId="0" borderId="18" xfId="0" applyFont="1" applyFill="1" applyBorder="1" applyAlignment="1">
      <alignment horizontal="left" indent="1"/>
    </xf>
    <xf numFmtId="37" fontId="24" fillId="0" borderId="10" xfId="0" applyFont="1" applyBorder="1" applyAlignment="1">
      <alignment horizontal="left"/>
    </xf>
    <xf numFmtId="37" fontId="24" fillId="0" borderId="17" xfId="0" applyFont="1" applyBorder="1" applyAlignment="1">
      <alignment horizontal="right"/>
    </xf>
    <xf numFmtId="37" fontId="5" fillId="0" borderId="18" xfId="0" applyFont="1" applyBorder="1" applyAlignment="1">
      <alignment horizontal="right"/>
    </xf>
    <xf numFmtId="37" fontId="24" fillId="0" borderId="19" xfId="0" applyFont="1" applyBorder="1" applyAlignment="1">
      <alignment/>
    </xf>
    <xf numFmtId="37" fontId="24" fillId="0" borderId="10" xfId="0" applyFont="1" applyBorder="1" applyAlignment="1">
      <alignment horizontal="center"/>
    </xf>
    <xf numFmtId="37" fontId="23" fillId="0" borderId="0" xfId="0" applyFont="1" applyAlignment="1">
      <alignment horizontal="center"/>
    </xf>
    <xf numFmtId="37" fontId="23" fillId="0" borderId="11" xfId="0" applyFont="1" applyBorder="1" applyAlignment="1">
      <alignment horizontal="center"/>
    </xf>
    <xf numFmtId="188" fontId="24" fillId="0" borderId="10" xfId="0" applyNumberFormat="1" applyFont="1" applyBorder="1" applyAlignment="1" applyProtection="1">
      <alignment horizontal="center"/>
      <protection/>
    </xf>
    <xf numFmtId="188" fontId="24" fillId="0" borderId="0" xfId="0" applyNumberFormat="1" applyFont="1" applyBorder="1" applyAlignment="1" applyProtection="1">
      <alignment horizontal="center"/>
      <protection/>
    </xf>
    <xf numFmtId="188" fontId="24" fillId="0" borderId="11" xfId="0" applyNumberFormat="1" applyFont="1" applyBorder="1" applyAlignment="1" applyProtection="1">
      <alignment horizontal="center"/>
      <protection/>
    </xf>
    <xf numFmtId="3" fontId="0" fillId="0" borderId="0" xfId="0" applyNumberFormat="1" applyFill="1" applyBorder="1" applyAlignment="1">
      <alignment horizontal="right"/>
    </xf>
    <xf numFmtId="187" fontId="0" fillId="0" borderId="0" xfId="45" applyFont="1" applyBorder="1" applyAlignment="1">
      <alignment/>
    </xf>
    <xf numFmtId="187" fontId="0" fillId="0" borderId="0" xfId="45" applyNumberFormat="1" applyFont="1" applyBorder="1" applyAlignment="1">
      <alignment/>
    </xf>
    <xf numFmtId="187" fontId="0" fillId="0" borderId="0" xfId="45" applyNumberFormat="1" applyFont="1" applyFill="1" applyBorder="1" applyAlignment="1">
      <alignment/>
    </xf>
    <xf numFmtId="187" fontId="0" fillId="0" borderId="0" xfId="45" applyNumberFormat="1" applyFont="1" applyFill="1" applyBorder="1" applyAlignment="1">
      <alignment/>
    </xf>
    <xf numFmtId="200" fontId="0" fillId="0" borderId="0" xfId="45" applyNumberFormat="1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9525</xdr:rowOff>
    </xdr:from>
    <xdr:to>
      <xdr:col>2</xdr:col>
      <xdr:colOff>9525</xdr:colOff>
      <xdr:row>9</xdr:row>
      <xdr:rowOff>9525</xdr:rowOff>
    </xdr:to>
    <xdr:sp>
      <xdr:nvSpPr>
        <xdr:cNvPr id="1" name="Connecteur droit 2"/>
        <xdr:cNvSpPr>
          <a:spLocks/>
        </xdr:cNvSpPr>
      </xdr:nvSpPr>
      <xdr:spPr>
        <a:xfrm>
          <a:off x="0" y="1209675"/>
          <a:ext cx="1171575" cy="600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J420"/>
  <sheetViews>
    <sheetView showGridLines="0" tabSelected="1" zoomScale="90" zoomScaleNormal="90" zoomScalePageLayoutView="0" workbookViewId="0" topLeftCell="B1">
      <pane xSplit="1" ySplit="9" topLeftCell="C382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K370" sqref="K370"/>
    </sheetView>
  </sheetViews>
  <sheetFormatPr defaultColWidth="12.6640625" defaultRowHeight="15.75"/>
  <cols>
    <col min="1" max="1" width="10.77734375" style="0" hidden="1" customWidth="1"/>
    <col min="2" max="2" width="13.5546875" style="0" customWidth="1"/>
    <col min="3" max="3" width="17.5546875" style="0" customWidth="1"/>
    <col min="4" max="4" width="18.21484375" style="0" customWidth="1"/>
    <col min="5" max="5" width="19.21484375" style="0" customWidth="1"/>
    <col min="6" max="6" width="18.10546875" style="0" customWidth="1"/>
    <col min="7" max="7" width="16.88671875" style="0" customWidth="1"/>
    <col min="8" max="8" width="12.6640625" style="2" customWidth="1"/>
  </cols>
  <sheetData>
    <row r="1" spans="2:6" ht="15.75">
      <c r="B1" s="16"/>
      <c r="C1" s="17"/>
      <c r="D1" s="17"/>
      <c r="E1" s="17"/>
      <c r="F1" s="18"/>
    </row>
    <row r="2" spans="2:6" ht="15.75">
      <c r="B2" s="19"/>
      <c r="C2" s="20" t="s">
        <v>0</v>
      </c>
      <c r="D2" s="21"/>
      <c r="E2" s="21"/>
      <c r="F2" s="22" t="s">
        <v>64</v>
      </c>
    </row>
    <row r="3" spans="2:6" ht="15.75">
      <c r="B3" s="19"/>
      <c r="C3" s="21"/>
      <c r="D3" s="21"/>
      <c r="E3" s="21"/>
      <c r="F3" s="23"/>
    </row>
    <row r="4" spans="2:7" ht="15.75">
      <c r="B4" s="103" t="s">
        <v>56</v>
      </c>
      <c r="C4" s="104"/>
      <c r="D4" s="104"/>
      <c r="E4" s="104"/>
      <c r="F4" s="105"/>
      <c r="G4" t="s">
        <v>43</v>
      </c>
    </row>
    <row r="5" spans="2:6" ht="15.75">
      <c r="B5" s="106" t="s">
        <v>59</v>
      </c>
      <c r="C5" s="107"/>
      <c r="D5" s="107"/>
      <c r="E5" s="107"/>
      <c r="F5" s="108"/>
    </row>
    <row r="6" spans="2:6" ht="15.75">
      <c r="B6" s="24"/>
      <c r="C6" s="25"/>
      <c r="D6" s="25"/>
      <c r="E6" s="25"/>
      <c r="F6" s="26"/>
    </row>
    <row r="7" spans="2:6" ht="15.75">
      <c r="B7" s="100"/>
      <c r="C7" s="27"/>
      <c r="D7" s="28"/>
      <c r="E7" s="28"/>
      <c r="F7" s="29"/>
    </row>
    <row r="8" spans="2:6" ht="15.75">
      <c r="B8" s="101" t="s">
        <v>70</v>
      </c>
      <c r="C8" s="31" t="s">
        <v>1</v>
      </c>
      <c r="D8" s="32" t="s">
        <v>2</v>
      </c>
      <c r="E8" s="32" t="s">
        <v>67</v>
      </c>
      <c r="F8" s="33" t="s">
        <v>3</v>
      </c>
    </row>
    <row r="9" spans="2:7" ht="15.75">
      <c r="B9" s="102" t="s">
        <v>66</v>
      </c>
      <c r="C9" s="25"/>
      <c r="D9" s="34"/>
      <c r="E9" s="34"/>
      <c r="F9" s="34"/>
      <c r="G9" s="4"/>
    </row>
    <row r="10" spans="2:6" ht="15.75">
      <c r="B10" s="28"/>
      <c r="C10" s="35"/>
      <c r="D10" s="36"/>
      <c r="E10" s="36"/>
      <c r="F10" s="36"/>
    </row>
    <row r="11" spans="2:6" ht="15.75" hidden="1">
      <c r="B11" s="30"/>
      <c r="C11" s="37"/>
      <c r="D11" s="38"/>
      <c r="E11" s="38"/>
      <c r="F11" s="38"/>
    </row>
    <row r="12" spans="2:6" ht="15.75" hidden="1">
      <c r="B12" s="39" t="s">
        <v>4</v>
      </c>
      <c r="C12" s="37">
        <v>117827</v>
      </c>
      <c r="D12" s="38">
        <v>3806</v>
      </c>
      <c r="E12" s="38">
        <v>6886</v>
      </c>
      <c r="F12" s="38">
        <v>128519</v>
      </c>
    </row>
    <row r="13" spans="2:6" ht="15.75" hidden="1">
      <c r="B13" s="39" t="s">
        <v>5</v>
      </c>
      <c r="C13" s="37">
        <v>90365</v>
      </c>
      <c r="D13" s="38">
        <v>4457</v>
      </c>
      <c r="E13" s="38">
        <v>5963</v>
      </c>
      <c r="F13" s="38">
        <f aca="true" t="shared" si="0" ref="F13:F18">SUM(C13:E13)</f>
        <v>100785</v>
      </c>
    </row>
    <row r="14" spans="2:6" ht="15.75" hidden="1">
      <c r="B14" s="40">
        <v>1997</v>
      </c>
      <c r="C14" s="37">
        <v>118824</v>
      </c>
      <c r="D14" s="38">
        <v>3888</v>
      </c>
      <c r="E14" s="38">
        <v>5917</v>
      </c>
      <c r="F14" s="38">
        <f t="shared" si="0"/>
        <v>128629</v>
      </c>
    </row>
    <row r="15" spans="2:7" ht="15.75" hidden="1">
      <c r="B15" s="39" t="s">
        <v>6</v>
      </c>
      <c r="C15" s="37">
        <v>123720</v>
      </c>
      <c r="D15" s="38">
        <v>8775</v>
      </c>
      <c r="E15" s="38">
        <v>8068</v>
      </c>
      <c r="F15" s="38">
        <f t="shared" si="0"/>
        <v>140563</v>
      </c>
      <c r="G15" s="7"/>
    </row>
    <row r="16" spans="2:6" ht="15.75" hidden="1">
      <c r="B16" s="39" t="s">
        <v>7</v>
      </c>
      <c r="C16" s="37">
        <v>130554</v>
      </c>
      <c r="D16" s="38">
        <v>8566</v>
      </c>
      <c r="E16" s="38">
        <v>7867</v>
      </c>
      <c r="F16" s="38">
        <f t="shared" si="0"/>
        <v>146987</v>
      </c>
    </row>
    <row r="17" spans="2:6" ht="15.75" hidden="1">
      <c r="B17" s="39" t="s">
        <v>13</v>
      </c>
      <c r="C17" s="37">
        <v>129194.38399999999</v>
      </c>
      <c r="D17" s="38">
        <v>6183.32</v>
      </c>
      <c r="E17" s="38">
        <v>8491.7055</v>
      </c>
      <c r="F17" s="38">
        <f t="shared" si="0"/>
        <v>143869.4095</v>
      </c>
    </row>
    <row r="18" spans="2:6" ht="15.75" hidden="1">
      <c r="B18" s="40">
        <v>2001</v>
      </c>
      <c r="C18" s="41">
        <v>126697</v>
      </c>
      <c r="D18" s="38">
        <v>3786</v>
      </c>
      <c r="E18" s="38">
        <v>9596</v>
      </c>
      <c r="F18" s="38">
        <f t="shared" si="0"/>
        <v>140079</v>
      </c>
    </row>
    <row r="19" spans="2:6" ht="15.75" hidden="1">
      <c r="B19" s="42" t="s">
        <v>28</v>
      </c>
      <c r="C19" s="41">
        <v>142003</v>
      </c>
      <c r="D19" s="38">
        <v>3356</v>
      </c>
      <c r="E19" s="38">
        <v>9035</v>
      </c>
      <c r="F19" s="38">
        <v>154393</v>
      </c>
    </row>
    <row r="20" spans="2:6" ht="15.75" hidden="1">
      <c r="B20" s="30"/>
      <c r="C20" s="37"/>
      <c r="D20" s="38"/>
      <c r="E20" s="38"/>
      <c r="F20" s="38"/>
    </row>
    <row r="21" spans="2:6" ht="15.75" hidden="1">
      <c r="B21" s="39" t="s">
        <v>6</v>
      </c>
      <c r="C21" s="37"/>
      <c r="D21" s="38"/>
      <c r="E21" s="38"/>
      <c r="F21" s="38"/>
    </row>
    <row r="22" spans="2:6" ht="15.75" hidden="1">
      <c r="B22" s="39" t="s">
        <v>8</v>
      </c>
      <c r="C22" s="37">
        <v>28370</v>
      </c>
      <c r="D22" s="38">
        <v>1768</v>
      </c>
      <c r="E22" s="38">
        <v>2266</v>
      </c>
      <c r="F22" s="38">
        <v>32404</v>
      </c>
    </row>
    <row r="23" spans="2:6" ht="15.75" hidden="1">
      <c r="B23" s="39" t="s">
        <v>9</v>
      </c>
      <c r="C23" s="37">
        <v>28254</v>
      </c>
      <c r="D23" s="38">
        <v>2247</v>
      </c>
      <c r="E23" s="38">
        <v>2194</v>
      </c>
      <c r="F23" s="38">
        <v>32695</v>
      </c>
    </row>
    <row r="24" spans="2:6" ht="15.75" hidden="1">
      <c r="B24" s="39" t="s">
        <v>10</v>
      </c>
      <c r="C24" s="37">
        <v>32595</v>
      </c>
      <c r="D24" s="38">
        <v>2508</v>
      </c>
      <c r="E24" s="38">
        <v>1671</v>
      </c>
      <c r="F24" s="38">
        <v>36774</v>
      </c>
    </row>
    <row r="25" spans="2:6" ht="15.75" hidden="1">
      <c r="B25" s="39" t="s">
        <v>11</v>
      </c>
      <c r="C25" s="37">
        <v>34501</v>
      </c>
      <c r="D25" s="38">
        <v>2252</v>
      </c>
      <c r="E25" s="38">
        <v>1937</v>
      </c>
      <c r="F25" s="38">
        <v>38690</v>
      </c>
    </row>
    <row r="26" spans="2:6" ht="15.75" hidden="1">
      <c r="B26" s="30"/>
      <c r="C26" s="37"/>
      <c r="D26" s="38"/>
      <c r="E26" s="38"/>
      <c r="F26" s="38"/>
    </row>
    <row r="27" spans="2:6" ht="15.75" hidden="1">
      <c r="B27" s="39" t="s">
        <v>7</v>
      </c>
      <c r="C27" s="37"/>
      <c r="D27" s="38"/>
      <c r="E27" s="38"/>
      <c r="F27" s="38"/>
    </row>
    <row r="28" spans="2:6" ht="15.75" hidden="1">
      <c r="B28" s="39" t="s">
        <v>8</v>
      </c>
      <c r="C28" s="37">
        <v>32159</v>
      </c>
      <c r="D28" s="38">
        <v>2189</v>
      </c>
      <c r="E28" s="38">
        <v>2230</v>
      </c>
      <c r="F28" s="38">
        <f>SUM(C28:E28)</f>
        <v>36578</v>
      </c>
    </row>
    <row r="29" spans="2:6" ht="15.75" hidden="1">
      <c r="B29" s="39" t="s">
        <v>9</v>
      </c>
      <c r="C29" s="37">
        <v>33427</v>
      </c>
      <c r="D29" s="38">
        <v>2498</v>
      </c>
      <c r="E29" s="38">
        <v>1946</v>
      </c>
      <c r="F29" s="38">
        <f>SUM(C29:E29)</f>
        <v>37871</v>
      </c>
    </row>
    <row r="30" spans="2:6" ht="15.75" hidden="1">
      <c r="B30" s="39" t="s">
        <v>10</v>
      </c>
      <c r="C30" s="37">
        <v>33824</v>
      </c>
      <c r="D30" s="38">
        <v>1844</v>
      </c>
      <c r="E30" s="38">
        <v>1800</v>
      </c>
      <c r="F30" s="38">
        <f>SUM(C30:E30)</f>
        <v>37468</v>
      </c>
    </row>
    <row r="31" spans="2:6" ht="15.75" hidden="1">
      <c r="B31" s="39" t="s">
        <v>12</v>
      </c>
      <c r="C31" s="37">
        <v>31144</v>
      </c>
      <c r="D31" s="38">
        <v>2035</v>
      </c>
      <c r="E31" s="38">
        <v>1891</v>
      </c>
      <c r="F31" s="38">
        <f>SUM(C31:E31)</f>
        <v>35070</v>
      </c>
    </row>
    <row r="32" spans="2:6" ht="15.75" hidden="1">
      <c r="B32" s="42" t="s">
        <v>29</v>
      </c>
      <c r="C32" s="37">
        <v>143178.03</v>
      </c>
      <c r="D32" s="38">
        <v>3592.3</v>
      </c>
      <c r="E32" s="38">
        <v>7758.077</v>
      </c>
      <c r="F32" s="38">
        <f>SUM(C32:E32)</f>
        <v>154528.40699999998</v>
      </c>
    </row>
    <row r="33" spans="2:6" ht="15.75" hidden="1">
      <c r="B33" s="42" t="s">
        <v>31</v>
      </c>
      <c r="C33" s="37"/>
      <c r="D33" s="38"/>
      <c r="E33" s="38"/>
      <c r="F33" s="38"/>
    </row>
    <row r="34" spans="2:6" ht="15.75" hidden="1">
      <c r="B34" s="42" t="s">
        <v>32</v>
      </c>
      <c r="C34" s="37"/>
      <c r="D34" s="38"/>
      <c r="E34" s="38"/>
      <c r="F34" s="38"/>
    </row>
    <row r="35" spans="2:6" ht="15.75" hidden="1">
      <c r="B35" s="42" t="s">
        <v>33</v>
      </c>
      <c r="C35" s="37">
        <v>29721</v>
      </c>
      <c r="D35" s="38">
        <v>2396</v>
      </c>
      <c r="E35" s="38">
        <v>2650</v>
      </c>
      <c r="F35" s="38">
        <f>SUM(C35:E35)</f>
        <v>34767</v>
      </c>
    </row>
    <row r="36" spans="2:6" ht="15.75" hidden="1">
      <c r="B36" s="42" t="s">
        <v>34</v>
      </c>
      <c r="C36" s="37">
        <v>32206</v>
      </c>
      <c r="D36" s="38">
        <v>1872</v>
      </c>
      <c r="E36" s="38">
        <v>2515</v>
      </c>
      <c r="F36" s="38">
        <f>SUM(C36:E36)</f>
        <v>36593</v>
      </c>
    </row>
    <row r="37" spans="2:6" ht="15.75" hidden="1">
      <c r="B37" s="42" t="s">
        <v>35</v>
      </c>
      <c r="C37" s="37">
        <v>33805.253</v>
      </c>
      <c r="D37" s="38">
        <v>897.03</v>
      </c>
      <c r="E37" s="38">
        <v>1482.9875</v>
      </c>
      <c r="F37" s="38">
        <f>SUM(C37:E37)</f>
        <v>36185.2705</v>
      </c>
    </row>
    <row r="38" spans="2:6" ht="15.75" hidden="1">
      <c r="B38" s="42" t="s">
        <v>36</v>
      </c>
      <c r="C38" s="37">
        <v>33462.130999999994</v>
      </c>
      <c r="D38" s="38">
        <v>1018.29</v>
      </c>
      <c r="E38" s="38">
        <v>1843.7179999999998</v>
      </c>
      <c r="F38" s="38">
        <f>SUM(C38:E38)</f>
        <v>36324.138999999996</v>
      </c>
    </row>
    <row r="39" spans="2:6" ht="15.75" hidden="1">
      <c r="B39" s="42" t="s">
        <v>37</v>
      </c>
      <c r="C39" s="37"/>
      <c r="D39" s="38"/>
      <c r="E39" s="38"/>
      <c r="F39" s="38"/>
    </row>
    <row r="40" spans="2:6" ht="15.75" hidden="1">
      <c r="B40" s="42" t="s">
        <v>38</v>
      </c>
      <c r="C40" s="37"/>
      <c r="D40" s="38"/>
      <c r="E40" s="38"/>
      <c r="F40" s="38"/>
    </row>
    <row r="41" spans="2:6" ht="15.75" hidden="1">
      <c r="B41" s="42" t="s">
        <v>39</v>
      </c>
      <c r="C41" s="37">
        <v>26469</v>
      </c>
      <c r="D41" s="38">
        <v>821</v>
      </c>
      <c r="E41" s="38">
        <v>2533</v>
      </c>
      <c r="F41" s="38">
        <f>SUM(C41:E41)</f>
        <v>29823</v>
      </c>
    </row>
    <row r="42" spans="2:6" ht="15.75" hidden="1">
      <c r="B42" s="42" t="s">
        <v>40</v>
      </c>
      <c r="C42" s="43">
        <v>30891</v>
      </c>
      <c r="D42" s="43">
        <v>1151</v>
      </c>
      <c r="E42" s="43">
        <v>2825.9629999999997</v>
      </c>
      <c r="F42" s="38">
        <f>SUM(C42:E42)</f>
        <v>34867.963</v>
      </c>
    </row>
    <row r="43" spans="2:6" ht="15.75" hidden="1">
      <c r="B43" s="42" t="s">
        <v>41</v>
      </c>
      <c r="C43" s="37">
        <v>33029</v>
      </c>
      <c r="D43" s="38">
        <v>1196</v>
      </c>
      <c r="E43" s="38">
        <v>1949.757</v>
      </c>
      <c r="F43" s="38">
        <f>SUM(C43:E43)</f>
        <v>36174.757</v>
      </c>
    </row>
    <row r="44" spans="2:6" ht="15.75" hidden="1">
      <c r="B44" s="42" t="s">
        <v>42</v>
      </c>
      <c r="C44" s="43">
        <v>36307.5</v>
      </c>
      <c r="D44" s="43">
        <v>617.715</v>
      </c>
      <c r="E44" s="43">
        <v>2287.4210000000003</v>
      </c>
      <c r="F44" s="38">
        <f>SUM(C44:E44)</f>
        <v>39212.636</v>
      </c>
    </row>
    <row r="45" spans="2:6" ht="15.75" hidden="1">
      <c r="B45" s="42" t="s">
        <v>31</v>
      </c>
      <c r="C45" s="43">
        <v>147645</v>
      </c>
      <c r="D45" s="43">
        <v>10162.93</v>
      </c>
      <c r="E45" s="43">
        <v>6856</v>
      </c>
      <c r="F45" s="38">
        <v>164664</v>
      </c>
    </row>
    <row r="46" spans="2:6" ht="15.75" hidden="1">
      <c r="B46" s="39"/>
      <c r="C46" s="43"/>
      <c r="D46" s="43"/>
      <c r="E46" s="43"/>
      <c r="F46" s="38">
        <f aca="true" t="shared" si="1" ref="F46:F103">SUM(C46:E46)</f>
        <v>0</v>
      </c>
    </row>
    <row r="47" spans="2:6" ht="15.75" hidden="1">
      <c r="B47" s="42" t="s">
        <v>28</v>
      </c>
      <c r="C47" s="43"/>
      <c r="D47" s="43"/>
      <c r="E47" s="43"/>
      <c r="F47" s="38">
        <f t="shared" si="1"/>
        <v>0</v>
      </c>
    </row>
    <row r="48" spans="2:6" ht="15.75" hidden="1">
      <c r="B48" s="39" t="s">
        <v>8</v>
      </c>
      <c r="C48" s="44">
        <v>35235.56</v>
      </c>
      <c r="D48" s="38">
        <v>722</v>
      </c>
      <c r="E48" s="38">
        <v>2644.397</v>
      </c>
      <c r="F48" s="38">
        <f t="shared" si="1"/>
        <v>38601.956999999995</v>
      </c>
    </row>
    <row r="49" spans="2:6" ht="15.75" hidden="1">
      <c r="B49" s="39" t="s">
        <v>13</v>
      </c>
      <c r="C49" s="37"/>
      <c r="D49" s="38"/>
      <c r="E49" s="38"/>
      <c r="F49" s="38">
        <f t="shared" si="1"/>
        <v>0</v>
      </c>
    </row>
    <row r="50" spans="2:6" ht="15.75" hidden="1">
      <c r="B50" s="39" t="s">
        <v>22</v>
      </c>
      <c r="C50" s="37">
        <v>9816</v>
      </c>
      <c r="D50" s="38">
        <v>844</v>
      </c>
      <c r="E50" s="38">
        <v>827</v>
      </c>
      <c r="F50" s="38">
        <f t="shared" si="1"/>
        <v>11487</v>
      </c>
    </row>
    <row r="51" spans="2:6" ht="15.75" hidden="1">
      <c r="B51" s="39" t="s">
        <v>23</v>
      </c>
      <c r="C51" s="37">
        <v>9589</v>
      </c>
      <c r="D51" s="38">
        <v>789</v>
      </c>
      <c r="E51" s="38">
        <v>914</v>
      </c>
      <c r="F51" s="38">
        <f t="shared" si="1"/>
        <v>11292</v>
      </c>
    </row>
    <row r="52" spans="2:6" ht="15.75" hidden="1">
      <c r="B52" s="39" t="s">
        <v>24</v>
      </c>
      <c r="C52" s="37">
        <v>10316</v>
      </c>
      <c r="D52" s="38">
        <v>763</v>
      </c>
      <c r="E52" s="38">
        <v>909</v>
      </c>
      <c r="F52" s="38">
        <f t="shared" si="1"/>
        <v>11988</v>
      </c>
    </row>
    <row r="53" spans="2:6" ht="15.75" hidden="1">
      <c r="B53" s="39" t="s">
        <v>14</v>
      </c>
      <c r="C53" s="37">
        <v>10113</v>
      </c>
      <c r="D53" s="38">
        <v>608</v>
      </c>
      <c r="E53" s="38">
        <v>874</v>
      </c>
      <c r="F53" s="38">
        <f t="shared" si="1"/>
        <v>11595</v>
      </c>
    </row>
    <row r="54" spans="2:6" ht="15.75" hidden="1">
      <c r="B54" s="39" t="s">
        <v>15</v>
      </c>
      <c r="C54" s="37">
        <v>11157</v>
      </c>
      <c r="D54" s="38">
        <v>681</v>
      </c>
      <c r="E54" s="38">
        <v>879</v>
      </c>
      <c r="F54" s="38">
        <f t="shared" si="1"/>
        <v>12717</v>
      </c>
    </row>
    <row r="55" spans="2:6" ht="15.75" hidden="1">
      <c r="B55" s="39" t="s">
        <v>25</v>
      </c>
      <c r="C55" s="37">
        <v>10936</v>
      </c>
      <c r="D55" s="38">
        <v>583</v>
      </c>
      <c r="E55" s="38">
        <v>762</v>
      </c>
      <c r="F55" s="38">
        <f t="shared" si="1"/>
        <v>12281</v>
      </c>
    </row>
    <row r="56" spans="2:6" ht="15.75" hidden="1">
      <c r="B56" s="39" t="s">
        <v>16</v>
      </c>
      <c r="C56" s="37">
        <v>10657</v>
      </c>
      <c r="D56" s="38">
        <v>384</v>
      </c>
      <c r="E56" s="38">
        <v>490</v>
      </c>
      <c r="F56" s="38">
        <f t="shared" si="1"/>
        <v>11531</v>
      </c>
    </row>
    <row r="57" spans="2:6" ht="15.75" hidden="1">
      <c r="B57" s="39" t="s">
        <v>17</v>
      </c>
      <c r="C57" s="37">
        <v>11647.305</v>
      </c>
      <c r="D57" s="38">
        <v>321.985</v>
      </c>
      <c r="E57" s="38">
        <v>467.9875</v>
      </c>
      <c r="F57" s="38">
        <f t="shared" si="1"/>
        <v>12437.2775</v>
      </c>
    </row>
    <row r="58" spans="2:6" ht="15.75" hidden="1">
      <c r="B58" s="39" t="s">
        <v>18</v>
      </c>
      <c r="C58" s="37">
        <v>11500.948</v>
      </c>
      <c r="D58" s="38">
        <v>191.045</v>
      </c>
      <c r="E58" s="38">
        <v>525</v>
      </c>
      <c r="F58" s="38">
        <f t="shared" si="1"/>
        <v>12216.993</v>
      </c>
    </row>
    <row r="59" spans="2:6" ht="15.75" hidden="1">
      <c r="B59" s="39" t="s">
        <v>19</v>
      </c>
      <c r="C59" s="44">
        <v>11197.068</v>
      </c>
      <c r="D59" s="45">
        <v>239.09</v>
      </c>
      <c r="E59" s="45">
        <v>458.048</v>
      </c>
      <c r="F59" s="38">
        <f t="shared" si="1"/>
        <v>11894.206</v>
      </c>
    </row>
    <row r="60" spans="2:6" ht="15.75" hidden="1">
      <c r="B60" s="39" t="s">
        <v>20</v>
      </c>
      <c r="C60" s="44">
        <v>10734.816</v>
      </c>
      <c r="D60" s="45">
        <v>352.845</v>
      </c>
      <c r="E60" s="45">
        <v>613.404</v>
      </c>
      <c r="F60" s="38">
        <f t="shared" si="1"/>
        <v>11701.065</v>
      </c>
    </row>
    <row r="61" spans="2:6" ht="15.75" hidden="1">
      <c r="B61" s="39" t="s">
        <v>21</v>
      </c>
      <c r="C61" s="44">
        <v>11530.247</v>
      </c>
      <c r="D61" s="45">
        <v>426</v>
      </c>
      <c r="E61" s="45">
        <v>773</v>
      </c>
      <c r="F61" s="38">
        <f t="shared" si="1"/>
        <v>12729.247</v>
      </c>
    </row>
    <row r="62" spans="2:6" ht="15.75" hidden="1">
      <c r="B62" s="39" t="s">
        <v>26</v>
      </c>
      <c r="C62" s="44">
        <v>34833</v>
      </c>
      <c r="D62" s="45">
        <v>876.575</v>
      </c>
      <c r="E62" s="45">
        <v>2265</v>
      </c>
      <c r="F62" s="38">
        <f t="shared" si="1"/>
        <v>37974.575</v>
      </c>
    </row>
    <row r="63" spans="2:6" ht="15.75" hidden="1">
      <c r="B63" s="39" t="s">
        <v>10</v>
      </c>
      <c r="C63" s="44">
        <v>36151.65</v>
      </c>
      <c r="D63" s="45">
        <v>761.29</v>
      </c>
      <c r="E63" s="45">
        <v>1980</v>
      </c>
      <c r="F63" s="38">
        <f t="shared" si="1"/>
        <v>38892.94</v>
      </c>
    </row>
    <row r="64" spans="2:6" ht="15.75" hidden="1">
      <c r="B64" s="39" t="s">
        <v>12</v>
      </c>
      <c r="C64" s="44">
        <v>35781.9</v>
      </c>
      <c r="D64" s="45">
        <v>995.61</v>
      </c>
      <c r="E64" s="45">
        <v>2146.09</v>
      </c>
      <c r="F64" s="38">
        <f t="shared" si="1"/>
        <v>38923.600000000006</v>
      </c>
    </row>
    <row r="65" spans="2:6" ht="15.75" hidden="1">
      <c r="B65" s="39"/>
      <c r="C65" s="37"/>
      <c r="D65" s="45"/>
      <c r="E65" s="45"/>
      <c r="F65" s="38">
        <f t="shared" si="1"/>
        <v>0</v>
      </c>
    </row>
    <row r="66" spans="2:6" ht="15.75" hidden="1">
      <c r="B66" s="42" t="s">
        <v>27</v>
      </c>
      <c r="C66" s="44"/>
      <c r="D66" s="45"/>
      <c r="E66" s="45"/>
      <c r="F66" s="38">
        <f t="shared" si="1"/>
        <v>0</v>
      </c>
    </row>
    <row r="67" spans="2:6" ht="15.75" hidden="1">
      <c r="B67" s="39" t="s">
        <v>22</v>
      </c>
      <c r="C67" s="44">
        <v>9497.186</v>
      </c>
      <c r="D67" s="45">
        <v>160.315</v>
      </c>
      <c r="E67" s="45">
        <v>932.511</v>
      </c>
      <c r="F67" s="38">
        <f t="shared" si="1"/>
        <v>10590.012</v>
      </c>
    </row>
    <row r="68" spans="2:6" ht="15.75" hidden="1">
      <c r="B68" s="39" t="s">
        <v>23</v>
      </c>
      <c r="C68" s="44">
        <v>8202.338</v>
      </c>
      <c r="D68" s="45">
        <v>184.248</v>
      </c>
      <c r="E68" s="45">
        <v>968.674</v>
      </c>
      <c r="F68" s="38">
        <f t="shared" si="1"/>
        <v>9355.259999999998</v>
      </c>
    </row>
    <row r="69" spans="2:6" ht="15.75" hidden="1">
      <c r="B69" s="39" t="s">
        <v>24</v>
      </c>
      <c r="C69" s="44">
        <v>8768.981</v>
      </c>
      <c r="D69" s="45">
        <v>476.105</v>
      </c>
      <c r="E69" s="45">
        <v>632</v>
      </c>
      <c r="F69" s="38">
        <f t="shared" si="1"/>
        <v>9877.086</v>
      </c>
    </row>
    <row r="70" spans="2:6" ht="15.75" hidden="1">
      <c r="B70" s="39" t="s">
        <v>14</v>
      </c>
      <c r="C70" s="44">
        <v>8812.669</v>
      </c>
      <c r="D70" s="45">
        <v>401</v>
      </c>
      <c r="E70" s="45">
        <v>989</v>
      </c>
      <c r="F70" s="38">
        <f t="shared" si="1"/>
        <v>10202.669</v>
      </c>
    </row>
    <row r="71" spans="2:6" ht="15.75" hidden="1">
      <c r="B71" s="39" t="s">
        <v>15</v>
      </c>
      <c r="C71" s="44">
        <f>5618+2851+3534-3190</f>
        <v>8813</v>
      </c>
      <c r="D71" s="45">
        <v>400</v>
      </c>
      <c r="E71" s="45">
        <f>125+79+632+144+9</f>
        <v>989</v>
      </c>
      <c r="F71" s="38">
        <f t="shared" si="1"/>
        <v>10202</v>
      </c>
    </row>
    <row r="72" spans="2:6" ht="15.75" hidden="1">
      <c r="B72" s="39" t="s">
        <v>15</v>
      </c>
      <c r="C72" s="44">
        <v>11166</v>
      </c>
      <c r="D72" s="45">
        <v>538</v>
      </c>
      <c r="E72" s="45">
        <f>123.96+72.31+608.029+123.884+8.78</f>
        <v>936.963</v>
      </c>
      <c r="F72" s="38">
        <f t="shared" si="1"/>
        <v>12640.963</v>
      </c>
    </row>
    <row r="73" spans="2:6" ht="15.75" hidden="1">
      <c r="B73" s="39" t="s">
        <v>25</v>
      </c>
      <c r="C73" s="44">
        <v>10912</v>
      </c>
      <c r="D73" s="45">
        <v>213</v>
      </c>
      <c r="E73" s="45">
        <v>900</v>
      </c>
      <c r="F73" s="38">
        <f t="shared" si="1"/>
        <v>12025</v>
      </c>
    </row>
    <row r="74" spans="2:6" ht="15.75" hidden="1">
      <c r="B74" s="39" t="s">
        <v>16</v>
      </c>
      <c r="C74" s="44">
        <v>11518</v>
      </c>
      <c r="D74" s="45">
        <v>225</v>
      </c>
      <c r="E74" s="45">
        <v>658</v>
      </c>
      <c r="F74" s="38">
        <f t="shared" si="1"/>
        <v>12401</v>
      </c>
    </row>
    <row r="75" spans="2:6" ht="15.75" hidden="1">
      <c r="B75" s="39" t="s">
        <v>17</v>
      </c>
      <c r="C75" s="44">
        <v>10108</v>
      </c>
      <c r="D75" s="45">
        <v>844</v>
      </c>
      <c r="E75" s="45">
        <v>637.331</v>
      </c>
      <c r="F75" s="38">
        <f t="shared" si="1"/>
        <v>11589.331</v>
      </c>
    </row>
    <row r="76" spans="2:6" ht="15.75" hidden="1">
      <c r="B76" s="39" t="s">
        <v>18</v>
      </c>
      <c r="C76" s="44">
        <v>11403</v>
      </c>
      <c r="D76" s="45">
        <v>127</v>
      </c>
      <c r="E76" s="45">
        <f>192.058+462.368</f>
        <v>654.4259999999999</v>
      </c>
      <c r="F76" s="38">
        <f t="shared" si="1"/>
        <v>12184.426</v>
      </c>
    </row>
    <row r="77" spans="2:6" ht="15.75" hidden="1">
      <c r="B77" s="39" t="s">
        <v>19</v>
      </c>
      <c r="C77" s="44">
        <v>11869.319</v>
      </c>
      <c r="D77" s="45">
        <v>260.9</v>
      </c>
      <c r="E77" s="45">
        <f>146.94+485+65</f>
        <v>696.94</v>
      </c>
      <c r="F77" s="38">
        <f t="shared" si="1"/>
        <v>12827.159</v>
      </c>
    </row>
    <row r="78" spans="2:6" ht="15.75" hidden="1">
      <c r="B78" s="39" t="s">
        <v>20</v>
      </c>
      <c r="C78" s="44">
        <v>12268.598</v>
      </c>
      <c r="D78" s="45">
        <v>223.495</v>
      </c>
      <c r="E78" s="45">
        <v>737.516</v>
      </c>
      <c r="F78" s="38">
        <f t="shared" si="1"/>
        <v>13229.609</v>
      </c>
    </row>
    <row r="79" spans="2:6" ht="15.75" hidden="1">
      <c r="B79" s="39" t="s">
        <v>21</v>
      </c>
      <c r="C79" s="44">
        <v>12169.583</v>
      </c>
      <c r="D79" s="45">
        <v>133.32</v>
      </c>
      <c r="E79" s="45">
        <v>852.965</v>
      </c>
      <c r="F79" s="38">
        <f t="shared" si="1"/>
        <v>13155.868</v>
      </c>
    </row>
    <row r="80" spans="2:6" ht="15.75" hidden="1">
      <c r="B80" s="39"/>
      <c r="C80" s="44"/>
      <c r="D80" s="45"/>
      <c r="E80" s="45"/>
      <c r="F80" s="38">
        <f t="shared" si="1"/>
        <v>0</v>
      </c>
    </row>
    <row r="81" spans="2:6" ht="15.75" hidden="1">
      <c r="B81" s="42" t="s">
        <v>32</v>
      </c>
      <c r="C81" s="44">
        <v>153313</v>
      </c>
      <c r="D81" s="45">
        <v>11451</v>
      </c>
      <c r="E81" s="45">
        <v>6099</v>
      </c>
      <c r="F81" s="38">
        <f t="shared" si="1"/>
        <v>170863</v>
      </c>
    </row>
    <row r="82" spans="2:6" ht="15.75" hidden="1">
      <c r="B82" s="42" t="s">
        <v>33</v>
      </c>
      <c r="C82" s="44"/>
      <c r="D82" s="45"/>
      <c r="E82" s="45"/>
      <c r="F82" s="38">
        <f t="shared" si="1"/>
        <v>0</v>
      </c>
    </row>
    <row r="83" spans="2:6" ht="15.75" hidden="1">
      <c r="B83" s="42" t="s">
        <v>34</v>
      </c>
      <c r="C83" s="44"/>
      <c r="D83" s="45"/>
      <c r="E83" s="45"/>
      <c r="F83" s="38">
        <f t="shared" si="1"/>
        <v>0</v>
      </c>
    </row>
    <row r="84" spans="2:6" ht="15.75" hidden="1">
      <c r="B84" s="42" t="s">
        <v>35</v>
      </c>
      <c r="C84" s="44">
        <v>35165.667</v>
      </c>
      <c r="D84" s="45">
        <v>871.76</v>
      </c>
      <c r="E84" s="45">
        <v>2221.2224</v>
      </c>
      <c r="F84" s="38">
        <f t="shared" si="1"/>
        <v>38258.6494</v>
      </c>
    </row>
    <row r="85" spans="2:6" ht="15.75" hidden="1">
      <c r="B85" s="42" t="s">
        <v>36</v>
      </c>
      <c r="C85" s="44">
        <v>35528</v>
      </c>
      <c r="D85" s="45">
        <v>822</v>
      </c>
      <c r="E85" s="45">
        <v>2174</v>
      </c>
      <c r="F85" s="38">
        <f t="shared" si="1"/>
        <v>38524</v>
      </c>
    </row>
    <row r="86" spans="2:6" ht="15.75" hidden="1">
      <c r="B86" s="42" t="s">
        <v>37</v>
      </c>
      <c r="C86" s="44">
        <v>36329</v>
      </c>
      <c r="D86" s="45">
        <v>1105</v>
      </c>
      <c r="E86" s="45">
        <v>1691</v>
      </c>
      <c r="F86" s="38">
        <f t="shared" si="1"/>
        <v>39125</v>
      </c>
    </row>
    <row r="87" spans="2:6" ht="15.75" hidden="1">
      <c r="B87" s="42" t="s">
        <v>38</v>
      </c>
      <c r="C87" s="44">
        <v>36155</v>
      </c>
      <c r="D87" s="45">
        <v>794</v>
      </c>
      <c r="E87" s="45">
        <v>1672</v>
      </c>
      <c r="F87" s="38">
        <f t="shared" si="1"/>
        <v>38621</v>
      </c>
    </row>
    <row r="88" spans="2:6" ht="15.75" hidden="1">
      <c r="B88" s="42" t="s">
        <v>39</v>
      </c>
      <c r="C88" s="44">
        <f>SUM(C84:C87)</f>
        <v>143177.66700000002</v>
      </c>
      <c r="D88" s="45">
        <f>SUM(D84:D87)</f>
        <v>3592.76</v>
      </c>
      <c r="E88" s="45">
        <f>SUM(E84:E87)</f>
        <v>7758.222400000001</v>
      </c>
      <c r="F88" s="38">
        <f t="shared" si="1"/>
        <v>154528.64940000002</v>
      </c>
    </row>
    <row r="89" spans="2:6" ht="15.75" hidden="1">
      <c r="B89" s="42" t="s">
        <v>40</v>
      </c>
      <c r="C89" s="44"/>
      <c r="D89" s="45"/>
      <c r="E89" s="45"/>
      <c r="F89" s="38">
        <f t="shared" si="1"/>
        <v>0</v>
      </c>
    </row>
    <row r="90" spans="2:6" ht="15.75" hidden="1">
      <c r="B90" s="42" t="s">
        <v>41</v>
      </c>
      <c r="C90" s="46">
        <v>12076</v>
      </c>
      <c r="D90" s="45">
        <v>78</v>
      </c>
      <c r="E90" s="45">
        <v>1014.305</v>
      </c>
      <c r="F90" s="38">
        <f t="shared" si="1"/>
        <v>13168.305</v>
      </c>
    </row>
    <row r="91" spans="2:6" ht="15.75" hidden="1">
      <c r="B91" s="42" t="s">
        <v>42</v>
      </c>
      <c r="C91" s="44">
        <v>11548.358</v>
      </c>
      <c r="D91" s="45">
        <v>322.025</v>
      </c>
      <c r="E91" s="45">
        <v>908.819</v>
      </c>
      <c r="F91" s="38">
        <f t="shared" si="1"/>
        <v>12779.202</v>
      </c>
    </row>
    <row r="92" spans="2:6" ht="15.75" hidden="1">
      <c r="B92" s="42" t="s">
        <v>44</v>
      </c>
      <c r="C92" s="44">
        <v>11611.002</v>
      </c>
      <c r="D92" s="45">
        <v>322.025</v>
      </c>
      <c r="E92" s="45">
        <v>721.273</v>
      </c>
      <c r="F92" s="38">
        <f t="shared" si="1"/>
        <v>12654.3</v>
      </c>
    </row>
    <row r="93" spans="2:8" ht="15.75" hidden="1">
      <c r="B93" s="42" t="s">
        <v>45</v>
      </c>
      <c r="C93" s="47">
        <v>9993</v>
      </c>
      <c r="D93" s="45">
        <v>309</v>
      </c>
      <c r="E93" s="48">
        <v>784</v>
      </c>
      <c r="F93" s="38">
        <f t="shared" si="1"/>
        <v>11086</v>
      </c>
      <c r="H93" s="110"/>
    </row>
    <row r="94" spans="2:6" ht="15.75" hidden="1">
      <c r="B94" s="42" t="s">
        <v>46</v>
      </c>
      <c r="C94" s="44">
        <v>12714.413</v>
      </c>
      <c r="D94" s="45">
        <v>269.675</v>
      </c>
      <c r="E94" s="45">
        <v>838.594</v>
      </c>
      <c r="F94" s="38">
        <f t="shared" si="1"/>
        <v>13822.682</v>
      </c>
    </row>
    <row r="95" spans="2:6" ht="15.75" hidden="1">
      <c r="B95" s="42" t="s">
        <v>47</v>
      </c>
      <c r="C95" s="44">
        <v>12126.428</v>
      </c>
      <c r="D95" s="45">
        <v>297.8</v>
      </c>
      <c r="E95" s="45">
        <v>641.696</v>
      </c>
      <c r="F95" s="38">
        <f t="shared" si="1"/>
        <v>13065.923999999999</v>
      </c>
    </row>
    <row r="96" spans="2:6" ht="15.75" hidden="1">
      <c r="B96" s="42" t="s">
        <v>48</v>
      </c>
      <c r="C96" s="44">
        <v>12343.583</v>
      </c>
      <c r="D96" s="45">
        <v>275.35</v>
      </c>
      <c r="E96" s="45">
        <v>654.132</v>
      </c>
      <c r="F96" s="38">
        <f t="shared" si="1"/>
        <v>13273.065</v>
      </c>
    </row>
    <row r="97" spans="2:6" ht="15.75" hidden="1">
      <c r="B97" s="42" t="s">
        <v>49</v>
      </c>
      <c r="C97" s="44">
        <f>5014.57+3215.949+1613+2307.6</f>
        <v>12151.119</v>
      </c>
      <c r="D97" s="45">
        <v>127.23</v>
      </c>
      <c r="E97" s="45">
        <f>106.62+81.024+387.562+66.827</f>
        <v>642.033</v>
      </c>
      <c r="F97" s="38">
        <f t="shared" si="1"/>
        <v>12920.382</v>
      </c>
    </row>
    <row r="98" spans="2:6" ht="15.75" hidden="1">
      <c r="B98" s="42" t="s">
        <v>50</v>
      </c>
      <c r="C98" s="44">
        <v>11656.752</v>
      </c>
      <c r="D98" s="45">
        <v>358.705</v>
      </c>
      <c r="E98" s="45">
        <v>684.4</v>
      </c>
      <c r="F98" s="38">
        <f t="shared" si="1"/>
        <v>12699.857</v>
      </c>
    </row>
    <row r="99" spans="2:6" ht="15.75" hidden="1">
      <c r="B99" s="42" t="s">
        <v>51</v>
      </c>
      <c r="C99" s="44">
        <v>12033.8</v>
      </c>
      <c r="D99" s="45">
        <v>421.405</v>
      </c>
      <c r="E99" s="45">
        <v>700.113</v>
      </c>
      <c r="F99" s="38">
        <f t="shared" si="1"/>
        <v>13155.318</v>
      </c>
    </row>
    <row r="100" spans="2:6" ht="15.75" hidden="1">
      <c r="B100" s="42" t="s">
        <v>52</v>
      </c>
      <c r="C100" s="44">
        <v>11491.87</v>
      </c>
      <c r="D100" s="45">
        <v>289.43</v>
      </c>
      <c r="E100" s="45">
        <v>795.75</v>
      </c>
      <c r="F100" s="38">
        <f t="shared" si="1"/>
        <v>12577.050000000001</v>
      </c>
    </row>
    <row r="101" spans="2:6" ht="15.75" hidden="1">
      <c r="B101" s="42" t="s">
        <v>53</v>
      </c>
      <c r="C101" s="44">
        <v>12256.226</v>
      </c>
      <c r="D101" s="45">
        <v>284.675</v>
      </c>
      <c r="E101" s="45">
        <v>650.225</v>
      </c>
      <c r="F101" s="38">
        <f t="shared" si="1"/>
        <v>13191.126</v>
      </c>
    </row>
    <row r="102" spans="2:6" ht="15.75" hidden="1">
      <c r="B102" s="42" t="s">
        <v>54</v>
      </c>
      <c r="C102" s="49"/>
      <c r="D102" s="50"/>
      <c r="E102" s="50"/>
      <c r="F102" s="38">
        <f t="shared" si="1"/>
        <v>0</v>
      </c>
    </row>
    <row r="103" spans="2:6" ht="15.75" hidden="1">
      <c r="B103" s="42" t="s">
        <v>55</v>
      </c>
      <c r="C103" s="44"/>
      <c r="D103" s="45"/>
      <c r="E103" s="45"/>
      <c r="F103" s="38">
        <f t="shared" si="1"/>
        <v>0</v>
      </c>
    </row>
    <row r="104" spans="2:7" ht="15.75" hidden="1">
      <c r="B104" s="42" t="s">
        <v>33</v>
      </c>
      <c r="C104" s="44">
        <f>C141+C142+C143+C144</f>
        <v>134375.224</v>
      </c>
      <c r="D104" s="51">
        <f>D141+D142+D143+D144</f>
        <v>10849</v>
      </c>
      <c r="E104" s="51">
        <f>E141+E142+E143+E144</f>
        <v>6290</v>
      </c>
      <c r="F104" s="45">
        <f>F141+F142+F143+F144</f>
        <v>151514.224</v>
      </c>
      <c r="G104" s="2"/>
    </row>
    <row r="105" spans="2:7" ht="15.75" hidden="1">
      <c r="B105" s="42" t="s">
        <v>34</v>
      </c>
      <c r="C105" s="44"/>
      <c r="D105" s="51"/>
      <c r="E105" s="51"/>
      <c r="F105" s="38"/>
      <c r="G105" s="2"/>
    </row>
    <row r="106" spans="2:7" ht="15.75" hidden="1">
      <c r="B106" s="42" t="s">
        <v>35</v>
      </c>
      <c r="C106" s="44"/>
      <c r="D106" s="51"/>
      <c r="E106" s="51"/>
      <c r="F106" s="38"/>
      <c r="G106" s="2"/>
    </row>
    <row r="107" spans="2:7" ht="15.75" hidden="1">
      <c r="B107" s="42" t="s">
        <v>36</v>
      </c>
      <c r="C107" s="44"/>
      <c r="D107" s="51"/>
      <c r="E107" s="51"/>
      <c r="F107" s="38"/>
      <c r="G107" s="2"/>
    </row>
    <row r="108" spans="2:7" ht="15.75" hidden="1">
      <c r="B108" s="42" t="s">
        <v>37</v>
      </c>
      <c r="C108" s="44"/>
      <c r="D108" s="51"/>
      <c r="E108" s="51"/>
      <c r="F108" s="38"/>
      <c r="G108" s="2"/>
    </row>
    <row r="109" spans="2:7" ht="15.75" hidden="1">
      <c r="B109" s="42" t="s">
        <v>38</v>
      </c>
      <c r="C109" s="44">
        <v>35781</v>
      </c>
      <c r="D109" s="51">
        <v>1818</v>
      </c>
      <c r="E109" s="51">
        <v>1906</v>
      </c>
      <c r="F109" s="38">
        <v>39505</v>
      </c>
      <c r="G109" s="2"/>
    </row>
    <row r="110" spans="2:7" ht="15.75" hidden="1">
      <c r="B110" s="42" t="s">
        <v>39</v>
      </c>
      <c r="C110" s="44">
        <v>37266</v>
      </c>
      <c r="D110" s="51">
        <v>2542</v>
      </c>
      <c r="E110" s="51">
        <v>2241</v>
      </c>
      <c r="F110" s="38">
        <v>42049</v>
      </c>
      <c r="G110" s="2"/>
    </row>
    <row r="111" spans="2:7" ht="15.75" hidden="1">
      <c r="B111" s="42" t="s">
        <v>40</v>
      </c>
      <c r="C111" s="44">
        <v>37804.71</v>
      </c>
      <c r="D111" s="51">
        <f>D156+D155+D154</f>
        <v>2906.493</v>
      </c>
      <c r="E111" s="51">
        <v>1394.021</v>
      </c>
      <c r="F111" s="38">
        <v>42106</v>
      </c>
      <c r="G111" s="2"/>
    </row>
    <row r="112" spans="2:7" ht="15.75" hidden="1">
      <c r="B112" s="42" t="s">
        <v>41</v>
      </c>
      <c r="C112" s="44">
        <v>36792.71</v>
      </c>
      <c r="D112" s="51">
        <v>2896.65</v>
      </c>
      <c r="E112" s="51">
        <v>1314.58</v>
      </c>
      <c r="F112" s="38">
        <v>41005</v>
      </c>
      <c r="G112" s="2"/>
    </row>
    <row r="113" spans="2:7" ht="15.75" hidden="1">
      <c r="B113" s="42" t="s">
        <v>42</v>
      </c>
      <c r="C113" s="49"/>
      <c r="D113" s="52"/>
      <c r="E113" s="52"/>
      <c r="F113" s="53"/>
      <c r="G113" s="2"/>
    </row>
    <row r="114" spans="2:7" ht="15.75" hidden="1">
      <c r="B114" s="42" t="s">
        <v>44</v>
      </c>
      <c r="C114" s="44"/>
      <c r="D114" s="51"/>
      <c r="E114" s="51"/>
      <c r="F114" s="38"/>
      <c r="G114" s="2"/>
    </row>
    <row r="115" spans="2:7" ht="15.75" hidden="1">
      <c r="B115" s="42" t="s">
        <v>45</v>
      </c>
      <c r="C115" s="44">
        <v>11313.022</v>
      </c>
      <c r="D115" s="51">
        <v>344.385</v>
      </c>
      <c r="E115" s="51">
        <v>782.502</v>
      </c>
      <c r="F115" s="38">
        <f aca="true" t="shared" si="2" ref="F115:F126">SUM(C115:E115)</f>
        <v>12439.909000000001</v>
      </c>
      <c r="G115" s="2"/>
    </row>
    <row r="116" spans="2:7" ht="15.75" hidden="1">
      <c r="B116" s="42" t="s">
        <v>46</v>
      </c>
      <c r="C116" s="44">
        <v>11380.85</v>
      </c>
      <c r="D116" s="51">
        <v>294.08</v>
      </c>
      <c r="E116" s="51">
        <v>733.3435</v>
      </c>
      <c r="F116" s="38">
        <f t="shared" si="2"/>
        <v>12408.2735</v>
      </c>
      <c r="G116" s="2"/>
    </row>
    <row r="117" spans="2:7" ht="15.75" hidden="1">
      <c r="B117" s="42" t="s">
        <v>47</v>
      </c>
      <c r="C117" s="44">
        <v>12471.795</v>
      </c>
      <c r="D117" s="51">
        <v>233.295</v>
      </c>
      <c r="E117" s="51">
        <v>705.3785</v>
      </c>
      <c r="F117" s="38">
        <f t="shared" si="2"/>
        <v>13410.4685</v>
      </c>
      <c r="G117" s="2"/>
    </row>
    <row r="118" spans="2:7" ht="15.75" hidden="1">
      <c r="B118" s="42" t="s">
        <v>48</v>
      </c>
      <c r="C118" s="44">
        <v>12577</v>
      </c>
      <c r="D118" s="51">
        <v>272</v>
      </c>
      <c r="E118" s="51">
        <v>627</v>
      </c>
      <c r="F118" s="38">
        <f t="shared" si="2"/>
        <v>13476</v>
      </c>
      <c r="G118" s="2"/>
    </row>
    <row r="119" spans="2:7" ht="15.75" hidden="1">
      <c r="B119" s="42" t="s">
        <v>49</v>
      </c>
      <c r="C119" s="44">
        <v>12791</v>
      </c>
      <c r="D119" s="51">
        <v>261</v>
      </c>
      <c r="E119" s="51">
        <v>782</v>
      </c>
      <c r="F119" s="38">
        <f t="shared" si="2"/>
        <v>13834</v>
      </c>
      <c r="G119" s="2"/>
    </row>
    <row r="120" spans="2:7" ht="15.75" hidden="1">
      <c r="B120" s="42" t="s">
        <v>50</v>
      </c>
      <c r="C120" s="44">
        <v>10160</v>
      </c>
      <c r="D120" s="51">
        <v>289</v>
      </c>
      <c r="E120" s="51">
        <v>765</v>
      </c>
      <c r="F120" s="38">
        <f t="shared" si="2"/>
        <v>11214</v>
      </c>
      <c r="G120" s="2"/>
    </row>
    <row r="121" spans="2:7" ht="15.75" hidden="1">
      <c r="B121" s="42" t="s">
        <v>51</v>
      </c>
      <c r="C121" s="44">
        <v>11605.365</v>
      </c>
      <c r="D121" s="51">
        <v>259.535</v>
      </c>
      <c r="E121" s="51">
        <v>683.844</v>
      </c>
      <c r="F121" s="38">
        <f t="shared" si="2"/>
        <v>12548.743999999999</v>
      </c>
      <c r="G121" s="2"/>
    </row>
    <row r="122" spans="2:7" ht="15.75" hidden="1">
      <c r="B122" s="42" t="s">
        <v>52</v>
      </c>
      <c r="C122" s="44">
        <v>12396</v>
      </c>
      <c r="D122" s="51">
        <v>460</v>
      </c>
      <c r="E122" s="51">
        <v>499</v>
      </c>
      <c r="F122" s="38">
        <f t="shared" si="2"/>
        <v>13355</v>
      </c>
      <c r="G122" s="2"/>
    </row>
    <row r="123" spans="2:7" ht="15.75" hidden="1">
      <c r="B123" s="42" t="s">
        <v>53</v>
      </c>
      <c r="C123" s="44">
        <v>12328</v>
      </c>
      <c r="D123" s="51">
        <v>385</v>
      </c>
      <c r="E123" s="51">
        <v>508</v>
      </c>
      <c r="F123" s="38">
        <f t="shared" si="2"/>
        <v>13221</v>
      </c>
      <c r="G123" s="2"/>
    </row>
    <row r="124" spans="2:7" ht="15.75" hidden="1">
      <c r="B124" s="42" t="s">
        <v>54</v>
      </c>
      <c r="C124" s="44">
        <v>10634</v>
      </c>
      <c r="D124" s="51">
        <v>284</v>
      </c>
      <c r="E124" s="51">
        <v>637</v>
      </c>
      <c r="F124" s="38">
        <f t="shared" si="2"/>
        <v>11555</v>
      </c>
      <c r="G124" s="2"/>
    </row>
    <row r="125" spans="2:7" ht="15.75" hidden="1">
      <c r="B125" s="42" t="s">
        <v>55</v>
      </c>
      <c r="C125" s="44">
        <v>12546</v>
      </c>
      <c r="D125" s="51">
        <v>255</v>
      </c>
      <c r="E125" s="51">
        <v>429</v>
      </c>
      <c r="F125" s="38">
        <f t="shared" si="2"/>
        <v>13230</v>
      </c>
      <c r="G125" s="2"/>
    </row>
    <row r="126" spans="2:7" ht="15.75" hidden="1">
      <c r="B126" s="42" t="s">
        <v>57</v>
      </c>
      <c r="C126" s="44">
        <v>12975</v>
      </c>
      <c r="D126" s="51">
        <v>255</v>
      </c>
      <c r="E126" s="51">
        <v>606</v>
      </c>
      <c r="F126" s="38">
        <f t="shared" si="2"/>
        <v>13836</v>
      </c>
      <c r="G126" s="2"/>
    </row>
    <row r="127" spans="2:7" ht="15.75" hidden="1">
      <c r="B127" s="42" t="s">
        <v>58</v>
      </c>
      <c r="C127" s="49"/>
      <c r="D127" s="52"/>
      <c r="E127" s="52"/>
      <c r="F127" s="38"/>
      <c r="G127" s="2"/>
    </row>
    <row r="128" spans="2:7" ht="15.75" hidden="1">
      <c r="B128" s="42" t="s">
        <v>34</v>
      </c>
      <c r="C128" s="44">
        <v>170220.432</v>
      </c>
      <c r="D128" s="51">
        <v>14721.073</v>
      </c>
      <c r="E128" s="45">
        <v>7677.315999999999</v>
      </c>
      <c r="F128" s="43">
        <v>192618</v>
      </c>
      <c r="G128" s="2"/>
    </row>
    <row r="129" spans="2:7" ht="15.75" hidden="1">
      <c r="B129" s="39"/>
      <c r="C129" s="54"/>
      <c r="D129" s="19"/>
      <c r="E129" s="19"/>
      <c r="F129" s="30"/>
      <c r="G129" s="2"/>
    </row>
    <row r="130" spans="2:6" ht="15.75" hidden="1">
      <c r="B130" s="42"/>
      <c r="C130" s="49"/>
      <c r="D130" s="50"/>
      <c r="E130" s="50"/>
      <c r="F130" s="38"/>
    </row>
    <row r="131" spans="2:6" ht="15.75" hidden="1">
      <c r="B131" s="42" t="s">
        <v>32</v>
      </c>
      <c r="C131" s="49"/>
      <c r="D131" s="50"/>
      <c r="E131" s="50"/>
      <c r="F131" s="38"/>
    </row>
    <row r="132" spans="2:6" ht="15.75" hidden="1">
      <c r="B132" s="39" t="s">
        <v>8</v>
      </c>
      <c r="C132" s="44">
        <v>38817.74</v>
      </c>
      <c r="D132" s="45">
        <v>3261.04</v>
      </c>
      <c r="E132" s="45">
        <v>1561.13</v>
      </c>
      <c r="F132" s="38">
        <v>43639.91</v>
      </c>
    </row>
    <row r="133" spans="2:6" ht="15.75" hidden="1">
      <c r="B133" s="39" t="s">
        <v>26</v>
      </c>
      <c r="C133" s="44">
        <v>40001.925</v>
      </c>
      <c r="D133" s="45">
        <v>3062.712</v>
      </c>
      <c r="E133" s="45">
        <v>1798.394</v>
      </c>
      <c r="F133" s="38">
        <v>44863.031</v>
      </c>
    </row>
    <row r="134" spans="2:6" ht="15.75" hidden="1">
      <c r="B134" s="39" t="s">
        <v>10</v>
      </c>
      <c r="C134" s="44">
        <f>C199+C200+C201</f>
        <v>30637.224000000002</v>
      </c>
      <c r="D134" s="45">
        <v>2488.76</v>
      </c>
      <c r="E134" s="45">
        <v>1431.64</v>
      </c>
      <c r="F134" s="38">
        <f>C134+D134+E134</f>
        <v>34557.624</v>
      </c>
    </row>
    <row r="135" spans="2:6" ht="15.75" hidden="1">
      <c r="B135" s="39" t="s">
        <v>12</v>
      </c>
      <c r="C135" s="44">
        <v>37310.82</v>
      </c>
      <c r="D135" s="45">
        <v>2638</v>
      </c>
      <c r="E135" s="45">
        <v>1308.06</v>
      </c>
      <c r="F135" s="38">
        <f>C135+D135+E135</f>
        <v>41256.88</v>
      </c>
    </row>
    <row r="136" spans="2:6" ht="15.75" hidden="1">
      <c r="B136" s="42" t="s">
        <v>35</v>
      </c>
      <c r="C136" s="55">
        <v>183923.3</v>
      </c>
      <c r="D136" s="44">
        <v>12667.8</v>
      </c>
      <c r="E136" s="45">
        <v>9837.2</v>
      </c>
      <c r="F136" s="38">
        <v>206428.994</v>
      </c>
    </row>
    <row r="137" spans="2:6" ht="15.75" hidden="1">
      <c r="B137" s="39"/>
      <c r="C137" s="55"/>
      <c r="D137" s="44"/>
      <c r="E137" s="45"/>
      <c r="F137" s="38"/>
    </row>
    <row r="138" spans="2:6" ht="15.75" hidden="1">
      <c r="B138" s="42" t="s">
        <v>36</v>
      </c>
      <c r="C138" s="55">
        <f>SUM(C263:C274)</f>
        <v>176664.441</v>
      </c>
      <c r="D138" s="45">
        <f>SUM(D263:D274)</f>
        <v>16703.727000000003</v>
      </c>
      <c r="E138" s="45">
        <f>SUM(E263:E274)</f>
        <v>13332.731</v>
      </c>
      <c r="F138" s="45">
        <f>SUM(F263:F274)</f>
        <v>206700.89899999998</v>
      </c>
    </row>
    <row r="139" spans="2:6" ht="15.75" hidden="1">
      <c r="B139" s="42">
        <v>2009</v>
      </c>
      <c r="C139" s="55"/>
      <c r="D139" s="56"/>
      <c r="E139" s="45"/>
      <c r="F139" s="38"/>
    </row>
    <row r="140" spans="2:6" ht="15.75" hidden="1">
      <c r="B140" s="42">
        <v>2009</v>
      </c>
      <c r="C140" s="55"/>
      <c r="D140" s="56"/>
      <c r="E140" s="45"/>
      <c r="F140" s="38"/>
    </row>
    <row r="141" spans="2:6" ht="15.75" hidden="1">
      <c r="B141" s="42">
        <v>2009</v>
      </c>
      <c r="C141" s="55">
        <v>33657</v>
      </c>
      <c r="D141" s="56">
        <v>2361</v>
      </c>
      <c r="E141" s="45">
        <v>1150</v>
      </c>
      <c r="F141" s="38">
        <f>C141+D141+E141</f>
        <v>37168</v>
      </c>
    </row>
    <row r="142" spans="2:6" ht="15.75" hidden="1">
      <c r="B142" s="42">
        <v>2009</v>
      </c>
      <c r="C142" s="55">
        <v>34693</v>
      </c>
      <c r="D142" s="56">
        <v>2485</v>
      </c>
      <c r="E142" s="45">
        <v>1693</v>
      </c>
      <c r="F142" s="43">
        <f>C142+D142+E142</f>
        <v>38871</v>
      </c>
    </row>
    <row r="143" spans="2:6" ht="15.75" hidden="1">
      <c r="B143" s="42">
        <v>2009</v>
      </c>
      <c r="C143" s="44">
        <f>C199+C200+C201</f>
        <v>30637.224000000002</v>
      </c>
      <c r="D143" s="45">
        <v>2783</v>
      </c>
      <c r="E143" s="45">
        <v>1501</v>
      </c>
      <c r="F143" s="43">
        <f>C143+D143+E143</f>
        <v>34921.224</v>
      </c>
    </row>
    <row r="144" spans="2:6" ht="15.75" hidden="1">
      <c r="B144" s="42">
        <v>2009</v>
      </c>
      <c r="C144" s="55">
        <v>35388</v>
      </c>
      <c r="D144" s="56">
        <v>3220</v>
      </c>
      <c r="E144" s="45">
        <v>1946</v>
      </c>
      <c r="F144" s="43">
        <f>C144+D144+E144</f>
        <v>40554</v>
      </c>
    </row>
    <row r="145" spans="2:6" ht="15.75" hidden="1">
      <c r="B145" s="42" t="s">
        <v>37</v>
      </c>
      <c r="C145" s="45">
        <f>SUM(C277:C288)</f>
        <v>208229.43169999996</v>
      </c>
      <c r="D145" s="45">
        <f>SUM(D277:D288)</f>
        <v>14670.622000000001</v>
      </c>
      <c r="E145" s="45">
        <f>SUM(E277:E288)</f>
        <v>15350.46801</v>
      </c>
      <c r="F145" s="45">
        <f>SUM(F277:F288)</f>
        <v>238250.52170999997</v>
      </c>
    </row>
    <row r="146" spans="2:6" ht="15.75" hidden="1">
      <c r="B146" s="42"/>
      <c r="C146" s="44"/>
      <c r="D146" s="45"/>
      <c r="E146" s="45"/>
      <c r="F146" s="43"/>
    </row>
    <row r="147" spans="2:6" ht="15.75" hidden="1">
      <c r="B147" s="42" t="s">
        <v>22</v>
      </c>
      <c r="C147" s="44">
        <v>12632</v>
      </c>
      <c r="D147" s="45">
        <v>225</v>
      </c>
      <c r="E147" s="45">
        <v>623</v>
      </c>
      <c r="F147" s="43">
        <f aca="true" t="shared" si="3" ref="F147:F159">SUM(C147:E147)</f>
        <v>13480</v>
      </c>
    </row>
    <row r="148" spans="2:6" ht="15.75" hidden="1">
      <c r="B148" s="42" t="s">
        <v>23</v>
      </c>
      <c r="C148" s="44">
        <v>11490</v>
      </c>
      <c r="D148" s="45">
        <v>765.408</v>
      </c>
      <c r="E148" s="45">
        <v>626.865</v>
      </c>
      <c r="F148" s="43">
        <f t="shared" si="3"/>
        <v>12882.273</v>
      </c>
    </row>
    <row r="149" spans="2:6" ht="15.75" hidden="1">
      <c r="B149" s="42" t="s">
        <v>24</v>
      </c>
      <c r="C149" s="44">
        <v>11659</v>
      </c>
      <c r="D149" s="45">
        <v>827.782</v>
      </c>
      <c r="E149" s="45">
        <v>656</v>
      </c>
      <c r="F149" s="43">
        <f t="shared" si="3"/>
        <v>13142.782</v>
      </c>
    </row>
    <row r="150" spans="2:6" ht="15.75" hidden="1">
      <c r="B150" s="42" t="s">
        <v>14</v>
      </c>
      <c r="C150" s="44">
        <v>12309.69</v>
      </c>
      <c r="D150" s="45">
        <v>810.093</v>
      </c>
      <c r="E150" s="45">
        <v>757.352</v>
      </c>
      <c r="F150" s="43">
        <f t="shared" si="3"/>
        <v>13877.135000000002</v>
      </c>
    </row>
    <row r="151" spans="2:6" ht="15.75" hidden="1">
      <c r="B151" s="42" t="s">
        <v>31</v>
      </c>
      <c r="C151" s="44"/>
      <c r="D151" s="45"/>
      <c r="E151" s="45"/>
      <c r="F151" s="43"/>
    </row>
    <row r="152" spans="2:6" ht="15.75" hidden="1">
      <c r="B152" s="42" t="s">
        <v>15</v>
      </c>
      <c r="C152" s="44">
        <v>12590</v>
      </c>
      <c r="D152" s="45">
        <v>835.814</v>
      </c>
      <c r="E152" s="45">
        <v>786.022</v>
      </c>
      <c r="F152" s="43">
        <f t="shared" si="3"/>
        <v>14211.836000000001</v>
      </c>
    </row>
    <row r="153" spans="2:9" ht="15.75" hidden="1">
      <c r="B153" s="42" t="s">
        <v>25</v>
      </c>
      <c r="C153" s="44">
        <v>12365.772</v>
      </c>
      <c r="D153" s="45">
        <v>895.691</v>
      </c>
      <c r="E153" s="45">
        <v>697.368</v>
      </c>
      <c r="F153" s="43">
        <f t="shared" si="3"/>
        <v>13958.831000000002</v>
      </c>
      <c r="H153" s="111"/>
      <c r="I153" s="8"/>
    </row>
    <row r="154" spans="2:9" ht="15.75" hidden="1">
      <c r="B154" s="42" t="s">
        <v>16</v>
      </c>
      <c r="C154" s="44">
        <v>12552</v>
      </c>
      <c r="D154" s="45">
        <v>1007.625</v>
      </c>
      <c r="E154" s="45">
        <v>491.017</v>
      </c>
      <c r="F154" s="43">
        <f t="shared" si="3"/>
        <v>14050.642</v>
      </c>
      <c r="H154" s="111"/>
      <c r="I154" s="8"/>
    </row>
    <row r="155" spans="2:9" ht="15.75" hidden="1">
      <c r="B155" s="42" t="s">
        <v>17</v>
      </c>
      <c r="C155" s="44">
        <v>12347.122</v>
      </c>
      <c r="D155" s="45">
        <v>954.42</v>
      </c>
      <c r="E155" s="45">
        <v>466</v>
      </c>
      <c r="F155" s="43">
        <f t="shared" si="3"/>
        <v>13767.542</v>
      </c>
      <c r="H155" s="111"/>
      <c r="I155" s="8"/>
    </row>
    <row r="156" spans="2:9" ht="15.75" hidden="1">
      <c r="B156" s="42" t="s">
        <v>18</v>
      </c>
      <c r="C156" s="55">
        <v>12905.584</v>
      </c>
      <c r="D156" s="56">
        <f>827.782+116.666</f>
        <v>944.4480000000001</v>
      </c>
      <c r="E156" s="45">
        <v>437</v>
      </c>
      <c r="F156" s="43">
        <f t="shared" si="3"/>
        <v>14287.032000000001</v>
      </c>
      <c r="H156" s="111"/>
      <c r="I156" s="8"/>
    </row>
    <row r="157" spans="2:9" ht="15.75" hidden="1">
      <c r="B157" s="42" t="s">
        <v>30</v>
      </c>
      <c r="C157" s="55">
        <v>12149.788</v>
      </c>
      <c r="D157" s="56">
        <v>880.801</v>
      </c>
      <c r="E157" s="45">
        <f>286.987+76.5975+25.44+1.008+4</f>
        <v>394.0325</v>
      </c>
      <c r="F157" s="43">
        <f t="shared" si="3"/>
        <v>13424.6215</v>
      </c>
      <c r="H157" s="111"/>
      <c r="I157" s="8"/>
    </row>
    <row r="158" spans="2:9" ht="15.75" hidden="1">
      <c r="B158" s="42" t="s">
        <v>20</v>
      </c>
      <c r="C158" s="55">
        <v>11953.56</v>
      </c>
      <c r="D158" s="56">
        <v>941.259</v>
      </c>
      <c r="E158" s="45">
        <v>470.302</v>
      </c>
      <c r="F158" s="43">
        <f t="shared" si="3"/>
        <v>13365.121</v>
      </c>
      <c r="H158" s="111"/>
      <c r="I158" s="8"/>
    </row>
    <row r="159" spans="2:9" ht="15.75" hidden="1">
      <c r="B159" s="42" t="s">
        <v>21</v>
      </c>
      <c r="C159" s="55">
        <v>12689.358</v>
      </c>
      <c r="D159" s="56">
        <v>1074.586</v>
      </c>
      <c r="E159" s="45">
        <v>450.241</v>
      </c>
      <c r="F159" s="43">
        <f t="shared" si="3"/>
        <v>14214.185</v>
      </c>
      <c r="H159" s="111"/>
      <c r="I159" s="8"/>
    </row>
    <row r="160" spans="2:9" ht="15.75" hidden="1">
      <c r="B160" s="42"/>
      <c r="C160" s="55"/>
      <c r="D160" s="56"/>
      <c r="E160" s="45"/>
      <c r="F160" s="43"/>
      <c r="H160" s="111"/>
      <c r="I160" s="8"/>
    </row>
    <row r="161" spans="2:9" ht="15.75" hidden="1">
      <c r="B161" s="42" t="s">
        <v>34</v>
      </c>
      <c r="C161" s="55"/>
      <c r="D161" s="56"/>
      <c r="E161" s="45"/>
      <c r="F161" s="43"/>
      <c r="H161" s="111"/>
      <c r="I161" s="8"/>
    </row>
    <row r="162" spans="2:9" ht="15.75" hidden="1">
      <c r="B162" s="42" t="s">
        <v>8</v>
      </c>
      <c r="C162" s="55">
        <v>41616.963</v>
      </c>
      <c r="D162" s="56">
        <v>3866.415</v>
      </c>
      <c r="E162" s="45">
        <v>1615.4607999999998</v>
      </c>
      <c r="F162" s="43">
        <v>47098</v>
      </c>
      <c r="H162" s="111"/>
      <c r="I162" s="8"/>
    </row>
    <row r="163" spans="2:9" ht="15.75" hidden="1">
      <c r="B163" s="42" t="s">
        <v>26</v>
      </c>
      <c r="C163" s="55">
        <v>42091</v>
      </c>
      <c r="D163" s="56">
        <v>3457</v>
      </c>
      <c r="E163" s="45">
        <v>2149.7942</v>
      </c>
      <c r="F163" s="43">
        <v>47698</v>
      </c>
      <c r="H163" s="111"/>
      <c r="I163" s="8"/>
    </row>
    <row r="164" spans="2:9" ht="15.75" hidden="1">
      <c r="B164" s="42" t="s">
        <v>10</v>
      </c>
      <c r="C164" s="55">
        <v>43510.679</v>
      </c>
      <c r="D164" s="56">
        <v>3440.054</v>
      </c>
      <c r="E164" s="45">
        <v>1983.33</v>
      </c>
      <c r="F164" s="43">
        <v>48934</v>
      </c>
      <c r="H164" s="111"/>
      <c r="I164" s="8"/>
    </row>
    <row r="165" spans="2:9" ht="15.75" hidden="1">
      <c r="B165" s="42" t="s">
        <v>12</v>
      </c>
      <c r="C165" s="55">
        <v>43001.367</v>
      </c>
      <c r="D165" s="56">
        <v>3958.341</v>
      </c>
      <c r="E165" s="45">
        <v>1928.731</v>
      </c>
      <c r="F165" s="43">
        <v>48888</v>
      </c>
      <c r="H165" s="111"/>
      <c r="I165" s="8"/>
    </row>
    <row r="166" spans="2:9" ht="15.75" hidden="1">
      <c r="B166" s="42"/>
      <c r="C166" s="57"/>
      <c r="D166" s="58"/>
      <c r="E166" s="50"/>
      <c r="F166" s="43"/>
      <c r="H166" s="111"/>
      <c r="I166" s="8"/>
    </row>
    <row r="167" spans="2:9" ht="15.75" hidden="1">
      <c r="B167" s="42"/>
      <c r="C167" s="59"/>
      <c r="D167" s="59"/>
      <c r="E167" s="59"/>
      <c r="F167" s="23"/>
      <c r="H167" s="111"/>
      <c r="I167" s="8"/>
    </row>
    <row r="168" spans="2:9" ht="15.75" hidden="1">
      <c r="B168" s="42"/>
      <c r="C168" s="59"/>
      <c r="D168" s="59"/>
      <c r="E168" s="59"/>
      <c r="F168" s="23"/>
      <c r="H168" s="111"/>
      <c r="I168" s="8"/>
    </row>
    <row r="169" spans="2:9" ht="15.75" hidden="1">
      <c r="B169" s="42"/>
      <c r="C169" s="57"/>
      <c r="D169" s="58"/>
      <c r="E169" s="50"/>
      <c r="F169" s="43"/>
      <c r="H169" s="111"/>
      <c r="I169" s="8"/>
    </row>
    <row r="170" spans="2:9" ht="15.75" hidden="1">
      <c r="B170" s="42"/>
      <c r="C170" s="55"/>
      <c r="D170" s="56"/>
      <c r="E170" s="45"/>
      <c r="F170" s="43"/>
      <c r="H170" s="111"/>
      <c r="I170" s="8"/>
    </row>
    <row r="171" spans="2:9" ht="15.75" hidden="1">
      <c r="B171" s="42" t="s">
        <v>32</v>
      </c>
      <c r="C171" s="55"/>
      <c r="D171" s="56"/>
      <c r="E171" s="45"/>
      <c r="F171" s="43"/>
      <c r="H171" s="111"/>
      <c r="I171" s="8"/>
    </row>
    <row r="172" spans="2:9" ht="15.75" hidden="1">
      <c r="B172" s="42" t="s">
        <v>22</v>
      </c>
      <c r="C172" s="55">
        <v>12783.158</v>
      </c>
      <c r="D172" s="56">
        <v>1086.534</v>
      </c>
      <c r="E172" s="45">
        <v>531.207</v>
      </c>
      <c r="F172" s="43">
        <f aca="true" t="shared" si="4" ref="F172:F183">SUM(C172:E172)</f>
        <v>14400.899</v>
      </c>
      <c r="G172" s="109">
        <v>35387</v>
      </c>
      <c r="H172" s="111"/>
      <c r="I172" s="8"/>
    </row>
    <row r="173" spans="2:9" ht="15.75" hidden="1">
      <c r="B173" s="42" t="s">
        <v>23</v>
      </c>
      <c r="C173" s="55">
        <v>12331.926</v>
      </c>
      <c r="D173" s="56">
        <v>1041.985</v>
      </c>
      <c r="E173" s="45">
        <v>547.5985</v>
      </c>
      <c r="F173" s="43">
        <f t="shared" si="4"/>
        <v>13921.5095</v>
      </c>
      <c r="H173" s="111"/>
      <c r="I173" s="8"/>
    </row>
    <row r="174" spans="2:9" ht="15.75" hidden="1">
      <c r="B174" s="42" t="s">
        <v>24</v>
      </c>
      <c r="C174" s="55">
        <v>13702.659</v>
      </c>
      <c r="D174" s="56">
        <v>1132.525</v>
      </c>
      <c r="E174" s="45">
        <v>482.3265</v>
      </c>
      <c r="F174" s="43">
        <f t="shared" si="4"/>
        <v>15317.510499999999</v>
      </c>
      <c r="H174" s="111"/>
      <c r="I174" s="8"/>
    </row>
    <row r="175" spans="2:9" ht="15.75" hidden="1">
      <c r="B175" s="42" t="s">
        <v>14</v>
      </c>
      <c r="C175" s="55">
        <v>13030</v>
      </c>
      <c r="D175" s="56">
        <v>988</v>
      </c>
      <c r="E175" s="45">
        <v>567</v>
      </c>
      <c r="F175" s="43">
        <f t="shared" si="4"/>
        <v>14585</v>
      </c>
      <c r="H175" s="111"/>
      <c r="I175" s="8"/>
    </row>
    <row r="176" spans="2:9" ht="15.75" hidden="1">
      <c r="B176" s="42" t="s">
        <v>15</v>
      </c>
      <c r="C176" s="55">
        <v>13604.001</v>
      </c>
      <c r="D176" s="56">
        <v>1010.756</v>
      </c>
      <c r="E176" s="45">
        <v>647.408</v>
      </c>
      <c r="F176" s="43">
        <f t="shared" si="4"/>
        <v>15262.164999999999</v>
      </c>
      <c r="H176" s="111"/>
      <c r="I176" s="8"/>
    </row>
    <row r="177" spans="2:9" ht="15.75" hidden="1">
      <c r="B177" s="42" t="s">
        <v>25</v>
      </c>
      <c r="C177" s="55">
        <v>13367.924</v>
      </c>
      <c r="D177" s="56">
        <v>1063.956</v>
      </c>
      <c r="E177" s="45">
        <v>583.986</v>
      </c>
      <c r="F177" s="43">
        <f t="shared" si="4"/>
        <v>15015.866000000002</v>
      </c>
      <c r="H177" s="111"/>
      <c r="I177" s="8"/>
    </row>
    <row r="178" spans="2:9" ht="15.75" hidden="1">
      <c r="B178" s="42" t="s">
        <v>16</v>
      </c>
      <c r="C178" s="55">
        <v>12993.768</v>
      </c>
      <c r="D178" s="56">
        <v>981.792</v>
      </c>
      <c r="E178" s="45">
        <v>447.507</v>
      </c>
      <c r="F178" s="43">
        <f t="shared" si="4"/>
        <v>14423.067</v>
      </c>
      <c r="G178" s="9"/>
      <c r="H178" s="111"/>
      <c r="I178" s="8"/>
    </row>
    <row r="179" spans="2:9" ht="15.75" hidden="1">
      <c r="B179" s="42" t="s">
        <v>17</v>
      </c>
      <c r="C179" s="55">
        <v>12557.764</v>
      </c>
      <c r="D179" s="56">
        <v>863.713</v>
      </c>
      <c r="E179" s="45">
        <v>495.9075</v>
      </c>
      <c r="F179" s="43">
        <f t="shared" si="4"/>
        <v>13917.384499999998</v>
      </c>
      <c r="G179" s="8"/>
      <c r="H179" s="111"/>
      <c r="I179" s="8"/>
    </row>
    <row r="180" spans="2:9" ht="15.75" hidden="1">
      <c r="B180" s="42" t="s">
        <v>18</v>
      </c>
      <c r="C180" s="55">
        <v>11631</v>
      </c>
      <c r="D180" s="56">
        <v>643.255</v>
      </c>
      <c r="E180" s="45">
        <v>488.221</v>
      </c>
      <c r="F180" s="43">
        <f t="shared" si="4"/>
        <v>12762.475999999999</v>
      </c>
      <c r="H180" s="111"/>
      <c r="I180" s="8"/>
    </row>
    <row r="181" spans="2:9" ht="15.75" hidden="1">
      <c r="B181" s="42" t="s">
        <v>30</v>
      </c>
      <c r="C181" s="55">
        <v>12807.823</v>
      </c>
      <c r="D181" s="56">
        <v>789.398</v>
      </c>
      <c r="E181" s="45">
        <v>533.6375</v>
      </c>
      <c r="F181" s="43">
        <f t="shared" si="4"/>
        <v>14130.8585</v>
      </c>
      <c r="H181" s="111"/>
      <c r="I181" s="8"/>
    </row>
    <row r="182" spans="2:9" ht="15.75" hidden="1">
      <c r="B182" s="42" t="s">
        <v>20</v>
      </c>
      <c r="C182" s="44">
        <v>12272.997</v>
      </c>
      <c r="D182" s="45">
        <v>800.993</v>
      </c>
      <c r="E182" s="45">
        <v>408.061</v>
      </c>
      <c r="F182" s="43">
        <f t="shared" si="4"/>
        <v>13482.051</v>
      </c>
      <c r="G182" s="9"/>
      <c r="H182" s="111"/>
      <c r="I182" s="8"/>
    </row>
    <row r="183" spans="2:9" ht="15.75" hidden="1">
      <c r="B183" s="42" t="s">
        <v>21</v>
      </c>
      <c r="C183" s="44">
        <v>12230</v>
      </c>
      <c r="D183" s="45">
        <v>1048</v>
      </c>
      <c r="E183" s="45">
        <v>366</v>
      </c>
      <c r="F183" s="43">
        <f t="shared" si="4"/>
        <v>13644</v>
      </c>
      <c r="G183" s="9"/>
      <c r="H183" s="111"/>
      <c r="I183" s="8"/>
    </row>
    <row r="184" spans="2:9" ht="15.75" hidden="1">
      <c r="B184" s="42" t="s">
        <v>38</v>
      </c>
      <c r="C184" s="45">
        <f>C251+C252+C253+C254</f>
        <v>210501.729</v>
      </c>
      <c r="D184" s="45">
        <f>D251+D252+D253+D254</f>
        <v>15150.1476</v>
      </c>
      <c r="E184" s="45">
        <f>E251+E252+E253+E254</f>
        <v>18653.520812000002</v>
      </c>
      <c r="F184" s="45">
        <f>F251+F252+F253+F254</f>
        <v>244305.397412</v>
      </c>
      <c r="G184" s="9"/>
      <c r="H184" s="111"/>
      <c r="I184" s="8"/>
    </row>
    <row r="185" spans="2:9" ht="15.75" hidden="1">
      <c r="B185" s="42" t="s">
        <v>35</v>
      </c>
      <c r="C185" s="44"/>
      <c r="D185" s="45"/>
      <c r="E185" s="45"/>
      <c r="F185" s="43"/>
      <c r="G185" s="9"/>
      <c r="H185" s="111"/>
      <c r="I185" s="8"/>
    </row>
    <row r="186" spans="2:9" ht="15.75" hidden="1">
      <c r="B186" s="39" t="s">
        <v>8</v>
      </c>
      <c r="C186" s="44">
        <v>42173</v>
      </c>
      <c r="D186" s="45">
        <v>3639.771</v>
      </c>
      <c r="E186" s="45">
        <v>2662.827</v>
      </c>
      <c r="F186" s="43">
        <v>48476.26</v>
      </c>
      <c r="G186" s="9"/>
      <c r="H186" s="111"/>
      <c r="I186" s="8"/>
    </row>
    <row r="187" spans="2:9" ht="15.75" hidden="1">
      <c r="B187" s="39" t="s">
        <v>26</v>
      </c>
      <c r="C187" s="44">
        <v>46114.319</v>
      </c>
      <c r="D187" s="45">
        <v>2858.62</v>
      </c>
      <c r="E187" s="45">
        <v>2666</v>
      </c>
      <c r="F187" s="43">
        <v>51639</v>
      </c>
      <c r="G187" s="9"/>
      <c r="H187" s="111"/>
      <c r="I187" s="8"/>
    </row>
    <row r="188" spans="2:9" ht="15.75" hidden="1">
      <c r="B188" s="39" t="s">
        <v>10</v>
      </c>
      <c r="C188" s="44">
        <v>47632.242</v>
      </c>
      <c r="D188" s="45">
        <v>3423.505</v>
      </c>
      <c r="E188" s="45">
        <v>2121.105</v>
      </c>
      <c r="F188" s="60">
        <v>53176.852</v>
      </c>
      <c r="G188" s="9"/>
      <c r="H188" s="111"/>
      <c r="I188" s="8"/>
    </row>
    <row r="189" spans="2:9" ht="15.75" hidden="1">
      <c r="B189" s="39" t="s">
        <v>12</v>
      </c>
      <c r="C189" s="44">
        <v>48003.779</v>
      </c>
      <c r="D189" s="45">
        <v>2745.8540000000003</v>
      </c>
      <c r="E189" s="45">
        <v>2387.2490000000003</v>
      </c>
      <c r="F189" s="61">
        <v>53136.882</v>
      </c>
      <c r="G189" s="9"/>
      <c r="H189" s="111"/>
      <c r="I189" s="8"/>
    </row>
    <row r="190" spans="2:9" ht="15.75" hidden="1">
      <c r="B190" s="39"/>
      <c r="C190" s="44"/>
      <c r="D190" s="45"/>
      <c r="E190" s="45"/>
      <c r="F190" s="43"/>
      <c r="H190" s="111"/>
      <c r="I190" s="8"/>
    </row>
    <row r="191" spans="2:9" ht="15.75" hidden="1">
      <c r="B191" s="42"/>
      <c r="C191" s="44"/>
      <c r="D191" s="45"/>
      <c r="E191" s="45"/>
      <c r="F191" s="43"/>
      <c r="H191" s="111"/>
      <c r="I191" s="8"/>
    </row>
    <row r="192" spans="2:9" ht="15.75" hidden="1">
      <c r="B192" s="42" t="s">
        <v>33</v>
      </c>
      <c r="C192" s="59"/>
      <c r="D192" s="45"/>
      <c r="E192" s="45"/>
      <c r="F192" s="43"/>
      <c r="H192" s="111"/>
      <c r="I192" s="8"/>
    </row>
    <row r="193" spans="2:9" ht="15.75" hidden="1">
      <c r="B193" s="39" t="s">
        <v>22</v>
      </c>
      <c r="C193" s="44">
        <v>11409.619</v>
      </c>
      <c r="D193" s="45">
        <v>740.182</v>
      </c>
      <c r="E193" s="45">
        <v>377.052</v>
      </c>
      <c r="F193" s="43">
        <f aca="true" t="shared" si="5" ref="F193:F204">SUM(C193:E193)</f>
        <v>12526.853000000001</v>
      </c>
      <c r="G193" s="9"/>
      <c r="H193" s="111"/>
      <c r="I193" s="8"/>
    </row>
    <row r="194" spans="2:9" ht="15.75" hidden="1">
      <c r="B194" s="39" t="s">
        <v>23</v>
      </c>
      <c r="C194" s="44">
        <v>10333.199</v>
      </c>
      <c r="D194" s="45">
        <v>752.836</v>
      </c>
      <c r="E194" s="45">
        <v>360.815</v>
      </c>
      <c r="F194" s="43">
        <f t="shared" si="5"/>
        <v>11446.85</v>
      </c>
      <c r="H194" s="111"/>
      <c r="I194" s="8"/>
    </row>
    <row r="195" spans="2:9" ht="15.75" hidden="1">
      <c r="B195" s="39" t="s">
        <v>24</v>
      </c>
      <c r="C195" s="44">
        <v>11914.181</v>
      </c>
      <c r="D195" s="45">
        <v>868.255</v>
      </c>
      <c r="E195" s="45">
        <v>411.648</v>
      </c>
      <c r="F195" s="43">
        <f t="shared" si="5"/>
        <v>13194.083999999999</v>
      </c>
      <c r="G195" s="9"/>
      <c r="H195" s="111"/>
      <c r="I195" s="8"/>
    </row>
    <row r="196" spans="2:9" ht="15.75" hidden="1">
      <c r="B196" s="39" t="s">
        <v>14</v>
      </c>
      <c r="C196" s="44">
        <v>11435.1</v>
      </c>
      <c r="D196" s="45">
        <v>879.27</v>
      </c>
      <c r="E196" s="45">
        <v>489.535</v>
      </c>
      <c r="F196" s="43">
        <f t="shared" si="5"/>
        <v>12803.905</v>
      </c>
      <c r="H196" s="111"/>
      <c r="I196" s="8"/>
    </row>
    <row r="197" spans="2:9" ht="15.75" hidden="1">
      <c r="B197" s="39" t="s">
        <v>15</v>
      </c>
      <c r="C197" s="44">
        <v>12463</v>
      </c>
      <c r="D197" s="45">
        <v>803</v>
      </c>
      <c r="E197" s="45">
        <v>588</v>
      </c>
      <c r="F197" s="43">
        <f t="shared" si="5"/>
        <v>13854</v>
      </c>
      <c r="H197" s="111"/>
      <c r="I197" s="8"/>
    </row>
    <row r="198" spans="2:9" ht="15.75" hidden="1">
      <c r="B198" s="39" t="s">
        <v>25</v>
      </c>
      <c r="C198" s="44">
        <v>10795</v>
      </c>
      <c r="D198" s="45">
        <v>803</v>
      </c>
      <c r="E198" s="45">
        <v>615</v>
      </c>
      <c r="F198" s="43">
        <f t="shared" si="5"/>
        <v>12213</v>
      </c>
      <c r="H198" s="111"/>
      <c r="I198" s="8"/>
    </row>
    <row r="199" spans="2:9" ht="15.75" hidden="1">
      <c r="B199" s="39" t="s">
        <v>16</v>
      </c>
      <c r="C199" s="44">
        <v>10493</v>
      </c>
      <c r="D199" s="45">
        <v>901</v>
      </c>
      <c r="E199" s="45">
        <v>526</v>
      </c>
      <c r="F199" s="43">
        <f t="shared" si="5"/>
        <v>11920</v>
      </c>
      <c r="G199" s="8"/>
      <c r="H199" s="111"/>
      <c r="I199" s="8"/>
    </row>
    <row r="200" spans="2:9" ht="15.75" hidden="1">
      <c r="B200" s="39" t="s">
        <v>17</v>
      </c>
      <c r="C200" s="44">
        <v>10263.554</v>
      </c>
      <c r="D200" s="45">
        <v>970.071</v>
      </c>
      <c r="E200" s="45">
        <v>477.972</v>
      </c>
      <c r="F200" s="43">
        <f t="shared" si="5"/>
        <v>11711.597</v>
      </c>
      <c r="G200" s="8"/>
      <c r="H200" s="111"/>
      <c r="I200" s="8"/>
    </row>
    <row r="201" spans="2:9" ht="15.75" hidden="1">
      <c r="B201" s="39" t="s">
        <v>18</v>
      </c>
      <c r="C201" s="44">
        <v>9880.67</v>
      </c>
      <c r="D201" s="45">
        <v>912</v>
      </c>
      <c r="E201" s="45">
        <v>497</v>
      </c>
      <c r="F201" s="43">
        <f t="shared" si="5"/>
        <v>11289.67</v>
      </c>
      <c r="H201" s="111"/>
      <c r="I201" s="8"/>
    </row>
    <row r="202" spans="2:9" ht="15.75" hidden="1">
      <c r="B202" s="39" t="s">
        <v>30</v>
      </c>
      <c r="C202" s="44">
        <v>10176.879</v>
      </c>
      <c r="D202" s="45">
        <v>934.309</v>
      </c>
      <c r="E202" s="45">
        <v>500.657</v>
      </c>
      <c r="F202" s="43">
        <f t="shared" si="5"/>
        <v>11611.845</v>
      </c>
      <c r="H202" s="111"/>
      <c r="I202" s="8"/>
    </row>
    <row r="203" spans="2:9" ht="15.75" hidden="1">
      <c r="B203" s="39" t="s">
        <v>20</v>
      </c>
      <c r="C203" s="44">
        <v>11500.687</v>
      </c>
      <c r="D203" s="45">
        <v>1094.235</v>
      </c>
      <c r="E203" s="45">
        <v>767.233</v>
      </c>
      <c r="F203" s="43">
        <f t="shared" si="5"/>
        <v>13362.155</v>
      </c>
      <c r="H203" s="111"/>
      <c r="I203" s="8"/>
    </row>
    <row r="204" spans="2:9" ht="15.75" hidden="1">
      <c r="B204" s="39" t="s">
        <v>21</v>
      </c>
      <c r="C204" s="44">
        <v>13710.01</v>
      </c>
      <c r="D204" s="45">
        <v>1191.764</v>
      </c>
      <c r="E204" s="45">
        <v>677.931</v>
      </c>
      <c r="F204" s="43">
        <f t="shared" si="5"/>
        <v>15579.705</v>
      </c>
      <c r="H204" s="111"/>
      <c r="I204" s="8"/>
    </row>
    <row r="205" spans="2:9" ht="15.75">
      <c r="B205" s="42" t="s">
        <v>39</v>
      </c>
      <c r="C205" s="45">
        <f>C257+C258+C259+C260</f>
        <v>212692.07049999997</v>
      </c>
      <c r="D205" s="45">
        <f>D257+D258+D259+D260</f>
        <v>14731.901</v>
      </c>
      <c r="E205" s="45">
        <f>E257+E258+E259+E260</f>
        <v>17112.8084</v>
      </c>
      <c r="F205" s="45">
        <f>F257+F258+F259+F260</f>
        <v>237887.06429999997</v>
      </c>
      <c r="H205" s="111"/>
      <c r="I205" s="8"/>
    </row>
    <row r="206" spans="2:9" ht="15.75">
      <c r="B206" s="42" t="s">
        <v>40</v>
      </c>
      <c r="C206" s="45">
        <f>SUM(C291:C294)</f>
        <v>227399.87800000003</v>
      </c>
      <c r="D206" s="45">
        <f>SUM(D291:D294)</f>
        <v>15042.34</v>
      </c>
      <c r="E206" s="45">
        <f>SUM(E291:E294)</f>
        <v>16848.7841</v>
      </c>
      <c r="F206" s="45">
        <f>SUM(F291:F294)</f>
        <v>259291.0021</v>
      </c>
      <c r="H206" s="111"/>
      <c r="I206" s="8"/>
    </row>
    <row r="207" spans="2:9" ht="15.75">
      <c r="B207" s="42" t="s">
        <v>41</v>
      </c>
      <c r="C207" s="45">
        <f>SUM(C297:C300)</f>
        <v>224773.568</v>
      </c>
      <c r="D207" s="45">
        <f>SUM(D297:D300)</f>
        <v>14620.314</v>
      </c>
      <c r="E207" s="45">
        <f>SUM(E297:E300)</f>
        <v>25529.2501</v>
      </c>
      <c r="F207" s="45">
        <f>SUM(F297:F300)</f>
        <v>264923.1321</v>
      </c>
      <c r="H207" s="111"/>
      <c r="I207" s="8"/>
    </row>
    <row r="208" spans="2:9" ht="15.75">
      <c r="B208" s="42" t="s">
        <v>42</v>
      </c>
      <c r="C208" s="45">
        <f>C303+C304+C305+C306</f>
        <v>220106.62900000002</v>
      </c>
      <c r="D208" s="45">
        <f>D303+D304+D305+D306</f>
        <v>16368.629999999997</v>
      </c>
      <c r="E208" s="45">
        <f>E303+E304+E305+E306</f>
        <v>21333.2294</v>
      </c>
      <c r="F208" s="45">
        <f>F303+F304+F305+F306</f>
        <v>257808.48840000003</v>
      </c>
      <c r="H208" s="111"/>
      <c r="I208" s="8"/>
    </row>
    <row r="209" spans="2:9" ht="15.75">
      <c r="B209" s="42" t="s">
        <v>44</v>
      </c>
      <c r="C209" s="45">
        <f>C309+C310+C311+C312</f>
        <v>248262.237</v>
      </c>
      <c r="D209" s="45">
        <f>D309+D310+D311+D312</f>
        <v>17913.131</v>
      </c>
      <c r="E209" s="45">
        <f>E309+E310+E311+E312</f>
        <v>20688.19698</v>
      </c>
      <c r="F209" s="45">
        <f>F309+F310+F311+F312</f>
        <v>286863.56498</v>
      </c>
      <c r="H209" s="111"/>
      <c r="I209" s="8"/>
    </row>
    <row r="210" spans="2:9" ht="15.75">
      <c r="B210" s="39"/>
      <c r="C210" s="44"/>
      <c r="D210" s="45"/>
      <c r="E210" s="45"/>
      <c r="F210" s="43"/>
      <c r="H210" s="111"/>
      <c r="I210" s="8"/>
    </row>
    <row r="211" spans="2:9" ht="15.75" hidden="1">
      <c r="B211" s="42" t="s">
        <v>36</v>
      </c>
      <c r="C211" s="44"/>
      <c r="D211" s="45"/>
      <c r="E211" s="45"/>
      <c r="F211" s="43"/>
      <c r="H211" s="111"/>
      <c r="I211" s="8"/>
    </row>
    <row r="212" spans="2:9" ht="15.75" hidden="1">
      <c r="B212" s="39" t="s">
        <v>8</v>
      </c>
      <c r="C212" s="44">
        <v>45748.103</v>
      </c>
      <c r="D212" s="45">
        <v>3523.6710000000003</v>
      </c>
      <c r="E212" s="45">
        <v>2970.807</v>
      </c>
      <c r="F212" s="43">
        <v>52242.58099999999</v>
      </c>
      <c r="H212" s="111"/>
      <c r="I212" s="8"/>
    </row>
    <row r="213" spans="2:9" ht="15.75" hidden="1">
      <c r="B213" s="39" t="s">
        <v>26</v>
      </c>
      <c r="C213" s="44">
        <v>44569.236999999994</v>
      </c>
      <c r="D213" s="45">
        <v>4658.871</v>
      </c>
      <c r="E213" s="45">
        <v>3387.858</v>
      </c>
      <c r="F213" s="43">
        <v>52615.966</v>
      </c>
      <c r="H213" s="111"/>
      <c r="I213" s="8"/>
    </row>
    <row r="214" spans="2:9" ht="15.75" hidden="1">
      <c r="B214" s="39" t="s">
        <v>10</v>
      </c>
      <c r="C214" s="44">
        <v>42779.494999999995</v>
      </c>
      <c r="D214" s="45">
        <v>4417.79</v>
      </c>
      <c r="E214" s="45">
        <v>2578.826</v>
      </c>
      <c r="F214" s="43">
        <v>49776.111000000004</v>
      </c>
      <c r="H214" s="111"/>
      <c r="I214" s="8"/>
    </row>
    <row r="215" spans="2:9" ht="15.75" hidden="1">
      <c r="B215" s="62" t="s">
        <v>12</v>
      </c>
      <c r="C215" s="44">
        <f>C272+C273+C274</f>
        <v>41999.266</v>
      </c>
      <c r="D215" s="51">
        <f>D272+D273+D274</f>
        <v>4103.395</v>
      </c>
      <c r="E215" s="51">
        <f>E272+E273+E274</f>
        <v>4395.24</v>
      </c>
      <c r="F215" s="45">
        <f>F272+F273+F274</f>
        <v>50497.901</v>
      </c>
      <c r="G215" s="2"/>
      <c r="H215" s="111"/>
      <c r="I215" s="8"/>
    </row>
    <row r="216" spans="2:9" ht="15.75" hidden="1">
      <c r="B216" s="39"/>
      <c r="C216" s="49"/>
      <c r="D216" s="52"/>
      <c r="E216" s="52"/>
      <c r="F216" s="50"/>
      <c r="G216" s="2"/>
      <c r="H216" s="111"/>
      <c r="I216" s="8"/>
    </row>
    <row r="217" spans="2:9" ht="15.75" hidden="1">
      <c r="B217" s="42" t="s">
        <v>34</v>
      </c>
      <c r="C217" s="44"/>
      <c r="D217" s="45"/>
      <c r="E217" s="45"/>
      <c r="F217" s="43"/>
      <c r="H217" s="111"/>
      <c r="I217" s="8"/>
    </row>
    <row r="218" spans="2:9" ht="15.75" hidden="1">
      <c r="B218" s="39" t="s">
        <v>22</v>
      </c>
      <c r="C218" s="44">
        <v>14070.603</v>
      </c>
      <c r="D218" s="45">
        <v>1346.185</v>
      </c>
      <c r="E218" s="45">
        <v>619.7058</v>
      </c>
      <c r="F218" s="43">
        <f aca="true" t="shared" si="6" ref="F218:F229">SUM(C218:E218)</f>
        <v>16036.493799999998</v>
      </c>
      <c r="H218" s="111"/>
      <c r="I218" s="8"/>
    </row>
    <row r="219" spans="2:9" ht="15.75" hidden="1">
      <c r="B219" s="39" t="s">
        <v>23</v>
      </c>
      <c r="C219" s="44">
        <v>13024.433</v>
      </c>
      <c r="D219" s="45">
        <v>1217.945</v>
      </c>
      <c r="E219" s="45">
        <v>486.991</v>
      </c>
      <c r="F219" s="43">
        <f t="shared" si="6"/>
        <v>14729.369</v>
      </c>
      <c r="H219" s="111"/>
      <c r="I219" s="8"/>
    </row>
    <row r="220" spans="2:9" ht="15.75" hidden="1">
      <c r="B220" s="39" t="s">
        <v>24</v>
      </c>
      <c r="C220" s="44">
        <v>14521.927</v>
      </c>
      <c r="D220" s="45">
        <v>1302.385</v>
      </c>
      <c r="E220" s="45">
        <v>508.764</v>
      </c>
      <c r="F220" s="43">
        <f t="shared" si="6"/>
        <v>16333.076</v>
      </c>
      <c r="H220" s="111"/>
      <c r="I220" s="8"/>
    </row>
    <row r="221" spans="2:9" ht="15.75" hidden="1">
      <c r="B221" s="39" t="s">
        <v>14</v>
      </c>
      <c r="C221" s="44">
        <v>14043.107</v>
      </c>
      <c r="D221" s="45">
        <v>1180.527</v>
      </c>
      <c r="E221" s="45">
        <v>672.134</v>
      </c>
      <c r="F221" s="43">
        <f t="shared" si="6"/>
        <v>15895.768</v>
      </c>
      <c r="H221" s="111"/>
      <c r="I221" s="8"/>
    </row>
    <row r="222" spans="2:9" ht="15.75" hidden="1">
      <c r="B222" s="39" t="s">
        <v>15</v>
      </c>
      <c r="C222" s="44">
        <v>14751</v>
      </c>
      <c r="D222" s="45">
        <v>1143</v>
      </c>
      <c r="E222" s="45">
        <v>730</v>
      </c>
      <c r="F222" s="43">
        <f t="shared" si="6"/>
        <v>16624</v>
      </c>
      <c r="H222" s="111"/>
      <c r="I222" s="8"/>
    </row>
    <row r="223" spans="2:9" ht="15.75" hidden="1">
      <c r="B223" s="39" t="s">
        <v>25</v>
      </c>
      <c r="C223" s="44">
        <v>13297.416</v>
      </c>
      <c r="D223" s="45">
        <v>1132.636</v>
      </c>
      <c r="E223" s="45">
        <v>747.6602</v>
      </c>
      <c r="F223" s="43">
        <f t="shared" si="6"/>
        <v>15177.7122</v>
      </c>
      <c r="H223" s="111"/>
      <c r="I223" s="8"/>
    </row>
    <row r="224" spans="2:9" ht="15.75" hidden="1">
      <c r="B224" s="39" t="s">
        <v>16</v>
      </c>
      <c r="C224" s="44">
        <v>14527.201</v>
      </c>
      <c r="D224" s="45">
        <v>1162.162</v>
      </c>
      <c r="E224" s="45">
        <v>692.726</v>
      </c>
      <c r="F224" s="43">
        <f t="shared" si="6"/>
        <v>16382.089</v>
      </c>
      <c r="H224" s="111"/>
      <c r="I224" s="8"/>
    </row>
    <row r="225" spans="2:9" ht="15.75" hidden="1">
      <c r="B225" s="39" t="s">
        <v>17</v>
      </c>
      <c r="C225" s="44">
        <v>14596.478</v>
      </c>
      <c r="D225" s="45">
        <v>1216.892</v>
      </c>
      <c r="E225" s="45">
        <v>684.604</v>
      </c>
      <c r="F225" s="43">
        <f t="shared" si="6"/>
        <v>16497.974</v>
      </c>
      <c r="H225" s="111"/>
      <c r="I225" s="8"/>
    </row>
    <row r="226" spans="2:9" ht="15.75" hidden="1">
      <c r="B226" s="39" t="s">
        <v>18</v>
      </c>
      <c r="C226" s="44">
        <v>14387</v>
      </c>
      <c r="D226" s="45">
        <v>1061</v>
      </c>
      <c r="E226" s="45">
        <v>606</v>
      </c>
      <c r="F226" s="43">
        <f t="shared" si="6"/>
        <v>16054</v>
      </c>
      <c r="H226" s="111"/>
      <c r="I226" s="8"/>
    </row>
    <row r="227" spans="2:9" ht="15.75" hidden="1">
      <c r="B227" s="39" t="s">
        <v>30</v>
      </c>
      <c r="C227" s="44">
        <v>14521.727</v>
      </c>
      <c r="D227" s="45">
        <v>1432.868</v>
      </c>
      <c r="E227" s="45">
        <v>600.084</v>
      </c>
      <c r="F227" s="43">
        <f t="shared" si="6"/>
        <v>16554.679</v>
      </c>
      <c r="H227" s="111"/>
      <c r="I227" s="8"/>
    </row>
    <row r="228" spans="2:9" ht="15.75" hidden="1">
      <c r="B228" s="39" t="s">
        <v>20</v>
      </c>
      <c r="C228" s="44">
        <v>14108.422</v>
      </c>
      <c r="D228" s="45">
        <v>1261.482</v>
      </c>
      <c r="E228" s="45">
        <v>662.473</v>
      </c>
      <c r="F228" s="43">
        <f t="shared" si="6"/>
        <v>16032.377</v>
      </c>
      <c r="H228" s="111"/>
      <c r="I228" s="8"/>
    </row>
    <row r="229" spans="2:9" ht="15.75" hidden="1">
      <c r="B229" s="39" t="s">
        <v>21</v>
      </c>
      <c r="C229" s="44">
        <v>14371.218</v>
      </c>
      <c r="D229" s="45">
        <v>1263.991</v>
      </c>
      <c r="E229" s="45">
        <v>666.174</v>
      </c>
      <c r="F229" s="43">
        <f t="shared" si="6"/>
        <v>16301.383000000002</v>
      </c>
      <c r="H229" s="111"/>
      <c r="I229" s="8"/>
    </row>
    <row r="230" spans="2:9" ht="15.75" hidden="1">
      <c r="B230" s="39"/>
      <c r="C230" s="44"/>
      <c r="D230" s="45"/>
      <c r="E230" s="45"/>
      <c r="F230" s="43"/>
      <c r="H230" s="111"/>
      <c r="I230" s="8"/>
    </row>
    <row r="231" spans="2:9" ht="15.75" hidden="1">
      <c r="B231" s="42" t="s">
        <v>37</v>
      </c>
      <c r="C231" s="44"/>
      <c r="D231" s="45"/>
      <c r="E231" s="45"/>
      <c r="F231" s="43"/>
      <c r="H231" s="111"/>
      <c r="I231" s="8"/>
    </row>
    <row r="232" spans="2:9" ht="15.75" hidden="1">
      <c r="B232" s="39" t="s">
        <v>68</v>
      </c>
      <c r="C232" s="45">
        <f>SUM(C277:C279)</f>
        <v>50044.990999999995</v>
      </c>
      <c r="D232" s="45">
        <f>SUM(D277:D279)</f>
        <v>2849.272</v>
      </c>
      <c r="E232" s="45">
        <f>SUM(E277:E279)</f>
        <v>4713.5470000000005</v>
      </c>
      <c r="F232" s="45">
        <f>SUM(F277:F279)</f>
        <v>57607.810000000005</v>
      </c>
      <c r="H232" s="111"/>
      <c r="I232" s="8"/>
    </row>
    <row r="233" spans="2:9" ht="15.75" hidden="1">
      <c r="B233" s="39" t="s">
        <v>26</v>
      </c>
      <c r="C233" s="44">
        <f>C280+C281+C282</f>
        <v>52807.7961</v>
      </c>
      <c r="D233" s="45">
        <f>D280+D281+D282</f>
        <v>3264.725</v>
      </c>
      <c r="E233" s="51">
        <f>E280+E281+E282</f>
        <v>4079.09</v>
      </c>
      <c r="F233" s="45">
        <f>F280+F281+F282</f>
        <v>60151.6111</v>
      </c>
      <c r="G233" s="1"/>
      <c r="H233" s="111"/>
      <c r="I233" s="8"/>
    </row>
    <row r="234" spans="2:9" ht="15.75" hidden="1">
      <c r="B234" s="39" t="s">
        <v>10</v>
      </c>
      <c r="C234" s="45">
        <f>C283+C284+C285</f>
        <v>51841.846600000004</v>
      </c>
      <c r="D234" s="45">
        <f>D283+D284+D285</f>
        <v>4432.356000000001</v>
      </c>
      <c r="E234" s="45">
        <f>E283+E284+E285</f>
        <v>2821.17211</v>
      </c>
      <c r="F234" s="55">
        <f>F283+F284+F285</f>
        <v>59095.374710000004</v>
      </c>
      <c r="G234" s="2"/>
      <c r="H234" s="111"/>
      <c r="I234" s="8"/>
    </row>
    <row r="235" spans="2:9" s="15" customFormat="1" ht="15.75" hidden="1">
      <c r="B235" s="62" t="s">
        <v>12</v>
      </c>
      <c r="C235" s="63">
        <f>C286+C287+C288</f>
        <v>53534.797999999995</v>
      </c>
      <c r="D235" s="63">
        <f>D286+D287+D288</f>
        <v>4124.269</v>
      </c>
      <c r="E235" s="63">
        <f>E286+E287+E288</f>
        <v>3736.6588999999994</v>
      </c>
      <c r="F235" s="63">
        <f>F286+F287+F288</f>
        <v>61395.72589999999</v>
      </c>
      <c r="G235" s="7"/>
      <c r="H235" s="112"/>
      <c r="I235" s="14"/>
    </row>
    <row r="236" spans="2:9" ht="15.75" hidden="1">
      <c r="B236" s="42" t="s">
        <v>35</v>
      </c>
      <c r="C236" s="44"/>
      <c r="D236" s="45"/>
      <c r="E236" s="45"/>
      <c r="F236" s="43"/>
      <c r="H236" s="111"/>
      <c r="I236" s="8"/>
    </row>
    <row r="237" spans="2:9" ht="15.75" hidden="1">
      <c r="B237" s="39" t="s">
        <v>22</v>
      </c>
      <c r="C237" s="44">
        <v>14122.184</v>
      </c>
      <c r="D237" s="45">
        <v>1344.893</v>
      </c>
      <c r="E237" s="45">
        <v>736.341</v>
      </c>
      <c r="F237" s="43">
        <f aca="true" t="shared" si="7" ref="F237:F248">SUM(C237:E237)</f>
        <v>16203.418</v>
      </c>
      <c r="H237" s="111"/>
      <c r="I237" s="8"/>
    </row>
    <row r="238" spans="2:9" ht="15.75" hidden="1">
      <c r="B238" s="39" t="s">
        <v>23</v>
      </c>
      <c r="C238" s="44">
        <v>13372.107</v>
      </c>
      <c r="D238" s="45">
        <v>1230.989</v>
      </c>
      <c r="E238" s="45">
        <v>892.517</v>
      </c>
      <c r="F238" s="43">
        <f t="shared" si="7"/>
        <v>15495.613</v>
      </c>
      <c r="H238" s="111"/>
      <c r="I238" s="8"/>
    </row>
    <row r="239" spans="2:9" ht="15.75" hidden="1">
      <c r="B239" s="39" t="s">
        <v>24</v>
      </c>
      <c r="C239" s="44">
        <v>14679.373</v>
      </c>
      <c r="D239" s="45">
        <v>1063.889</v>
      </c>
      <c r="E239" s="45">
        <v>1033.969</v>
      </c>
      <c r="F239" s="43">
        <f t="shared" si="7"/>
        <v>16777.231</v>
      </c>
      <c r="H239" s="111"/>
      <c r="I239" s="8"/>
    </row>
    <row r="240" spans="2:9" ht="15.75" hidden="1">
      <c r="B240" s="39" t="s">
        <v>14</v>
      </c>
      <c r="C240" s="44">
        <v>15126.401</v>
      </c>
      <c r="D240" s="45">
        <v>771.732</v>
      </c>
      <c r="E240" s="45">
        <v>1084.642</v>
      </c>
      <c r="F240" s="43">
        <f t="shared" si="7"/>
        <v>16982.775</v>
      </c>
      <c r="H240" s="111"/>
      <c r="I240" s="8"/>
    </row>
    <row r="241" spans="2:9" ht="15.75" hidden="1">
      <c r="B241" s="39" t="s">
        <v>15</v>
      </c>
      <c r="C241" s="44">
        <v>15617.891</v>
      </c>
      <c r="D241" s="45">
        <v>843.489</v>
      </c>
      <c r="E241" s="45">
        <v>1068.557</v>
      </c>
      <c r="F241" s="43">
        <f t="shared" si="7"/>
        <v>17529.937</v>
      </c>
      <c r="H241" s="111"/>
      <c r="I241" s="8"/>
    </row>
    <row r="242" spans="2:9" ht="15.75" hidden="1">
      <c r="B242" s="39" t="s">
        <v>25</v>
      </c>
      <c r="C242" s="44">
        <v>15370.027</v>
      </c>
      <c r="D242" s="45">
        <v>1243.399</v>
      </c>
      <c r="E242" s="45">
        <v>512.288</v>
      </c>
      <c r="F242" s="43">
        <f t="shared" si="7"/>
        <v>17125.714</v>
      </c>
      <c r="H242" s="111"/>
      <c r="I242" s="8"/>
    </row>
    <row r="243" spans="2:9" ht="15.75" hidden="1">
      <c r="B243" s="39" t="s">
        <v>16</v>
      </c>
      <c r="C243" s="44">
        <v>15757.121</v>
      </c>
      <c r="D243" s="45">
        <v>1116.383</v>
      </c>
      <c r="E243" s="45">
        <v>800.766</v>
      </c>
      <c r="F243" s="43">
        <f t="shared" si="7"/>
        <v>17674.27</v>
      </c>
      <c r="H243" s="111"/>
      <c r="I243" s="8"/>
    </row>
    <row r="244" spans="2:9" ht="15.75" hidden="1">
      <c r="B244" s="39" t="s">
        <v>17</v>
      </c>
      <c r="C244" s="44">
        <v>16205.876</v>
      </c>
      <c r="D244" s="45">
        <v>1147.225</v>
      </c>
      <c r="E244" s="45">
        <v>695.62</v>
      </c>
      <c r="F244" s="43">
        <f t="shared" si="7"/>
        <v>18048.720999999998</v>
      </c>
      <c r="H244" s="111"/>
      <c r="I244" s="8"/>
    </row>
    <row r="245" spans="2:9" ht="15.75" hidden="1">
      <c r="B245" s="39" t="s">
        <v>18</v>
      </c>
      <c r="C245" s="44">
        <v>15669.245</v>
      </c>
      <c r="D245" s="45">
        <v>1159.897</v>
      </c>
      <c r="E245" s="45">
        <v>624.719</v>
      </c>
      <c r="F245" s="43">
        <f t="shared" si="7"/>
        <v>17453.861</v>
      </c>
      <c r="H245" s="111"/>
      <c r="I245" s="8"/>
    </row>
    <row r="246" spans="2:9" ht="15.75" hidden="1">
      <c r="B246" s="39" t="s">
        <v>30</v>
      </c>
      <c r="C246" s="44">
        <v>16007.285</v>
      </c>
      <c r="D246" s="45">
        <v>926.641</v>
      </c>
      <c r="E246" s="45">
        <v>838.95</v>
      </c>
      <c r="F246" s="43">
        <f t="shared" si="7"/>
        <v>17772.876</v>
      </c>
      <c r="H246" s="111"/>
      <c r="I246" s="8"/>
    </row>
    <row r="247" spans="2:9" ht="15.75" hidden="1">
      <c r="B247" s="39" t="s">
        <v>20</v>
      </c>
      <c r="C247" s="44">
        <v>16034.53</v>
      </c>
      <c r="D247" s="45">
        <v>729.272</v>
      </c>
      <c r="E247" s="45">
        <v>844.497</v>
      </c>
      <c r="F247" s="43">
        <f t="shared" si="7"/>
        <v>17608.299</v>
      </c>
      <c r="H247" s="111"/>
      <c r="I247" s="8"/>
    </row>
    <row r="248" spans="2:9" ht="15.75" hidden="1">
      <c r="B248" s="39" t="s">
        <v>21</v>
      </c>
      <c r="C248" s="44">
        <v>15961.964</v>
      </c>
      <c r="D248" s="45">
        <v>1089.941</v>
      </c>
      <c r="E248" s="45">
        <v>703.802</v>
      </c>
      <c r="F248" s="43">
        <f t="shared" si="7"/>
        <v>17755.707</v>
      </c>
      <c r="H248" s="111"/>
      <c r="I248" s="8"/>
    </row>
    <row r="249" spans="2:9" ht="15.75" hidden="1">
      <c r="B249" s="39"/>
      <c r="C249" s="44"/>
      <c r="D249" s="45"/>
      <c r="E249" s="45"/>
      <c r="F249" s="43"/>
      <c r="H249" s="111"/>
      <c r="I249" s="8"/>
    </row>
    <row r="250" spans="2:9" ht="15.75" hidden="1">
      <c r="B250" s="42" t="s">
        <v>38</v>
      </c>
      <c r="C250" s="44"/>
      <c r="D250" s="45"/>
      <c r="E250" s="45"/>
      <c r="F250" s="43"/>
      <c r="H250" s="111"/>
      <c r="I250" s="8"/>
    </row>
    <row r="251" spans="2:9" ht="15.75" hidden="1">
      <c r="B251" s="39" t="s">
        <v>68</v>
      </c>
      <c r="C251" s="44">
        <f>SUM(C315:C317)</f>
        <v>55642.762</v>
      </c>
      <c r="D251" s="51">
        <f>SUM(D315:D317)</f>
        <v>3448.233</v>
      </c>
      <c r="E251" s="51">
        <f>SUM(E315:E317)</f>
        <v>4117.0132</v>
      </c>
      <c r="F251" s="45">
        <f>SUM(F315:F317)</f>
        <v>63208.0082</v>
      </c>
      <c r="G251" s="1"/>
      <c r="H251" s="111"/>
      <c r="I251" s="8"/>
    </row>
    <row r="252" spans="2:9" ht="15.75" hidden="1">
      <c r="B252" s="39" t="s">
        <v>26</v>
      </c>
      <c r="C252" s="45">
        <f>SUM(C318:C320)</f>
        <v>56624.98649999999</v>
      </c>
      <c r="D252" s="45">
        <f>SUM(D318:D320)</f>
        <v>3598.0986</v>
      </c>
      <c r="E252" s="45">
        <f>SUM(E318:E320)</f>
        <v>4918.776972</v>
      </c>
      <c r="F252" s="45">
        <f>SUM(F318:F320)</f>
        <v>65141.86207199999</v>
      </c>
      <c r="G252" s="2"/>
      <c r="H252" s="111"/>
      <c r="I252" s="8"/>
    </row>
    <row r="253" spans="2:9" ht="15.75" hidden="1">
      <c r="B253" s="39" t="s">
        <v>61</v>
      </c>
      <c r="C253" s="45">
        <f>SUM(C321:C323)</f>
        <v>49714.147000000004</v>
      </c>
      <c r="D253" s="45">
        <f>SUM(D321:D323)</f>
        <v>4240.946</v>
      </c>
      <c r="E253" s="45">
        <f>SUM(E321:E323)</f>
        <v>4617.32264</v>
      </c>
      <c r="F253" s="45">
        <f>SUM(F321:F323)</f>
        <v>58572.41564000001</v>
      </c>
      <c r="G253" s="2"/>
      <c r="H253" s="111"/>
      <c r="I253" s="8"/>
    </row>
    <row r="254" spans="2:9" ht="15.75" hidden="1">
      <c r="B254" s="62" t="s">
        <v>12</v>
      </c>
      <c r="C254" s="45">
        <f>SUM(C324:C326)</f>
        <v>48519.8335</v>
      </c>
      <c r="D254" s="45">
        <f>SUM(D324:D326)</f>
        <v>3862.8700000000003</v>
      </c>
      <c r="E254" s="45">
        <f>SUM(E324:E326)</f>
        <v>5000.408</v>
      </c>
      <c r="F254" s="45">
        <f>SUM(F324:F326)</f>
        <v>57383.1115</v>
      </c>
      <c r="G254" s="2"/>
      <c r="H254" s="111"/>
      <c r="I254" s="8"/>
    </row>
    <row r="255" spans="2:9" ht="15.75" hidden="1">
      <c r="B255" s="39"/>
      <c r="C255" s="44"/>
      <c r="D255" s="45"/>
      <c r="E255" s="45"/>
      <c r="F255" s="43"/>
      <c r="H255" s="111"/>
      <c r="I255" s="8"/>
    </row>
    <row r="256" spans="2:9" ht="15.75" hidden="1">
      <c r="B256" s="42" t="s">
        <v>39</v>
      </c>
      <c r="C256" s="44"/>
      <c r="D256" s="45"/>
      <c r="E256" s="45"/>
      <c r="F256" s="43"/>
      <c r="H256" s="111"/>
      <c r="I256" s="8"/>
    </row>
    <row r="257" spans="2:9" ht="15.75" hidden="1">
      <c r="B257" s="39" t="s">
        <v>69</v>
      </c>
      <c r="C257" s="45">
        <f>SUM(C329:C331)</f>
        <v>55413.9865</v>
      </c>
      <c r="D257" s="45">
        <f>SUM(D329:D331)</f>
        <v>3413.5509999999995</v>
      </c>
      <c r="E257" s="45">
        <f>SUM(E329:E331)</f>
        <v>4578.732900000001</v>
      </c>
      <c r="F257" s="45">
        <f>SUM(F329:F331)</f>
        <v>63406.270399999994</v>
      </c>
      <c r="G257" s="1"/>
      <c r="H257" s="111"/>
      <c r="I257" s="8"/>
    </row>
    <row r="258" spans="2:9" ht="15.75" hidden="1">
      <c r="B258" s="39" t="s">
        <v>26</v>
      </c>
      <c r="C258" s="45">
        <f>SUM(C332:C334)</f>
        <v>56587.966</v>
      </c>
      <c r="D258" s="45">
        <f>SUM(D332:D334)</f>
        <v>3565.9950000000003</v>
      </c>
      <c r="E258" s="45">
        <f>SUM(E332:E334)</f>
        <v>4789.0206</v>
      </c>
      <c r="F258" s="45">
        <f>SUM(F335:F337)</f>
        <v>58293.265999999996</v>
      </c>
      <c r="G258" s="2"/>
      <c r="H258" s="111"/>
      <c r="I258" s="8"/>
    </row>
    <row r="259" spans="2:9" ht="15.75" hidden="1">
      <c r="B259" s="39" t="s">
        <v>61</v>
      </c>
      <c r="C259" s="45">
        <f>SUM(C335:C337)</f>
        <v>50504.753</v>
      </c>
      <c r="D259" s="45">
        <f>SUM(D335:D337)</f>
        <v>3941.3109999999997</v>
      </c>
      <c r="E259" s="45">
        <f>SUM(E335:E337)</f>
        <v>3847.202</v>
      </c>
      <c r="F259" s="45">
        <f>SUM(F335:F337)</f>
        <v>58293.265999999996</v>
      </c>
      <c r="G259" s="2"/>
      <c r="H259" s="111"/>
      <c r="I259" s="8"/>
    </row>
    <row r="260" spans="2:9" ht="15.75" hidden="1">
      <c r="B260" s="39" t="s">
        <v>11</v>
      </c>
      <c r="C260" s="45">
        <f>SUM(C338:C340)</f>
        <v>50185.365000000005</v>
      </c>
      <c r="D260" s="45">
        <f>SUM(D338:D340)</f>
        <v>3811.044</v>
      </c>
      <c r="E260" s="45">
        <f>SUM(E338:E340)</f>
        <v>3897.8529</v>
      </c>
      <c r="F260" s="45">
        <f>SUM(F338:F340)</f>
        <v>57894.2619</v>
      </c>
      <c r="G260" s="2"/>
      <c r="H260" s="111"/>
      <c r="I260" s="8"/>
    </row>
    <row r="261" spans="2:9" ht="15.75" hidden="1">
      <c r="B261" s="39"/>
      <c r="C261" s="44"/>
      <c r="D261" s="45"/>
      <c r="E261" s="45"/>
      <c r="F261" s="43"/>
      <c r="H261" s="111"/>
      <c r="I261" s="8"/>
    </row>
    <row r="262" spans="2:9" ht="15.75" hidden="1">
      <c r="B262" s="42" t="s">
        <v>36</v>
      </c>
      <c r="C262" s="44"/>
      <c r="D262" s="45"/>
      <c r="E262" s="45"/>
      <c r="F262" s="43"/>
      <c r="H262" s="111"/>
      <c r="I262" s="8"/>
    </row>
    <row r="263" spans="2:9" ht="15.75" hidden="1">
      <c r="B263" s="39" t="s">
        <v>22</v>
      </c>
      <c r="C263" s="44">
        <v>15961</v>
      </c>
      <c r="D263" s="45">
        <v>890.787</v>
      </c>
      <c r="E263" s="45">
        <v>905.964</v>
      </c>
      <c r="F263" s="43">
        <f aca="true" t="shared" si="8" ref="F263:F274">SUM(C263:E263)</f>
        <v>17757.751</v>
      </c>
      <c r="H263" s="111"/>
      <c r="I263" s="8"/>
    </row>
    <row r="264" spans="2:9" ht="15.75" hidden="1">
      <c r="B264" s="39" t="s">
        <v>23</v>
      </c>
      <c r="C264" s="44">
        <v>13740.614</v>
      </c>
      <c r="D264" s="45">
        <v>1342.254</v>
      </c>
      <c r="E264" s="45">
        <v>911.308</v>
      </c>
      <c r="F264" s="43">
        <f t="shared" si="8"/>
        <v>15994.176</v>
      </c>
      <c r="H264" s="111"/>
      <c r="I264" s="8"/>
    </row>
    <row r="265" spans="2:9" ht="15.75" hidden="1">
      <c r="B265" s="39" t="s">
        <v>24</v>
      </c>
      <c r="C265" s="44">
        <v>16046.489</v>
      </c>
      <c r="D265" s="45">
        <v>1290.63</v>
      </c>
      <c r="E265" s="45">
        <v>1153.535</v>
      </c>
      <c r="F265" s="43">
        <f t="shared" si="8"/>
        <v>18490.654</v>
      </c>
      <c r="H265" s="111"/>
      <c r="I265" s="8"/>
    </row>
    <row r="266" spans="2:9" ht="15.75" hidden="1">
      <c r="B266" s="39" t="s">
        <v>14</v>
      </c>
      <c r="C266" s="44">
        <v>14140.269</v>
      </c>
      <c r="D266" s="45">
        <v>1468.53</v>
      </c>
      <c r="E266" s="45">
        <v>1224.057</v>
      </c>
      <c r="F266" s="43">
        <f t="shared" si="8"/>
        <v>16832.856</v>
      </c>
      <c r="H266" s="111"/>
      <c r="I266" s="8"/>
    </row>
    <row r="267" spans="2:9" ht="15.75" hidden="1">
      <c r="B267" s="39" t="s">
        <v>15</v>
      </c>
      <c r="C267" s="44">
        <v>15476.041</v>
      </c>
      <c r="D267" s="45">
        <v>1656.132</v>
      </c>
      <c r="E267" s="45">
        <v>1301.26</v>
      </c>
      <c r="F267" s="43">
        <f t="shared" si="8"/>
        <v>18433.432999999997</v>
      </c>
      <c r="H267" s="111"/>
      <c r="I267" s="8"/>
    </row>
    <row r="268" spans="2:9" ht="15.75" hidden="1">
      <c r="B268" s="39" t="s">
        <v>25</v>
      </c>
      <c r="C268" s="44">
        <v>14952.927</v>
      </c>
      <c r="D268" s="45">
        <v>1534.209</v>
      </c>
      <c r="E268" s="45">
        <v>862.541</v>
      </c>
      <c r="F268" s="43">
        <f t="shared" si="8"/>
        <v>17349.677</v>
      </c>
      <c r="H268" s="111"/>
      <c r="I268" s="8"/>
    </row>
    <row r="269" spans="2:9" ht="15.75" hidden="1">
      <c r="B269" s="39" t="s">
        <v>16</v>
      </c>
      <c r="C269" s="44">
        <v>15618.201</v>
      </c>
      <c r="D269" s="45">
        <v>1565.979</v>
      </c>
      <c r="E269" s="45">
        <v>719.503</v>
      </c>
      <c r="F269" s="43">
        <f t="shared" si="8"/>
        <v>17903.683</v>
      </c>
      <c r="H269" s="111"/>
      <c r="I269" s="8"/>
    </row>
    <row r="270" spans="2:9" ht="15.75" hidden="1">
      <c r="B270" s="39" t="s">
        <v>17</v>
      </c>
      <c r="C270" s="44">
        <f>15253.886+697.8</f>
        <v>15951.686</v>
      </c>
      <c r="D270" s="45">
        <v>1555.891</v>
      </c>
      <c r="E270" s="45">
        <v>748.163</v>
      </c>
      <c r="F270" s="43">
        <f t="shared" si="8"/>
        <v>18255.74</v>
      </c>
      <c r="H270" s="111"/>
      <c r="I270" s="8"/>
    </row>
    <row r="271" spans="2:9" ht="15.75" hidden="1">
      <c r="B271" s="39" t="s">
        <v>18</v>
      </c>
      <c r="C271" s="44">
        <f>11907.408+870.54</f>
        <v>12777.948</v>
      </c>
      <c r="D271" s="45">
        <v>1295.92</v>
      </c>
      <c r="E271" s="45">
        <v>1111.16</v>
      </c>
      <c r="F271" s="43">
        <f t="shared" si="8"/>
        <v>15185.028</v>
      </c>
      <c r="H271" s="111"/>
      <c r="I271" s="8"/>
    </row>
    <row r="272" spans="2:9" ht="15.75" customHeight="1" hidden="1">
      <c r="B272" s="39" t="s">
        <v>30</v>
      </c>
      <c r="C272" s="44">
        <f>11342.325+908.55</f>
        <v>12250.875</v>
      </c>
      <c r="D272" s="45">
        <v>1340.549</v>
      </c>
      <c r="E272" s="45">
        <v>1473.245</v>
      </c>
      <c r="F272" s="43">
        <f t="shared" si="8"/>
        <v>15064.668999999998</v>
      </c>
      <c r="H272" s="111"/>
      <c r="I272" s="8"/>
    </row>
    <row r="273" spans="2:9" ht="15.75" hidden="1">
      <c r="B273" s="39" t="s">
        <v>20</v>
      </c>
      <c r="C273" s="44">
        <f>12965.319+785.25</f>
        <v>13750.569</v>
      </c>
      <c r="D273" s="45">
        <v>1399.367</v>
      </c>
      <c r="E273" s="45">
        <v>1409.454</v>
      </c>
      <c r="F273" s="43">
        <f t="shared" si="8"/>
        <v>16559.39</v>
      </c>
      <c r="H273" s="111"/>
      <c r="I273" s="8"/>
    </row>
    <row r="274" spans="2:9" ht="15.75" hidden="1">
      <c r="B274" s="39" t="s">
        <v>21</v>
      </c>
      <c r="C274" s="55">
        <f>14891.122+1106.7</f>
        <v>15997.822</v>
      </c>
      <c r="D274" s="45">
        <v>1363.479</v>
      </c>
      <c r="E274" s="45">
        <v>1512.541</v>
      </c>
      <c r="F274" s="43">
        <f t="shared" si="8"/>
        <v>18873.842</v>
      </c>
      <c r="H274" s="111"/>
      <c r="I274" s="8"/>
    </row>
    <row r="275" spans="2:9" ht="15.75" hidden="1">
      <c r="B275" s="30"/>
      <c r="C275" s="55"/>
      <c r="D275" s="45"/>
      <c r="E275" s="45"/>
      <c r="F275" s="43"/>
      <c r="G275" s="13"/>
      <c r="H275" s="13"/>
      <c r="I275" s="12">
        <v>1178.22</v>
      </c>
    </row>
    <row r="276" spans="2:9" ht="15.75" hidden="1">
      <c r="B276" s="42" t="s">
        <v>37</v>
      </c>
      <c r="C276" s="55"/>
      <c r="D276" s="45"/>
      <c r="E276" s="45"/>
      <c r="F276" s="43"/>
      <c r="H276" s="111"/>
      <c r="I276" s="8"/>
    </row>
    <row r="277" spans="2:9" ht="15.75" hidden="1">
      <c r="B277" s="39" t="s">
        <v>22</v>
      </c>
      <c r="C277" s="55">
        <f>(3522.32+4919.814+2006.661+5373+1178.22-639.709)</f>
        <v>16360.305999999999</v>
      </c>
      <c r="D277" s="45">
        <f>(330.58+639.709)</f>
        <v>970.289</v>
      </c>
      <c r="E277" s="45">
        <f>1070.685+506.97+252.015+119.208</f>
        <v>1948.8780000000002</v>
      </c>
      <c r="F277" s="43">
        <f aca="true" t="shared" si="9" ref="F277:F288">SUM(C277:E277)</f>
        <v>19279.472999999998</v>
      </c>
      <c r="H277" s="111"/>
      <c r="I277" s="8"/>
    </row>
    <row r="278" spans="2:9" ht="15.75" hidden="1">
      <c r="B278" s="39" t="s">
        <v>23</v>
      </c>
      <c r="C278" s="55">
        <f>3686.855+4200.04+4954+2019.699+1248.76-559.691</f>
        <v>15549.663</v>
      </c>
      <c r="D278" s="45">
        <f>307.204+559.691</f>
        <v>866.895</v>
      </c>
      <c r="E278" s="45">
        <f>516.39+147.195+107.913+542.813</f>
        <v>1314.3110000000001</v>
      </c>
      <c r="F278" s="43">
        <f t="shared" si="9"/>
        <v>17730.869000000002</v>
      </c>
      <c r="H278" s="111"/>
      <c r="I278" s="8"/>
    </row>
    <row r="279" spans="2:9" ht="15.75" hidden="1">
      <c r="B279" s="39" t="s">
        <v>24</v>
      </c>
      <c r="C279" s="55">
        <f>4297.02+5179.083+6070+2256.675+1008.88-676.636</f>
        <v>18135.022</v>
      </c>
      <c r="D279" s="45">
        <f>335.452+676.636</f>
        <v>1012.088</v>
      </c>
      <c r="E279" s="45">
        <f>615.52+257.565+102.432+474.841</f>
        <v>1450.3580000000002</v>
      </c>
      <c r="F279" s="43">
        <f t="shared" si="9"/>
        <v>20597.468</v>
      </c>
      <c r="H279" s="111"/>
      <c r="I279" s="8"/>
    </row>
    <row r="280" spans="2:9" ht="15.75" hidden="1">
      <c r="B280" s="39" t="s">
        <v>14</v>
      </c>
      <c r="C280" s="55">
        <f>(4495.89+4212.2518+5961+2208.5+959.62-667.154)</f>
        <v>17170.1078</v>
      </c>
      <c r="D280" s="45">
        <f>(310.686+667.154)</f>
        <v>977.8399999999999</v>
      </c>
      <c r="E280" s="45">
        <f>(587.84+166.335+110.976+463.188)</f>
        <v>1328.339</v>
      </c>
      <c r="F280" s="43">
        <f t="shared" si="9"/>
        <v>19476.2868</v>
      </c>
      <c r="H280" s="111"/>
      <c r="I280" s="8"/>
    </row>
    <row r="281" spans="2:9" ht="15.75" hidden="1">
      <c r="B281" s="39" t="s">
        <v>15</v>
      </c>
      <c r="C281" s="55">
        <f>(4727.86+4303.1603+6411+2225.307+826.24-663.055)</f>
        <v>17830.512300000002</v>
      </c>
      <c r="D281" s="45">
        <f>(337.63+663.055)</f>
        <v>1000.685</v>
      </c>
      <c r="E281" s="45">
        <f>(565.946+246.435+118.116+598.772)</f>
        <v>1529.2690000000002</v>
      </c>
      <c r="F281" s="43">
        <f t="shared" si="9"/>
        <v>20360.466300000004</v>
      </c>
      <c r="H281" s="111"/>
      <c r="I281" s="8"/>
    </row>
    <row r="282" spans="2:9" ht="15.75" hidden="1">
      <c r="B282" s="39" t="s">
        <v>25</v>
      </c>
      <c r="C282" s="55">
        <f>(5834.57+3834.784+2157.399+6578+401.15-998.727)</f>
        <v>17807.176</v>
      </c>
      <c r="D282" s="45">
        <v>1286.2</v>
      </c>
      <c r="E282" s="45">
        <f>578.393+409.49+104.655+128.944</f>
        <v>1221.482</v>
      </c>
      <c r="F282" s="43">
        <f t="shared" si="9"/>
        <v>20314.858</v>
      </c>
      <c r="H282" s="111"/>
      <c r="I282" s="8"/>
    </row>
    <row r="283" spans="2:9" ht="15.75" hidden="1">
      <c r="B283" s="39" t="s">
        <v>16</v>
      </c>
      <c r="C283" s="59">
        <f>(6402.38+3317.9566+2144.813+6778+345.98-1135.582)</f>
        <v>17853.5476</v>
      </c>
      <c r="D283" s="45">
        <f>1135.582+346.72</f>
        <v>1482.3020000000001</v>
      </c>
      <c r="E283" s="59">
        <f>345.2211+66.615+133.548+538.453</f>
        <v>1083.8371</v>
      </c>
      <c r="F283" s="38">
        <f t="shared" si="9"/>
        <v>20419.686700000002</v>
      </c>
      <c r="H283" s="111"/>
      <c r="I283" s="8"/>
    </row>
    <row r="284" spans="2:9" ht="15.75" hidden="1">
      <c r="B284" s="39" t="s">
        <v>17</v>
      </c>
      <c r="C284" s="64">
        <f>7295.75+1636.2+6193+2422.485+754.97-1131.218</f>
        <v>17171.187</v>
      </c>
      <c r="D284" s="19">
        <f>1131.218+331.62</f>
        <v>1462.8380000000002</v>
      </c>
      <c r="E284" s="30">
        <f>273.641+79.185+126.048+473.575</f>
        <v>952.4490000000001</v>
      </c>
      <c r="F284" s="38">
        <f t="shared" si="9"/>
        <v>19586.474000000002</v>
      </c>
      <c r="H284" s="111"/>
      <c r="I284" s="8"/>
    </row>
    <row r="285" spans="2:9" ht="15.75" hidden="1">
      <c r="B285" s="39" t="s">
        <v>18</v>
      </c>
      <c r="C285" s="64">
        <f>8317.28+0+5823+2147.541+861.06+653.758-985.527</f>
        <v>16817.112</v>
      </c>
      <c r="D285" s="19">
        <f>1131.218+355.998</f>
        <v>1487.2160000000001</v>
      </c>
      <c r="E285" s="30">
        <f>308.34801+70.905+109.848+295.785</f>
        <v>784.88601</v>
      </c>
      <c r="F285" s="38">
        <f t="shared" si="9"/>
        <v>19089.21401</v>
      </c>
      <c r="H285" s="111"/>
      <c r="I285" s="8"/>
    </row>
    <row r="286" spans="2:9" ht="15.75" hidden="1">
      <c r="B286" s="39" t="s">
        <v>30</v>
      </c>
      <c r="C286" s="64">
        <f>5058.55+0+5966+2370.475+355.3+1900.159-1009.364</f>
        <v>14641.119999999999</v>
      </c>
      <c r="D286" s="19">
        <f>1009.364+367.388</f>
        <v>1376.752</v>
      </c>
      <c r="E286" s="30">
        <f>307.1103+32.625+121.224+815.265</f>
        <v>1276.2242999999999</v>
      </c>
      <c r="F286" s="38">
        <f t="shared" si="9"/>
        <v>17294.096299999997</v>
      </c>
      <c r="H286" s="111"/>
      <c r="I286" s="8"/>
    </row>
    <row r="287" spans="2:9" ht="15.75" hidden="1">
      <c r="B287" s="39" t="s">
        <v>20</v>
      </c>
      <c r="C287" s="64">
        <f>4144.31+3798.48+6384+1765.374+1049.58+3837.94-908.564</f>
        <v>20071.12</v>
      </c>
      <c r="D287" s="19">
        <f>466.942+908.564</f>
        <v>1375.5059999999999</v>
      </c>
      <c r="E287" s="30">
        <f>349.646+36.96+127.692+776.851</f>
        <v>1291.149</v>
      </c>
      <c r="F287" s="38">
        <f t="shared" si="9"/>
        <v>22737.775</v>
      </c>
      <c r="H287" s="111"/>
      <c r="I287" s="8"/>
    </row>
    <row r="288" spans="2:9" ht="15.75" hidden="1">
      <c r="B288" s="39" t="s">
        <v>21</v>
      </c>
      <c r="C288" s="64">
        <f>3987.45+4324.11+7011+2197.649+936.69+1217.986-852.327</f>
        <v>18822.557999999997</v>
      </c>
      <c r="D288" s="19">
        <f>852.327+519.684</f>
        <v>1372.011</v>
      </c>
      <c r="E288" s="30">
        <f>402.2886+85.545+73.248+608.204</f>
        <v>1169.2856</v>
      </c>
      <c r="F288" s="38">
        <f t="shared" si="9"/>
        <v>21363.854599999995</v>
      </c>
      <c r="H288" s="111"/>
      <c r="I288" s="8"/>
    </row>
    <row r="289" spans="2:9" ht="15.75" hidden="1">
      <c r="B289" s="39"/>
      <c r="C289" s="64"/>
      <c r="D289" s="19"/>
      <c r="E289" s="30"/>
      <c r="F289" s="38"/>
      <c r="H289" s="111"/>
      <c r="I289" s="8"/>
    </row>
    <row r="290" spans="2:9" ht="15.75" hidden="1">
      <c r="B290" s="42" t="s">
        <v>40</v>
      </c>
      <c r="C290" s="64"/>
      <c r="D290" s="19"/>
      <c r="E290" s="30"/>
      <c r="F290" s="38"/>
      <c r="H290" s="111"/>
      <c r="I290" s="8"/>
    </row>
    <row r="291" spans="2:9" ht="15.75" hidden="1">
      <c r="B291" s="39" t="s">
        <v>69</v>
      </c>
      <c r="C291" s="65">
        <f>SUM(C343:C345)</f>
        <v>51160.86200000001</v>
      </c>
      <c r="D291" s="65">
        <f>SUM(D343:D345)</f>
        <v>3400.3599999999997</v>
      </c>
      <c r="E291" s="65">
        <f>SUM(E343:E345)</f>
        <v>4054.2562</v>
      </c>
      <c r="F291" s="65">
        <f>SUM(F343:F345)</f>
        <v>58615.478200000005</v>
      </c>
      <c r="H291" s="111"/>
      <c r="I291" s="8"/>
    </row>
    <row r="292" spans="2:9" ht="15.75" hidden="1">
      <c r="B292" s="72" t="str">
        <f>B258</f>
        <v>  2ème Trim.</v>
      </c>
      <c r="C292" s="65">
        <f>SUM(C346:C348)</f>
        <v>58353.801999999996</v>
      </c>
      <c r="D292" s="65">
        <f>SUM(D346:D348)</f>
        <v>4313.583</v>
      </c>
      <c r="E292" s="65">
        <f>SUM(E346:E348)</f>
        <v>3981.6255</v>
      </c>
      <c r="F292" s="71">
        <f>SUM(F346:F348)</f>
        <v>66649.0105</v>
      </c>
      <c r="H292" s="111"/>
      <c r="I292" s="8"/>
    </row>
    <row r="293" spans="2:9" ht="15.75" hidden="1">
      <c r="B293" s="72" t="s">
        <v>61</v>
      </c>
      <c r="C293" s="65">
        <f>SUM(C349:C351)</f>
        <v>60852.677</v>
      </c>
      <c r="D293" s="65">
        <f>SUM(D349:D351)</f>
        <v>3820.277</v>
      </c>
      <c r="E293" s="65">
        <f>SUM(E349:E351)</f>
        <v>3613.9455</v>
      </c>
      <c r="F293" s="65">
        <f>SUM(F349:F351)</f>
        <v>68286.8995</v>
      </c>
      <c r="H293" s="111"/>
      <c r="I293" s="8"/>
    </row>
    <row r="294" spans="2:9" ht="15.75" hidden="1">
      <c r="B294" s="72" t="s">
        <v>11</v>
      </c>
      <c r="C294" s="65">
        <f>SUM(C352:C354)</f>
        <v>57032.537</v>
      </c>
      <c r="D294" s="65">
        <f>SUM(D352:D354)</f>
        <v>3508.12</v>
      </c>
      <c r="E294" s="65">
        <f>SUM(E352:E354)</f>
        <v>5198.9569</v>
      </c>
      <c r="F294" s="65">
        <f>SUM(F352:F354)</f>
        <v>65739.6139</v>
      </c>
      <c r="H294" s="111"/>
      <c r="I294" s="8"/>
    </row>
    <row r="295" spans="2:9" ht="15.75" hidden="1">
      <c r="B295" s="39"/>
      <c r="C295" s="79"/>
      <c r="D295" s="80"/>
      <c r="E295" s="65"/>
      <c r="F295" s="65"/>
      <c r="H295" s="111"/>
      <c r="I295" s="8"/>
    </row>
    <row r="296" spans="2:9" ht="15.75">
      <c r="B296" s="42" t="s">
        <v>41</v>
      </c>
      <c r="C296" s="79"/>
      <c r="D296" s="80"/>
      <c r="E296" s="65"/>
      <c r="F296" s="65"/>
      <c r="H296" s="111"/>
      <c r="I296" s="8"/>
    </row>
    <row r="297" spans="2:9" ht="15.75">
      <c r="B297" s="72" t="s">
        <v>69</v>
      </c>
      <c r="C297" s="65">
        <f>C357+C358+C359</f>
        <v>60543.67300000001</v>
      </c>
      <c r="D297" s="65">
        <f>D357+D358+D359</f>
        <v>3546.3830000000003</v>
      </c>
      <c r="E297" s="65">
        <f>E357+E358+E359</f>
        <v>5076.8455</v>
      </c>
      <c r="F297" s="65">
        <f>F357+F358+F359</f>
        <v>69166.9015</v>
      </c>
      <c r="H297" s="111"/>
      <c r="I297" s="8"/>
    </row>
    <row r="298" spans="2:9" ht="15.75">
      <c r="B298" s="72" t="s">
        <v>26</v>
      </c>
      <c r="C298" s="65">
        <f>C360+C361+C362</f>
        <v>59215.636999999995</v>
      </c>
      <c r="D298" s="65">
        <f>D360+D361+D362</f>
        <v>4086.141</v>
      </c>
      <c r="E298" s="65">
        <f>E360+E361+E362</f>
        <v>6867.488200000001</v>
      </c>
      <c r="F298" s="65">
        <f>F360+F361+F362</f>
        <v>70169.26619999998</v>
      </c>
      <c r="H298" s="111"/>
      <c r="I298" s="8"/>
    </row>
    <row r="299" spans="2:9" ht="15.75">
      <c r="B299" s="72" t="s">
        <v>61</v>
      </c>
      <c r="C299" s="65">
        <f>C363+C364+C365</f>
        <v>49539.818</v>
      </c>
      <c r="D299" s="65">
        <f>D363+D364+D365</f>
        <v>3422.3700000000003</v>
      </c>
      <c r="E299" s="65">
        <f>E363+E364+E365</f>
        <v>7394.9867</v>
      </c>
      <c r="F299" s="65">
        <f>F363+F364+F365</f>
        <v>60357.1747</v>
      </c>
      <c r="H299" s="111"/>
      <c r="I299" s="8"/>
    </row>
    <row r="300" spans="2:9" ht="15.75">
      <c r="B300" s="72" t="s">
        <v>11</v>
      </c>
      <c r="C300" s="65">
        <f>C366+C367+C368</f>
        <v>55474.439999999995</v>
      </c>
      <c r="D300" s="65">
        <f>D366+D367+D368</f>
        <v>3565.42</v>
      </c>
      <c r="E300" s="65">
        <f>E366+E367+E368</f>
        <v>6189.929700000001</v>
      </c>
      <c r="F300" s="65">
        <f>F366+F367+F368</f>
        <v>65229.78970000001</v>
      </c>
      <c r="H300" s="111"/>
      <c r="I300" s="8"/>
    </row>
    <row r="301" spans="2:9" ht="15.75">
      <c r="B301" s="39"/>
      <c r="C301" s="79"/>
      <c r="D301" s="65"/>
      <c r="E301" s="65"/>
      <c r="F301" s="65"/>
      <c r="H301" s="111"/>
      <c r="I301" s="8"/>
    </row>
    <row r="302" spans="2:9" ht="15.75">
      <c r="B302" s="42" t="s">
        <v>42</v>
      </c>
      <c r="C302" s="79"/>
      <c r="D302" s="65"/>
      <c r="E302" s="65"/>
      <c r="F302" s="65"/>
      <c r="H302" s="111"/>
      <c r="I302" s="8"/>
    </row>
    <row r="303" spans="2:9" ht="15.75">
      <c r="B303" s="72" t="s">
        <v>69</v>
      </c>
      <c r="C303" s="65">
        <f>C371+C372+C373</f>
        <v>56594.020000000004</v>
      </c>
      <c r="D303" s="65">
        <f>D371+D372+D373</f>
        <v>3483.8999999999996</v>
      </c>
      <c r="E303" s="65">
        <f>E371+E372+E373</f>
        <v>4981.4310000000005</v>
      </c>
      <c r="F303" s="65">
        <f>F371+F372+F373</f>
        <v>65059.351</v>
      </c>
      <c r="H303" s="111"/>
      <c r="I303" s="8"/>
    </row>
    <row r="304" spans="2:9" ht="15.75">
      <c r="B304" s="72" t="s">
        <v>26</v>
      </c>
      <c r="C304" s="65">
        <f>C374+C375+C376</f>
        <v>54324.368</v>
      </c>
      <c r="D304" s="65">
        <f>D374+D375+D376</f>
        <v>4211.821</v>
      </c>
      <c r="E304" s="65">
        <f>E374+E375+E376</f>
        <v>7133.6684000000005</v>
      </c>
      <c r="F304" s="65">
        <f>F374+F375+F376</f>
        <v>65669.85740000001</v>
      </c>
      <c r="H304" s="111"/>
      <c r="I304" s="8"/>
    </row>
    <row r="305" spans="2:9" ht="15.75">
      <c r="B305" s="72" t="s">
        <v>61</v>
      </c>
      <c r="C305" s="65">
        <f>C377+C378+C379</f>
        <v>54667.507</v>
      </c>
      <c r="D305" s="65">
        <f>D377+D378+D379</f>
        <v>4613.272</v>
      </c>
      <c r="E305" s="65">
        <f>E377+E378+E379</f>
        <v>4606.285999999999</v>
      </c>
      <c r="F305" s="65">
        <f>F377+F378+F379</f>
        <v>63887.064999999995</v>
      </c>
      <c r="H305" s="111"/>
      <c r="I305" s="8"/>
    </row>
    <row r="306" spans="2:9" ht="15.75">
      <c r="B306" s="72" t="s">
        <v>11</v>
      </c>
      <c r="C306" s="65">
        <f>C380+C381+C382</f>
        <v>54520.734</v>
      </c>
      <c r="D306" s="65">
        <f>D380+D381+D382</f>
        <v>4059.6369999999997</v>
      </c>
      <c r="E306" s="65">
        <f>E380+E381+E382</f>
        <v>4611.844</v>
      </c>
      <c r="F306" s="65">
        <f>F380+F381+F382</f>
        <v>63192.21500000001</v>
      </c>
      <c r="H306" s="111"/>
      <c r="I306" s="8"/>
    </row>
    <row r="307" spans="2:9" ht="15.75">
      <c r="B307" s="39"/>
      <c r="C307" s="79"/>
      <c r="D307" s="65"/>
      <c r="E307" s="65"/>
      <c r="F307" s="65"/>
      <c r="H307" s="111"/>
      <c r="I307" s="8"/>
    </row>
    <row r="308" spans="2:9" ht="15.75">
      <c r="B308" s="42" t="s">
        <v>44</v>
      </c>
      <c r="C308" s="79"/>
      <c r="D308" s="65"/>
      <c r="E308" s="65"/>
      <c r="F308" s="65"/>
      <c r="H308" s="111"/>
      <c r="I308" s="8"/>
    </row>
    <row r="309" spans="2:9" ht="15.75">
      <c r="B309" s="72" t="s">
        <v>69</v>
      </c>
      <c r="C309" s="65">
        <f>C385+C386+C387</f>
        <v>60828.577000000005</v>
      </c>
      <c r="D309" s="65">
        <f>D385+D386+D387</f>
        <v>3040.985</v>
      </c>
      <c r="E309" s="65">
        <f>E385+E386+E387</f>
        <v>5439.8954</v>
      </c>
      <c r="F309" s="65">
        <f>F385+F386+F387</f>
        <v>69309.45740000001</v>
      </c>
      <c r="H309" s="111"/>
      <c r="I309" s="8"/>
    </row>
    <row r="310" spans="2:9" ht="15.75">
      <c r="B310" s="72" t="s">
        <v>26</v>
      </c>
      <c r="C310" s="65">
        <f>C388+C389+C390</f>
        <v>64646.062000000005</v>
      </c>
      <c r="D310" s="65">
        <f>D388+D389+D390</f>
        <v>5195.947999999999</v>
      </c>
      <c r="E310" s="65">
        <f>E388+E389+E390</f>
        <v>4736.75784</v>
      </c>
      <c r="F310" s="65">
        <f>F388+F389+F390</f>
        <v>74578.76784</v>
      </c>
      <c r="H310" s="111"/>
      <c r="I310" s="8"/>
    </row>
    <row r="311" spans="2:9" ht="15.75">
      <c r="B311" s="72" t="s">
        <v>61</v>
      </c>
      <c r="C311" s="65">
        <f>C391+C392+C393</f>
        <v>62196.638999999996</v>
      </c>
      <c r="D311" s="65">
        <f>D391+D392+D393</f>
        <v>4870.992</v>
      </c>
      <c r="E311" s="65">
        <f>E391+E392+E393</f>
        <v>4774.60764</v>
      </c>
      <c r="F311" s="65">
        <f>F391+F392+F393</f>
        <v>71842.23864</v>
      </c>
      <c r="H311" s="111"/>
      <c r="I311" s="8"/>
    </row>
    <row r="312" spans="2:9" ht="15.75">
      <c r="B312" s="72" t="s">
        <v>11</v>
      </c>
      <c r="C312" s="65">
        <f>C394+C395+C396</f>
        <v>60590.95900000001</v>
      </c>
      <c r="D312" s="65">
        <f>D394+D395+D396</f>
        <v>4805.206</v>
      </c>
      <c r="E312" s="65">
        <f>E394+E395+E396</f>
        <v>5736.9361</v>
      </c>
      <c r="F312" s="65">
        <f>F394+F395+F396</f>
        <v>71133.1011</v>
      </c>
      <c r="H312" s="111"/>
      <c r="I312" s="8"/>
    </row>
    <row r="313" spans="2:9" ht="15.75">
      <c r="B313" s="39"/>
      <c r="C313" s="64"/>
      <c r="D313" s="65"/>
      <c r="E313" s="65"/>
      <c r="F313" s="65"/>
      <c r="H313" s="111"/>
      <c r="I313" s="8"/>
    </row>
    <row r="314" spans="2:9" ht="15.75" hidden="1">
      <c r="B314" s="42" t="s">
        <v>38</v>
      </c>
      <c r="C314" s="59"/>
      <c r="D314" s="45"/>
      <c r="E314" s="45"/>
      <c r="F314" s="38"/>
      <c r="H314" s="111"/>
      <c r="I314" s="8"/>
    </row>
    <row r="315" spans="2:9" ht="15.75" hidden="1">
      <c r="B315" s="39" t="s">
        <v>22</v>
      </c>
      <c r="C315" s="55">
        <f>3397.58+3944.01+7130+2382.556+1080.26+1255.371-723.927</f>
        <v>18465.85</v>
      </c>
      <c r="D315" s="45">
        <f>723.927+504</f>
        <v>1227.9270000000001</v>
      </c>
      <c r="E315" s="45">
        <f>418.3714+85.395+126.876+713.222</f>
        <v>1343.8644</v>
      </c>
      <c r="F315" s="38">
        <f aca="true" t="shared" si="10" ref="F315:F326">SUM(C315:E315)</f>
        <v>21037.641399999997</v>
      </c>
      <c r="H315" s="111"/>
      <c r="I315" s="8"/>
    </row>
    <row r="316" spans="2:9" ht="15.75" hidden="1">
      <c r="B316" s="39" t="s">
        <v>23</v>
      </c>
      <c r="C316" s="59">
        <f>3337.24+3779.727+6835+1551.847+995.49+1117.37-530.137</f>
        <v>17086.537</v>
      </c>
      <c r="D316" s="30">
        <f>530.137+558.302</f>
        <v>1088.4389999999999</v>
      </c>
      <c r="E316" s="45">
        <f>374.6014+59.04+116.844+659.229</f>
        <v>1209.7144</v>
      </c>
      <c r="F316" s="38">
        <f t="shared" si="10"/>
        <v>19384.6904</v>
      </c>
      <c r="H316" s="111"/>
      <c r="I316" s="8"/>
    </row>
    <row r="317" spans="2:9" ht="15.75" hidden="1">
      <c r="B317" s="39" t="s">
        <v>24</v>
      </c>
      <c r="C317" s="21">
        <f>3407.41+5001.465+7650+2428.745+957.92+1161.162-516.327</f>
        <v>20090.374999999996</v>
      </c>
      <c r="D317" s="30">
        <f>516.327+615.54</f>
        <v>1131.867</v>
      </c>
      <c r="E317" s="45">
        <f>533.4184+64.23+117.48+848.306</f>
        <v>1563.4344</v>
      </c>
      <c r="F317" s="38">
        <f t="shared" si="10"/>
        <v>22785.676399999997</v>
      </c>
      <c r="H317" s="111"/>
      <c r="I317" s="8"/>
    </row>
    <row r="318" spans="2:9" ht="15.75" hidden="1">
      <c r="B318" s="39" t="s">
        <v>60</v>
      </c>
      <c r="C318" s="21">
        <f>4263.27+4409.882+6775+2218.024+1203.71+758.882-772.418</f>
        <v>18856.35</v>
      </c>
      <c r="D318" s="30">
        <f>772.418+258.044</f>
        <v>1030.462</v>
      </c>
      <c r="E318" s="45">
        <f>587.777+64.23+127.488+836.383</f>
        <v>1615.8780000000002</v>
      </c>
      <c r="F318" s="38">
        <f t="shared" si="10"/>
        <v>21502.69</v>
      </c>
      <c r="H318" s="111"/>
      <c r="I318" s="8"/>
    </row>
    <row r="319" spans="2:9" ht="15.75" hidden="1">
      <c r="B319" s="39" t="s">
        <v>15</v>
      </c>
      <c r="C319" s="21">
        <f>5662.69+4334.6085+6967+2260.836+1384.46-865.145</f>
        <v>19744.4495</v>
      </c>
      <c r="D319" s="30">
        <f>865.145+399.4986</f>
        <v>1264.6435999999999</v>
      </c>
      <c r="E319" s="45">
        <f>536.5206+130.896+1114.071456</f>
        <v>1781.4880559999997</v>
      </c>
      <c r="F319" s="38">
        <f t="shared" si="10"/>
        <v>22790.581155999997</v>
      </c>
      <c r="H319" s="111"/>
      <c r="I319" s="8"/>
    </row>
    <row r="320" spans="2:9" ht="15.75" hidden="1">
      <c r="B320" s="39" t="s">
        <v>25</v>
      </c>
      <c r="C320" s="21">
        <f>6460.59+3000.375+6460+1781.797+1248.37-926.945</f>
        <v>18024.186999999998</v>
      </c>
      <c r="D320" s="30">
        <f>376.048+926.945</f>
        <v>1302.993</v>
      </c>
      <c r="E320" s="45">
        <f>299.7689+82.92+124.74+1013.982016</f>
        <v>1521.410916</v>
      </c>
      <c r="F320" s="38">
        <f t="shared" si="10"/>
        <v>20848.590915999997</v>
      </c>
      <c r="H320" s="111"/>
      <c r="I320" s="8"/>
    </row>
    <row r="321" spans="2:9" ht="15.75" hidden="1">
      <c r="B321" s="39" t="s">
        <v>16</v>
      </c>
      <c r="C321" s="21">
        <f>6877.57+2786.742+6645+2154.803+948.56-1185.764</f>
        <v>18226.911</v>
      </c>
      <c r="D321" s="30">
        <f>266.24+1185.764</f>
        <v>1452.004</v>
      </c>
      <c r="E321" s="45">
        <f>322.3428+88.05+129.444+1291.76888</f>
        <v>1831.6056800000001</v>
      </c>
      <c r="F321" s="38">
        <f t="shared" si="10"/>
        <v>21510.52068</v>
      </c>
      <c r="H321" s="111"/>
      <c r="I321" s="8"/>
    </row>
    <row r="322" spans="2:9" ht="15.75" hidden="1">
      <c r="B322" s="39" t="s">
        <v>17</v>
      </c>
      <c r="C322" s="21">
        <f>7467.35+2560.95+5510+2200.249-1098.982</f>
        <v>16639.567</v>
      </c>
      <c r="D322" s="30">
        <f>342.848+1098.982</f>
        <v>1441.83</v>
      </c>
      <c r="E322" s="45">
        <f>262.4241+54.12+122.496+937.66928</f>
        <v>1376.70938</v>
      </c>
      <c r="F322" s="38">
        <f t="shared" si="10"/>
        <v>19458.106379999997</v>
      </c>
      <c r="H322" s="111"/>
      <c r="I322" s="8"/>
    </row>
    <row r="323" spans="2:9" ht="15.75" hidden="1">
      <c r="B323" s="39" t="s">
        <v>62</v>
      </c>
      <c r="C323" s="21">
        <f>4755.63+3098.182+6095+1661.959+247.68-1010.782</f>
        <v>14847.669000000002</v>
      </c>
      <c r="D323" s="30">
        <f>336.33+1010.782</f>
        <v>1347.112</v>
      </c>
      <c r="E323" s="45">
        <f>285.27+67.53+112.692+943.51558</f>
        <v>1409.00758</v>
      </c>
      <c r="F323" s="38">
        <f t="shared" si="10"/>
        <v>17603.788580000004</v>
      </c>
      <c r="H323" s="111"/>
      <c r="I323" s="8"/>
    </row>
    <row r="324" spans="2:9" ht="15.75" hidden="1">
      <c r="B324" s="39" t="s">
        <v>30</v>
      </c>
      <c r="C324" s="21">
        <f>3485.55+3495.9645+6457+1915.847+543.72-1193.782</f>
        <v>14704.299500000001</v>
      </c>
      <c r="D324" s="30">
        <f>355.696+1193.782</f>
        <v>1549.478</v>
      </c>
      <c r="E324" s="45">
        <f>382.327+184.02+110.028+1090.8171</f>
        <v>1767.1921</v>
      </c>
      <c r="F324" s="38">
        <f t="shared" si="10"/>
        <v>18020.9696</v>
      </c>
      <c r="H324" s="111"/>
      <c r="I324" s="8"/>
    </row>
    <row r="325" spans="2:9" ht="15.75" hidden="1">
      <c r="B325" s="39" t="s">
        <v>63</v>
      </c>
      <c r="C325" s="21">
        <f>3654.28+4703.045+6298+1674.189+20.86-833.073</f>
        <v>15517.301000000001</v>
      </c>
      <c r="D325" s="30">
        <f>355.696+833.073</f>
        <v>1188.769</v>
      </c>
      <c r="E325" s="45">
        <f>534.1557+227+415+116.46+868.7759</f>
        <v>2161.3916</v>
      </c>
      <c r="F325" s="38">
        <f t="shared" si="10"/>
        <v>18867.4616</v>
      </c>
      <c r="H325" s="111"/>
      <c r="I325" s="8"/>
    </row>
    <row r="326" spans="2:9" ht="15.75" hidden="1">
      <c r="B326" s="39" t="s">
        <v>21</v>
      </c>
      <c r="C326" s="21">
        <f>4343.73+5460.682+6790+2278.13-574.309</f>
        <v>18298.233</v>
      </c>
      <c r="D326" s="30">
        <f>574.309+550.314</f>
        <v>1124.623</v>
      </c>
      <c r="E326" s="45">
        <f>628.0883+302.7+141.036</f>
        <v>1071.8243</v>
      </c>
      <c r="F326" s="38">
        <f t="shared" si="10"/>
        <v>20494.6803</v>
      </c>
      <c r="H326" s="111"/>
      <c r="I326" s="8"/>
    </row>
    <row r="327" spans="2:9" ht="15.75" hidden="1">
      <c r="B327" s="39"/>
      <c r="C327" s="21"/>
      <c r="D327" s="30"/>
      <c r="E327" s="45"/>
      <c r="F327" s="38"/>
      <c r="H327" s="111"/>
      <c r="I327" s="8"/>
    </row>
    <row r="328" spans="2:9" ht="15.75" hidden="1">
      <c r="B328" s="42" t="s">
        <v>39</v>
      </c>
      <c r="C328" s="21"/>
      <c r="D328" s="30"/>
      <c r="E328" s="45"/>
      <c r="F328" s="38"/>
      <c r="H328" s="111"/>
      <c r="I328" s="8"/>
    </row>
    <row r="329" spans="2:9" ht="15.75" hidden="1">
      <c r="B329" s="39" t="s">
        <v>22</v>
      </c>
      <c r="C329" s="21">
        <f>6466.02+4421.928+7489+846.299-915</f>
        <v>18308.247</v>
      </c>
      <c r="D329" s="30">
        <f>915+371.814</f>
        <v>1286.814</v>
      </c>
      <c r="E329" s="45">
        <f>346.4746+110.49+144.924+866.428</f>
        <v>1468.3166</v>
      </c>
      <c r="F329" s="38">
        <f aca="true" t="shared" si="11" ref="F329:F338">SUM(C329:E329)</f>
        <v>21063.3776</v>
      </c>
      <c r="H329" s="111"/>
      <c r="I329" s="8"/>
    </row>
    <row r="330" spans="2:9" ht="15.75" hidden="1">
      <c r="B330" s="39" t="s">
        <v>23</v>
      </c>
      <c r="C330" s="21">
        <f>6188.07+5857.7085+6851-713.836</f>
        <v>18182.9425</v>
      </c>
      <c r="D330" s="30">
        <f>713.836+309.782</f>
        <v>1023.6179999999999</v>
      </c>
      <c r="E330" s="45">
        <f>490.4942+67.125+129.24+858.118</f>
        <v>1544.9772</v>
      </c>
      <c r="F330" s="38">
        <f t="shared" si="11"/>
        <v>20751.5377</v>
      </c>
      <c r="H330" s="111"/>
      <c r="I330" s="8"/>
    </row>
    <row r="331" spans="2:9" ht="15.75" hidden="1">
      <c r="B331" s="39" t="s">
        <v>24</v>
      </c>
      <c r="C331" s="21">
        <f>4750.032+6208.43+7070+1827.39-933.055</f>
        <v>18922.797</v>
      </c>
      <c r="D331" s="30">
        <f>170.064+933.055</f>
        <v>1103.119</v>
      </c>
      <c r="E331" s="45">
        <f>671.8341+79.8+134.184+679.621</f>
        <v>1565.4391</v>
      </c>
      <c r="F331" s="38">
        <f t="shared" si="11"/>
        <v>21591.355099999997</v>
      </c>
      <c r="H331" s="111"/>
      <c r="I331" s="8"/>
    </row>
    <row r="332" spans="2:9" ht="15.75" hidden="1">
      <c r="B332" s="39" t="s">
        <v>60</v>
      </c>
      <c r="C332" s="21">
        <f>5474.37+5104.407+6590+2353.282-778.8</f>
        <v>18743.259000000002</v>
      </c>
      <c r="D332" s="30">
        <f>295.62+778.8</f>
        <v>1074.42</v>
      </c>
      <c r="E332" s="45">
        <f>531.9212+119.415+134.28+672.567</f>
        <v>1458.1832</v>
      </c>
      <c r="F332" s="38">
        <f t="shared" si="11"/>
        <v>21275.862200000003</v>
      </c>
      <c r="H332" s="111"/>
      <c r="I332" s="8"/>
    </row>
    <row r="333" spans="2:9" ht="15.75" hidden="1">
      <c r="B333" s="39" t="s">
        <v>65</v>
      </c>
      <c r="C333" s="21">
        <f>4716.35+5481.441+6920+2489.455-442.145</f>
        <v>19165.101</v>
      </c>
      <c r="D333" s="30">
        <f>719.872+442.142</f>
        <v>1162.014</v>
      </c>
      <c r="E333" s="45">
        <f>628.1929+205.5+139.116+851.801</f>
        <v>1824.6099</v>
      </c>
      <c r="F333" s="38">
        <f t="shared" si="11"/>
        <v>22151.724899999997</v>
      </c>
      <c r="H333" s="111"/>
      <c r="I333" s="8"/>
    </row>
    <row r="334" spans="2:9" ht="15.75" hidden="1">
      <c r="B334" s="39" t="s">
        <v>25</v>
      </c>
      <c r="C334" s="21">
        <f>5966.41+4054.134+6941+2319.027+63.89-664.855</f>
        <v>18679.606000000003</v>
      </c>
      <c r="D334" s="30">
        <f>664.706+664.855</f>
        <v>1329.5610000000001</v>
      </c>
      <c r="E334" s="45">
        <f>531.0885+87.03+64.8+823.309</f>
        <v>1506.2275</v>
      </c>
      <c r="F334" s="38">
        <f t="shared" si="11"/>
        <v>21515.394500000006</v>
      </c>
      <c r="H334" s="111"/>
      <c r="I334" s="8"/>
    </row>
    <row r="335" spans="2:9" ht="15.75" hidden="1">
      <c r="B335" s="39" t="s">
        <v>16</v>
      </c>
      <c r="C335" s="21">
        <f>5433.83+3247.604+7117+2315.415+367.54-636.055</f>
        <v>17845.334</v>
      </c>
      <c r="D335" s="30">
        <f>636.055+697.036</f>
        <v>1333.091</v>
      </c>
      <c r="E335" s="45">
        <f>436.785+95.205+65.004+824.146</f>
        <v>1421.1399999999999</v>
      </c>
      <c r="F335" s="38">
        <f t="shared" si="11"/>
        <v>20599.565</v>
      </c>
      <c r="H335" s="111"/>
      <c r="I335" s="8"/>
    </row>
    <row r="336" spans="2:9" ht="15.75" hidden="1">
      <c r="B336" s="39" t="s">
        <v>17</v>
      </c>
      <c r="C336" s="21">
        <f>4980.1+2900.288+6892+2199.653+573.92-842.564</f>
        <v>16703.397</v>
      </c>
      <c r="D336" s="30">
        <f>547.718+842.564</f>
        <v>1390.282</v>
      </c>
      <c r="E336" s="45">
        <f>380.9675+77.66+104.436+774.745</f>
        <v>1337.8085</v>
      </c>
      <c r="F336" s="38">
        <f t="shared" si="11"/>
        <v>19431.4875</v>
      </c>
      <c r="H336" s="111"/>
      <c r="I336" s="8"/>
    </row>
    <row r="337" spans="2:9" ht="15.75" hidden="1">
      <c r="B337" s="39" t="s">
        <v>62</v>
      </c>
      <c r="C337" s="21">
        <f>4656.15+2948.295+6799+1468.811+712.13-628.364</f>
        <v>15956.021999999999</v>
      </c>
      <c r="D337" s="30">
        <f>589.574+628.364</f>
        <v>1217.938</v>
      </c>
      <c r="E337" s="45">
        <f>366.2825+58.38+118.104+545.487</f>
        <v>1088.2535</v>
      </c>
      <c r="F337" s="38">
        <f t="shared" si="11"/>
        <v>18262.213499999998</v>
      </c>
      <c r="H337" s="111"/>
      <c r="I337" s="8"/>
    </row>
    <row r="338" spans="2:9" ht="15.75" hidden="1">
      <c r="B338" s="39" t="s">
        <v>30</v>
      </c>
      <c r="C338" s="21">
        <f>5012.17+3881.829+6300+2004.544+480.65-612.255</f>
        <v>17066.938000000002</v>
      </c>
      <c r="D338" s="30">
        <f>612.255+593.646</f>
        <v>1205.9009999999998</v>
      </c>
      <c r="E338" s="45">
        <f>364.058+45.21+111.096+745.346</f>
        <v>1265.71</v>
      </c>
      <c r="F338" s="38">
        <f t="shared" si="11"/>
        <v>19538.549</v>
      </c>
      <c r="H338" s="111"/>
      <c r="I338" s="8"/>
    </row>
    <row r="339" spans="2:9" ht="15.75" hidden="1">
      <c r="B339" s="39" t="s">
        <v>63</v>
      </c>
      <c r="C339" s="21">
        <f>4668.86+3869.717+6401+1355.845+248.47-480.42</f>
        <v>16063.472</v>
      </c>
      <c r="D339" s="30">
        <f>480.42+743.69</f>
        <v>1224.1100000000001</v>
      </c>
      <c r="E339" s="45">
        <f>327.604+108.48+114.696+829.478</f>
        <v>1380.2579999999998</v>
      </c>
      <c r="F339" s="38">
        <f>SUM(C339:E339)</f>
        <v>18667.839999999997</v>
      </c>
      <c r="H339" s="111"/>
      <c r="I339" s="8"/>
    </row>
    <row r="340" spans="2:9" ht="15.75" hidden="1">
      <c r="B340" s="39" t="s">
        <v>21</v>
      </c>
      <c r="C340" s="21">
        <f>3546.64+4811.394+6609+2163.03+441-516.109</f>
        <v>17054.954999999998</v>
      </c>
      <c r="D340" s="30">
        <f>516.109+864.924</f>
        <v>1381.033</v>
      </c>
      <c r="E340" s="45">
        <f>133.3279+139.2+133.956+845.401</f>
        <v>1251.8849</v>
      </c>
      <c r="F340" s="38">
        <f>SUM(C340:E340)</f>
        <v>19687.8729</v>
      </c>
      <c r="H340" s="111"/>
      <c r="I340" s="8"/>
    </row>
    <row r="341" spans="2:9" ht="15.75" hidden="1">
      <c r="B341" s="39"/>
      <c r="C341" s="21"/>
      <c r="D341" s="30"/>
      <c r="E341" s="45"/>
      <c r="F341" s="38"/>
      <c r="H341" s="111"/>
      <c r="I341" s="8"/>
    </row>
    <row r="342" spans="2:9" ht="15.75" hidden="1">
      <c r="B342" s="42" t="s">
        <v>40</v>
      </c>
      <c r="C342" s="21"/>
      <c r="D342" s="30"/>
      <c r="E342" s="45"/>
      <c r="F342" s="38"/>
      <c r="H342" s="111"/>
      <c r="I342" s="8"/>
    </row>
    <row r="343" spans="2:9" ht="15.75" hidden="1">
      <c r="B343" s="39" t="s">
        <v>22</v>
      </c>
      <c r="C343" s="21">
        <f>3272.86+4730.523+7036+2306.279+483.83-554.564</f>
        <v>17274.928000000004</v>
      </c>
      <c r="D343" s="30">
        <f>663.924+554.564</f>
        <v>1218.4879999999998</v>
      </c>
      <c r="E343" s="45">
        <f>156.8983+219.255+90.768+799.571</f>
        <v>1266.4923</v>
      </c>
      <c r="F343" s="38">
        <f aca="true" t="shared" si="12" ref="F343:F349">SUM(C343:E343)</f>
        <v>19759.908300000003</v>
      </c>
      <c r="H343" s="111"/>
      <c r="I343" s="8"/>
    </row>
    <row r="344" spans="2:9" ht="15.75" hidden="1">
      <c r="B344" s="39" t="s">
        <v>23</v>
      </c>
      <c r="C344" s="21">
        <f>3558.67+4185.783+7104+985.657+332.32-247.745</f>
        <v>15918.685</v>
      </c>
      <c r="D344" s="30">
        <f>743.78+247.745</f>
        <v>991.525</v>
      </c>
      <c r="E344" s="45">
        <f>465.18+128.145+73.008+702.294</f>
        <v>1368.627</v>
      </c>
      <c r="F344" s="38">
        <f t="shared" si="12"/>
        <v>18278.837</v>
      </c>
      <c r="H344" s="111"/>
      <c r="I344" s="8"/>
    </row>
    <row r="345" spans="2:9" ht="15.75" hidden="1">
      <c r="B345" s="39" t="s">
        <v>24</v>
      </c>
      <c r="C345" s="21">
        <f>4978.57+4875.906+7794+80.668+485.85-247.745</f>
        <v>17967.249</v>
      </c>
      <c r="D345" s="30">
        <f>942.602+247.745</f>
        <v>1190.347</v>
      </c>
      <c r="E345" s="45">
        <f>512.5759+134.625+771.936</f>
        <v>1419.1369</v>
      </c>
      <c r="F345" s="38">
        <f t="shared" si="12"/>
        <v>20576.732900000003</v>
      </c>
      <c r="H345" s="111"/>
      <c r="I345" s="8"/>
    </row>
    <row r="346" spans="2:9" ht="15.75" hidden="1">
      <c r="B346" s="39" t="s">
        <v>60</v>
      </c>
      <c r="C346" s="21">
        <f>3384.58+5674.095+6680+2363.632+889.824-409.8</f>
        <v>18582.331000000002</v>
      </c>
      <c r="D346" s="30">
        <f>883.254+409.8</f>
        <v>1293.054</v>
      </c>
      <c r="E346" s="45">
        <f>454.6412+214.74+88.488+813.953</f>
        <v>1571.8222</v>
      </c>
      <c r="F346" s="38">
        <f t="shared" si="12"/>
        <v>21447.2072</v>
      </c>
      <c r="H346" s="111"/>
      <c r="I346" s="8"/>
    </row>
    <row r="347" spans="2:9" ht="15.75" hidden="1">
      <c r="B347" s="39" t="s">
        <v>65</v>
      </c>
      <c r="C347" s="21">
        <f>5734.59+4844.637+7123+2274.613+59.47+1391.387-746.073</f>
        <v>20681.624</v>
      </c>
      <c r="D347" s="30">
        <f>960.756+746.073</f>
        <v>1706.829</v>
      </c>
      <c r="E347" s="45">
        <f>45.59+189.645+76.236+657.445</f>
        <v>968.916</v>
      </c>
      <c r="F347" s="38">
        <f t="shared" si="12"/>
        <v>23357.369000000002</v>
      </c>
      <c r="H347" s="111"/>
      <c r="I347" s="8"/>
    </row>
    <row r="348" spans="2:9" ht="15.75" hidden="1">
      <c r="B348" s="39" t="s">
        <v>25</v>
      </c>
      <c r="C348" s="21">
        <f>5653.12+3462.627+6630+2204.602+92.04+1540.658-493.2</f>
        <v>19089.846999999998</v>
      </c>
      <c r="D348" s="30">
        <f>493.2+820.5</f>
        <v>1313.7</v>
      </c>
      <c r="E348" s="45">
        <f>353.5273+130.77+82.296+874.294</f>
        <v>1440.8873</v>
      </c>
      <c r="F348" s="38">
        <f t="shared" si="12"/>
        <v>21844.434299999997</v>
      </c>
      <c r="H348" s="111"/>
      <c r="I348" s="8"/>
    </row>
    <row r="349" spans="2:9" ht="15.75" hidden="1">
      <c r="B349" s="39" t="s">
        <v>16</v>
      </c>
      <c r="C349" s="21">
        <f>7051.39+2921.016+6981+2122.132+36.51+1552.156-604.855</f>
        <v>20059.349000000002</v>
      </c>
      <c r="D349" s="30">
        <f>604.855+711.858</f>
        <v>1316.713</v>
      </c>
      <c r="E349" s="45">
        <f>356.891+87.075+83.532+514.272</f>
        <v>1041.77</v>
      </c>
      <c r="F349" s="38">
        <f t="shared" si="12"/>
        <v>22417.832000000002</v>
      </c>
      <c r="H349" s="111"/>
      <c r="I349" s="8"/>
    </row>
    <row r="350" spans="2:9" ht="15.75" hidden="1">
      <c r="B350" s="39" t="s">
        <v>17</v>
      </c>
      <c r="C350" s="21">
        <f>7232.02+2912.721+6376+2353.427+689.282+1559.996-630.982</f>
        <v>20492.464</v>
      </c>
      <c r="D350" s="30">
        <f>630.982+652.392</f>
        <v>1283.374</v>
      </c>
      <c r="E350" s="45">
        <f>338.201+52.38+70.776+861.179</f>
        <v>1322.536</v>
      </c>
      <c r="F350" s="38">
        <f>SUM(C350:E350)</f>
        <v>23098.374</v>
      </c>
      <c r="H350" s="111"/>
      <c r="I350" s="8"/>
    </row>
    <row r="351" spans="2:9" ht="15.75" hidden="1">
      <c r="B351" s="39" t="s">
        <v>62</v>
      </c>
      <c r="C351" s="21">
        <f>6783.74+2905.539+6413+2086.83+1295.534+1492.039-675.818</f>
        <v>20300.864</v>
      </c>
      <c r="D351" s="30">
        <f>675.818+544.372</f>
        <v>1220.19</v>
      </c>
      <c r="E351" s="45">
        <f>320.1225+34.365+81.684+813.468</f>
        <v>1249.6395</v>
      </c>
      <c r="F351" s="38">
        <f>SUM(C351:E351)</f>
        <v>22770.6935</v>
      </c>
      <c r="H351" s="111"/>
      <c r="I351" s="8"/>
    </row>
    <row r="352" spans="2:9" ht="15.75" hidden="1">
      <c r="B352" s="39" t="s">
        <v>30</v>
      </c>
      <c r="C352" s="73">
        <f>7395.97+3148.74+7147+1939.081+802.308+1371.764-713.564</f>
        <v>21091.299</v>
      </c>
      <c r="D352" s="30">
        <f>601.832+713.564</f>
        <v>1315.396</v>
      </c>
      <c r="E352" s="45">
        <f>69.122+347.43+83.7+781.229+181.685</f>
        <v>1463.166</v>
      </c>
      <c r="F352" s="38">
        <f>SUM(C352:E352)</f>
        <v>23869.861</v>
      </c>
      <c r="H352" s="111"/>
      <c r="I352" s="8"/>
    </row>
    <row r="353" spans="2:9" ht="15.75" hidden="1">
      <c r="B353" s="39" t="s">
        <v>63</v>
      </c>
      <c r="C353" s="74">
        <f>4001.655+4448.8+5770+1852.2-574.091</f>
        <v>15498.564</v>
      </c>
      <c r="D353" s="30">
        <f>574.091+620.432</f>
        <v>1194.5230000000001</v>
      </c>
      <c r="E353" s="45">
        <f>421.775+115.075+79.764+819.425+202.519</f>
        <v>1638.558</v>
      </c>
      <c r="F353" s="38">
        <f>SUM(C353:E353)</f>
        <v>18331.645</v>
      </c>
      <c r="H353" s="111"/>
      <c r="I353" s="8"/>
    </row>
    <row r="354" spans="2:9" ht="15.75" hidden="1">
      <c r="B354" s="39" t="s">
        <v>21</v>
      </c>
      <c r="C354" s="75">
        <f>(3995.41+5286.519+2016.102+5589+41.791+2528.267+1559.676-574.091)</f>
        <v>20442.674000000003</v>
      </c>
      <c r="D354" s="30">
        <f>574.091+424.11</f>
        <v>998.201</v>
      </c>
      <c r="E354" s="45">
        <f>604.6869+201.945+90.756+960.337+239.508</f>
        <v>2097.2329</v>
      </c>
      <c r="F354" s="38">
        <f>SUM(C354:E354)</f>
        <v>23538.107900000003</v>
      </c>
      <c r="H354" s="111"/>
      <c r="I354" s="8"/>
    </row>
    <row r="355" spans="2:9" ht="15.75" hidden="1">
      <c r="B355" s="39"/>
      <c r="C355" s="76"/>
      <c r="D355" s="30"/>
      <c r="E355" s="45"/>
      <c r="F355" s="38"/>
      <c r="H355" s="111"/>
      <c r="I355" s="8"/>
    </row>
    <row r="356" spans="2:9" ht="15.75" hidden="1">
      <c r="B356" s="42" t="s">
        <v>41</v>
      </c>
      <c r="C356" s="76"/>
      <c r="D356" s="30"/>
      <c r="E356" s="45"/>
      <c r="F356" s="38"/>
      <c r="H356" s="111"/>
      <c r="I356" s="8"/>
    </row>
    <row r="357" spans="2:9" ht="15.75" hidden="1">
      <c r="B357" s="39" t="s">
        <v>22</v>
      </c>
      <c r="C357" s="76">
        <f>4504.14+5472.432+6758+1679.2+54.38+1192.329+1559.716-421.255</f>
        <v>20798.942000000003</v>
      </c>
      <c r="D357" s="30">
        <f>421.255+713.33</f>
        <v>1134.585</v>
      </c>
      <c r="E357" s="45">
        <f>578.252+85.47+229.152+995.162+258.929</f>
        <v>2146.965</v>
      </c>
      <c r="F357" s="38">
        <f aca="true" t="shared" si="13" ref="F357:F367">SUM(C357:E357)</f>
        <v>24080.492000000002</v>
      </c>
      <c r="H357" s="111"/>
      <c r="I357" s="8"/>
    </row>
    <row r="358" spans="2:9" ht="15.75" hidden="1">
      <c r="B358" s="39" t="s">
        <v>23</v>
      </c>
      <c r="C358" s="77">
        <f>6046.87+5211.192+4774+968.46+96.95+220.786+1536.916-309.109</f>
        <v>18546.065000000002</v>
      </c>
      <c r="D358" s="30">
        <f>760.254+309.109</f>
        <v>1069.363</v>
      </c>
      <c r="E358" s="45">
        <f>524.4393+160.455+79.74+455.982+192.243</f>
        <v>1412.8593</v>
      </c>
      <c r="F358" s="38">
        <f t="shared" si="13"/>
        <v>21028.287300000004</v>
      </c>
      <c r="H358" s="111"/>
      <c r="I358" s="8"/>
    </row>
    <row r="359" spans="2:9" ht="15.75" hidden="1">
      <c r="B359" s="39" t="s">
        <v>24</v>
      </c>
      <c r="C359" s="78">
        <f>6813.88+5395.968+6047+1353.113+554.971+1559.989-526.255</f>
        <v>21198.666</v>
      </c>
      <c r="D359" s="30">
        <f>816.18+526.255</f>
        <v>1342.435</v>
      </c>
      <c r="E359" s="45">
        <f>576.5832+148.935+91.968+448.665+250.87</f>
        <v>1517.0212000000001</v>
      </c>
      <c r="F359" s="38">
        <f t="shared" si="13"/>
        <v>24058.1222</v>
      </c>
      <c r="H359" s="111"/>
      <c r="I359" s="8"/>
    </row>
    <row r="360" spans="2:9" ht="15.75" hidden="1">
      <c r="B360" s="39" t="s">
        <v>60</v>
      </c>
      <c r="C360" s="81">
        <f>4785.54+5607.187+6426+2026.4+88.11+704.179+1559.256-444.218</f>
        <v>20752.454</v>
      </c>
      <c r="D360" s="30">
        <f>895.484+444.218</f>
        <v>1339.702</v>
      </c>
      <c r="E360" s="45">
        <f>656.8628+82.05+71.892+670.69+236.42</f>
        <v>1717.9148</v>
      </c>
      <c r="F360" s="38">
        <f t="shared" si="13"/>
        <v>23810.0708</v>
      </c>
      <c r="H360" s="111"/>
      <c r="I360" s="8"/>
    </row>
    <row r="361" spans="2:9" ht="15.75" hidden="1">
      <c r="B361" s="39" t="s">
        <v>65</v>
      </c>
      <c r="C361" s="82">
        <f>5546.21+4477.838+6335+2104.102+444.12+415.727+1559.639-694.473</f>
        <v>20188.162999999993</v>
      </c>
      <c r="D361" s="30">
        <f>691.24+694.473</f>
        <v>1385.713</v>
      </c>
      <c r="E361" s="45">
        <f>525.2622+76.5+88.332+1681.583+228.867</f>
        <v>2600.5442000000003</v>
      </c>
      <c r="F361" s="38">
        <f t="shared" si="13"/>
        <v>24174.420199999993</v>
      </c>
      <c r="H361" s="111"/>
      <c r="I361" s="8"/>
    </row>
    <row r="362" spans="2:9" ht="15.75" hidden="1">
      <c r="B362" s="72" t="s">
        <v>25</v>
      </c>
      <c r="C362" s="83">
        <f>4945.92+3921.732+5873+2145.117+70.94+464.73+1559.999-706.418</f>
        <v>18275.019999999997</v>
      </c>
      <c r="D362" s="30">
        <f>654.308+706.418</f>
        <v>1360.726</v>
      </c>
      <c r="E362" s="38">
        <f>345.6842+64.8+123.3+1760.47+254.775</f>
        <v>2549.0292</v>
      </c>
      <c r="F362" s="38">
        <f t="shared" si="13"/>
        <v>22184.775199999996</v>
      </c>
      <c r="H362" s="111"/>
      <c r="I362" s="8"/>
    </row>
    <row r="363" spans="2:9" ht="15.75" hidden="1">
      <c r="B363" s="72" t="s">
        <v>16</v>
      </c>
      <c r="C363" s="84">
        <f>4180.76+3120.336+5860+2058.991+125.94+511.129+1559.998-632.618</f>
        <v>16784.536000000004</v>
      </c>
      <c r="D363" s="30">
        <f>571.38+632.618</f>
        <v>1203.998</v>
      </c>
      <c r="E363" s="38">
        <f>333.5119+81.33+122.4+1912.839+161.282</f>
        <v>2611.3629</v>
      </c>
      <c r="F363" s="38">
        <f t="shared" si="13"/>
        <v>20599.896900000003</v>
      </c>
      <c r="H363" s="111"/>
      <c r="I363" s="8"/>
    </row>
    <row r="364" spans="2:9" ht="15.75" hidden="1">
      <c r="B364" s="72" t="s">
        <v>17</v>
      </c>
      <c r="C364" s="85">
        <f>3246.46+3048.57+5070+2251.189+57.11+335.51+3153.757-924.109</f>
        <v>16238.487000000001</v>
      </c>
      <c r="D364" s="30">
        <f>164.136+924.109</f>
        <v>1088.2450000000001</v>
      </c>
      <c r="E364" s="38">
        <f>285.0419+104.676+1783.259+120.7</f>
        <v>2293.6769</v>
      </c>
      <c r="F364" s="38">
        <f t="shared" si="13"/>
        <v>19620.4089</v>
      </c>
      <c r="H364" s="111"/>
      <c r="I364" s="8"/>
    </row>
    <row r="365" spans="2:9" ht="15.75" hidden="1">
      <c r="B365" s="72" t="s">
        <v>62</v>
      </c>
      <c r="C365" s="86">
        <f>3041.88+3387.72+5098+2266.362+19.91+13.535+3219.679-530.291</f>
        <v>16516.795</v>
      </c>
      <c r="D365" s="30">
        <f>599.836+530.291</f>
        <v>1130.127</v>
      </c>
      <c r="E365" s="38">
        <f>349.6309+70.635+108.12+1703.761+257.8</f>
        <v>2489.9469</v>
      </c>
      <c r="F365" s="38">
        <f t="shared" si="13"/>
        <v>20136.868899999998</v>
      </c>
      <c r="H365" s="111"/>
      <c r="I365" s="8"/>
    </row>
    <row r="366" spans="2:9" ht="15.75" hidden="1">
      <c r="B366" s="72" t="s">
        <v>30</v>
      </c>
      <c r="C366" s="87">
        <f>3215.91+4230.114+5165+2224.2+293.733+3219.231-496.964</f>
        <v>17851.224</v>
      </c>
      <c r="D366" s="30">
        <f>759.58+496.964</f>
        <v>1256.544</v>
      </c>
      <c r="E366" s="38">
        <f>501.8991+93.825+78.816+1356.635+264.8</f>
        <v>2295.9751</v>
      </c>
      <c r="F366" s="38">
        <f t="shared" si="13"/>
        <v>21403.7431</v>
      </c>
      <c r="H366" s="111"/>
      <c r="I366" s="8"/>
    </row>
    <row r="367" spans="2:9" ht="15.75" hidden="1">
      <c r="B367" s="72" t="s">
        <v>63</v>
      </c>
      <c r="C367" s="88">
        <f>3423.02+3983.196+5130+2028.2+525.542+3138.307-449.127</f>
        <v>17779.138</v>
      </c>
      <c r="D367" s="30">
        <f>662.328+449.127</f>
        <v>1111.455</v>
      </c>
      <c r="E367" s="38">
        <f>510.52+53.235+85.284+1051.644+268</f>
        <v>1968.683</v>
      </c>
      <c r="F367" s="38">
        <f t="shared" si="13"/>
        <v>20859.276</v>
      </c>
      <c r="H367" s="111"/>
      <c r="I367" s="8"/>
    </row>
    <row r="368" spans="2:9" ht="15.75" hidden="1">
      <c r="B368" s="72" t="s">
        <v>21</v>
      </c>
      <c r="C368" s="89">
        <f>3879.05+4955.559+6162+1531.8+470.145+3214.033-368.509</f>
        <v>19844.078</v>
      </c>
      <c r="D368" s="30">
        <f>828.912+368.509</f>
        <v>1197.421</v>
      </c>
      <c r="E368" s="38">
        <f>559.8186+127.95+95.22+973.683+168.6</f>
        <v>1925.2716</v>
      </c>
      <c r="F368" s="38">
        <f>SUM(C368:E368)</f>
        <v>22966.7706</v>
      </c>
      <c r="H368" s="111"/>
      <c r="I368" s="8"/>
    </row>
    <row r="369" spans="2:9" ht="15.75" hidden="1">
      <c r="B369" s="39"/>
      <c r="C369" s="90"/>
      <c r="D369" s="30"/>
      <c r="E369" s="38"/>
      <c r="F369" s="38"/>
      <c r="H369" s="111"/>
      <c r="I369" s="8"/>
    </row>
    <row r="370" spans="2:9" ht="15.75">
      <c r="B370" s="42" t="s">
        <v>42</v>
      </c>
      <c r="C370" s="90"/>
      <c r="D370" s="30"/>
      <c r="E370" s="38"/>
      <c r="F370" s="38"/>
      <c r="H370" s="111"/>
      <c r="I370" s="8"/>
    </row>
    <row r="371" spans="2:9" ht="15.75">
      <c r="B371" s="72" t="s">
        <v>22</v>
      </c>
      <c r="C371" s="90">
        <f>4833.85+5146.617+6249+2204+248.612+1559.998-253.309</f>
        <v>19988.768</v>
      </c>
      <c r="D371" s="30">
        <f>881.028+253.309</f>
        <v>1134.337</v>
      </c>
      <c r="E371" s="38">
        <f>667.9+101.01+86.316+807.543+159</f>
        <v>1821.769</v>
      </c>
      <c r="F371" s="38">
        <f aca="true" t="shared" si="14" ref="F371:F382">SUM(C371:E371)</f>
        <v>22944.874</v>
      </c>
      <c r="H371" s="111"/>
      <c r="I371" s="8"/>
    </row>
    <row r="372" spans="2:9" ht="15.75">
      <c r="B372" s="72" t="s">
        <v>23</v>
      </c>
      <c r="C372" s="91">
        <f>5188.47+4683.735+4740+1428.2+220.515+1559.999-324.873</f>
        <v>17496.046000000002</v>
      </c>
      <c r="D372" s="30">
        <f>789.128+324.873</f>
        <v>1114.001</v>
      </c>
      <c r="E372" s="38">
        <f>589.0944+88.995+81.54+327.677+204.4</f>
        <v>1291.7064</v>
      </c>
      <c r="F372" s="38">
        <f t="shared" si="14"/>
        <v>19901.7534</v>
      </c>
      <c r="H372" s="111"/>
      <c r="I372" s="8"/>
    </row>
    <row r="373" spans="2:9" ht="15.75">
      <c r="B373" s="72" t="s">
        <v>24</v>
      </c>
      <c r="C373" s="30">
        <f>5939.29+4666.935+7234+83.61+1559.989-374.618</f>
        <v>19109.206000000002</v>
      </c>
      <c r="D373" s="92">
        <f>860.944+374.618</f>
        <v>1235.562</v>
      </c>
      <c r="E373" s="38">
        <f>651.3406+90+82.068+852.447+192.1</f>
        <v>1867.9555999999998</v>
      </c>
      <c r="F373" s="38">
        <f t="shared" si="14"/>
        <v>22212.723600000005</v>
      </c>
      <c r="H373" s="111"/>
      <c r="I373" s="8"/>
    </row>
    <row r="374" spans="2:9" ht="15.75">
      <c r="B374" s="72" t="s">
        <v>60</v>
      </c>
      <c r="C374" s="30">
        <f>4844.43+5841.927+5803+1322.044+1489.284-447.327</f>
        <v>18853.358</v>
      </c>
      <c r="D374" s="93">
        <f>447.327+890.812</f>
        <v>1338.1390000000001</v>
      </c>
      <c r="E374" s="38">
        <f>669.168+167.7+53.976+1274.681+147.4</f>
        <v>2312.925</v>
      </c>
      <c r="F374" s="38">
        <f t="shared" si="14"/>
        <v>22504.422</v>
      </c>
      <c r="H374" s="111"/>
      <c r="I374" s="8"/>
    </row>
    <row r="375" spans="2:9" ht="15.75">
      <c r="B375" s="72" t="s">
        <v>65</v>
      </c>
      <c r="C375" s="30">
        <f>3569.88+5612.652+5589+1814.43+1536.023-534.273</f>
        <v>17587.712</v>
      </c>
      <c r="D375" s="94">
        <f>880.276+534.273</f>
        <v>1414.549</v>
      </c>
      <c r="E375" s="38">
        <f>694.8257+239.55+1494.074+306</f>
        <v>2734.4497</v>
      </c>
      <c r="F375" s="38">
        <f t="shared" si="14"/>
        <v>21736.7107</v>
      </c>
      <c r="H375" s="111"/>
      <c r="I375" s="8"/>
    </row>
    <row r="376" spans="2:9" ht="15.75">
      <c r="B376" s="72" t="s">
        <v>25</v>
      </c>
      <c r="C376" s="30">
        <f>4761.41+4581.216+5754+2025.227+1559.99-798.545</f>
        <v>17883.298000000003</v>
      </c>
      <c r="D376" s="30">
        <f>798.545+660.588</f>
        <v>1459.1329999999998</v>
      </c>
      <c r="E376" s="38">
        <f>618.0647+1202.679+265.55</f>
        <v>2086.2937</v>
      </c>
      <c r="F376" s="38">
        <f t="shared" si="14"/>
        <v>21428.724700000006</v>
      </c>
      <c r="G376" s="19"/>
      <c r="H376" s="111"/>
      <c r="I376" s="8"/>
    </row>
    <row r="377" spans="2:9" s="15" customFormat="1" ht="15.75">
      <c r="B377" s="98" t="s">
        <v>16</v>
      </c>
      <c r="C377" s="95">
        <f>6189.78+4581.216+6297+2097.586+16.187+1559.994-1190.291</f>
        <v>19551.471999999998</v>
      </c>
      <c r="D377" s="96">
        <f>1190.291+510.204</f>
        <v>1700.495</v>
      </c>
      <c r="E377" s="97">
        <f>404.515+90.805+1219.963+262.7</f>
        <v>1977.983</v>
      </c>
      <c r="F377" s="97">
        <f t="shared" si="14"/>
        <v>23229.949999999997</v>
      </c>
      <c r="G377" s="95"/>
      <c r="H377" s="113"/>
      <c r="I377" s="14"/>
    </row>
    <row r="378" spans="2:9" s="15" customFormat="1" ht="15.75">
      <c r="B378" s="98" t="s">
        <v>17</v>
      </c>
      <c r="C378" s="95">
        <f>5269.81+3935.862+5765+1996.965+195.137+2484.732-1150.364</f>
        <v>18497.141999999996</v>
      </c>
      <c r="D378" s="96">
        <f>1150.364+382.94</f>
        <v>1533.304</v>
      </c>
      <c r="E378" s="97">
        <f>331.1863+61.95+979.01+234</f>
        <v>1606.1462999999999</v>
      </c>
      <c r="F378" s="97">
        <f t="shared" si="14"/>
        <v>21636.592299999997</v>
      </c>
      <c r="G378" s="95"/>
      <c r="H378" s="113"/>
      <c r="I378" s="14"/>
    </row>
    <row r="379" spans="2:9" s="15" customFormat="1" ht="15.75">
      <c r="B379" s="98" t="s">
        <v>62</v>
      </c>
      <c r="C379" s="95">
        <f>3005.25+2997.519+5629+2117.167+797.788+2988.042-915.873</f>
        <v>16618.893</v>
      </c>
      <c r="D379" s="96">
        <f>915.873+463.6</f>
        <v>1379.473</v>
      </c>
      <c r="E379" s="97">
        <f>296.7487+31.65+480.358+213.4</f>
        <v>1022.1566999999999</v>
      </c>
      <c r="F379" s="97">
        <f t="shared" si="14"/>
        <v>19020.5227</v>
      </c>
      <c r="G379" s="95"/>
      <c r="H379" s="113"/>
      <c r="I379" s="14"/>
    </row>
    <row r="380" spans="2:9" s="15" customFormat="1" ht="15.75">
      <c r="B380" s="98" t="s">
        <v>30</v>
      </c>
      <c r="C380" s="95">
        <f>2862.95+3919.5+5815+1954.4+755.333+3353.039-919.636</f>
        <v>17740.586000000003</v>
      </c>
      <c r="D380" s="96">
        <f>919.636+480.6</f>
        <v>1400.2359999999999</v>
      </c>
      <c r="E380" s="97">
        <f>501.188+36.03+494.58+252.3</f>
        <v>1284.098</v>
      </c>
      <c r="F380" s="97">
        <f t="shared" si="14"/>
        <v>20424.920000000006</v>
      </c>
      <c r="G380" s="95"/>
      <c r="H380" s="113"/>
      <c r="I380" s="14"/>
    </row>
    <row r="381" spans="2:9" s="15" customFormat="1" ht="15.75">
      <c r="B381" s="98" t="s">
        <v>63</v>
      </c>
      <c r="C381" s="95">
        <f>2191.1+4932.312+5787+1878.912+509.282+3078.256-712.309</f>
        <v>17664.553</v>
      </c>
      <c r="D381" s="96">
        <f>628.928+712.309</f>
        <v>1341.237</v>
      </c>
      <c r="E381" s="97">
        <f>634.043+93.405+672.204+237.5</f>
        <v>1637.152</v>
      </c>
      <c r="F381" s="97">
        <f t="shared" si="14"/>
        <v>20642.942000000003</v>
      </c>
      <c r="G381" s="95"/>
      <c r="H381" s="113"/>
      <c r="I381" s="14"/>
    </row>
    <row r="382" spans="2:9" s="15" customFormat="1" ht="15.75">
      <c r="B382" s="98" t="s">
        <v>21</v>
      </c>
      <c r="C382" s="95">
        <f>3199.28+5122.026+6351+1837.992+128.251+3014.046-537</f>
        <v>19115.594999999998</v>
      </c>
      <c r="D382" s="96">
        <f>781.164+537</f>
        <v>1318.164</v>
      </c>
      <c r="E382" s="97">
        <f>681.426+188.34+563.328+257.5</f>
        <v>1690.594</v>
      </c>
      <c r="F382" s="97">
        <f t="shared" si="14"/>
        <v>22124.353</v>
      </c>
      <c r="G382" s="95"/>
      <c r="H382" s="113"/>
      <c r="I382" s="14"/>
    </row>
    <row r="383" spans="2:9" s="15" customFormat="1" ht="15.75">
      <c r="B383" s="62"/>
      <c r="C383" s="95"/>
      <c r="D383" s="96"/>
      <c r="E383" s="97"/>
      <c r="F383" s="97"/>
      <c r="G383" s="95"/>
      <c r="H383" s="113"/>
      <c r="I383" s="14"/>
    </row>
    <row r="384" spans="2:9" s="15" customFormat="1" ht="15.75">
      <c r="B384" s="42" t="s">
        <v>44</v>
      </c>
      <c r="C384" s="95"/>
      <c r="D384" s="96"/>
      <c r="E384" s="97"/>
      <c r="F384" s="97"/>
      <c r="G384" s="95"/>
      <c r="H384" s="113"/>
      <c r="I384" s="14"/>
    </row>
    <row r="385" spans="2:9" s="15" customFormat="1" ht="15.75">
      <c r="B385" s="72" t="s">
        <v>22</v>
      </c>
      <c r="C385" s="95">
        <f>3629.22+5158.86+7711+1929.352+72.348+1700.348-773.673</f>
        <v>19427.455000000005</v>
      </c>
      <c r="D385" s="96">
        <f>637.276+773.673</f>
        <v>1410.949</v>
      </c>
      <c r="E385" s="97">
        <f>634.3696+81.63+925.28+200.6</f>
        <v>1841.8795999999998</v>
      </c>
      <c r="F385" s="97">
        <f aca="true" t="shared" si="15" ref="F385:F396">SUM(C385:E385)</f>
        <v>22680.283600000006</v>
      </c>
      <c r="G385" s="95"/>
      <c r="H385" s="113"/>
      <c r="I385" s="14"/>
    </row>
    <row r="386" spans="2:9" s="15" customFormat="1" ht="15.75">
      <c r="B386" s="72" t="s">
        <v>23</v>
      </c>
      <c r="C386" s="95">
        <f>3569.14+4699.758+8708+1909.396+35.298+1559.897-135.709</f>
        <v>20345.780000000002</v>
      </c>
      <c r="D386" s="96">
        <f>0+135.709</f>
        <v>135.709</v>
      </c>
      <c r="E386" s="97">
        <f>670.2354+150.99+828.167+196.3</f>
        <v>1845.6924000000001</v>
      </c>
      <c r="F386" s="97">
        <f t="shared" si="15"/>
        <v>22327.1814</v>
      </c>
      <c r="G386" s="95"/>
      <c r="H386" s="113"/>
      <c r="I386" s="14"/>
    </row>
    <row r="387" spans="2:9" s="15" customFormat="1" ht="15.75">
      <c r="B387" s="72" t="s">
        <v>24</v>
      </c>
      <c r="C387" s="95">
        <f>5435.98+5232.633+9005+1469.553+132.654+1273.849-1494.327</f>
        <v>21055.341999999993</v>
      </c>
      <c r="D387" s="96">
        <f>0+1494.327</f>
        <v>1494.327</v>
      </c>
      <c r="E387" s="97">
        <f>722.3244+131.67+642.529+255.8</f>
        <v>1752.3234</v>
      </c>
      <c r="F387" s="97">
        <f t="shared" si="15"/>
        <v>24301.992399999996</v>
      </c>
      <c r="G387" s="95"/>
      <c r="H387" s="113"/>
      <c r="I387" s="14"/>
    </row>
    <row r="388" spans="2:9" s="15" customFormat="1" ht="15.75">
      <c r="B388" s="72" t="s">
        <v>60</v>
      </c>
      <c r="C388" s="95">
        <f>7805.01+5168.457+7189+2079.146+97.977+366.688-1341.491</f>
        <v>21364.786999999997</v>
      </c>
      <c r="D388" s="96">
        <f>359.2+1341.491</f>
        <v>1700.691</v>
      </c>
      <c r="E388" s="97">
        <f>455.539+131.805+741.875+248.4</f>
        <v>1577.6190000000001</v>
      </c>
      <c r="F388" s="97">
        <f t="shared" si="15"/>
        <v>24643.096999999994</v>
      </c>
      <c r="G388" s="95"/>
      <c r="H388" s="113"/>
      <c r="I388" s="14"/>
    </row>
    <row r="389" spans="2:9" s="15" customFormat="1" ht="15.75">
      <c r="B389" s="72" t="s">
        <v>65</v>
      </c>
      <c r="C389" s="95">
        <f>7469.18+5100.123+7941+2318.045+64.292+620.182-1241.321</f>
        <v>22271.501</v>
      </c>
      <c r="D389" s="96">
        <f>620.58+1241.321</f>
        <v>1861.9009999999998</v>
      </c>
      <c r="E389" s="97">
        <f>595.2844+132.495+606.51104+308.8</f>
        <v>1643.09044</v>
      </c>
      <c r="F389" s="97">
        <f t="shared" si="15"/>
        <v>25776.49244</v>
      </c>
      <c r="G389" s="95"/>
      <c r="H389" s="113"/>
      <c r="I389" s="14"/>
    </row>
    <row r="390" spans="2:9" s="15" customFormat="1" ht="15.75">
      <c r="B390" s="72" t="s">
        <v>25</v>
      </c>
      <c r="C390" s="95">
        <f>6281.46+3489.84+8303+2427.878+77.88+1452.552-1022.836</f>
        <v>21009.774</v>
      </c>
      <c r="D390" s="96">
        <f>610.52+1022.836</f>
        <v>1633.356</v>
      </c>
      <c r="E390" s="97">
        <f>326.527+75.54+9.336+828.2454+276.4</f>
        <v>1516.0484000000001</v>
      </c>
      <c r="F390" s="97">
        <f t="shared" si="15"/>
        <v>24159.1784</v>
      </c>
      <c r="G390" s="95"/>
      <c r="H390" s="113"/>
      <c r="I390" s="14"/>
    </row>
    <row r="391" spans="2:9" s="15" customFormat="1" ht="15.75">
      <c r="B391" s="72" t="s">
        <v>16</v>
      </c>
      <c r="C391" s="95">
        <f>7362.07+3154.179+7693+2291.941+165.989+1559.859-897.709</f>
        <v>21329.329</v>
      </c>
      <c r="D391" s="96">
        <f>689.2+897.709</f>
        <v>1586.909</v>
      </c>
      <c r="E391" s="97">
        <f>361.431+75.195+712.68544+287.9</f>
        <v>1437.21144</v>
      </c>
      <c r="F391" s="97">
        <f t="shared" si="15"/>
        <v>24353.44944</v>
      </c>
      <c r="G391" s="95"/>
      <c r="H391" s="113"/>
      <c r="I391" s="14"/>
    </row>
    <row r="392" spans="2:9" s="15" customFormat="1" ht="15.75">
      <c r="B392" s="72" t="s">
        <v>17</v>
      </c>
      <c r="C392" s="95">
        <f>6780.82+2516.619+7813+2368.299+160.385+2242.066-1090.691</f>
        <v>20790.497999999996</v>
      </c>
      <c r="D392" s="96">
        <f>597.7+1090.691</f>
        <v>1688.391</v>
      </c>
      <c r="E392" s="97">
        <f>330.871+41.895+1168.21024+267</f>
        <v>1807.97624</v>
      </c>
      <c r="F392" s="97">
        <f t="shared" si="15"/>
        <v>24286.865239999996</v>
      </c>
      <c r="G392" s="95"/>
      <c r="H392" s="113"/>
      <c r="I392" s="14"/>
    </row>
    <row r="393" spans="2:9" s="15" customFormat="1" ht="15.75">
      <c r="B393" s="72" t="s">
        <v>62</v>
      </c>
      <c r="C393" s="95">
        <f>5852.99+2500.113+7878+2162.253+144.387+2790.069-1251</f>
        <v>20076.811999999998</v>
      </c>
      <c r="D393" s="96">
        <f>344.692+1251</f>
        <v>1595.692</v>
      </c>
      <c r="E393" s="97">
        <f>297.291+1115.28396+116.845</f>
        <v>1529.41996</v>
      </c>
      <c r="F393" s="97">
        <f t="shared" si="15"/>
        <v>23201.923959999996</v>
      </c>
      <c r="G393" s="95"/>
      <c r="H393" s="113"/>
      <c r="I393" s="14"/>
    </row>
    <row r="394" spans="2:9" s="15" customFormat="1" ht="15.75">
      <c r="B394" s="72" t="s">
        <v>30</v>
      </c>
      <c r="C394" s="95">
        <f>5687.02+2965.683+8138+2577.804+269.801+2856.764-1222.636</f>
        <v>21272.436</v>
      </c>
      <c r="D394" s="96">
        <f>428.228+1222.636</f>
        <v>1650.864</v>
      </c>
      <c r="E394" s="97">
        <f>399.404+71.025+0+1190.35472+225.8</f>
        <v>1886.5837199999999</v>
      </c>
      <c r="F394" s="97">
        <f t="shared" si="15"/>
        <v>24809.88372</v>
      </c>
      <c r="G394" s="95"/>
      <c r="H394" s="113"/>
      <c r="I394" s="14"/>
    </row>
    <row r="395" spans="2:9" s="15" customFormat="1" ht="15.75">
      <c r="B395" s="72" t="s">
        <v>63</v>
      </c>
      <c r="C395" s="95">
        <f>5304.72+3020.199+7021+2372.422+270.702+3040.159-1092.818</f>
        <v>19936.384000000002</v>
      </c>
      <c r="D395" s="96">
        <f>537.132+1092.818</f>
        <v>1629.9499999999998</v>
      </c>
      <c r="E395" s="97">
        <f>446.1989+50.94+12.984+1157.14788+252.6</f>
        <v>1919.8707799999997</v>
      </c>
      <c r="F395" s="97">
        <f t="shared" si="15"/>
        <v>23486.204780000004</v>
      </c>
      <c r="G395" s="95"/>
      <c r="H395" s="113"/>
      <c r="I395" s="14"/>
    </row>
    <row r="396" spans="2:9" s="15" customFormat="1" ht="15.75">
      <c r="B396" s="72" t="s">
        <v>21</v>
      </c>
      <c r="C396" s="95">
        <f>4998.66+3573.696+6975+1651.198+325.269+2806.916-948.6</f>
        <v>19382.139000000003</v>
      </c>
      <c r="D396" s="96">
        <f>575.792+948.6</f>
        <v>1524.392</v>
      </c>
      <c r="E396" s="97">
        <f>416.6762+18.816+1234.9894+260</f>
        <v>1930.4815999999998</v>
      </c>
      <c r="F396" s="97">
        <f t="shared" si="15"/>
        <v>22837.012600000002</v>
      </c>
      <c r="G396" s="95"/>
      <c r="H396" s="113"/>
      <c r="I396" s="14"/>
    </row>
    <row r="397" spans="2:9" s="15" customFormat="1" ht="15.75">
      <c r="B397" s="72"/>
      <c r="C397" s="95"/>
      <c r="D397" s="96"/>
      <c r="E397" s="97"/>
      <c r="F397" s="97"/>
      <c r="G397" s="95"/>
      <c r="H397" s="113"/>
      <c r="I397" s="14"/>
    </row>
    <row r="398" spans="2:9" s="15" customFormat="1" ht="15.75">
      <c r="B398" s="42" t="s">
        <v>45</v>
      </c>
      <c r="C398" s="95"/>
      <c r="D398" s="96"/>
      <c r="E398" s="97"/>
      <c r="F398" s="97"/>
      <c r="G398" s="95"/>
      <c r="H398" s="113"/>
      <c r="I398" s="14"/>
    </row>
    <row r="399" spans="2:9" s="15" customFormat="1" ht="15.75">
      <c r="B399" s="72" t="s">
        <v>22</v>
      </c>
      <c r="C399" s="95">
        <f>3247.13+4270.413+7551+1925.521+336.913+2965.146-583.826-906.818</f>
        <v>18805.479</v>
      </c>
      <c r="D399" s="96">
        <f>583.826+906.818</f>
        <v>1490.644</v>
      </c>
      <c r="E399" s="97">
        <f>543.2743+35.415+1296.45152+260.9</f>
        <v>2136.04082</v>
      </c>
      <c r="F399" s="97">
        <f>SUM(C399:E399)</f>
        <v>22432.16382</v>
      </c>
      <c r="G399" s="95"/>
      <c r="H399" s="113"/>
      <c r="I399" s="14"/>
    </row>
    <row r="400" spans="2:9" ht="15.75">
      <c r="B400" s="39"/>
      <c r="C400" s="21"/>
      <c r="D400" s="30"/>
      <c r="E400" s="45"/>
      <c r="F400" s="66"/>
      <c r="H400" s="111"/>
      <c r="I400" s="8"/>
    </row>
    <row r="401" spans="2:9" ht="15.75">
      <c r="B401" s="67"/>
      <c r="C401" s="68"/>
      <c r="D401" s="68"/>
      <c r="E401" s="68"/>
      <c r="F401" s="43"/>
      <c r="H401" s="114"/>
      <c r="I401" s="8"/>
    </row>
    <row r="402" spans="2:10" ht="15.75">
      <c r="B402" s="99" t="s">
        <v>71</v>
      </c>
      <c r="C402" s="59"/>
      <c r="D402" s="59"/>
      <c r="E402" s="59"/>
      <c r="F402" s="69"/>
      <c r="H402" s="110"/>
      <c r="I402" s="11"/>
      <c r="J402" s="8"/>
    </row>
    <row r="403" spans="2:7" ht="15.75">
      <c r="B403" s="70"/>
      <c r="C403" s="25"/>
      <c r="D403" s="25"/>
      <c r="E403" s="25"/>
      <c r="F403" s="26"/>
      <c r="G403" s="8"/>
    </row>
    <row r="404" spans="3:7" ht="15.75">
      <c r="C404" s="2"/>
      <c r="D404" s="10"/>
      <c r="E404" s="2"/>
      <c r="F404" s="5"/>
      <c r="G404" s="9"/>
    </row>
    <row r="405" spans="4:7" ht="15.75">
      <c r="D405" s="8"/>
      <c r="F405" s="8"/>
      <c r="G405" s="9"/>
    </row>
    <row r="406" ht="15.75">
      <c r="E406" s="5"/>
    </row>
    <row r="407" spans="4:7" ht="15.75">
      <c r="D407" s="3"/>
      <c r="G407" s="9"/>
    </row>
    <row r="408" ht="15.75">
      <c r="C408" s="6"/>
    </row>
    <row r="409" spans="5:6" ht="15.75">
      <c r="E409" s="3"/>
      <c r="F409" s="3"/>
    </row>
    <row r="410" spans="5:6" ht="15.75">
      <c r="E410" s="8"/>
      <c r="F410" s="8"/>
    </row>
    <row r="418" ht="15.75">
      <c r="E418" s="6"/>
    </row>
    <row r="420" ht="15.75">
      <c r="E420" s="8"/>
    </row>
  </sheetData>
  <sheetProtection/>
  <mergeCells count="2">
    <mergeCell ref="B4:F4"/>
    <mergeCell ref="B5:F5"/>
  </mergeCells>
  <printOptions horizontalCentered="1" verticalCentered="1"/>
  <pageMargins left="0.5118110236220472" right="0.7086614173228347" top="0.5118110236220472" bottom="0.5511811023622047" header="0.5118110236220472" footer="0.5118110236220472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NAHIMANA EGIDE</dc:creator>
  <cp:keywords/>
  <dc:description/>
  <cp:lastModifiedBy>A0751</cp:lastModifiedBy>
  <cp:lastPrinted>2017-01-23T07:19:50Z</cp:lastPrinted>
  <dcterms:created xsi:type="dcterms:W3CDTF">2000-08-22T08:23:22Z</dcterms:created>
  <dcterms:modified xsi:type="dcterms:W3CDTF">2017-03-23T13:22:44Z</dcterms:modified>
  <cp:category/>
  <cp:version/>
  <cp:contentType/>
  <cp:contentStatus/>
</cp:coreProperties>
</file>