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8 Fr" sheetId="1" r:id="rId1"/>
  </sheets>
  <definedNames>
    <definedName name="_xlnm.Print_Area" localSheetId="0">'I.8 Fr'!$B$1:$F$144</definedName>
    <definedName name="Zone_impres_MI">'I.8 Fr'!$B$1:$G$144</definedName>
  </definedNames>
  <calcPr fullCalcOnLoad="1"/>
</workbook>
</file>

<file path=xl/sharedStrings.xml><?xml version="1.0" encoding="utf-8"?>
<sst xmlns="http://schemas.openxmlformats.org/spreadsheetml/2006/main" count="128" uniqueCount="47">
  <si>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</si>
  <si>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</si>
  <si>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</si>
  <si>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</si>
  <si>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</si>
  <si>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</si>
  <si>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</si>
  <si>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</si>
  <si>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4ème Trim.</t>
  </si>
  <si>
    <t>2000</t>
  </si>
  <si>
    <t xml:space="preserve">  Mai </t>
  </si>
  <si>
    <t xml:space="preserve">  Juillet</t>
  </si>
  <si>
    <t xml:space="preserve">  Août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</si>
  <si>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</si>
  <si>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</si>
  <si>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</si>
  <si>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</si>
  <si>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</si>
  <si>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</si>
  <si>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2002</t>
  </si>
  <si>
    <t>2003</t>
  </si>
  <si>
    <t xml:space="preserve">  Octobre</t>
  </si>
  <si>
    <t>2004</t>
  </si>
  <si>
    <t>2005</t>
  </si>
  <si>
    <t>2008</t>
  </si>
  <si>
    <t>2009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</si>
  <si>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</si>
  <si>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</si>
  <si>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</si>
  <si>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</si>
  <si>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</si>
  <si>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</si>
  <si>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</si>
  <si>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</si>
  <si>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 xml:space="preserve">                                        CONSOMMATION D'ENERGIE ELECTRIQUE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</si>
  <si>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</si>
  <si>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</si>
  <si>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</si>
  <si>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</si>
  <si>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</si>
  <si>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</si>
  <si>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</si>
  <si>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</si>
  <si>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</si>
  <si>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 Trim.</t>
  </si>
  <si>
    <t>Ville</t>
  </si>
  <si>
    <t>Source :  REGIDESO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</si>
</sst>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8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45" applyNumberFormat="1" applyFont="1" applyAlignment="1">
      <alignment/>
    </xf>
    <xf numFmtId="190" fontId="0" fillId="0" borderId="0" xfId="45" applyNumberFormat="1" applyFont="1" applyAlignment="1">
      <alignment/>
    </xf>
    <xf numFmtId="201" fontId="0" fillId="0" borderId="0" xfId="45" applyNumberFormat="1" applyFont="1" applyAlignment="1">
      <alignment/>
    </xf>
    <xf numFmtId="191" fontId="0" fillId="0" borderId="0" xfId="45" applyNumberFormat="1" applyFont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1" xfId="0" applyFont="1" applyBorder="1" applyAlignment="1">
      <alignment horizontal="fill"/>
    </xf>
    <xf numFmtId="37" fontId="23" fillId="0" borderId="12" xfId="0" applyFont="1" applyBorder="1" applyAlignment="1">
      <alignment horizontal="fill"/>
    </xf>
    <xf numFmtId="37" fontId="23" fillId="0" borderId="13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4" xfId="0" applyFont="1" applyBorder="1" applyAlignment="1">
      <alignment horizontal="right"/>
    </xf>
    <xf numFmtId="37" fontId="23" fillId="0" borderId="14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2" xfId="0" applyFont="1" applyBorder="1" applyAlignment="1">
      <alignment/>
    </xf>
    <xf numFmtId="37" fontId="23" fillId="0" borderId="17" xfId="0" applyFont="1" applyBorder="1" applyAlignment="1">
      <alignment/>
    </xf>
    <xf numFmtId="37" fontId="23" fillId="0" borderId="13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8" xfId="0" applyFont="1" applyBorder="1" applyAlignment="1">
      <alignment horizontal="right"/>
    </xf>
    <xf numFmtId="37" fontId="23" fillId="0" borderId="14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2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7" fontId="23" fillId="0" borderId="18" xfId="0" applyFont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8" xfId="0" applyFont="1" applyBorder="1" applyAlignment="1" quotePrefix="1">
      <alignment horizontal="left"/>
    </xf>
    <xf numFmtId="3" fontId="23" fillId="0" borderId="14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37" fontId="23" fillId="0" borderId="0" xfId="0" applyFont="1" applyAlignment="1">
      <alignment/>
    </xf>
    <xf numFmtId="37" fontId="23" fillId="0" borderId="18" xfId="0" applyFont="1" applyFill="1" applyBorder="1" applyAlignment="1">
      <alignment horizontal="left"/>
    </xf>
    <xf numFmtId="37" fontId="23" fillId="0" borderId="0" xfId="0" applyNumberFormat="1" applyFont="1" applyAlignment="1">
      <alignment/>
    </xf>
    <xf numFmtId="37" fontId="23" fillId="0" borderId="18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1" xfId="0" applyFont="1" applyBorder="1" applyAlignment="1">
      <alignment/>
    </xf>
    <xf numFmtId="190" fontId="23" fillId="0" borderId="12" xfId="45" applyNumberFormat="1" applyFont="1" applyBorder="1" applyAlignment="1">
      <alignment/>
    </xf>
    <xf numFmtId="203" fontId="23" fillId="0" borderId="14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8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8" xfId="0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19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7" fontId="23" fillId="0" borderId="18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7" xfId="0" applyFont="1" applyBorder="1" applyAlignment="1">
      <alignment horizontal="right"/>
    </xf>
    <xf numFmtId="37" fontId="5" fillId="0" borderId="18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4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4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161"/>
  <sheetViews>
    <sheetView showGridLines="0" tabSelected="1" zoomScale="90" zoomScaleNormal="90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E34" sqref="E34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9"/>
      <c r="C1" s="20"/>
      <c r="D1" s="20"/>
      <c r="E1" s="20"/>
      <c r="F1" s="21"/>
    </row>
    <row r="2" spans="2:6" ht="15.75">
      <c r="B2" s="22"/>
      <c r="C2" s="23" t="s">
        <v>0</v>
      </c>
      <c r="D2" s="24"/>
      <c r="E2" s="24"/>
      <c r="F2" s="25" t="s">
        <v>40</v>
      </c>
    </row>
    <row r="3" spans="2:6" ht="15.75">
      <c r="B3" s="22"/>
      <c r="C3" s="24"/>
      <c r="D3" s="24"/>
      <c r="E3" s="24"/>
      <c r="F3" s="26"/>
    </row>
    <row r="4" spans="2:7" ht="15.75">
      <c r="B4" s="92" t="s">
        <v>34</v>
      </c>
      <c r="C4" s="93"/>
      <c r="D4" s="93"/>
      <c r="E4" s="93"/>
      <c r="F4" s="94"/>
      <c r="G4" t="s">
        <v>31</v>
      </c>
    </row>
    <row r="5" spans="2:8" ht="15.75">
      <c r="B5" s="95" t="s">
        <v>35</v>
      </c>
      <c r="C5" s="96"/>
      <c r="D5" s="96"/>
      <c r="E5" s="96"/>
      <c r="F5" s="97"/>
      <c r="H5" s="8"/>
    </row>
    <row r="6" spans="2:8" ht="15.75">
      <c r="B6" s="27"/>
      <c r="C6" s="28"/>
      <c r="D6" s="28"/>
      <c r="E6" s="28"/>
      <c r="F6" s="29"/>
      <c r="H6" s="7"/>
    </row>
    <row r="7" spans="2:6" ht="15.75">
      <c r="B7" s="89"/>
      <c r="C7" s="30"/>
      <c r="D7" s="31"/>
      <c r="E7" s="31"/>
      <c r="F7" s="32"/>
    </row>
    <row r="8" spans="2:6" ht="15.75">
      <c r="B8" s="90" t="s">
        <v>45</v>
      </c>
      <c r="C8" s="34" t="s">
        <v>1</v>
      </c>
      <c r="D8" s="35" t="s">
        <v>2</v>
      </c>
      <c r="E8" s="35" t="s">
        <v>43</v>
      </c>
      <c r="F8" s="36" t="s">
        <v>3</v>
      </c>
    </row>
    <row r="9" spans="2:8" ht="15.75">
      <c r="B9" s="91" t="s">
        <v>42</v>
      </c>
      <c r="C9" s="28"/>
      <c r="D9" s="37"/>
      <c r="E9" s="37"/>
      <c r="F9" s="37"/>
      <c r="G9" s="3"/>
      <c r="H9" s="1"/>
    </row>
    <row r="10" spans="2:6" ht="15.75">
      <c r="B10" s="31"/>
      <c r="C10" s="38"/>
      <c r="D10" s="39"/>
      <c r="E10" s="39"/>
      <c r="F10" s="39"/>
    </row>
    <row r="11" spans="2:6" ht="15.75" hidden="1">
      <c r="B11" s="33"/>
      <c r="C11" s="40"/>
      <c r="D11" s="41"/>
      <c r="E11" s="41"/>
      <c r="F11" s="41"/>
    </row>
    <row r="12" spans="2:6" ht="15.75" hidden="1">
      <c r="B12" s="42" t="s">
        <v>4</v>
      </c>
      <c r="C12" s="40">
        <v>117827</v>
      </c>
      <c r="D12" s="41">
        <v>3806</v>
      </c>
      <c r="E12" s="41">
        <v>6886</v>
      </c>
      <c r="F12" s="41">
        <v>128519</v>
      </c>
    </row>
    <row r="13" spans="2:6" ht="15.75" hidden="1">
      <c r="B13" s="42" t="s">
        <v>5</v>
      </c>
      <c r="C13" s="40">
        <v>90365</v>
      </c>
      <c r="D13" s="41">
        <v>4457</v>
      </c>
      <c r="E13" s="41">
        <v>5963</v>
      </c>
      <c r="F13" s="41">
        <f aca="true" t="shared" si="0" ref="F13:F18">SUM(C13:E13)</f>
        <v>100785</v>
      </c>
    </row>
    <row r="14" spans="2:6" ht="15.75" hidden="1">
      <c r="B14" s="43">
        <v>1997</v>
      </c>
      <c r="C14" s="40">
        <v>118824</v>
      </c>
      <c r="D14" s="41">
        <v>3888</v>
      </c>
      <c r="E14" s="41">
        <v>5917</v>
      </c>
      <c r="F14" s="41">
        <f t="shared" si="0"/>
        <v>128629</v>
      </c>
    </row>
    <row r="15" spans="2:8" ht="15.75" hidden="1">
      <c r="B15" s="42" t="s">
        <v>6</v>
      </c>
      <c r="C15" s="40">
        <v>123720</v>
      </c>
      <c r="D15" s="41">
        <v>8775</v>
      </c>
      <c r="E15" s="41">
        <v>8068</v>
      </c>
      <c r="F15" s="41">
        <f t="shared" si="0"/>
        <v>140563</v>
      </c>
      <c r="G15" s="6"/>
      <c r="H15" s="1"/>
    </row>
    <row r="16" spans="2:6" ht="15.75" hidden="1">
      <c r="B16" s="42" t="s">
        <v>7</v>
      </c>
      <c r="C16" s="40">
        <v>130554</v>
      </c>
      <c r="D16" s="41">
        <v>8566</v>
      </c>
      <c r="E16" s="41">
        <v>7867</v>
      </c>
      <c r="F16" s="41">
        <f t="shared" si="0"/>
        <v>146987</v>
      </c>
    </row>
    <row r="17" spans="2:6" ht="15.75" hidden="1">
      <c r="B17" s="42" t="s">
        <v>9</v>
      </c>
      <c r="C17" s="40">
        <v>129194.38399999999</v>
      </c>
      <c r="D17" s="41">
        <v>6183.32</v>
      </c>
      <c r="E17" s="41">
        <v>8491.7055</v>
      </c>
      <c r="F17" s="41">
        <f t="shared" si="0"/>
        <v>143869.4095</v>
      </c>
    </row>
    <row r="18" spans="2:8" ht="15.75" hidden="1">
      <c r="B18" s="43">
        <v>2001</v>
      </c>
      <c r="C18" s="44">
        <v>126697</v>
      </c>
      <c r="D18" s="41">
        <v>3786</v>
      </c>
      <c r="E18" s="41">
        <v>9596</v>
      </c>
      <c r="F18" s="41">
        <f t="shared" si="0"/>
        <v>140079</v>
      </c>
      <c r="H18" s="12"/>
    </row>
    <row r="19" spans="2:8" ht="15.75" hidden="1">
      <c r="B19" s="45" t="s">
        <v>19</v>
      </c>
      <c r="C19" s="44">
        <v>142003</v>
      </c>
      <c r="D19" s="41">
        <v>3356</v>
      </c>
      <c r="E19" s="41">
        <v>9035</v>
      </c>
      <c r="F19" s="41">
        <v>154393</v>
      </c>
      <c r="H19" s="12"/>
    </row>
    <row r="20" spans="2:8" ht="15.75" hidden="1">
      <c r="B20" s="45" t="s">
        <v>20</v>
      </c>
      <c r="C20" s="40">
        <v>143178.03</v>
      </c>
      <c r="D20" s="41">
        <v>3592.3</v>
      </c>
      <c r="E20" s="41">
        <v>7758.077</v>
      </c>
      <c r="F20" s="41">
        <f>SUM(C20:E20)</f>
        <v>154528.40699999998</v>
      </c>
      <c r="H20" s="12"/>
    </row>
    <row r="21" spans="2:8" ht="15.75" hidden="1">
      <c r="B21" s="45" t="s">
        <v>22</v>
      </c>
      <c r="C21" s="46">
        <v>147645</v>
      </c>
      <c r="D21" s="46">
        <v>10162.93</v>
      </c>
      <c r="E21" s="46">
        <v>6856</v>
      </c>
      <c r="F21" s="41">
        <v>164664</v>
      </c>
      <c r="H21" s="12"/>
    </row>
    <row r="22" spans="2:8" ht="15.75" hidden="1">
      <c r="B22" s="45" t="s">
        <v>23</v>
      </c>
      <c r="C22" s="47">
        <v>153313</v>
      </c>
      <c r="D22" s="48">
        <v>11451</v>
      </c>
      <c r="E22" s="48">
        <v>6099</v>
      </c>
      <c r="F22" s="41">
        <f>SUM(C22:E22)</f>
        <v>170863</v>
      </c>
      <c r="H22" s="4"/>
    </row>
    <row r="23" spans="2:8" ht="15.75" hidden="1">
      <c r="B23" s="45" t="s">
        <v>24</v>
      </c>
      <c r="C23" s="49">
        <v>183923.3</v>
      </c>
      <c r="D23" s="47">
        <v>12667.8</v>
      </c>
      <c r="E23" s="48">
        <v>9837.2</v>
      </c>
      <c r="F23" s="41">
        <v>206428.994</v>
      </c>
      <c r="H23" s="4"/>
    </row>
    <row r="24" spans="2:8" ht="15.75" hidden="1">
      <c r="B24" s="45" t="s">
        <v>25</v>
      </c>
      <c r="C24" s="49">
        <v>176664.441</v>
      </c>
      <c r="D24" s="48">
        <v>16703.727000000003</v>
      </c>
      <c r="E24" s="48">
        <v>13332.731</v>
      </c>
      <c r="F24" s="48">
        <v>206700.89899999998</v>
      </c>
      <c r="H24" s="4"/>
    </row>
    <row r="25" spans="2:10" ht="15.75">
      <c r="B25" s="45" t="s">
        <v>27</v>
      </c>
      <c r="C25" s="48">
        <v>212692.07049999997</v>
      </c>
      <c r="D25" s="48">
        <v>14731.901</v>
      </c>
      <c r="E25" s="48">
        <v>17112.8084</v>
      </c>
      <c r="F25" s="48">
        <v>237887.06429999997</v>
      </c>
      <c r="H25" s="14"/>
      <c r="I25" s="10"/>
      <c r="J25" s="7"/>
    </row>
    <row r="26" spans="2:10" ht="15.75">
      <c r="B26" s="45" t="s">
        <v>28</v>
      </c>
      <c r="C26" s="48">
        <v>227399.87800000003</v>
      </c>
      <c r="D26" s="48">
        <v>15042.34</v>
      </c>
      <c r="E26" s="48">
        <v>16848.7841</v>
      </c>
      <c r="F26" s="48">
        <v>259291.0021</v>
      </c>
      <c r="H26" s="14"/>
      <c r="I26" s="10"/>
      <c r="J26" s="7"/>
    </row>
    <row r="27" spans="2:10" ht="15.75">
      <c r="B27" s="45" t="s">
        <v>29</v>
      </c>
      <c r="C27" s="48">
        <v>224773.568</v>
      </c>
      <c r="D27" s="48">
        <v>14620.314</v>
      </c>
      <c r="E27" s="48">
        <v>25529.2501</v>
      </c>
      <c r="F27" s="48">
        <v>264923.1321</v>
      </c>
      <c r="H27" s="14"/>
      <c r="I27" s="10"/>
      <c r="J27" s="7"/>
    </row>
    <row r="28" spans="2:10" ht="15.75">
      <c r="B28" s="45" t="s">
        <v>30</v>
      </c>
      <c r="C28" s="48">
        <v>220106.62900000002</v>
      </c>
      <c r="D28" s="48">
        <v>16368.629999999997</v>
      </c>
      <c r="E28" s="48">
        <v>21333.2294</v>
      </c>
      <c r="F28" s="48">
        <v>257808.48840000003</v>
      </c>
      <c r="H28" s="14"/>
      <c r="I28" s="10"/>
      <c r="J28" s="7"/>
    </row>
    <row r="29" spans="2:10" ht="15.75">
      <c r="B29" s="45" t="s">
        <v>32</v>
      </c>
      <c r="C29" s="48">
        <v>248262.237</v>
      </c>
      <c r="D29" s="48">
        <v>17913.131</v>
      </c>
      <c r="E29" s="48">
        <v>20688.19698</v>
      </c>
      <c r="F29" s="48">
        <v>286863.56498</v>
      </c>
      <c r="H29" s="14"/>
      <c r="I29" s="10"/>
      <c r="J29" s="7"/>
    </row>
    <row r="30" spans="2:10" ht="15.75">
      <c r="B30" s="42"/>
      <c r="C30" s="47"/>
      <c r="D30" s="48"/>
      <c r="E30" s="48"/>
      <c r="F30" s="46"/>
      <c r="H30" s="14"/>
      <c r="I30" s="10"/>
      <c r="J30" s="7"/>
    </row>
    <row r="31" spans="2:10" ht="15.75">
      <c r="B31" s="45" t="s">
        <v>29</v>
      </c>
      <c r="C31" s="66"/>
      <c r="D31" s="67"/>
      <c r="E31" s="53"/>
      <c r="F31" s="53"/>
      <c r="H31" s="16"/>
      <c r="I31" s="10"/>
      <c r="J31" s="7"/>
    </row>
    <row r="32" spans="2:10" ht="15.75">
      <c r="B32" s="59" t="s">
        <v>44</v>
      </c>
      <c r="C32" s="53">
        <f>C95+C96+C97</f>
        <v>60543.67300000001</v>
      </c>
      <c r="D32" s="53">
        <f>D95+D96+D97</f>
        <v>3546.3830000000003</v>
      </c>
      <c r="E32" s="53">
        <f>E95+E96+E97</f>
        <v>5076.8455</v>
      </c>
      <c r="F32" s="53">
        <f>F95+F96+F97</f>
        <v>69166.9015</v>
      </c>
      <c r="H32" s="16"/>
      <c r="I32" s="10"/>
      <c r="J32" s="7"/>
    </row>
    <row r="33" spans="2:10" ht="15.75">
      <c r="B33" s="59" t="s">
        <v>18</v>
      </c>
      <c r="C33" s="53">
        <f>C98+C99+C100</f>
        <v>59215.636999999995</v>
      </c>
      <c r="D33" s="53">
        <f>D98+D99+D100</f>
        <v>4086.141</v>
      </c>
      <c r="E33" s="53">
        <f>E98+E99+E100</f>
        <v>6867.488200000001</v>
      </c>
      <c r="F33" s="53">
        <f>F98+F99+F100</f>
        <v>70169.26619999998</v>
      </c>
      <c r="H33" s="16"/>
      <c r="I33" s="10"/>
      <c r="J33" s="7"/>
    </row>
    <row r="34" spans="2:10" ht="15.75">
      <c r="B34" s="59" t="s">
        <v>37</v>
      </c>
      <c r="C34" s="53">
        <f>C101+C102+C103</f>
        <v>49539.818</v>
      </c>
      <c r="D34" s="53">
        <f>D101+D102+D103</f>
        <v>3422.3700000000003</v>
      </c>
      <c r="E34" s="53">
        <f>E101+E102+E103</f>
        <v>7394.9867</v>
      </c>
      <c r="F34" s="53">
        <f>F101+F102+F103</f>
        <v>60357.1747</v>
      </c>
      <c r="H34" s="16"/>
      <c r="I34" s="10"/>
      <c r="J34" s="7"/>
    </row>
    <row r="35" spans="2:10" ht="15.75">
      <c r="B35" s="59" t="s">
        <v>8</v>
      </c>
      <c r="C35" s="53">
        <f>C104+C105+C106</f>
        <v>55474.439999999995</v>
      </c>
      <c r="D35" s="53">
        <f>D104+D105+D106</f>
        <v>3565.42</v>
      </c>
      <c r="E35" s="53">
        <f>E104+E105+E106</f>
        <v>6189.929700000001</v>
      </c>
      <c r="F35" s="53">
        <f>F104+F105+F106</f>
        <v>65229.78970000001</v>
      </c>
      <c r="H35" s="16"/>
      <c r="I35" s="10"/>
      <c r="J35" s="7"/>
    </row>
    <row r="36" spans="2:10" ht="15.75">
      <c r="B36" s="42"/>
      <c r="C36" s="66"/>
      <c r="D36" s="53"/>
      <c r="E36" s="53"/>
      <c r="F36" s="53"/>
      <c r="H36" s="16"/>
      <c r="I36" s="10"/>
      <c r="J36" s="7"/>
    </row>
    <row r="37" spans="2:10" ht="15.75">
      <c r="B37" s="45" t="s">
        <v>30</v>
      </c>
      <c r="C37" s="66"/>
      <c r="D37" s="53"/>
      <c r="E37" s="53"/>
      <c r="F37" s="53"/>
      <c r="H37" s="16"/>
      <c r="I37" s="10"/>
      <c r="J37" s="7"/>
    </row>
    <row r="38" spans="2:10" ht="15.75">
      <c r="B38" s="59" t="s">
        <v>44</v>
      </c>
      <c r="C38" s="53">
        <f>C109+C110+C111</f>
        <v>56594.020000000004</v>
      </c>
      <c r="D38" s="53">
        <f>D109+D110+D111</f>
        <v>3483.8999999999996</v>
      </c>
      <c r="E38" s="53">
        <f>E109+E110+E111</f>
        <v>4981.4310000000005</v>
      </c>
      <c r="F38" s="53">
        <f>F109+F110+F111</f>
        <v>65059.351</v>
      </c>
      <c r="H38" s="16"/>
      <c r="I38" s="10"/>
      <c r="J38" s="7"/>
    </row>
    <row r="39" spans="2:10" ht="15.75">
      <c r="B39" s="59" t="s">
        <v>18</v>
      </c>
      <c r="C39" s="53">
        <f>C112+C113+C114</f>
        <v>54324.368</v>
      </c>
      <c r="D39" s="53">
        <f>D112+D113+D114</f>
        <v>4211.821</v>
      </c>
      <c r="E39" s="53">
        <f>E112+E113+E114</f>
        <v>7133.6684000000005</v>
      </c>
      <c r="F39" s="53">
        <f>F112+F113+F114</f>
        <v>65669.85740000001</v>
      </c>
      <c r="H39" s="16"/>
      <c r="I39" s="10"/>
      <c r="J39" s="7"/>
    </row>
    <row r="40" spans="2:10" ht="15.75">
      <c r="B40" s="59" t="s">
        <v>37</v>
      </c>
      <c r="C40" s="53">
        <f>C115+C116+C117</f>
        <v>54667.507</v>
      </c>
      <c r="D40" s="53">
        <f>D115+D116+D117</f>
        <v>4613.272</v>
      </c>
      <c r="E40" s="53">
        <f>E115+E116+E117</f>
        <v>4606.285999999999</v>
      </c>
      <c r="F40" s="53">
        <f>F115+F116+F117</f>
        <v>63887.064999999995</v>
      </c>
      <c r="H40" s="16"/>
      <c r="I40" s="10"/>
      <c r="J40" s="7"/>
    </row>
    <row r="41" spans="2:10" ht="15.75">
      <c r="B41" s="59" t="s">
        <v>8</v>
      </c>
      <c r="C41" s="53">
        <f>C118+C119+C120</f>
        <v>54520.734</v>
      </c>
      <c r="D41" s="53">
        <f>D118+D119+D120</f>
        <v>4059.6369999999997</v>
      </c>
      <c r="E41" s="53">
        <f>E118+E119+E120</f>
        <v>4611.844</v>
      </c>
      <c r="F41" s="53">
        <f>F118+F119+F120</f>
        <v>63192.21500000001</v>
      </c>
      <c r="H41" s="16"/>
      <c r="I41" s="10"/>
      <c r="J41" s="7"/>
    </row>
    <row r="42" spans="2:10" ht="15.75">
      <c r="B42" s="42"/>
      <c r="C42" s="66"/>
      <c r="D42" s="53"/>
      <c r="E42" s="53"/>
      <c r="F42" s="53"/>
      <c r="H42" s="16"/>
      <c r="I42" s="10"/>
      <c r="J42" s="7"/>
    </row>
    <row r="43" spans="2:10" ht="15.75">
      <c r="B43" s="45" t="s">
        <v>32</v>
      </c>
      <c r="C43" s="66"/>
      <c r="D43" s="53"/>
      <c r="E43" s="53"/>
      <c r="F43" s="53"/>
      <c r="H43" s="16"/>
      <c r="I43" s="10"/>
      <c r="J43" s="7"/>
    </row>
    <row r="44" spans="2:10" ht="15.75">
      <c r="B44" s="59" t="s">
        <v>44</v>
      </c>
      <c r="C44" s="53">
        <f>C123+C124+C125</f>
        <v>60828.577000000005</v>
      </c>
      <c r="D44" s="53">
        <f>D123+D124+D125</f>
        <v>3040.985</v>
      </c>
      <c r="E44" s="53">
        <f>E123+E124+E125</f>
        <v>5439.8954</v>
      </c>
      <c r="F44" s="53">
        <f>F123+F124+F125</f>
        <v>69309.45740000001</v>
      </c>
      <c r="H44" s="16"/>
      <c r="I44" s="10"/>
      <c r="J44" s="7"/>
    </row>
    <row r="45" spans="2:10" ht="15.75">
      <c r="B45" s="59" t="s">
        <v>18</v>
      </c>
      <c r="C45" s="53">
        <f>C126+C127+C128</f>
        <v>64646.062000000005</v>
      </c>
      <c r="D45" s="53">
        <f>D126+D127+D128</f>
        <v>5195.947999999999</v>
      </c>
      <c r="E45" s="53">
        <f>E126+E127+E128</f>
        <v>4736.75784</v>
      </c>
      <c r="F45" s="53">
        <f>F126+F127+F128</f>
        <v>74578.76784</v>
      </c>
      <c r="H45" s="16"/>
      <c r="I45" s="10"/>
      <c r="J45" s="7"/>
    </row>
    <row r="46" spans="2:10" ht="15.75">
      <c r="B46" s="59" t="s">
        <v>37</v>
      </c>
      <c r="C46" s="53">
        <f>C129+C130+C131</f>
        <v>62196.638999999996</v>
      </c>
      <c r="D46" s="53">
        <f>D129+D130+D131</f>
        <v>4870.992</v>
      </c>
      <c r="E46" s="53">
        <f>E129+E130+E131</f>
        <v>4774.60764</v>
      </c>
      <c r="F46" s="53">
        <f>F129+F130+F131</f>
        <v>71842.23864</v>
      </c>
      <c r="H46" s="16"/>
      <c r="I46" s="10"/>
      <c r="J46" s="7"/>
    </row>
    <row r="47" spans="2:10" ht="15.75">
      <c r="B47" s="59" t="s">
        <v>8</v>
      </c>
      <c r="C47" s="53">
        <f>C132+C133+C134</f>
        <v>60590.95900000001</v>
      </c>
      <c r="D47" s="53">
        <f>D132+D133+D134</f>
        <v>4805.206</v>
      </c>
      <c r="E47" s="53">
        <f>E132+E133+E134</f>
        <v>5736.9361</v>
      </c>
      <c r="F47" s="53">
        <f>F132+F133+F134</f>
        <v>71133.1011</v>
      </c>
      <c r="H47" s="16"/>
      <c r="I47" s="10"/>
      <c r="J47" s="7"/>
    </row>
    <row r="48" spans="2:10" ht="15.75">
      <c r="B48" s="59"/>
      <c r="C48" s="66"/>
      <c r="D48" s="53"/>
      <c r="E48" s="53"/>
      <c r="F48" s="53"/>
      <c r="H48" s="16"/>
      <c r="I48" s="10"/>
      <c r="J48" s="7"/>
    </row>
    <row r="49" spans="2:10" ht="15.75">
      <c r="B49" s="45" t="s">
        <v>33</v>
      </c>
      <c r="C49" s="66"/>
      <c r="D49" s="53"/>
      <c r="E49" s="53"/>
      <c r="F49" s="53"/>
      <c r="H49" s="16"/>
      <c r="I49" s="10"/>
      <c r="J49" s="7"/>
    </row>
    <row r="50" spans="2:10" ht="15.75">
      <c r="B50" s="59" t="s">
        <v>44</v>
      </c>
      <c r="C50" s="53">
        <f>C137+C138+C139</f>
        <v>55236.894</v>
      </c>
      <c r="D50" s="53">
        <f>D137+D138+D139</f>
        <v>4492.407999999999</v>
      </c>
      <c r="E50" s="53">
        <f>E137+E138+E139</f>
        <v>6330.98229</v>
      </c>
      <c r="F50" s="53">
        <f>F137+F138+F139</f>
        <v>66060.28429000001</v>
      </c>
      <c r="H50" s="16"/>
      <c r="I50" s="10"/>
      <c r="J50" s="7"/>
    </row>
    <row r="51" spans="2:10" ht="15.75">
      <c r="B51" s="42"/>
      <c r="C51" s="52"/>
      <c r="D51" s="53"/>
      <c r="E51" s="53"/>
      <c r="F51" s="53"/>
      <c r="H51" s="16"/>
      <c r="I51" s="10"/>
      <c r="J51" s="7"/>
    </row>
    <row r="52" spans="2:10" ht="15.75" hidden="1">
      <c r="B52" s="45" t="s">
        <v>26</v>
      </c>
      <c r="C52" s="50"/>
      <c r="D52" s="48"/>
      <c r="E52" s="48"/>
      <c r="F52" s="41"/>
      <c r="H52" s="16"/>
      <c r="I52" s="10"/>
      <c r="J52" s="7"/>
    </row>
    <row r="53" spans="2:10" ht="15.75" hidden="1">
      <c r="B53" s="42" t="s">
        <v>14</v>
      </c>
      <c r="C53" s="49">
        <f>3397.58+3944.01+7130+2382.556+1080.26+1255.371-723.927</f>
        <v>18465.85</v>
      </c>
      <c r="D53" s="48">
        <f>723.927+504</f>
        <v>1227.9270000000001</v>
      </c>
      <c r="E53" s="48">
        <f>418.3714+85.395+126.876+713.222</f>
        <v>1343.8644</v>
      </c>
      <c r="F53" s="41">
        <f aca="true" t="shared" si="1" ref="F53:F64">SUM(C53:E53)</f>
        <v>21037.641399999997</v>
      </c>
      <c r="H53" s="16"/>
      <c r="I53" s="10"/>
      <c r="J53" s="7"/>
    </row>
    <row r="54" spans="2:10" ht="15.75" hidden="1">
      <c r="B54" s="42" t="s">
        <v>15</v>
      </c>
      <c r="C54" s="50">
        <f>3337.24+3779.727+6835+1551.847+995.49+1117.37-530.137</f>
        <v>17086.537</v>
      </c>
      <c r="D54" s="33">
        <f>530.137+558.302</f>
        <v>1088.4389999999999</v>
      </c>
      <c r="E54" s="48">
        <f>374.6014+59.04+116.844+659.229</f>
        <v>1209.7144</v>
      </c>
      <c r="F54" s="41">
        <f t="shared" si="1"/>
        <v>19384.6904</v>
      </c>
      <c r="H54" s="16"/>
      <c r="I54" s="10"/>
      <c r="J54" s="7"/>
    </row>
    <row r="55" spans="2:10" ht="15.75" hidden="1">
      <c r="B55" s="42" t="s">
        <v>16</v>
      </c>
      <c r="C55" s="24">
        <f>3407.41+5001.465+7650+2428.745+957.92+1161.162-516.327</f>
        <v>20090.374999999996</v>
      </c>
      <c r="D55" s="33">
        <f>516.327+615.54</f>
        <v>1131.867</v>
      </c>
      <c r="E55" s="48">
        <f>533.4184+64.23+117.48+848.306</f>
        <v>1563.4344</v>
      </c>
      <c r="F55" s="41">
        <f t="shared" si="1"/>
        <v>22785.676399999997</v>
      </c>
      <c r="H55" s="16"/>
      <c r="I55" s="10"/>
      <c r="J55" s="7"/>
    </row>
    <row r="56" spans="2:10" ht="15.75" hidden="1">
      <c r="B56" s="42" t="s">
        <v>36</v>
      </c>
      <c r="C56" s="24">
        <f>4263.27+4409.882+6775+2218.024+1203.71+758.882-772.418</f>
        <v>18856.35</v>
      </c>
      <c r="D56" s="33">
        <f>772.418+258.044</f>
        <v>1030.462</v>
      </c>
      <c r="E56" s="48">
        <f>587.777+64.23+127.488+836.383</f>
        <v>1615.8780000000002</v>
      </c>
      <c r="F56" s="41">
        <f t="shared" si="1"/>
        <v>21502.69</v>
      </c>
      <c r="H56" s="16"/>
      <c r="I56" s="10"/>
      <c r="J56" s="7"/>
    </row>
    <row r="57" spans="2:10" ht="15.75" hidden="1">
      <c r="B57" s="42" t="s">
        <v>10</v>
      </c>
      <c r="C57" s="24">
        <f>5662.69+4334.6085+6967+2260.836+1384.46-865.145</f>
        <v>19744.4495</v>
      </c>
      <c r="D57" s="33">
        <f>865.145+399.4986</f>
        <v>1264.6435999999999</v>
      </c>
      <c r="E57" s="48">
        <f>536.5206+130.896+1114.071456</f>
        <v>1781.4880559999997</v>
      </c>
      <c r="F57" s="41">
        <f t="shared" si="1"/>
        <v>22790.581155999997</v>
      </c>
      <c r="H57" s="16"/>
      <c r="I57" s="10"/>
      <c r="J57" s="7"/>
    </row>
    <row r="58" spans="2:10" ht="15.75" hidden="1">
      <c r="B58" s="42" t="s">
        <v>17</v>
      </c>
      <c r="C58" s="24">
        <f>6460.59+3000.375+6460+1781.797+1248.37-926.945</f>
        <v>18024.186999999998</v>
      </c>
      <c r="D58" s="33">
        <f>376.048+926.945</f>
        <v>1302.993</v>
      </c>
      <c r="E58" s="48">
        <f>299.7689+82.92+124.74+1013.982016</f>
        <v>1521.410916</v>
      </c>
      <c r="F58" s="41">
        <f t="shared" si="1"/>
        <v>20848.590915999997</v>
      </c>
      <c r="H58" s="16"/>
      <c r="I58" s="10"/>
      <c r="J58" s="7"/>
    </row>
    <row r="59" spans="2:10" ht="15.75" hidden="1">
      <c r="B59" s="42" t="s">
        <v>11</v>
      </c>
      <c r="C59" s="24">
        <f>6877.57+2786.742+6645+2154.803+948.56-1185.764</f>
        <v>18226.911</v>
      </c>
      <c r="D59" s="33">
        <f>266.24+1185.764</f>
        <v>1452.004</v>
      </c>
      <c r="E59" s="48">
        <f>322.3428+88.05+129.444+1291.76888</f>
        <v>1831.6056800000001</v>
      </c>
      <c r="F59" s="41">
        <f t="shared" si="1"/>
        <v>21510.52068</v>
      </c>
      <c r="H59" s="16"/>
      <c r="I59" s="10"/>
      <c r="J59" s="7"/>
    </row>
    <row r="60" spans="2:10" ht="15.75" hidden="1">
      <c r="B60" s="42" t="s">
        <v>12</v>
      </c>
      <c r="C60" s="24">
        <f>7467.35+2560.95+5510+2200.249-1098.982</f>
        <v>16639.567</v>
      </c>
      <c r="D60" s="33">
        <f>342.848+1098.982</f>
        <v>1441.83</v>
      </c>
      <c r="E60" s="48">
        <f>262.4241+54.12+122.496+937.66928</f>
        <v>1376.70938</v>
      </c>
      <c r="F60" s="41">
        <f t="shared" si="1"/>
        <v>19458.106379999997</v>
      </c>
      <c r="H60" s="16"/>
      <c r="I60" s="10"/>
      <c r="J60" s="7"/>
    </row>
    <row r="61" spans="2:10" ht="15.75" hidden="1">
      <c r="B61" s="42" t="s">
        <v>38</v>
      </c>
      <c r="C61" s="24">
        <f>4755.63+3098.182+6095+1661.959+247.68-1010.782</f>
        <v>14847.669000000002</v>
      </c>
      <c r="D61" s="33">
        <f>336.33+1010.782</f>
        <v>1347.112</v>
      </c>
      <c r="E61" s="48">
        <f>285.27+67.53+112.692+943.51558</f>
        <v>1409.00758</v>
      </c>
      <c r="F61" s="41">
        <f t="shared" si="1"/>
        <v>17603.788580000004</v>
      </c>
      <c r="H61" s="16"/>
      <c r="I61" s="10"/>
      <c r="J61" s="7"/>
    </row>
    <row r="62" spans="2:10" ht="15.75" hidden="1">
      <c r="B62" s="42" t="s">
        <v>21</v>
      </c>
      <c r="C62" s="24">
        <f>3485.55+3495.9645+6457+1915.847+543.72-1193.782</f>
        <v>14704.299500000001</v>
      </c>
      <c r="D62" s="33">
        <f>355.696+1193.782</f>
        <v>1549.478</v>
      </c>
      <c r="E62" s="48">
        <f>382.327+184.02+110.028+1090.8171</f>
        <v>1767.1921</v>
      </c>
      <c r="F62" s="41">
        <f t="shared" si="1"/>
        <v>18020.9696</v>
      </c>
      <c r="H62" s="16"/>
      <c r="I62" s="10"/>
      <c r="J62" s="7"/>
    </row>
    <row r="63" spans="2:10" ht="15.75" hidden="1">
      <c r="B63" s="42" t="s">
        <v>39</v>
      </c>
      <c r="C63" s="24">
        <f>3654.28+4703.045+6298+1674.189+20.86-833.073</f>
        <v>15517.301000000001</v>
      </c>
      <c r="D63" s="33">
        <f>355.696+833.073</f>
        <v>1188.769</v>
      </c>
      <c r="E63" s="48">
        <f>534.1557+227+415+116.46+868.7759</f>
        <v>2161.3916</v>
      </c>
      <c r="F63" s="41">
        <f t="shared" si="1"/>
        <v>18867.4616</v>
      </c>
      <c r="H63" s="16"/>
      <c r="I63" s="10"/>
      <c r="J63" s="7"/>
    </row>
    <row r="64" spans="2:10" ht="15.75" hidden="1">
      <c r="B64" s="42" t="s">
        <v>13</v>
      </c>
      <c r="C64" s="24">
        <f>4343.73+5460.682+6790+2278.13-574.309</f>
        <v>18298.233</v>
      </c>
      <c r="D64" s="33">
        <f>574.309+550.314</f>
        <v>1124.623</v>
      </c>
      <c r="E64" s="48">
        <f>628.0883+302.7+141.036</f>
        <v>1071.8243</v>
      </c>
      <c r="F64" s="41">
        <f t="shared" si="1"/>
        <v>20494.6803</v>
      </c>
      <c r="H64" s="16"/>
      <c r="I64" s="10"/>
      <c r="J64" s="7"/>
    </row>
    <row r="65" spans="2:10" ht="15.75" hidden="1">
      <c r="B65" s="42"/>
      <c r="C65" s="24"/>
      <c r="D65" s="33"/>
      <c r="E65" s="48"/>
      <c r="F65" s="41"/>
      <c r="H65" s="16"/>
      <c r="I65" s="10"/>
      <c r="J65" s="7"/>
    </row>
    <row r="66" spans="2:10" ht="15.75" hidden="1">
      <c r="B66" s="45" t="s">
        <v>27</v>
      </c>
      <c r="C66" s="24"/>
      <c r="D66" s="33"/>
      <c r="E66" s="48"/>
      <c r="F66" s="41"/>
      <c r="H66" s="16"/>
      <c r="I66" s="10"/>
      <c r="J66" s="7"/>
    </row>
    <row r="67" spans="2:10" ht="15.75" hidden="1">
      <c r="B67" s="42" t="s">
        <v>14</v>
      </c>
      <c r="C67" s="24">
        <f>6466.02+4421.928+7489+846.299-915</f>
        <v>18308.247</v>
      </c>
      <c r="D67" s="33">
        <f>915+371.814</f>
        <v>1286.814</v>
      </c>
      <c r="E67" s="48">
        <f>346.4746+110.49+144.924+866.428</f>
        <v>1468.3166</v>
      </c>
      <c r="F67" s="41">
        <f aca="true" t="shared" si="2" ref="F67:F76">SUM(C67:E67)</f>
        <v>21063.3776</v>
      </c>
      <c r="H67" s="16"/>
      <c r="I67" s="10"/>
      <c r="J67" s="7"/>
    </row>
    <row r="68" spans="2:10" ht="15.75" hidden="1">
      <c r="B68" s="42" t="s">
        <v>15</v>
      </c>
      <c r="C68" s="24">
        <f>6188.07+5857.7085+6851-713.836</f>
        <v>18182.9425</v>
      </c>
      <c r="D68" s="33">
        <f>713.836+309.782</f>
        <v>1023.6179999999999</v>
      </c>
      <c r="E68" s="48">
        <f>490.4942+67.125+129.24+858.118</f>
        <v>1544.9772</v>
      </c>
      <c r="F68" s="41">
        <f t="shared" si="2"/>
        <v>20751.5377</v>
      </c>
      <c r="H68" s="16"/>
      <c r="I68" s="10"/>
      <c r="J68" s="7"/>
    </row>
    <row r="69" spans="2:10" ht="15.75" hidden="1">
      <c r="B69" s="42" t="s">
        <v>16</v>
      </c>
      <c r="C69" s="24">
        <f>4750.032+6208.43+7070+1827.39-933.055</f>
        <v>18922.797</v>
      </c>
      <c r="D69" s="33">
        <f>170.064+933.055</f>
        <v>1103.119</v>
      </c>
      <c r="E69" s="48">
        <f>671.8341+79.8+134.184+679.621</f>
        <v>1565.4391</v>
      </c>
      <c r="F69" s="41">
        <f t="shared" si="2"/>
        <v>21591.355099999997</v>
      </c>
      <c r="H69" s="16"/>
      <c r="I69" s="10"/>
      <c r="J69" s="7"/>
    </row>
    <row r="70" spans="2:10" ht="15.75" hidden="1">
      <c r="B70" s="42" t="s">
        <v>36</v>
      </c>
      <c r="C70" s="24">
        <f>5474.37+5104.407+6590+2353.282-778.8</f>
        <v>18743.259000000002</v>
      </c>
      <c r="D70" s="33">
        <f>295.62+778.8</f>
        <v>1074.42</v>
      </c>
      <c r="E70" s="48">
        <f>531.9212+119.415+134.28+672.567</f>
        <v>1458.1832</v>
      </c>
      <c r="F70" s="41">
        <f t="shared" si="2"/>
        <v>21275.862200000003</v>
      </c>
      <c r="H70" s="16"/>
      <c r="I70" s="10"/>
      <c r="J70" s="7"/>
    </row>
    <row r="71" spans="2:10" ht="15.75" hidden="1">
      <c r="B71" s="42" t="s">
        <v>41</v>
      </c>
      <c r="C71" s="24">
        <f>4716.35+5481.441+6920+2489.455-442.145</f>
        <v>19165.101</v>
      </c>
      <c r="D71" s="33">
        <f>719.872+442.142</f>
        <v>1162.014</v>
      </c>
      <c r="E71" s="48">
        <f>628.1929+205.5+139.116+851.801</f>
        <v>1824.6099</v>
      </c>
      <c r="F71" s="41">
        <f t="shared" si="2"/>
        <v>22151.724899999997</v>
      </c>
      <c r="H71" s="16"/>
      <c r="I71" s="10"/>
      <c r="J71" s="7"/>
    </row>
    <row r="72" spans="2:10" ht="15.75" hidden="1">
      <c r="B72" s="42" t="s">
        <v>17</v>
      </c>
      <c r="C72" s="24">
        <f>5966.41+4054.134+6941+2319.027+63.89-664.855</f>
        <v>18679.606000000003</v>
      </c>
      <c r="D72" s="33">
        <f>664.706+664.855</f>
        <v>1329.5610000000001</v>
      </c>
      <c r="E72" s="48">
        <f>531.0885+87.03+64.8+823.309</f>
        <v>1506.2275</v>
      </c>
      <c r="F72" s="41">
        <f t="shared" si="2"/>
        <v>21515.394500000006</v>
      </c>
      <c r="H72" s="16"/>
      <c r="I72" s="10"/>
      <c r="J72" s="7"/>
    </row>
    <row r="73" spans="2:10" ht="15.75" hidden="1">
      <c r="B73" s="42" t="s">
        <v>11</v>
      </c>
      <c r="C73" s="24">
        <f>5433.83+3247.604+7117+2315.415+367.54-636.055</f>
        <v>17845.334</v>
      </c>
      <c r="D73" s="33">
        <f>636.055+697.036</f>
        <v>1333.091</v>
      </c>
      <c r="E73" s="48">
        <f>436.785+95.205+65.004+824.146</f>
        <v>1421.1399999999999</v>
      </c>
      <c r="F73" s="41">
        <f t="shared" si="2"/>
        <v>20599.565</v>
      </c>
      <c r="H73" s="16"/>
      <c r="I73" s="10"/>
      <c r="J73" s="7"/>
    </row>
    <row r="74" spans="2:10" ht="15.75" hidden="1">
      <c r="B74" s="42" t="s">
        <v>12</v>
      </c>
      <c r="C74" s="24">
        <f>4980.1+2900.288+6892+2199.653+573.92-842.564</f>
        <v>16703.397</v>
      </c>
      <c r="D74" s="33">
        <f>547.718+842.564</f>
        <v>1390.282</v>
      </c>
      <c r="E74" s="48">
        <f>380.9675+77.66+104.436+774.745</f>
        <v>1337.8085</v>
      </c>
      <c r="F74" s="41">
        <f t="shared" si="2"/>
        <v>19431.4875</v>
      </c>
      <c r="H74" s="16"/>
      <c r="I74" s="10"/>
      <c r="J74" s="7"/>
    </row>
    <row r="75" spans="2:10" ht="15.75" hidden="1">
      <c r="B75" s="42" t="s">
        <v>38</v>
      </c>
      <c r="C75" s="24">
        <f>4656.15+2948.295+6799+1468.811+712.13-628.364</f>
        <v>15956.021999999999</v>
      </c>
      <c r="D75" s="33">
        <f>589.574+628.364</f>
        <v>1217.938</v>
      </c>
      <c r="E75" s="48">
        <f>366.2825+58.38+118.104+545.487</f>
        <v>1088.2535</v>
      </c>
      <c r="F75" s="41">
        <f t="shared" si="2"/>
        <v>18262.213499999998</v>
      </c>
      <c r="H75" s="16"/>
      <c r="I75" s="10"/>
      <c r="J75" s="7"/>
    </row>
    <row r="76" spans="2:10" ht="15.75" hidden="1">
      <c r="B76" s="42" t="s">
        <v>21</v>
      </c>
      <c r="C76" s="24">
        <f>5012.17+3881.829+6300+2004.544+480.65-612.255</f>
        <v>17066.938000000002</v>
      </c>
      <c r="D76" s="33">
        <f>612.255+593.646</f>
        <v>1205.9009999999998</v>
      </c>
      <c r="E76" s="48">
        <f>364.058+45.21+111.096+745.346</f>
        <v>1265.71</v>
      </c>
      <c r="F76" s="41">
        <f t="shared" si="2"/>
        <v>19538.549</v>
      </c>
      <c r="H76" s="16"/>
      <c r="I76" s="10"/>
      <c r="J76" s="7"/>
    </row>
    <row r="77" spans="2:10" ht="15.75" hidden="1">
      <c r="B77" s="42" t="s">
        <v>39</v>
      </c>
      <c r="C77" s="24">
        <f>4668.86+3869.717+6401+1355.845+248.47-480.42</f>
        <v>16063.472</v>
      </c>
      <c r="D77" s="33">
        <f>480.42+743.69</f>
        <v>1224.1100000000001</v>
      </c>
      <c r="E77" s="48">
        <f>327.604+108.48+114.696+829.478</f>
        <v>1380.2579999999998</v>
      </c>
      <c r="F77" s="41">
        <f>SUM(C77:E77)</f>
        <v>18667.839999999997</v>
      </c>
      <c r="H77" s="16"/>
      <c r="I77" s="10"/>
      <c r="J77" s="7"/>
    </row>
    <row r="78" spans="2:10" ht="15.75" hidden="1">
      <c r="B78" s="42" t="s">
        <v>13</v>
      </c>
      <c r="C78" s="24">
        <f>3546.64+4811.394+6609+2163.03+441-516.109</f>
        <v>17054.954999999998</v>
      </c>
      <c r="D78" s="33">
        <f>516.109+864.924</f>
        <v>1381.033</v>
      </c>
      <c r="E78" s="48">
        <f>133.3279+139.2+133.956+845.401</f>
        <v>1251.8849</v>
      </c>
      <c r="F78" s="41">
        <f>SUM(C78:E78)</f>
        <v>19687.8729</v>
      </c>
      <c r="H78" s="16"/>
      <c r="I78" s="10"/>
      <c r="J78" s="7"/>
    </row>
    <row r="79" spans="2:10" ht="15.75" hidden="1">
      <c r="B79" s="42"/>
      <c r="C79" s="24"/>
      <c r="D79" s="33"/>
      <c r="E79" s="48"/>
      <c r="F79" s="41"/>
      <c r="H79" s="16"/>
      <c r="I79" s="10"/>
      <c r="J79" s="7"/>
    </row>
    <row r="80" spans="2:10" ht="15.75" hidden="1">
      <c r="B80" s="45" t="s">
        <v>28</v>
      </c>
      <c r="C80" s="24"/>
      <c r="D80" s="33"/>
      <c r="E80" s="48"/>
      <c r="F80" s="41"/>
      <c r="H80" s="16"/>
      <c r="I80" s="10"/>
      <c r="J80" s="7"/>
    </row>
    <row r="81" spans="2:10" ht="15.75" hidden="1">
      <c r="B81" s="42" t="s">
        <v>14</v>
      </c>
      <c r="C81" s="24">
        <f>3272.86+4730.523+7036+2306.279+483.83-554.564</f>
        <v>17274.928000000004</v>
      </c>
      <c r="D81" s="33">
        <f>663.924+554.564</f>
        <v>1218.4879999999998</v>
      </c>
      <c r="E81" s="48">
        <f>156.8983+219.255+90.768+799.571</f>
        <v>1266.4923</v>
      </c>
      <c r="F81" s="41">
        <f aca="true" t="shared" si="3" ref="F81:F87">SUM(C81:E81)</f>
        <v>19759.908300000003</v>
      </c>
      <c r="H81" s="16"/>
      <c r="I81" s="10"/>
      <c r="J81" s="7"/>
    </row>
    <row r="82" spans="2:10" ht="15.75" hidden="1">
      <c r="B82" s="42" t="s">
        <v>15</v>
      </c>
      <c r="C82" s="24">
        <f>3558.67+4185.783+7104+985.657+332.32-247.745</f>
        <v>15918.685</v>
      </c>
      <c r="D82" s="33">
        <f>743.78+247.745</f>
        <v>991.525</v>
      </c>
      <c r="E82" s="48">
        <f>465.18+128.145+73.008+702.294</f>
        <v>1368.627</v>
      </c>
      <c r="F82" s="41">
        <f t="shared" si="3"/>
        <v>18278.837</v>
      </c>
      <c r="H82" s="16"/>
      <c r="I82" s="10"/>
      <c r="J82" s="7"/>
    </row>
    <row r="83" spans="2:10" ht="15.75" hidden="1">
      <c r="B83" s="42" t="s">
        <v>16</v>
      </c>
      <c r="C83" s="24">
        <f>4978.57+4875.906+7794+80.668+485.85-247.745</f>
        <v>17967.249</v>
      </c>
      <c r="D83" s="33">
        <f>942.602+247.745</f>
        <v>1190.347</v>
      </c>
      <c r="E83" s="48">
        <f>512.5759+134.625+771.936</f>
        <v>1419.1369</v>
      </c>
      <c r="F83" s="41">
        <f t="shared" si="3"/>
        <v>20576.732900000003</v>
      </c>
      <c r="H83" s="16"/>
      <c r="I83" s="10"/>
      <c r="J83" s="7"/>
    </row>
    <row r="84" spans="2:10" ht="15.75" hidden="1">
      <c r="B84" s="42" t="s">
        <v>36</v>
      </c>
      <c r="C84" s="24">
        <f>3384.58+5674.095+6680+2363.632+889.824-409.8</f>
        <v>18582.331000000002</v>
      </c>
      <c r="D84" s="33">
        <f>883.254+409.8</f>
        <v>1293.054</v>
      </c>
      <c r="E84" s="48">
        <f>454.6412+214.74+88.488+813.953</f>
        <v>1571.8222</v>
      </c>
      <c r="F84" s="41">
        <f t="shared" si="3"/>
        <v>21447.2072</v>
      </c>
      <c r="H84" s="16"/>
      <c r="I84" s="10"/>
      <c r="J84" s="7"/>
    </row>
    <row r="85" spans="2:10" ht="15.75" hidden="1">
      <c r="B85" s="42" t="s">
        <v>41</v>
      </c>
      <c r="C85" s="24">
        <f>5734.59+4844.637+7123+2274.613+59.47+1391.387-746.073</f>
        <v>20681.624</v>
      </c>
      <c r="D85" s="33">
        <f>960.756+746.073</f>
        <v>1706.829</v>
      </c>
      <c r="E85" s="48">
        <f>45.59+189.645+76.236+657.445</f>
        <v>968.916</v>
      </c>
      <c r="F85" s="41">
        <f t="shared" si="3"/>
        <v>23357.369000000002</v>
      </c>
      <c r="H85" s="16"/>
      <c r="I85" s="10"/>
      <c r="J85" s="7"/>
    </row>
    <row r="86" spans="2:10" ht="15.75" hidden="1">
      <c r="B86" s="42" t="s">
        <v>17</v>
      </c>
      <c r="C86" s="24">
        <f>5653.12+3462.627+6630+2204.602+92.04+1540.658-493.2</f>
        <v>19089.846999999998</v>
      </c>
      <c r="D86" s="33">
        <f>493.2+820.5</f>
        <v>1313.7</v>
      </c>
      <c r="E86" s="48">
        <f>353.5273+130.77+82.296+874.294</f>
        <v>1440.8873</v>
      </c>
      <c r="F86" s="41">
        <f t="shared" si="3"/>
        <v>21844.434299999997</v>
      </c>
      <c r="H86" s="16"/>
      <c r="I86" s="10"/>
      <c r="J86" s="7"/>
    </row>
    <row r="87" spans="2:10" ht="15.75" hidden="1">
      <c r="B87" s="42" t="s">
        <v>11</v>
      </c>
      <c r="C87" s="24">
        <f>7051.39+2921.016+6981+2122.132+36.51+1552.156-604.855</f>
        <v>20059.349000000002</v>
      </c>
      <c r="D87" s="33">
        <f>604.855+711.858</f>
        <v>1316.713</v>
      </c>
      <c r="E87" s="48">
        <f>356.891+87.075+83.532+514.272</f>
        <v>1041.77</v>
      </c>
      <c r="F87" s="41">
        <f t="shared" si="3"/>
        <v>22417.832000000002</v>
      </c>
      <c r="H87" s="16"/>
      <c r="I87" s="10"/>
      <c r="J87" s="7"/>
    </row>
    <row r="88" spans="2:10" ht="15.75" hidden="1">
      <c r="B88" s="42" t="s">
        <v>12</v>
      </c>
      <c r="C88" s="24">
        <f>7232.02+2912.721+6376+2353.427+689.282+1559.996-630.982</f>
        <v>20492.464</v>
      </c>
      <c r="D88" s="33">
        <f>630.982+652.392</f>
        <v>1283.374</v>
      </c>
      <c r="E88" s="48">
        <f>338.201+52.38+70.776+861.179</f>
        <v>1322.536</v>
      </c>
      <c r="F88" s="41">
        <f>SUM(C88:E88)</f>
        <v>23098.374</v>
      </c>
      <c r="H88" s="16"/>
      <c r="I88" s="10"/>
      <c r="J88" s="7"/>
    </row>
    <row r="89" spans="2:10" ht="15.75" hidden="1">
      <c r="B89" s="42" t="s">
        <v>38</v>
      </c>
      <c r="C89" s="24">
        <f>6783.74+2905.539+6413+2086.83+1295.534+1492.039-675.818</f>
        <v>20300.864</v>
      </c>
      <c r="D89" s="33">
        <f>675.818+544.372</f>
        <v>1220.19</v>
      </c>
      <c r="E89" s="48">
        <f>320.1225+34.365+81.684+813.468</f>
        <v>1249.6395</v>
      </c>
      <c r="F89" s="41">
        <f>SUM(C89:E89)</f>
        <v>22770.6935</v>
      </c>
      <c r="H89" s="16"/>
      <c r="I89" s="10"/>
      <c r="J89" s="7"/>
    </row>
    <row r="90" spans="2:10" ht="15.75" hidden="1">
      <c r="B90" s="42" t="s">
        <v>21</v>
      </c>
      <c r="C90" s="60">
        <f>7395.97+3148.74+7147+1939.081+802.308+1371.764-713.564</f>
        <v>21091.299</v>
      </c>
      <c r="D90" s="33">
        <f>601.832+713.564</f>
        <v>1315.396</v>
      </c>
      <c r="E90" s="48">
        <f>69.122+347.43+83.7+781.229+181.685</f>
        <v>1463.166</v>
      </c>
      <c r="F90" s="41">
        <f>SUM(C90:E90)</f>
        <v>23869.861</v>
      </c>
      <c r="H90" s="16"/>
      <c r="I90" s="10"/>
      <c r="J90" s="7"/>
    </row>
    <row r="91" spans="2:10" ht="15.75" hidden="1">
      <c r="B91" s="42" t="s">
        <v>39</v>
      </c>
      <c r="C91" s="61">
        <f>4001.655+4448.8+5770+1852.2-574.091</f>
        <v>15498.564</v>
      </c>
      <c r="D91" s="33">
        <f>574.091+620.432</f>
        <v>1194.5230000000001</v>
      </c>
      <c r="E91" s="48">
        <f>421.775+115.075+79.764+819.425+202.519</f>
        <v>1638.558</v>
      </c>
      <c r="F91" s="41">
        <f>SUM(C91:E91)</f>
        <v>18331.645</v>
      </c>
      <c r="H91" s="16"/>
      <c r="I91" s="10"/>
      <c r="J91" s="7"/>
    </row>
    <row r="92" spans="2:10" ht="15.75" hidden="1">
      <c r="B92" s="42" t="s">
        <v>13</v>
      </c>
      <c r="C92" s="62">
        <f>(3995.41+5286.519+2016.102+5589+41.791+2528.267+1559.676-574.091)</f>
        <v>20442.674000000003</v>
      </c>
      <c r="D92" s="33">
        <f>574.091+424.11</f>
        <v>998.201</v>
      </c>
      <c r="E92" s="48">
        <f>604.6869+201.945+90.756+960.337+239.508</f>
        <v>2097.2329</v>
      </c>
      <c r="F92" s="41">
        <f>SUM(C92:E92)</f>
        <v>23538.107900000003</v>
      </c>
      <c r="H92" s="16"/>
      <c r="I92" s="10"/>
      <c r="J92" s="7"/>
    </row>
    <row r="93" spans="2:10" ht="15.75" hidden="1">
      <c r="B93" s="42"/>
      <c r="C93" s="63"/>
      <c r="D93" s="33"/>
      <c r="E93" s="48"/>
      <c r="F93" s="41"/>
      <c r="H93" s="16"/>
      <c r="I93" s="10"/>
      <c r="J93" s="7"/>
    </row>
    <row r="94" spans="2:10" ht="15.75" hidden="1">
      <c r="B94" s="45" t="s">
        <v>29</v>
      </c>
      <c r="C94" s="63"/>
      <c r="D94" s="33"/>
      <c r="E94" s="48"/>
      <c r="F94" s="41"/>
      <c r="H94" s="16"/>
      <c r="I94" s="10"/>
      <c r="J94" s="7"/>
    </row>
    <row r="95" spans="2:10" ht="15.75" hidden="1">
      <c r="B95" s="42" t="s">
        <v>14</v>
      </c>
      <c r="C95" s="63">
        <f>4504.14+5472.432+6758+1679.2+54.38+1192.329+1559.716-421.255</f>
        <v>20798.942000000003</v>
      </c>
      <c r="D95" s="33">
        <f>421.255+713.33</f>
        <v>1134.585</v>
      </c>
      <c r="E95" s="48">
        <f>578.252+85.47+229.152+995.162+258.929</f>
        <v>2146.965</v>
      </c>
      <c r="F95" s="41">
        <f aca="true" t="shared" si="4" ref="F95:F105">SUM(C95:E95)</f>
        <v>24080.492000000002</v>
      </c>
      <c r="H95" s="16"/>
      <c r="I95" s="10"/>
      <c r="J95" s="7"/>
    </row>
    <row r="96" spans="2:10" ht="15.75" hidden="1">
      <c r="B96" s="42" t="s">
        <v>15</v>
      </c>
      <c r="C96" s="64">
        <f>6046.87+5211.192+4774+968.46+96.95+220.786+1536.916-309.109</f>
        <v>18546.065000000002</v>
      </c>
      <c r="D96" s="33">
        <f>760.254+309.109</f>
        <v>1069.363</v>
      </c>
      <c r="E96" s="48">
        <f>524.4393+160.455+79.74+455.982+192.243</f>
        <v>1412.8593</v>
      </c>
      <c r="F96" s="41">
        <f t="shared" si="4"/>
        <v>21028.287300000004</v>
      </c>
      <c r="H96" s="16"/>
      <c r="I96" s="10"/>
      <c r="J96" s="7"/>
    </row>
    <row r="97" spans="2:10" ht="15.75" hidden="1">
      <c r="B97" s="42" t="s">
        <v>16</v>
      </c>
      <c r="C97" s="65">
        <f>6813.88+5395.968+6047+1353.113+554.971+1559.989-526.255</f>
        <v>21198.666</v>
      </c>
      <c r="D97" s="33">
        <f>816.18+526.255</f>
        <v>1342.435</v>
      </c>
      <c r="E97" s="48">
        <f>576.5832+148.935+91.968+448.665+250.87</f>
        <v>1517.0212000000001</v>
      </c>
      <c r="F97" s="41">
        <f t="shared" si="4"/>
        <v>24058.1222</v>
      </c>
      <c r="H97" s="16"/>
      <c r="I97" s="10"/>
      <c r="J97" s="7"/>
    </row>
    <row r="98" spans="2:10" ht="15.75" hidden="1">
      <c r="B98" s="42" t="s">
        <v>36</v>
      </c>
      <c r="C98" s="68">
        <f>4785.54+5607.187+6426+2026.4+88.11+704.179+1559.256-444.218</f>
        <v>20752.454</v>
      </c>
      <c r="D98" s="33">
        <f>895.484+444.218</f>
        <v>1339.702</v>
      </c>
      <c r="E98" s="48">
        <f>656.8628+82.05+71.892+670.69+236.42</f>
        <v>1717.9148</v>
      </c>
      <c r="F98" s="41">
        <f t="shared" si="4"/>
        <v>23810.0708</v>
      </c>
      <c r="H98" s="16"/>
      <c r="I98" s="10"/>
      <c r="J98" s="7"/>
    </row>
    <row r="99" spans="2:10" ht="15.75" hidden="1">
      <c r="B99" s="42" t="s">
        <v>41</v>
      </c>
      <c r="C99" s="69">
        <f>5546.21+4477.838+6335+2104.102+444.12+415.727+1559.639-694.473</f>
        <v>20188.162999999993</v>
      </c>
      <c r="D99" s="33">
        <f>691.24+694.473</f>
        <v>1385.713</v>
      </c>
      <c r="E99" s="48">
        <f>525.2622+76.5+88.332+1681.583+228.867</f>
        <v>2600.5442000000003</v>
      </c>
      <c r="F99" s="41">
        <f t="shared" si="4"/>
        <v>24174.420199999993</v>
      </c>
      <c r="H99" s="16"/>
      <c r="I99" s="10"/>
      <c r="J99" s="7"/>
    </row>
    <row r="100" spans="2:10" ht="15.75" hidden="1">
      <c r="B100" s="59" t="s">
        <v>17</v>
      </c>
      <c r="C100" s="70">
        <f>4945.92+3921.732+5873+2145.117+70.94+464.73+1559.999-706.418</f>
        <v>18275.019999999997</v>
      </c>
      <c r="D100" s="33">
        <f>654.308+706.418</f>
        <v>1360.726</v>
      </c>
      <c r="E100" s="41">
        <f>345.6842+64.8+123.3+1760.47+254.775</f>
        <v>2549.0292</v>
      </c>
      <c r="F100" s="41">
        <f t="shared" si="4"/>
        <v>22184.775199999996</v>
      </c>
      <c r="H100" s="16"/>
      <c r="I100" s="10"/>
      <c r="J100" s="7"/>
    </row>
    <row r="101" spans="2:10" ht="15.75" hidden="1">
      <c r="B101" s="59" t="s">
        <v>11</v>
      </c>
      <c r="C101" s="71">
        <f>4180.76+3120.336+5860+2058.991+125.94+511.129+1559.998-632.618</f>
        <v>16784.536000000004</v>
      </c>
      <c r="D101" s="33">
        <f>571.38+632.618</f>
        <v>1203.998</v>
      </c>
      <c r="E101" s="41">
        <f>333.5119+81.33+122.4+1912.839+161.282</f>
        <v>2611.3629</v>
      </c>
      <c r="F101" s="41">
        <f t="shared" si="4"/>
        <v>20599.896900000003</v>
      </c>
      <c r="H101" s="16"/>
      <c r="I101" s="10"/>
      <c r="J101" s="7"/>
    </row>
    <row r="102" spans="2:10" ht="15.75" hidden="1">
      <c r="B102" s="59" t="s">
        <v>12</v>
      </c>
      <c r="C102" s="72">
        <f>3246.46+3048.57+5070+2251.189+57.11+335.51+3153.757-924.109</f>
        <v>16238.487000000001</v>
      </c>
      <c r="D102" s="33">
        <f>164.136+924.109</f>
        <v>1088.2450000000001</v>
      </c>
      <c r="E102" s="41">
        <f>285.0419+104.676+1783.259+120.7</f>
        <v>2293.6769</v>
      </c>
      <c r="F102" s="41">
        <f t="shared" si="4"/>
        <v>19620.4089</v>
      </c>
      <c r="H102" s="16"/>
      <c r="I102" s="10"/>
      <c r="J102" s="7"/>
    </row>
    <row r="103" spans="2:10" ht="15.75" hidden="1">
      <c r="B103" s="59" t="s">
        <v>38</v>
      </c>
      <c r="C103" s="73">
        <f>3041.88+3387.72+5098+2266.362+19.91+13.535+3219.679-530.291</f>
        <v>16516.795</v>
      </c>
      <c r="D103" s="33">
        <f>599.836+530.291</f>
        <v>1130.127</v>
      </c>
      <c r="E103" s="41">
        <f>349.6309+70.635+108.12+1703.761+257.8</f>
        <v>2489.9469</v>
      </c>
      <c r="F103" s="41">
        <f t="shared" si="4"/>
        <v>20136.868899999998</v>
      </c>
      <c r="H103" s="16"/>
      <c r="I103" s="10"/>
      <c r="J103" s="7"/>
    </row>
    <row r="104" spans="2:10" ht="15.75" hidden="1">
      <c r="B104" s="59" t="s">
        <v>21</v>
      </c>
      <c r="C104" s="74">
        <f>3215.91+4230.114+5165+2224.2+293.733+3219.231-496.964</f>
        <v>17851.224</v>
      </c>
      <c r="D104" s="33">
        <f>759.58+496.964</f>
        <v>1256.544</v>
      </c>
      <c r="E104" s="41">
        <f>501.8991+93.825+78.816+1356.635+264.8</f>
        <v>2295.9751</v>
      </c>
      <c r="F104" s="41">
        <f t="shared" si="4"/>
        <v>21403.7431</v>
      </c>
      <c r="H104" s="16"/>
      <c r="I104" s="10"/>
      <c r="J104" s="7"/>
    </row>
    <row r="105" spans="2:10" ht="15.75" hidden="1">
      <c r="B105" s="59" t="s">
        <v>39</v>
      </c>
      <c r="C105" s="75">
        <f>3423.02+3983.196+5130+2028.2+525.542+3138.307-449.127</f>
        <v>17779.138</v>
      </c>
      <c r="D105" s="33">
        <f>662.328+449.127</f>
        <v>1111.455</v>
      </c>
      <c r="E105" s="41">
        <f>510.52+53.235+85.284+1051.644+268</f>
        <v>1968.683</v>
      </c>
      <c r="F105" s="41">
        <f t="shared" si="4"/>
        <v>20859.276</v>
      </c>
      <c r="H105" s="16"/>
      <c r="I105" s="10"/>
      <c r="J105" s="7"/>
    </row>
    <row r="106" spans="2:10" ht="15.75" hidden="1">
      <c r="B106" s="59" t="s">
        <v>13</v>
      </c>
      <c r="C106" s="76">
        <f>3879.05+4955.559+6162+1531.8+470.145+3214.033-368.509</f>
        <v>19844.078</v>
      </c>
      <c r="D106" s="33">
        <f>828.912+368.509</f>
        <v>1197.421</v>
      </c>
      <c r="E106" s="41">
        <f>559.8186+127.95+95.22+973.683+168.6</f>
        <v>1925.2716</v>
      </c>
      <c r="F106" s="41">
        <f>SUM(C106:E106)</f>
        <v>22966.7706</v>
      </c>
      <c r="H106" s="16"/>
      <c r="I106" s="10"/>
      <c r="J106" s="7"/>
    </row>
    <row r="107" spans="2:10" ht="15.75" hidden="1">
      <c r="B107" s="42"/>
      <c r="C107" s="77"/>
      <c r="D107" s="33"/>
      <c r="E107" s="41"/>
      <c r="F107" s="41"/>
      <c r="H107" s="16"/>
      <c r="I107" s="10"/>
      <c r="J107" s="7"/>
    </row>
    <row r="108" spans="2:10" ht="15.75">
      <c r="B108" s="45" t="s">
        <v>30</v>
      </c>
      <c r="C108" s="77"/>
      <c r="D108" s="33"/>
      <c r="E108" s="41"/>
      <c r="F108" s="41"/>
      <c r="H108" s="16"/>
      <c r="I108" s="10"/>
      <c r="J108" s="7"/>
    </row>
    <row r="109" spans="2:10" ht="15.75" customHeight="1" hidden="1">
      <c r="B109" s="59" t="s">
        <v>14</v>
      </c>
      <c r="C109" s="77">
        <f>4833.85+5146.617+6249+2204+248.612+1559.998-253.309</f>
        <v>19988.768</v>
      </c>
      <c r="D109" s="33">
        <f>881.028+253.309</f>
        <v>1134.337</v>
      </c>
      <c r="E109" s="41">
        <f>667.9+101.01+86.316+807.543+159</f>
        <v>1821.769</v>
      </c>
      <c r="F109" s="41">
        <f aca="true" t="shared" si="5" ref="F109:F120">SUM(C109:E109)</f>
        <v>22944.874</v>
      </c>
      <c r="H109" s="16"/>
      <c r="I109" s="10"/>
      <c r="J109" s="7"/>
    </row>
    <row r="110" spans="2:10" ht="15.75" hidden="1">
      <c r="B110" s="59" t="s">
        <v>15</v>
      </c>
      <c r="C110" s="78">
        <f>5188.47+4683.735+4740+1428.2+220.515+1559.999-324.873</f>
        <v>17496.046000000002</v>
      </c>
      <c r="D110" s="33">
        <f>789.128+324.873</f>
        <v>1114.001</v>
      </c>
      <c r="E110" s="41">
        <f>589.0944+88.995+81.54+327.677+204.4</f>
        <v>1291.7064</v>
      </c>
      <c r="F110" s="41">
        <f t="shared" si="5"/>
        <v>19901.7534</v>
      </c>
      <c r="H110" s="16"/>
      <c r="I110" s="10"/>
      <c r="J110" s="7"/>
    </row>
    <row r="111" spans="2:10" ht="15.75" hidden="1">
      <c r="B111" s="59" t="s">
        <v>16</v>
      </c>
      <c r="C111" s="33">
        <f>5939.29+4666.935+7234+83.61+1559.989-374.618</f>
        <v>19109.206000000002</v>
      </c>
      <c r="D111" s="79">
        <f>860.944+374.618</f>
        <v>1235.562</v>
      </c>
      <c r="E111" s="41">
        <f>651.3406+90+82.068+852.447+192.1</f>
        <v>1867.9555999999998</v>
      </c>
      <c r="F111" s="41">
        <f t="shared" si="5"/>
        <v>22212.723600000005</v>
      </c>
      <c r="H111" s="16"/>
      <c r="I111" s="10"/>
      <c r="J111" s="7"/>
    </row>
    <row r="112" spans="2:10" ht="15.75">
      <c r="B112" s="59" t="s">
        <v>36</v>
      </c>
      <c r="C112" s="33">
        <f>4844.43+5841.927+5803+1322.044+1489.284-447.327</f>
        <v>18853.358</v>
      </c>
      <c r="D112" s="80">
        <f>447.327+890.812</f>
        <v>1338.1390000000001</v>
      </c>
      <c r="E112" s="41">
        <f>669.168+167.7+53.976+1274.681+147.4</f>
        <v>2312.925</v>
      </c>
      <c r="F112" s="41">
        <f t="shared" si="5"/>
        <v>22504.422</v>
      </c>
      <c r="H112" s="16"/>
      <c r="I112" s="10"/>
      <c r="J112" s="7"/>
    </row>
    <row r="113" spans="2:10" ht="15.75">
      <c r="B113" s="59" t="s">
        <v>41</v>
      </c>
      <c r="C113" s="33">
        <f>3569.88+5612.652+5589+1814.43+1536.023-534.273</f>
        <v>17587.712</v>
      </c>
      <c r="D113" s="81">
        <f>880.276+534.273</f>
        <v>1414.549</v>
      </c>
      <c r="E113" s="41">
        <f>694.8257+239.55+1494.074+306</f>
        <v>2734.4497</v>
      </c>
      <c r="F113" s="41">
        <f t="shared" si="5"/>
        <v>21736.7107</v>
      </c>
      <c r="H113" s="16"/>
      <c r="I113" s="10"/>
      <c r="J113" s="7"/>
    </row>
    <row r="114" spans="2:10" ht="15.75">
      <c r="B114" s="59" t="s">
        <v>17</v>
      </c>
      <c r="C114" s="33">
        <f>4761.41+4581.216+5754+2025.227+1559.99-798.545</f>
        <v>17883.298000000003</v>
      </c>
      <c r="D114" s="33">
        <f>798.545+660.588</f>
        <v>1459.1329999999998</v>
      </c>
      <c r="E114" s="41">
        <f>618.0647+1202.679+265.55</f>
        <v>2086.2937</v>
      </c>
      <c r="F114" s="41">
        <f t="shared" si="5"/>
        <v>21428.724700000006</v>
      </c>
      <c r="G114" s="33"/>
      <c r="H114" s="16"/>
      <c r="I114" s="10"/>
      <c r="J114" s="7"/>
    </row>
    <row r="115" spans="2:10" s="18" customFormat="1" ht="15.75">
      <c r="B115" s="87" t="s">
        <v>11</v>
      </c>
      <c r="C115" s="82">
        <f>6189.78+4581.216+6297+2097.586+16.187+1559.994-1190.291</f>
        <v>19551.471999999998</v>
      </c>
      <c r="D115" s="83">
        <f>1190.291+510.204</f>
        <v>1700.495</v>
      </c>
      <c r="E115" s="84">
        <f>404.515+90.805+1219.963+262.7</f>
        <v>1977.983</v>
      </c>
      <c r="F115" s="84">
        <f t="shared" si="5"/>
        <v>23229.949999999997</v>
      </c>
      <c r="G115" s="82"/>
      <c r="H115" s="85"/>
      <c r="I115" s="86"/>
      <c r="J115" s="17"/>
    </row>
    <row r="116" spans="2:10" s="18" customFormat="1" ht="15.75">
      <c r="B116" s="87" t="s">
        <v>12</v>
      </c>
      <c r="C116" s="82">
        <f>5269.81+3935.862+5765+1996.965+195.137+2484.732-1150.364</f>
        <v>18497.141999999996</v>
      </c>
      <c r="D116" s="83">
        <f>1150.364+382.94</f>
        <v>1533.304</v>
      </c>
      <c r="E116" s="84">
        <f>331.1863+61.95+979.01+234</f>
        <v>1606.1462999999999</v>
      </c>
      <c r="F116" s="84">
        <f t="shared" si="5"/>
        <v>21636.592299999997</v>
      </c>
      <c r="G116" s="82"/>
      <c r="H116" s="85"/>
      <c r="I116" s="86"/>
      <c r="J116" s="17"/>
    </row>
    <row r="117" spans="2:10" s="18" customFormat="1" ht="15.75">
      <c r="B117" s="87" t="s">
        <v>38</v>
      </c>
      <c r="C117" s="82">
        <f>3005.25+2997.519+5629+2117.167+797.788+2988.042-915.873</f>
        <v>16618.893</v>
      </c>
      <c r="D117" s="83">
        <f>915.873+463.6</f>
        <v>1379.473</v>
      </c>
      <c r="E117" s="84">
        <f>296.7487+31.65+480.358+213.4</f>
        <v>1022.1566999999999</v>
      </c>
      <c r="F117" s="84">
        <f t="shared" si="5"/>
        <v>19020.5227</v>
      </c>
      <c r="G117" s="82"/>
      <c r="H117" s="85"/>
      <c r="I117" s="86"/>
      <c r="J117" s="17"/>
    </row>
    <row r="118" spans="2:10" s="18" customFormat="1" ht="15.75">
      <c r="B118" s="87" t="s">
        <v>21</v>
      </c>
      <c r="C118" s="82">
        <f>2862.95+3919.5+5815+1954.4+755.333+3353.039-919.636</f>
        <v>17740.586000000003</v>
      </c>
      <c r="D118" s="83">
        <f>919.636+480.6</f>
        <v>1400.2359999999999</v>
      </c>
      <c r="E118" s="84">
        <f>501.188+36.03+494.58+252.3</f>
        <v>1284.098</v>
      </c>
      <c r="F118" s="84">
        <f t="shared" si="5"/>
        <v>20424.920000000006</v>
      </c>
      <c r="G118" s="82"/>
      <c r="H118" s="85"/>
      <c r="I118" s="86"/>
      <c r="J118" s="17"/>
    </row>
    <row r="119" spans="2:10" s="18" customFormat="1" ht="15.75">
      <c r="B119" s="87" t="s">
        <v>39</v>
      </c>
      <c r="C119" s="82">
        <f>2191.1+4932.312+5787+1878.912+509.282+3078.256-712.309</f>
        <v>17664.553</v>
      </c>
      <c r="D119" s="83">
        <f>628.928+712.309</f>
        <v>1341.237</v>
      </c>
      <c r="E119" s="84">
        <f>634.043+93.405+672.204+237.5</f>
        <v>1637.152</v>
      </c>
      <c r="F119" s="84">
        <f t="shared" si="5"/>
        <v>20642.942000000003</v>
      </c>
      <c r="G119" s="82"/>
      <c r="H119" s="85"/>
      <c r="I119" s="86"/>
      <c r="J119" s="17"/>
    </row>
    <row r="120" spans="2:10" s="18" customFormat="1" ht="15.75">
      <c r="B120" s="87" t="s">
        <v>13</v>
      </c>
      <c r="C120" s="82">
        <f>3199.28+5122.026+6351+1837.992+128.251+3014.046-537</f>
        <v>19115.594999999998</v>
      </c>
      <c r="D120" s="83">
        <f>781.164+537</f>
        <v>1318.164</v>
      </c>
      <c r="E120" s="84">
        <f>681.426+188.34+563.328+257.5</f>
        <v>1690.594</v>
      </c>
      <c r="F120" s="84">
        <f t="shared" si="5"/>
        <v>22124.353</v>
      </c>
      <c r="G120" s="82"/>
      <c r="H120" s="85"/>
      <c r="I120" s="86"/>
      <c r="J120" s="17"/>
    </row>
    <row r="121" spans="2:10" s="18" customFormat="1" ht="15.75">
      <c r="B121" s="51"/>
      <c r="C121" s="82"/>
      <c r="D121" s="83"/>
      <c r="E121" s="84"/>
      <c r="F121" s="84"/>
      <c r="G121" s="82"/>
      <c r="H121" s="85"/>
      <c r="I121" s="86"/>
      <c r="J121" s="17"/>
    </row>
    <row r="122" spans="2:10" s="18" customFormat="1" ht="15.75">
      <c r="B122" s="45" t="s">
        <v>32</v>
      </c>
      <c r="C122" s="82"/>
      <c r="D122" s="83"/>
      <c r="E122" s="84"/>
      <c r="F122" s="84"/>
      <c r="G122" s="82"/>
      <c r="H122" s="85"/>
      <c r="I122" s="86"/>
      <c r="J122" s="17"/>
    </row>
    <row r="123" spans="2:10" s="18" customFormat="1" ht="15.75">
      <c r="B123" s="59" t="s">
        <v>14</v>
      </c>
      <c r="C123" s="82">
        <f>3629.22+5158.86+7711+1929.352+72.348+1700.348-773.673</f>
        <v>19427.455000000005</v>
      </c>
      <c r="D123" s="83">
        <f>637.276+773.673</f>
        <v>1410.949</v>
      </c>
      <c r="E123" s="84">
        <f>634.3696+81.63+925.28+200.6</f>
        <v>1841.8795999999998</v>
      </c>
      <c r="F123" s="84">
        <f aca="true" t="shared" si="6" ref="F123:F134">SUM(C123:E123)</f>
        <v>22680.283600000006</v>
      </c>
      <c r="G123" s="82"/>
      <c r="H123" s="85"/>
      <c r="I123" s="86"/>
      <c r="J123" s="17"/>
    </row>
    <row r="124" spans="2:10" s="18" customFormat="1" ht="15.75">
      <c r="B124" s="59" t="s">
        <v>15</v>
      </c>
      <c r="C124" s="82">
        <f>3569.14+4699.758+8708+1909.396+35.298+1559.897-135.709</f>
        <v>20345.780000000002</v>
      </c>
      <c r="D124" s="83">
        <f>0+135.709</f>
        <v>135.709</v>
      </c>
      <c r="E124" s="84">
        <f>670.2354+150.99+828.167+196.3</f>
        <v>1845.6924000000001</v>
      </c>
      <c r="F124" s="84">
        <f t="shared" si="6"/>
        <v>22327.1814</v>
      </c>
      <c r="G124" s="82"/>
      <c r="H124" s="85"/>
      <c r="I124" s="86"/>
      <c r="J124" s="17"/>
    </row>
    <row r="125" spans="2:10" s="18" customFormat="1" ht="15.75">
      <c r="B125" s="59" t="s">
        <v>16</v>
      </c>
      <c r="C125" s="82">
        <f>5435.98+5232.633+9005+1469.553+132.654+1273.849-1494.327</f>
        <v>21055.341999999993</v>
      </c>
      <c r="D125" s="83">
        <f>0+1494.327</f>
        <v>1494.327</v>
      </c>
      <c r="E125" s="84">
        <f>722.3244+131.67+642.529+255.8</f>
        <v>1752.3234</v>
      </c>
      <c r="F125" s="84">
        <f t="shared" si="6"/>
        <v>24301.992399999996</v>
      </c>
      <c r="G125" s="82"/>
      <c r="H125" s="85"/>
      <c r="I125" s="86"/>
      <c r="J125" s="17"/>
    </row>
    <row r="126" spans="2:10" s="18" customFormat="1" ht="15.75">
      <c r="B126" s="59" t="s">
        <v>36</v>
      </c>
      <c r="C126" s="82">
        <f>7805.01+5168.457+7189+2079.146+97.977+366.688-1341.491</f>
        <v>21364.786999999997</v>
      </c>
      <c r="D126" s="83">
        <f>359.2+1341.491</f>
        <v>1700.691</v>
      </c>
      <c r="E126" s="84">
        <f>455.539+131.805+741.875+248.4</f>
        <v>1577.6190000000001</v>
      </c>
      <c r="F126" s="84">
        <f t="shared" si="6"/>
        <v>24643.096999999994</v>
      </c>
      <c r="G126" s="82"/>
      <c r="H126" s="85"/>
      <c r="I126" s="86"/>
      <c r="J126" s="17"/>
    </row>
    <row r="127" spans="2:10" s="18" customFormat="1" ht="15.75">
      <c r="B127" s="59" t="s">
        <v>41</v>
      </c>
      <c r="C127" s="82">
        <f>7469.18+5100.123+7941+2318.045+64.292+620.182-1241.321</f>
        <v>22271.501</v>
      </c>
      <c r="D127" s="83">
        <f>620.58+1241.321</f>
        <v>1861.9009999999998</v>
      </c>
      <c r="E127" s="84">
        <f>595.2844+132.495+606.51104+308.8</f>
        <v>1643.09044</v>
      </c>
      <c r="F127" s="84">
        <f t="shared" si="6"/>
        <v>25776.49244</v>
      </c>
      <c r="G127" s="82"/>
      <c r="H127" s="85"/>
      <c r="I127" s="86"/>
      <c r="J127" s="17"/>
    </row>
    <row r="128" spans="2:10" s="18" customFormat="1" ht="15.75">
      <c r="B128" s="59" t="s">
        <v>17</v>
      </c>
      <c r="C128" s="82">
        <f>6281.46+3489.84+8303+2427.878+77.88+1452.552-1022.836</f>
        <v>21009.774</v>
      </c>
      <c r="D128" s="83">
        <f>610.52+1022.836</f>
        <v>1633.356</v>
      </c>
      <c r="E128" s="84">
        <f>326.527+75.54+9.336+828.2454+276.4</f>
        <v>1516.0484000000001</v>
      </c>
      <c r="F128" s="84">
        <f t="shared" si="6"/>
        <v>24159.1784</v>
      </c>
      <c r="G128" s="82"/>
      <c r="H128" s="85"/>
      <c r="I128" s="86"/>
      <c r="J128" s="17"/>
    </row>
    <row r="129" spans="2:10" s="18" customFormat="1" ht="15.75">
      <c r="B129" s="59" t="s">
        <v>11</v>
      </c>
      <c r="C129" s="82">
        <f>7362.07+3154.179+7693+2291.941+165.989+1559.859-897.709</f>
        <v>21329.329</v>
      </c>
      <c r="D129" s="83">
        <f>689.2+897.709</f>
        <v>1586.909</v>
      </c>
      <c r="E129" s="84">
        <f>361.431+75.195+712.68544+287.9</f>
        <v>1437.21144</v>
      </c>
      <c r="F129" s="84">
        <f t="shared" si="6"/>
        <v>24353.44944</v>
      </c>
      <c r="G129" s="82"/>
      <c r="H129" s="85"/>
      <c r="I129" s="86"/>
      <c r="J129" s="17"/>
    </row>
    <row r="130" spans="2:10" s="18" customFormat="1" ht="15.75">
      <c r="B130" s="59" t="s">
        <v>12</v>
      </c>
      <c r="C130" s="82">
        <f>6780.82+2516.619+7813+2368.299+160.385+2242.066-1090.691</f>
        <v>20790.497999999996</v>
      </c>
      <c r="D130" s="83">
        <f>597.7+1090.691</f>
        <v>1688.391</v>
      </c>
      <c r="E130" s="84">
        <f>330.871+41.895+1168.21024+267</f>
        <v>1807.97624</v>
      </c>
      <c r="F130" s="84">
        <f t="shared" si="6"/>
        <v>24286.865239999996</v>
      </c>
      <c r="G130" s="82"/>
      <c r="H130" s="85"/>
      <c r="I130" s="86"/>
      <c r="J130" s="17"/>
    </row>
    <row r="131" spans="2:10" s="18" customFormat="1" ht="15.75">
      <c r="B131" s="59" t="s">
        <v>38</v>
      </c>
      <c r="C131" s="82">
        <f>5852.99+2500.113+7878+2162.253+144.387+2790.069-1251</f>
        <v>20076.811999999998</v>
      </c>
      <c r="D131" s="83">
        <f>344.692+1251</f>
        <v>1595.692</v>
      </c>
      <c r="E131" s="84">
        <f>297.291+1115.28396+116.845</f>
        <v>1529.41996</v>
      </c>
      <c r="F131" s="84">
        <f t="shared" si="6"/>
        <v>23201.923959999996</v>
      </c>
      <c r="G131" s="82"/>
      <c r="H131" s="85"/>
      <c r="I131" s="86"/>
      <c r="J131" s="17"/>
    </row>
    <row r="132" spans="2:10" s="18" customFormat="1" ht="15.75">
      <c r="B132" s="59" t="s">
        <v>21</v>
      </c>
      <c r="C132" s="82">
        <f>5687.02+2965.683+8138+2577.804+269.801+2856.764-1222.636</f>
        <v>21272.436</v>
      </c>
      <c r="D132" s="83">
        <f>428.228+1222.636</f>
        <v>1650.864</v>
      </c>
      <c r="E132" s="84">
        <f>399.404+71.025+0+1190.35472+225.8</f>
        <v>1886.5837199999999</v>
      </c>
      <c r="F132" s="84">
        <f t="shared" si="6"/>
        <v>24809.88372</v>
      </c>
      <c r="G132" s="82"/>
      <c r="H132" s="85"/>
      <c r="I132" s="86"/>
      <c r="J132" s="17"/>
    </row>
    <row r="133" spans="2:10" s="18" customFormat="1" ht="15.75">
      <c r="B133" s="59" t="s">
        <v>39</v>
      </c>
      <c r="C133" s="82">
        <f>5304.72+3020.199+7021+2372.422+270.702+3040.159-1092.818</f>
        <v>19936.384000000002</v>
      </c>
      <c r="D133" s="83">
        <f>537.132+1092.818</f>
        <v>1629.9499999999998</v>
      </c>
      <c r="E133" s="84">
        <f>446.1989+50.94+12.984+1157.14788+252.6</f>
        <v>1919.8707799999997</v>
      </c>
      <c r="F133" s="84">
        <f t="shared" si="6"/>
        <v>23486.204780000004</v>
      </c>
      <c r="G133" s="82"/>
      <c r="H133" s="85"/>
      <c r="I133" s="86"/>
      <c r="J133" s="17"/>
    </row>
    <row r="134" spans="2:10" s="18" customFormat="1" ht="15.75">
      <c r="B134" s="59" t="s">
        <v>13</v>
      </c>
      <c r="C134" s="82">
        <f>4998.66+3573.696+6975+1651.198+325.269+2806.916-948.6</f>
        <v>19382.139000000003</v>
      </c>
      <c r="D134" s="83">
        <f>575.792+948.6</f>
        <v>1524.392</v>
      </c>
      <c r="E134" s="84">
        <f>416.6762+18.816+1234.9894+260</f>
        <v>1930.4815999999998</v>
      </c>
      <c r="F134" s="84">
        <f t="shared" si="6"/>
        <v>22837.012600000002</v>
      </c>
      <c r="G134" s="82"/>
      <c r="H134" s="85"/>
      <c r="I134" s="86"/>
      <c r="J134" s="17"/>
    </row>
    <row r="135" spans="2:10" s="18" customFormat="1" ht="15.75">
      <c r="B135" s="59"/>
      <c r="C135" s="82"/>
      <c r="D135" s="83"/>
      <c r="E135" s="84"/>
      <c r="F135" s="84"/>
      <c r="G135" s="82"/>
      <c r="H135" s="85"/>
      <c r="I135" s="86"/>
      <c r="J135" s="17"/>
    </row>
    <row r="136" spans="2:10" s="18" customFormat="1" ht="15.75">
      <c r="B136" s="45" t="s">
        <v>33</v>
      </c>
      <c r="C136" s="82"/>
      <c r="D136" s="83"/>
      <c r="E136" s="84"/>
      <c r="F136" s="84"/>
      <c r="G136" s="82"/>
      <c r="H136" s="85"/>
      <c r="I136" s="86"/>
      <c r="J136" s="17"/>
    </row>
    <row r="137" spans="2:10" s="18" customFormat="1" ht="15.75">
      <c r="B137" s="59" t="s">
        <v>14</v>
      </c>
      <c r="C137" s="82">
        <f>3247.13+4270.413+7551+1925.521+336.913+2965.146-583.826-906.818</f>
        <v>18805.479</v>
      </c>
      <c r="D137" s="83">
        <f>583.826+906.818</f>
        <v>1490.644</v>
      </c>
      <c r="E137" s="84">
        <f>543.2743+35.415+1296.45152+260.9</f>
        <v>2136.04082</v>
      </c>
      <c r="F137" s="84">
        <f>SUM(C137:E137)</f>
        <v>22432.16382</v>
      </c>
      <c r="G137" s="82"/>
      <c r="H137" s="85"/>
      <c r="I137" s="86"/>
      <c r="J137" s="17"/>
    </row>
    <row r="138" spans="2:10" s="18" customFormat="1" ht="15.75">
      <c r="B138" s="59" t="s">
        <v>15</v>
      </c>
      <c r="C138" s="82">
        <f>3695.055+3033.2+5784+2178.864+324.647+2831.452-820.745</f>
        <v>17026.473</v>
      </c>
      <c r="D138" s="83">
        <f>532.026+820.745</f>
        <v>1352.771</v>
      </c>
      <c r="E138" s="84">
        <f>460.0747+35.19+1333.33777+248.8</f>
        <v>2077.40247</v>
      </c>
      <c r="F138" s="84">
        <f>SUM(C138:E138)</f>
        <v>20456.646470000003</v>
      </c>
      <c r="G138" s="82"/>
      <c r="H138" s="85"/>
      <c r="I138" s="86"/>
      <c r="J138" s="17"/>
    </row>
    <row r="139" spans="2:10" s="18" customFormat="1" ht="15.75">
      <c r="B139" s="59" t="s">
        <v>16</v>
      </c>
      <c r="C139" s="82">
        <f>3396.93+4778.991+6232+2372.81+396.611+3199.873-972.273</f>
        <v>19404.942</v>
      </c>
      <c r="D139" s="83">
        <f>676.72+972.273</f>
        <v>1648.993</v>
      </c>
      <c r="E139" s="84">
        <f>632.7084+178.86+0+1036.9706+269</f>
        <v>2117.539</v>
      </c>
      <c r="F139" s="84">
        <f>SUM(C139:E139)</f>
        <v>23171.474</v>
      </c>
      <c r="G139" s="82"/>
      <c r="H139" s="85"/>
      <c r="I139" s="86"/>
      <c r="J139" s="17"/>
    </row>
    <row r="140" spans="2:10" s="18" customFormat="1" ht="15.75">
      <c r="B140" s="59" t="s">
        <v>36</v>
      </c>
      <c r="C140" s="82">
        <f>3596+3906.462+5872+2171.995+150.302+2599.913-788.673</f>
        <v>17507.999</v>
      </c>
      <c r="D140" s="83">
        <f>304.648+788.673</f>
        <v>1093.321</v>
      </c>
      <c r="E140" s="84">
        <f>100.44+1478.53222+215.8</f>
        <v>1794.77222</v>
      </c>
      <c r="F140" s="84">
        <f>SUM(C140:E140)</f>
        <v>20396.09222</v>
      </c>
      <c r="G140" s="82"/>
      <c r="H140" s="85"/>
      <c r="I140" s="86"/>
      <c r="J140" s="17"/>
    </row>
    <row r="141" spans="2:10" ht="15.75">
      <c r="B141" s="42"/>
      <c r="C141" s="24"/>
      <c r="D141" s="33"/>
      <c r="E141" s="48"/>
      <c r="F141" s="54"/>
      <c r="H141" s="16"/>
      <c r="I141" s="10"/>
      <c r="J141" s="7"/>
    </row>
    <row r="142" spans="2:10" ht="15.75">
      <c r="B142" s="55"/>
      <c r="C142" s="56"/>
      <c r="D142" s="56"/>
      <c r="E142" s="56"/>
      <c r="F142" s="46"/>
      <c r="H142" s="15"/>
      <c r="I142" s="13"/>
      <c r="J142" s="7"/>
    </row>
    <row r="143" spans="2:11" ht="15.75">
      <c r="B143" s="88" t="s">
        <v>46</v>
      </c>
      <c r="C143" s="50"/>
      <c r="D143" s="50"/>
      <c r="E143" s="50"/>
      <c r="F143" s="57"/>
      <c r="H143" s="15"/>
      <c r="I143" s="8"/>
      <c r="J143" s="11"/>
      <c r="K143" s="7"/>
    </row>
    <row r="144" spans="2:8" ht="15.75">
      <c r="B144" s="58"/>
      <c r="C144" s="28"/>
      <c r="D144" s="28"/>
      <c r="E144" s="28"/>
      <c r="F144" s="29"/>
      <c r="G144" s="7"/>
      <c r="H144" s="15"/>
    </row>
    <row r="145" spans="3:7" ht="15.75">
      <c r="C145" s="1"/>
      <c r="D145" s="9"/>
      <c r="E145" s="1"/>
      <c r="F145" s="4"/>
      <c r="G145" s="8"/>
    </row>
    <row r="146" spans="4:7" ht="15.75">
      <c r="D146" s="7"/>
      <c r="F146" s="7"/>
      <c r="G146" s="8"/>
    </row>
    <row r="147" ht="15.75">
      <c r="E147" s="4"/>
    </row>
    <row r="148" spans="4:8" ht="15.75">
      <c r="D148" s="2"/>
      <c r="G148" s="8"/>
      <c r="H148" s="8"/>
    </row>
    <row r="149" ht="15.75">
      <c r="C149" s="5"/>
    </row>
    <row r="150" spans="5:8" ht="15.75">
      <c r="E150" s="2"/>
      <c r="F150" s="2"/>
      <c r="H150" s="8"/>
    </row>
    <row r="151" spans="5:6" ht="15.75">
      <c r="E151" s="7"/>
      <c r="F151" s="7"/>
    </row>
    <row r="159" ht="15.75">
      <c r="E159" s="5"/>
    </row>
    <row r="161" ht="15.75">
      <c r="E161" s="7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2017-01-23T07:19:50Z</cp:lastPrinted>
  <dcterms:created xsi:type="dcterms:W3CDTF">2000-08-22T08:23:22Z</dcterms:created>
  <dcterms:modified xsi:type="dcterms:W3CDTF">2017-07-11T14:41:57Z</dcterms:modified>
  <cp:category/>
  <cp:version/>
  <cp:contentType/>
  <cp:contentStatus/>
</cp:coreProperties>
</file>