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ABLEAUX STATISTIQUES\BM 03 2017 Anglais\"/>
    </mc:Choice>
  </mc:AlternateContent>
  <bookViews>
    <workbookView xWindow="0" yWindow="0" windowWidth="20490" windowHeight="7755"/>
  </bookViews>
  <sheets>
    <sheet name="II_7_1 Assets Fcial intermediar" sheetId="1" r:id="rId1"/>
  </sheets>
  <externalReferences>
    <externalReference r:id="rId2"/>
  </externalReferences>
  <definedNames>
    <definedName name="_xlnm.Print_Area" localSheetId="0">'II_7_1 Assets Fcial intermediar'!$A$1:$L$252</definedName>
    <definedName name="Zone_impres_MI">'[1]II_1 Net foreign assets'!$A$1:$Q$177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 l="1"/>
  <c r="E11" i="1"/>
  <c r="L11" i="1" s="1"/>
  <c r="F11" i="1"/>
  <c r="I11" i="1"/>
  <c r="J11" i="1"/>
  <c r="K11" i="1"/>
  <c r="C12" i="1"/>
  <c r="E12" i="1"/>
  <c r="F12" i="1"/>
  <c r="I12" i="1"/>
  <c r="J12" i="1"/>
  <c r="K12" i="1"/>
  <c r="L12" i="1"/>
  <c r="C21" i="1"/>
  <c r="E21" i="1"/>
  <c r="L21" i="1" s="1"/>
  <c r="F21" i="1"/>
  <c r="I21" i="1"/>
  <c r="J21" i="1"/>
  <c r="K21" i="1"/>
  <c r="C22" i="1"/>
  <c r="E22" i="1"/>
  <c r="F22" i="1"/>
  <c r="I22" i="1"/>
  <c r="J22" i="1"/>
  <c r="K22" i="1"/>
  <c r="L22" i="1"/>
  <c r="C26" i="1"/>
  <c r="D26" i="1"/>
  <c r="L26" i="1" s="1"/>
  <c r="F26" i="1"/>
  <c r="I26" i="1"/>
  <c r="J26" i="1"/>
  <c r="K26" i="1"/>
  <c r="C28" i="1"/>
  <c r="L28" i="1" s="1"/>
  <c r="D28" i="1"/>
  <c r="E28" i="1"/>
  <c r="F28" i="1"/>
  <c r="I28" i="1"/>
  <c r="J28" i="1"/>
  <c r="K28" i="1"/>
  <c r="C29" i="1"/>
  <c r="L29" i="1" s="1"/>
  <c r="D29" i="1"/>
  <c r="I29" i="1"/>
  <c r="J29" i="1"/>
  <c r="K29" i="1"/>
  <c r="C30" i="1"/>
  <c r="L30" i="1" s="1"/>
  <c r="L47" i="1"/>
  <c r="C49" i="1"/>
  <c r="D49" i="1"/>
  <c r="L49" i="1" s="1"/>
  <c r="E49" i="1"/>
  <c r="F49" i="1"/>
  <c r="H49" i="1"/>
  <c r="I49" i="1"/>
  <c r="J49" i="1"/>
  <c r="K49" i="1"/>
  <c r="C50" i="1"/>
  <c r="L50" i="1" s="1"/>
  <c r="D50" i="1"/>
  <c r="E50" i="1"/>
  <c r="F50" i="1"/>
  <c r="G50" i="1"/>
  <c r="H50" i="1"/>
  <c r="I50" i="1"/>
  <c r="J50" i="1"/>
  <c r="K50" i="1"/>
  <c r="C51" i="1"/>
  <c r="D51" i="1"/>
  <c r="E51" i="1"/>
  <c r="F51" i="1"/>
  <c r="G51" i="1"/>
  <c r="H51" i="1"/>
  <c r="I51" i="1"/>
  <c r="K51" i="1"/>
  <c r="L51" i="1"/>
  <c r="C52" i="1"/>
  <c r="D52" i="1"/>
  <c r="E52" i="1"/>
  <c r="F52" i="1"/>
  <c r="G52" i="1"/>
  <c r="H52" i="1"/>
  <c r="I52" i="1"/>
  <c r="J52" i="1"/>
  <c r="K52" i="1"/>
  <c r="L52" i="1"/>
  <c r="C53" i="1"/>
  <c r="D53" i="1"/>
  <c r="E53" i="1"/>
  <c r="F53" i="1"/>
  <c r="G53" i="1"/>
  <c r="H53" i="1"/>
  <c r="I53" i="1"/>
  <c r="J53" i="1"/>
  <c r="K53" i="1"/>
  <c r="L53" i="1"/>
  <c r="C54" i="1"/>
  <c r="D54" i="1"/>
  <c r="E54" i="1"/>
  <c r="F54" i="1"/>
  <c r="G54" i="1"/>
  <c r="H54" i="1"/>
  <c r="I54" i="1"/>
  <c r="J54" i="1"/>
  <c r="K54" i="1"/>
  <c r="L54" i="1"/>
  <c r="C55" i="1"/>
  <c r="D55" i="1"/>
  <c r="E55" i="1"/>
  <c r="F55" i="1"/>
  <c r="G55" i="1"/>
  <c r="H55" i="1"/>
  <c r="I55" i="1"/>
  <c r="J55" i="1"/>
  <c r="K55" i="1"/>
  <c r="L55" i="1"/>
  <c r="C56" i="1"/>
  <c r="D56" i="1"/>
  <c r="E56" i="1"/>
  <c r="F56" i="1"/>
  <c r="G56" i="1"/>
  <c r="H56" i="1"/>
  <c r="I56" i="1"/>
  <c r="J56" i="1"/>
  <c r="K56" i="1"/>
  <c r="L56" i="1"/>
  <c r="C57" i="1"/>
  <c r="D57" i="1"/>
  <c r="E57" i="1"/>
  <c r="F57" i="1"/>
  <c r="G57" i="1"/>
  <c r="H57" i="1"/>
  <c r="I57" i="1"/>
  <c r="J57" i="1"/>
  <c r="K57" i="1"/>
  <c r="L57" i="1"/>
  <c r="C58" i="1"/>
  <c r="D58" i="1"/>
  <c r="E58" i="1"/>
  <c r="F58" i="1"/>
  <c r="G58" i="1"/>
  <c r="H58" i="1"/>
  <c r="I58" i="1"/>
  <c r="J58" i="1"/>
  <c r="K58" i="1"/>
  <c r="L58" i="1"/>
  <c r="C59" i="1"/>
  <c r="D59" i="1"/>
  <c r="E59" i="1"/>
  <c r="F59" i="1"/>
  <c r="G59" i="1"/>
  <c r="H59" i="1"/>
  <c r="I59" i="1"/>
  <c r="J59" i="1"/>
  <c r="K59" i="1"/>
  <c r="L59" i="1"/>
  <c r="C60" i="1"/>
  <c r="D60" i="1"/>
  <c r="E60" i="1"/>
  <c r="F60" i="1"/>
  <c r="G60" i="1"/>
  <c r="H60" i="1"/>
  <c r="I60" i="1"/>
  <c r="J60" i="1"/>
  <c r="K60" i="1"/>
  <c r="L60" i="1"/>
  <c r="C62" i="1"/>
  <c r="D62" i="1"/>
  <c r="E62" i="1"/>
  <c r="F62" i="1"/>
  <c r="G62" i="1"/>
  <c r="H62" i="1"/>
  <c r="I62" i="1"/>
  <c r="J62" i="1"/>
  <c r="K62" i="1"/>
  <c r="L62" i="1"/>
  <c r="C63" i="1"/>
  <c r="D63" i="1"/>
  <c r="E63" i="1"/>
  <c r="F63" i="1"/>
  <c r="G63" i="1"/>
  <c r="H63" i="1"/>
  <c r="I63" i="1"/>
  <c r="J63" i="1"/>
  <c r="K63" i="1"/>
  <c r="L63" i="1"/>
  <c r="C64" i="1"/>
  <c r="D64" i="1"/>
  <c r="E64" i="1"/>
  <c r="F64" i="1"/>
  <c r="G64" i="1"/>
  <c r="H64" i="1"/>
  <c r="I64" i="1"/>
  <c r="J64" i="1"/>
  <c r="K64" i="1"/>
  <c r="L64" i="1"/>
  <c r="C65" i="1"/>
  <c r="D65" i="1"/>
  <c r="E65" i="1"/>
  <c r="F65" i="1"/>
  <c r="G65" i="1"/>
  <c r="H65" i="1"/>
  <c r="I65" i="1"/>
  <c r="J65" i="1"/>
  <c r="K65" i="1"/>
  <c r="L65" i="1"/>
  <c r="C66" i="1"/>
  <c r="D66" i="1"/>
  <c r="E66" i="1"/>
  <c r="F66" i="1"/>
  <c r="G66" i="1"/>
  <c r="H66" i="1"/>
  <c r="I66" i="1"/>
  <c r="J66" i="1"/>
  <c r="K66" i="1"/>
  <c r="L66" i="1"/>
  <c r="C67" i="1"/>
  <c r="D67" i="1"/>
  <c r="E67" i="1"/>
  <c r="F67" i="1"/>
  <c r="G67" i="1"/>
  <c r="H67" i="1"/>
  <c r="I67" i="1"/>
  <c r="J67" i="1"/>
  <c r="K67" i="1"/>
  <c r="L67" i="1"/>
  <c r="C68" i="1"/>
  <c r="D68" i="1"/>
  <c r="E68" i="1"/>
  <c r="F68" i="1"/>
  <c r="G68" i="1"/>
  <c r="H68" i="1"/>
  <c r="I68" i="1"/>
  <c r="J68" i="1"/>
  <c r="K68" i="1"/>
  <c r="L68" i="1"/>
  <c r="L69" i="1"/>
  <c r="C70" i="1"/>
  <c r="L70" i="1" s="1"/>
  <c r="F70" i="1"/>
  <c r="G70" i="1"/>
  <c r="H70" i="1"/>
  <c r="I70" i="1"/>
  <c r="J70" i="1"/>
  <c r="K70" i="1"/>
  <c r="C71" i="1"/>
  <c r="L71" i="1" s="1"/>
  <c r="F71" i="1"/>
  <c r="G71" i="1"/>
  <c r="H71" i="1"/>
  <c r="I71" i="1"/>
  <c r="J71" i="1"/>
  <c r="K71" i="1"/>
  <c r="C72" i="1"/>
  <c r="D72" i="1"/>
  <c r="F72" i="1"/>
  <c r="G72" i="1"/>
  <c r="H72" i="1"/>
  <c r="I72" i="1"/>
  <c r="J72" i="1"/>
  <c r="K72" i="1"/>
  <c r="L72" i="1"/>
  <c r="C73" i="1"/>
  <c r="F73" i="1"/>
  <c r="G73" i="1"/>
  <c r="H73" i="1"/>
  <c r="I73" i="1"/>
  <c r="J73" i="1"/>
  <c r="K73" i="1"/>
  <c r="L73" i="1"/>
  <c r="L75" i="1"/>
  <c r="L76" i="1"/>
  <c r="L77" i="1"/>
  <c r="L78" i="1"/>
  <c r="L79" i="1"/>
  <c r="L80" i="1"/>
  <c r="L81" i="1"/>
  <c r="L82" i="1"/>
  <c r="L83" i="1"/>
  <c r="L84" i="1"/>
  <c r="L85" i="1"/>
  <c r="L86" i="1"/>
  <c r="C88" i="1"/>
  <c r="F88" i="1"/>
  <c r="G88" i="1"/>
  <c r="H88" i="1"/>
  <c r="I88" i="1"/>
  <c r="J88" i="1"/>
  <c r="K88" i="1"/>
  <c r="L88" i="1"/>
  <c r="C89" i="1"/>
  <c r="F89" i="1"/>
  <c r="G89" i="1"/>
  <c r="H89" i="1"/>
  <c r="I89" i="1"/>
  <c r="J89" i="1"/>
  <c r="K89" i="1"/>
  <c r="L89" i="1"/>
  <c r="C90" i="1"/>
  <c r="F90" i="1"/>
  <c r="G90" i="1"/>
  <c r="H90" i="1"/>
  <c r="I90" i="1"/>
  <c r="J90" i="1"/>
  <c r="K90" i="1"/>
  <c r="L90" i="1"/>
  <c r="C91" i="1"/>
  <c r="F91" i="1"/>
  <c r="G91" i="1"/>
  <c r="H91" i="1"/>
  <c r="I91" i="1"/>
  <c r="J91" i="1"/>
  <c r="K91" i="1"/>
  <c r="L91" i="1"/>
  <c r="C92" i="1"/>
  <c r="F92" i="1"/>
  <c r="G92" i="1"/>
  <c r="H92" i="1"/>
  <c r="I92" i="1"/>
  <c r="J92" i="1"/>
  <c r="K92" i="1"/>
  <c r="L92" i="1"/>
  <c r="C93" i="1"/>
  <c r="F93" i="1"/>
  <c r="G93" i="1"/>
  <c r="H93" i="1"/>
  <c r="I93" i="1"/>
  <c r="J93" i="1"/>
  <c r="K93" i="1"/>
  <c r="L93" i="1"/>
  <c r="C94" i="1"/>
  <c r="F94" i="1"/>
  <c r="G94" i="1"/>
  <c r="H94" i="1"/>
  <c r="I94" i="1"/>
  <c r="J94" i="1"/>
  <c r="K94" i="1"/>
  <c r="L94" i="1"/>
  <c r="C95" i="1"/>
  <c r="F95" i="1"/>
  <c r="G95" i="1"/>
  <c r="H95" i="1"/>
  <c r="I95" i="1"/>
  <c r="J95" i="1"/>
  <c r="K95" i="1"/>
  <c r="L95" i="1"/>
  <c r="C96" i="1"/>
  <c r="F96" i="1"/>
  <c r="L96" i="1" s="1"/>
  <c r="H96" i="1"/>
  <c r="I96" i="1"/>
  <c r="J96" i="1"/>
  <c r="K96" i="1"/>
  <c r="C97" i="1"/>
  <c r="L97" i="1" s="1"/>
  <c r="D97" i="1"/>
  <c r="F97" i="1"/>
  <c r="H97" i="1"/>
  <c r="I97" i="1"/>
  <c r="J97" i="1"/>
  <c r="K97" i="1"/>
  <c r="C98" i="1"/>
  <c r="L98" i="1" s="1"/>
  <c r="D98" i="1"/>
  <c r="F98" i="1"/>
  <c r="H98" i="1"/>
  <c r="I98" i="1"/>
  <c r="J98" i="1"/>
  <c r="K98" i="1"/>
  <c r="C99" i="1"/>
  <c r="L99" i="1" s="1"/>
  <c r="D99" i="1"/>
  <c r="F99" i="1"/>
  <c r="H99" i="1"/>
  <c r="I99" i="1"/>
  <c r="J99" i="1"/>
  <c r="K99" i="1"/>
  <c r="C101" i="1"/>
  <c r="D101" i="1"/>
  <c r="H101" i="1"/>
  <c r="I101" i="1"/>
  <c r="J101" i="1"/>
  <c r="K101" i="1"/>
  <c r="L101" i="1"/>
  <c r="C102" i="1"/>
  <c r="D102" i="1"/>
  <c r="L102" i="1" s="1"/>
  <c r="H102" i="1"/>
  <c r="I102" i="1"/>
  <c r="J102" i="1"/>
  <c r="K102" i="1"/>
  <c r="C103" i="1"/>
  <c r="D103" i="1"/>
  <c r="H103" i="1"/>
  <c r="I103" i="1"/>
  <c r="J103" i="1"/>
  <c r="K103" i="1"/>
  <c r="L103" i="1"/>
  <c r="C104" i="1"/>
  <c r="D104" i="1"/>
  <c r="L104" i="1" s="1"/>
  <c r="H104" i="1"/>
  <c r="I104" i="1"/>
  <c r="J104" i="1"/>
  <c r="K104" i="1"/>
  <c r="C105" i="1"/>
  <c r="D105" i="1"/>
  <c r="H105" i="1"/>
  <c r="I105" i="1"/>
  <c r="J105" i="1"/>
  <c r="K105" i="1"/>
  <c r="L105" i="1"/>
  <c r="C106" i="1"/>
  <c r="D106" i="1"/>
  <c r="L106" i="1" s="1"/>
  <c r="H106" i="1"/>
  <c r="I106" i="1"/>
  <c r="J106" i="1"/>
  <c r="K106" i="1"/>
  <c r="C107" i="1"/>
  <c r="L107" i="1" s="1"/>
  <c r="H107" i="1"/>
  <c r="I107" i="1"/>
  <c r="J107" i="1"/>
  <c r="K107" i="1"/>
  <c r="C108" i="1"/>
  <c r="L108" i="1" s="1"/>
  <c r="H108" i="1"/>
  <c r="I108" i="1"/>
  <c r="J108" i="1"/>
  <c r="K108" i="1"/>
  <c r="C109" i="1"/>
  <c r="L109" i="1" s="1"/>
  <c r="H109" i="1"/>
  <c r="I109" i="1"/>
  <c r="J109" i="1"/>
  <c r="K109" i="1"/>
  <c r="C110" i="1"/>
  <c r="L110" i="1" s="1"/>
  <c r="H110" i="1"/>
  <c r="I110" i="1"/>
  <c r="J110" i="1"/>
  <c r="K110" i="1"/>
  <c r="C111" i="1"/>
  <c r="L111" i="1" s="1"/>
  <c r="H111" i="1"/>
  <c r="I111" i="1"/>
  <c r="J111" i="1"/>
  <c r="K111" i="1"/>
  <c r="C112" i="1"/>
  <c r="L112" i="1" s="1"/>
  <c r="H112" i="1"/>
  <c r="I112" i="1"/>
  <c r="J112" i="1"/>
  <c r="K112" i="1"/>
  <c r="C114" i="1"/>
  <c r="L114" i="1" s="1"/>
  <c r="H114" i="1"/>
  <c r="I114" i="1"/>
  <c r="J114" i="1"/>
  <c r="K114" i="1"/>
  <c r="C115" i="1"/>
  <c r="L115" i="1" s="1"/>
  <c r="H115" i="1"/>
  <c r="I115" i="1"/>
  <c r="J115" i="1"/>
  <c r="K115" i="1"/>
  <c r="C116" i="1"/>
  <c r="L116" i="1" s="1"/>
  <c r="H116" i="1"/>
  <c r="I116" i="1"/>
  <c r="J116" i="1"/>
  <c r="K116" i="1"/>
  <c r="C117" i="1"/>
  <c r="I117" i="1"/>
  <c r="J117" i="1"/>
  <c r="K117" i="1"/>
  <c r="L117" i="1"/>
  <c r="C118" i="1"/>
  <c r="H118" i="1"/>
  <c r="I118" i="1"/>
  <c r="J118" i="1"/>
  <c r="K118" i="1"/>
  <c r="L118" i="1"/>
  <c r="C119" i="1"/>
  <c r="H119" i="1"/>
  <c r="I119" i="1"/>
  <c r="J119" i="1"/>
  <c r="K119" i="1"/>
  <c r="L119" i="1"/>
  <c r="C120" i="1"/>
  <c r="H120" i="1"/>
  <c r="I120" i="1"/>
  <c r="J120" i="1"/>
  <c r="K120" i="1"/>
  <c r="L120" i="1"/>
  <c r="C121" i="1"/>
  <c r="H121" i="1"/>
  <c r="I121" i="1"/>
  <c r="J121" i="1"/>
  <c r="K121" i="1"/>
  <c r="L121" i="1"/>
  <c r="C122" i="1"/>
  <c r="H122" i="1"/>
  <c r="I122" i="1"/>
  <c r="J122" i="1"/>
  <c r="K122" i="1"/>
  <c r="L122" i="1"/>
  <c r="C123" i="1"/>
  <c r="H123" i="1"/>
  <c r="I123" i="1"/>
  <c r="J123" i="1"/>
  <c r="K123" i="1"/>
  <c r="L123" i="1"/>
  <c r="C124" i="1"/>
  <c r="D124" i="1"/>
  <c r="L124" i="1" s="1"/>
  <c r="H124" i="1"/>
  <c r="I124" i="1"/>
  <c r="J124" i="1"/>
  <c r="K124" i="1"/>
  <c r="C125" i="1"/>
  <c r="D125" i="1"/>
  <c r="H125" i="1"/>
  <c r="I125" i="1"/>
  <c r="J125" i="1"/>
  <c r="K125" i="1"/>
  <c r="L125" i="1"/>
  <c r="C127" i="1"/>
  <c r="D127" i="1"/>
  <c r="I127" i="1"/>
  <c r="J127" i="1"/>
  <c r="K127" i="1"/>
  <c r="L127" i="1"/>
  <c r="C128" i="1"/>
  <c r="D128" i="1"/>
  <c r="L128" i="1" s="1"/>
  <c r="F128" i="1"/>
  <c r="I128" i="1"/>
  <c r="J128" i="1"/>
  <c r="K128" i="1"/>
  <c r="C129" i="1"/>
  <c r="L129" i="1" s="1"/>
  <c r="D129" i="1"/>
  <c r="F129" i="1"/>
  <c r="H129" i="1"/>
  <c r="I129" i="1"/>
  <c r="J129" i="1"/>
  <c r="K129" i="1"/>
  <c r="C130" i="1"/>
  <c r="L130" i="1" s="1"/>
  <c r="D130" i="1"/>
  <c r="F130" i="1"/>
  <c r="H130" i="1"/>
  <c r="I130" i="1"/>
  <c r="J130" i="1"/>
  <c r="K130" i="1"/>
  <c r="C131" i="1"/>
  <c r="D131" i="1"/>
  <c r="F131" i="1"/>
  <c r="I131" i="1"/>
  <c r="J131" i="1"/>
  <c r="K131" i="1"/>
  <c r="L131" i="1"/>
  <c r="F132" i="1"/>
  <c r="L132" i="1"/>
  <c r="C133" i="1"/>
  <c r="D133" i="1"/>
  <c r="L133" i="1" s="1"/>
  <c r="F133" i="1"/>
  <c r="I133" i="1"/>
  <c r="J133" i="1"/>
  <c r="K133" i="1"/>
  <c r="C134" i="1"/>
  <c r="D134" i="1"/>
  <c r="F134" i="1"/>
  <c r="I134" i="1"/>
  <c r="J134" i="1"/>
  <c r="K134" i="1"/>
  <c r="L134" i="1"/>
  <c r="C135" i="1"/>
  <c r="D135" i="1"/>
  <c r="L135" i="1" s="1"/>
  <c r="F135" i="1"/>
  <c r="I135" i="1"/>
  <c r="J135" i="1"/>
  <c r="K135" i="1"/>
  <c r="C136" i="1"/>
  <c r="D136" i="1"/>
  <c r="F136" i="1"/>
  <c r="I136" i="1"/>
  <c r="J136" i="1"/>
  <c r="K136" i="1"/>
  <c r="L136" i="1"/>
  <c r="C137" i="1"/>
  <c r="D137" i="1"/>
  <c r="L137" i="1" s="1"/>
  <c r="E137" i="1"/>
  <c r="F137" i="1"/>
  <c r="H137" i="1"/>
  <c r="I137" i="1"/>
  <c r="J137" i="1"/>
  <c r="K137" i="1"/>
  <c r="C138" i="1"/>
  <c r="E138" i="1"/>
  <c r="F138" i="1"/>
  <c r="I138" i="1"/>
  <c r="J138" i="1"/>
  <c r="K138" i="1"/>
  <c r="L138" i="1"/>
  <c r="C140" i="1"/>
  <c r="E140" i="1"/>
  <c r="L140" i="1" s="1"/>
  <c r="F140" i="1"/>
  <c r="I140" i="1"/>
  <c r="J140" i="1"/>
  <c r="K140" i="1"/>
  <c r="C141" i="1"/>
  <c r="E141" i="1"/>
  <c r="F141" i="1"/>
  <c r="I141" i="1"/>
  <c r="J141" i="1"/>
  <c r="K141" i="1"/>
  <c r="L141" i="1"/>
  <c r="C142" i="1"/>
  <c r="E142" i="1"/>
  <c r="L142" i="1" s="1"/>
  <c r="F142" i="1"/>
  <c r="I142" i="1"/>
  <c r="J142" i="1"/>
  <c r="K142" i="1"/>
  <c r="C143" i="1"/>
  <c r="E143" i="1"/>
  <c r="F143" i="1"/>
  <c r="I143" i="1"/>
  <c r="J143" i="1"/>
  <c r="K143" i="1"/>
  <c r="L143" i="1"/>
  <c r="C144" i="1"/>
  <c r="E144" i="1"/>
  <c r="L144" i="1" s="1"/>
  <c r="F144" i="1"/>
  <c r="I144" i="1"/>
  <c r="J144" i="1"/>
  <c r="K144" i="1"/>
  <c r="C145" i="1"/>
  <c r="E145" i="1"/>
  <c r="F145" i="1"/>
  <c r="I145" i="1"/>
  <c r="J145" i="1"/>
  <c r="K145" i="1"/>
  <c r="L145" i="1"/>
  <c r="C146" i="1"/>
  <c r="E146" i="1"/>
  <c r="L146" i="1" s="1"/>
  <c r="F146" i="1"/>
  <c r="I146" i="1"/>
  <c r="J146" i="1"/>
  <c r="K146" i="1"/>
  <c r="C147" i="1"/>
  <c r="E147" i="1"/>
  <c r="F147" i="1"/>
  <c r="I147" i="1"/>
  <c r="J147" i="1"/>
  <c r="K147" i="1"/>
  <c r="L147" i="1"/>
  <c r="C148" i="1"/>
  <c r="E148" i="1"/>
  <c r="L148" i="1" s="1"/>
  <c r="F148" i="1"/>
  <c r="I148" i="1"/>
  <c r="J148" i="1"/>
  <c r="K148" i="1"/>
  <c r="C149" i="1"/>
  <c r="E149" i="1"/>
  <c r="F149" i="1"/>
  <c r="I149" i="1"/>
  <c r="J149" i="1"/>
  <c r="K149" i="1"/>
  <c r="L149" i="1"/>
  <c r="C150" i="1"/>
  <c r="E150" i="1"/>
  <c r="L150" i="1" s="1"/>
  <c r="F150" i="1"/>
  <c r="I150" i="1"/>
  <c r="J150" i="1"/>
  <c r="K150" i="1"/>
  <c r="C151" i="1"/>
  <c r="E151" i="1"/>
  <c r="F151" i="1"/>
  <c r="I151" i="1"/>
  <c r="J151" i="1"/>
  <c r="K151" i="1"/>
  <c r="L151" i="1"/>
  <c r="C153" i="1"/>
  <c r="E153" i="1"/>
  <c r="L153" i="1" s="1"/>
  <c r="F153" i="1"/>
  <c r="I153" i="1"/>
  <c r="J153" i="1"/>
  <c r="K153" i="1"/>
  <c r="C154" i="1"/>
  <c r="E154" i="1"/>
  <c r="F154" i="1"/>
  <c r="I154" i="1"/>
  <c r="J154" i="1"/>
  <c r="K154" i="1"/>
  <c r="L154" i="1"/>
  <c r="C155" i="1"/>
  <c r="E155" i="1"/>
  <c r="L155" i="1" s="1"/>
  <c r="F155" i="1"/>
  <c r="I155" i="1"/>
  <c r="J155" i="1"/>
  <c r="K155" i="1"/>
  <c r="C156" i="1"/>
  <c r="E156" i="1"/>
  <c r="F156" i="1"/>
  <c r="I156" i="1"/>
  <c r="J156" i="1"/>
  <c r="K156" i="1"/>
  <c r="L156" i="1"/>
  <c r="C157" i="1"/>
  <c r="E157" i="1"/>
  <c r="L157" i="1" s="1"/>
  <c r="F157" i="1"/>
  <c r="I157" i="1"/>
  <c r="J157" i="1"/>
  <c r="K157" i="1"/>
  <c r="C158" i="1"/>
  <c r="E158" i="1"/>
  <c r="F158" i="1"/>
  <c r="I158" i="1"/>
  <c r="J158" i="1"/>
  <c r="K158" i="1"/>
  <c r="L158" i="1"/>
  <c r="C159" i="1"/>
  <c r="E159" i="1"/>
  <c r="L159" i="1" s="1"/>
  <c r="F159" i="1"/>
  <c r="I159" i="1"/>
  <c r="J159" i="1"/>
  <c r="K159" i="1"/>
  <c r="C160" i="1"/>
  <c r="E160" i="1"/>
  <c r="F160" i="1"/>
  <c r="I160" i="1"/>
  <c r="J160" i="1"/>
  <c r="K160" i="1"/>
  <c r="L160" i="1"/>
  <c r="C161" i="1"/>
  <c r="E161" i="1"/>
  <c r="L161" i="1" s="1"/>
  <c r="F161" i="1"/>
  <c r="I161" i="1"/>
  <c r="J161" i="1"/>
  <c r="K161" i="1"/>
  <c r="C162" i="1"/>
  <c r="E162" i="1"/>
  <c r="F162" i="1"/>
  <c r="I162" i="1"/>
  <c r="J162" i="1"/>
  <c r="K162" i="1"/>
  <c r="L162" i="1"/>
  <c r="C163" i="1"/>
  <c r="F163" i="1"/>
  <c r="I163" i="1"/>
  <c r="J163" i="1"/>
  <c r="K163" i="1"/>
  <c r="L163" i="1"/>
  <c r="L164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4" i="1"/>
  <c r="L245" i="1"/>
  <c r="L246" i="1"/>
</calcChain>
</file>

<file path=xl/sharedStrings.xml><?xml version="1.0" encoding="utf-8"?>
<sst xmlns="http://schemas.openxmlformats.org/spreadsheetml/2006/main" count="532" uniqueCount="82">
  <si>
    <t>Source : Compiled from informations provided by other financial intermediairies</t>
  </si>
  <si>
    <t>(1): Y compris les données de la CAMOFI à partir de décembre 1996.</t>
  </si>
  <si>
    <t>-</t>
  </si>
  <si>
    <t xml:space="preserve">         March</t>
  </si>
  <si>
    <t xml:space="preserve">         February</t>
  </si>
  <si>
    <t>2017 January</t>
  </si>
  <si>
    <t xml:space="preserve">          December</t>
  </si>
  <si>
    <t xml:space="preserve">          November</t>
  </si>
  <si>
    <t xml:space="preserve">          October</t>
  </si>
  <si>
    <t xml:space="preserve">          September</t>
  </si>
  <si>
    <t xml:space="preserve">          August</t>
  </si>
  <si>
    <t xml:space="preserve">          Jully</t>
  </si>
  <si>
    <t xml:space="preserve">          June</t>
  </si>
  <si>
    <t xml:space="preserve">          May</t>
  </si>
  <si>
    <t xml:space="preserve">          April</t>
  </si>
  <si>
    <t xml:space="preserve">          March</t>
  </si>
  <si>
    <t xml:space="preserve">          February        </t>
  </si>
  <si>
    <t>2016 January</t>
  </si>
  <si>
    <t>2015 March</t>
  </si>
  <si>
    <t xml:space="preserve">2015 February        </t>
  </si>
  <si>
    <t>2015 January</t>
  </si>
  <si>
    <t>2014 January</t>
  </si>
  <si>
    <t>2013 January</t>
  </si>
  <si>
    <t>2012 January</t>
  </si>
  <si>
    <t>2011 January</t>
  </si>
  <si>
    <t>2010 January</t>
  </si>
  <si>
    <t>2009 January</t>
  </si>
  <si>
    <t>2008 January</t>
  </si>
  <si>
    <t>2007 January</t>
  </si>
  <si>
    <t>2006 January</t>
  </si>
  <si>
    <t>2005 January</t>
  </si>
  <si>
    <t>2004 January</t>
  </si>
  <si>
    <t>2003 January</t>
  </si>
  <si>
    <t>2002 January</t>
  </si>
  <si>
    <t>2017 March</t>
  </si>
  <si>
    <t>2016 March</t>
  </si>
  <si>
    <t xml:space="preserve">         December</t>
  </si>
  <si>
    <t xml:space="preserve">         September</t>
  </si>
  <si>
    <t xml:space="preserve">         June</t>
  </si>
  <si>
    <t>2014 March</t>
  </si>
  <si>
    <t>2013 Décembre</t>
  </si>
  <si>
    <t>2013 Septembre</t>
  </si>
  <si>
    <t>2013  Juin</t>
  </si>
  <si>
    <t>2013  Mars</t>
  </si>
  <si>
    <t>2012  Décembre</t>
  </si>
  <si>
    <t>2010  décembre</t>
  </si>
  <si>
    <t>2010  juin</t>
  </si>
  <si>
    <t>2016</t>
  </si>
  <si>
    <t>2015</t>
  </si>
  <si>
    <t>2014</t>
  </si>
  <si>
    <t>2013</t>
  </si>
  <si>
    <t xml:space="preserve">       corporations</t>
  </si>
  <si>
    <t>Period</t>
  </si>
  <si>
    <t xml:space="preserve"> </t>
  </si>
  <si>
    <t xml:space="preserve">   sector</t>
  </si>
  <si>
    <t xml:space="preserve">      nonfinancial</t>
  </si>
  <si>
    <t>agencies</t>
  </si>
  <si>
    <t>government</t>
  </si>
  <si>
    <t xml:space="preserve">institutions </t>
  </si>
  <si>
    <t>sector</t>
  </si>
  <si>
    <t>assets</t>
  </si>
  <si>
    <t>ASSETS</t>
  </si>
  <si>
    <t>private</t>
  </si>
  <si>
    <t xml:space="preserve">        public</t>
  </si>
  <si>
    <t>governmental</t>
  </si>
  <si>
    <t>local</t>
  </si>
  <si>
    <t>central</t>
  </si>
  <si>
    <t>other financial</t>
  </si>
  <si>
    <t>banking</t>
  </si>
  <si>
    <t>foreign</t>
  </si>
  <si>
    <t>TOTAL</t>
  </si>
  <si>
    <t>Other</t>
  </si>
  <si>
    <t>Claims on</t>
  </si>
  <si>
    <t xml:space="preserve">      Claims on</t>
  </si>
  <si>
    <t xml:space="preserve">Claims on </t>
  </si>
  <si>
    <t>Reserves</t>
  </si>
  <si>
    <t xml:space="preserve">Gross </t>
  </si>
  <si>
    <t xml:space="preserve">                   Description</t>
  </si>
  <si>
    <t>(In million of BIF)</t>
  </si>
  <si>
    <t>II.7.1</t>
  </si>
  <si>
    <t>CONSOLIDATED BALANCE SHEETS OF OTHER FINANCIAL INTERMEDIARIES</t>
  </si>
  <si>
    <t xml:space="preserve">ASSETS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</si>
</sst>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_);\(#,##0.0\)"/>
    <numFmt numFmtId="165" formatCode="#,##0.0"/>
    <numFmt numFmtId="166" formatCode="0.0_)"/>
  </numFmts>
  <fonts count="4" x14ac:knownFonts="1">
    <font>
      <sz val="12"/>
      <name val="Helv"/>
    </font>
    <font>
      <sz val="10"/>
      <name val="Helv"/>
    </font>
    <font>
      <b/>
      <sz val="10"/>
      <name val="Helv"/>
    </font>
    <font>
      <sz val="11"/>
      <name val="Helv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164" fontId="0" fillId="0" borderId="0"/>
  </cellStyleXfs>
  <cellXfs count="92">
    <xf numFmtId="164" fontId="0" fillId="0" borderId="0" xfId="0"/>
    <xf numFmtId="164" fontId="1" fillId="0" borderId="0" xfId="0" applyFont="1"/>
    <xf numFmtId="165" fontId="1" fillId="0" borderId="0" xfId="0" applyNumberFormat="1" applyFont="1" applyAlignment="1">
      <alignment horizontal="center"/>
    </xf>
    <xf numFmtId="164" fontId="1" fillId="0" borderId="0" xfId="0" applyFont="1" applyAlignment="1">
      <alignment horizontal="center"/>
    </xf>
    <xf numFmtId="164" fontId="1" fillId="0" borderId="0" xfId="0" applyFont="1" applyAlignment="1">
      <alignment horizontal="right"/>
    </xf>
    <xf numFmtId="164" fontId="1" fillId="0" borderId="0" xfId="0" applyFont="1" applyBorder="1"/>
    <xf numFmtId="165" fontId="1" fillId="0" borderId="1" xfId="0" applyNumberFormat="1" applyFont="1" applyBorder="1" applyAlignment="1" applyProtection="1">
      <alignment horizontal="right"/>
    </xf>
    <xf numFmtId="164" fontId="1" fillId="0" borderId="2" xfId="0" applyFont="1" applyBorder="1" applyAlignment="1">
      <alignment horizontal="right"/>
    </xf>
    <xf numFmtId="164" fontId="1" fillId="0" borderId="2" xfId="0" applyNumberFormat="1" applyFont="1" applyBorder="1" applyAlignment="1" applyProtection="1">
      <alignment horizontal="right"/>
    </xf>
    <xf numFmtId="164" fontId="2" fillId="0" borderId="2" xfId="0" applyNumberFormat="1" applyFont="1" applyBorder="1" applyAlignment="1" applyProtection="1">
      <alignment horizontal="left"/>
    </xf>
    <xf numFmtId="164" fontId="2" fillId="0" borderId="3" xfId="0" applyNumberFormat="1" applyFont="1" applyBorder="1" applyAlignment="1" applyProtection="1">
      <alignment horizontal="left"/>
    </xf>
    <xf numFmtId="165" fontId="1" fillId="0" borderId="4" xfId="0" applyNumberFormat="1" applyFont="1" applyBorder="1" applyAlignment="1">
      <alignment horizontal="center"/>
    </xf>
    <xf numFmtId="164" fontId="1" fillId="0" borderId="5" xfId="0" applyFont="1" applyBorder="1" applyAlignment="1">
      <alignment horizontal="center"/>
    </xf>
    <xf numFmtId="164" fontId="1" fillId="0" borderId="5" xfId="0" applyFont="1" applyBorder="1" applyAlignment="1">
      <alignment horizontal="right"/>
    </xf>
    <xf numFmtId="164" fontId="1" fillId="0" borderId="5" xfId="0" applyFont="1" applyBorder="1" applyAlignment="1">
      <alignment horizontal="left"/>
    </xf>
    <xf numFmtId="164" fontId="1" fillId="0" borderId="6" xfId="0" applyFont="1" applyBorder="1" applyAlignment="1">
      <alignment horizontal="left"/>
    </xf>
    <xf numFmtId="165" fontId="1" fillId="0" borderId="7" xfId="0" applyNumberFormat="1" applyFont="1" applyBorder="1" applyAlignment="1">
      <alignment horizontal="center"/>
    </xf>
    <xf numFmtId="164" fontId="1" fillId="0" borderId="0" xfId="0" applyFont="1" applyBorder="1" applyAlignment="1">
      <alignment horizontal="center"/>
    </xf>
    <xf numFmtId="164" fontId="1" fillId="0" borderId="0" xfId="0" applyFont="1" applyBorder="1" applyAlignment="1">
      <alignment horizontal="right"/>
    </xf>
    <xf numFmtId="164" fontId="1" fillId="0" borderId="0" xfId="0" applyNumberFormat="1" applyFont="1" applyBorder="1" applyAlignment="1" applyProtection="1">
      <alignment horizontal="left"/>
    </xf>
    <xf numFmtId="164" fontId="1" fillId="0" borderId="8" xfId="0" applyNumberFormat="1" applyFont="1" applyBorder="1" applyAlignment="1" applyProtection="1">
      <alignment horizontal="left"/>
    </xf>
    <xf numFmtId="164" fontId="1" fillId="0" borderId="0" xfId="0" applyNumberFormat="1" applyFont="1" applyBorder="1" applyAlignment="1" applyProtection="1">
      <alignment horizontal="center"/>
    </xf>
    <xf numFmtId="164" fontId="1" fillId="0" borderId="9" xfId="0" applyNumberFormat="1" applyFont="1" applyBorder="1" applyAlignment="1" applyProtection="1">
      <alignment horizontal="center"/>
    </xf>
    <xf numFmtId="164" fontId="1" fillId="0" borderId="3" xfId="0" applyNumberFormat="1" applyFont="1" applyBorder="1" applyAlignment="1" applyProtection="1">
      <alignment horizontal="center"/>
    </xf>
    <xf numFmtId="164" fontId="1" fillId="0" borderId="3" xfId="0" applyNumberFormat="1" applyFont="1" applyBorder="1" applyAlignment="1" applyProtection="1">
      <alignment horizontal="right"/>
    </xf>
    <xf numFmtId="164" fontId="1" fillId="0" borderId="1" xfId="0" applyNumberFormat="1" applyFont="1" applyBorder="1" applyAlignment="1" applyProtection="1">
      <alignment horizontal="right"/>
    </xf>
    <xf numFmtId="164" fontId="1" fillId="0" borderId="1" xfId="0" applyNumberFormat="1" applyFont="1" applyBorder="1" applyAlignment="1" applyProtection="1">
      <alignment horizontal="fill"/>
    </xf>
    <xf numFmtId="164" fontId="1" fillId="0" borderId="9" xfId="0" applyNumberFormat="1" applyFont="1" applyBorder="1" applyAlignment="1" applyProtection="1">
      <alignment horizontal="fill"/>
    </xf>
    <xf numFmtId="165" fontId="1" fillId="0" borderId="10" xfId="0" applyNumberFormat="1" applyFont="1" applyBorder="1" applyAlignment="1" applyProtection="1">
      <alignment horizontal="right"/>
    </xf>
    <xf numFmtId="165" fontId="1" fillId="0" borderId="8" xfId="0" applyNumberFormat="1" applyFont="1" applyBorder="1" applyAlignment="1">
      <alignment horizontal="right"/>
    </xf>
    <xf numFmtId="164" fontId="1" fillId="0" borderId="10" xfId="0" applyFont="1" applyBorder="1" applyAlignment="1">
      <alignment horizontal="right"/>
    </xf>
    <xf numFmtId="165" fontId="1" fillId="0" borderId="8" xfId="0" applyNumberFormat="1" applyFont="1" applyBorder="1" applyAlignment="1" applyProtection="1">
      <alignment horizontal="right"/>
    </xf>
    <xf numFmtId="165" fontId="1" fillId="0" borderId="0" xfId="0" applyNumberFormat="1" applyFont="1" applyBorder="1" applyAlignment="1" applyProtection="1">
      <alignment horizontal="right"/>
    </xf>
    <xf numFmtId="165" fontId="1" fillId="0" borderId="9" xfId="0" applyNumberFormat="1" applyFont="1" applyBorder="1" applyAlignment="1" applyProtection="1">
      <alignment horizontal="right"/>
    </xf>
    <xf numFmtId="164" fontId="1" fillId="0" borderId="3" xfId="0" applyNumberFormat="1" applyFont="1" applyBorder="1" applyAlignment="1" applyProtection="1">
      <alignment horizontal="left"/>
    </xf>
    <xf numFmtId="164" fontId="1" fillId="0" borderId="10" xfId="0" applyNumberFormat="1" applyFont="1" applyBorder="1" applyAlignment="1" applyProtection="1">
      <alignment horizontal="left"/>
    </xf>
    <xf numFmtId="164" fontId="1" fillId="2" borderId="0" xfId="0" applyFont="1" applyFill="1"/>
    <xf numFmtId="165" fontId="1" fillId="0" borderId="10" xfId="0" applyNumberFormat="1" applyFont="1" applyFill="1" applyBorder="1" applyAlignment="1" applyProtection="1">
      <alignment horizontal="right"/>
    </xf>
    <xf numFmtId="164" fontId="1" fillId="0" borderId="8" xfId="0" applyNumberFormat="1" applyFont="1" applyBorder="1" applyAlignment="1" applyProtection="1">
      <alignment horizontal="right"/>
    </xf>
    <xf numFmtId="164" fontId="1" fillId="0" borderId="0" xfId="0" applyFont="1" applyAlignment="1"/>
    <xf numFmtId="164" fontId="1" fillId="0" borderId="10" xfId="0" applyNumberFormat="1" applyFont="1" applyFill="1" applyBorder="1" applyAlignment="1" applyProtection="1">
      <alignment horizontal="left"/>
    </xf>
    <xf numFmtId="164" fontId="1" fillId="0" borderId="0" xfId="0" applyFont="1" applyFill="1"/>
    <xf numFmtId="165" fontId="1" fillId="0" borderId="8" xfId="0" applyNumberFormat="1" applyFont="1" applyFill="1" applyBorder="1" applyAlignment="1">
      <alignment horizontal="right"/>
    </xf>
    <xf numFmtId="165" fontId="1" fillId="0" borderId="0" xfId="0" applyNumberFormat="1" applyFont="1" applyFill="1" applyBorder="1" applyAlignment="1" applyProtection="1">
      <alignment horizontal="right"/>
    </xf>
    <xf numFmtId="165" fontId="1" fillId="0" borderId="8" xfId="0" applyNumberFormat="1" applyFont="1" applyFill="1" applyBorder="1" applyAlignment="1" applyProtection="1">
      <alignment horizontal="right"/>
    </xf>
    <xf numFmtId="165" fontId="1" fillId="0" borderId="10" xfId="0" applyNumberFormat="1" applyFont="1" applyBorder="1" applyAlignment="1">
      <alignment horizontal="center"/>
    </xf>
    <xf numFmtId="165" fontId="1" fillId="0" borderId="8" xfId="0" applyNumberFormat="1" applyFont="1" applyBorder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165" fontId="1" fillId="0" borderId="0" xfId="0" applyNumberFormat="1" applyFont="1" applyAlignment="1">
      <alignment horizontal="right"/>
    </xf>
    <xf numFmtId="165" fontId="1" fillId="0" borderId="10" xfId="0" applyNumberFormat="1" applyFont="1" applyBorder="1" applyAlignment="1">
      <alignment horizontal="right"/>
    </xf>
    <xf numFmtId="164" fontId="1" fillId="0" borderId="8" xfId="0" applyFont="1" applyBorder="1"/>
    <xf numFmtId="164" fontId="1" fillId="0" borderId="10" xfId="0" applyFont="1" applyBorder="1"/>
    <xf numFmtId="166" fontId="3" fillId="0" borderId="8" xfId="0" applyNumberFormat="1" applyFont="1" applyFill="1" applyBorder="1" applyAlignment="1" applyProtection="1">
      <alignment horizontal="left"/>
    </xf>
    <xf numFmtId="164" fontId="1" fillId="0" borderId="10" xfId="0" quotePrefix="1" applyNumberFormat="1" applyFont="1" applyBorder="1" applyAlignment="1" applyProtection="1">
      <alignment horizontal="left"/>
    </xf>
    <xf numFmtId="1" fontId="1" fillId="0" borderId="10" xfId="0" applyNumberFormat="1" applyFont="1" applyFill="1" applyBorder="1" applyAlignment="1" applyProtection="1">
      <alignment horizontal="left"/>
    </xf>
    <xf numFmtId="1" fontId="1" fillId="0" borderId="8" xfId="0" applyNumberFormat="1" applyFont="1" applyFill="1" applyBorder="1" applyAlignment="1" applyProtection="1">
      <alignment horizontal="left"/>
    </xf>
    <xf numFmtId="164" fontId="1" fillId="0" borderId="8" xfId="0" applyFont="1" applyBorder="1" applyAlignment="1">
      <alignment horizontal="right"/>
    </xf>
    <xf numFmtId="164" fontId="1" fillId="0" borderId="0" xfId="0" applyNumberFormat="1" applyFont="1" applyBorder="1" applyAlignment="1" applyProtection="1">
      <alignment horizontal="right"/>
    </xf>
    <xf numFmtId="164" fontId="1" fillId="0" borderId="10" xfId="0" applyNumberFormat="1" applyFont="1" applyBorder="1" applyAlignment="1" applyProtection="1">
      <alignment horizontal="right"/>
    </xf>
    <xf numFmtId="164" fontId="1" fillId="0" borderId="8" xfId="0" applyFont="1" applyBorder="1" applyAlignment="1">
      <alignment horizontal="center"/>
    </xf>
    <xf numFmtId="164" fontId="1" fillId="0" borderId="10" xfId="0" applyFont="1" applyBorder="1" applyAlignment="1">
      <alignment horizontal="center"/>
    </xf>
    <xf numFmtId="165" fontId="1" fillId="0" borderId="9" xfId="0" applyNumberFormat="1" applyFont="1" applyBorder="1" applyAlignment="1">
      <alignment horizontal="center"/>
    </xf>
    <xf numFmtId="164" fontId="1" fillId="0" borderId="9" xfId="0" applyFont="1" applyBorder="1" applyAlignment="1">
      <alignment horizontal="center"/>
    </xf>
    <xf numFmtId="166" fontId="1" fillId="0" borderId="3" xfId="0" applyNumberFormat="1" applyFont="1" applyBorder="1" applyAlignment="1" applyProtection="1">
      <alignment horizontal="center"/>
    </xf>
    <xf numFmtId="164" fontId="1" fillId="0" borderId="2" xfId="0" applyNumberFormat="1" applyFont="1" applyBorder="1" applyAlignment="1" applyProtection="1">
      <alignment horizontal="center"/>
    </xf>
    <xf numFmtId="166" fontId="1" fillId="0" borderId="9" xfId="0" applyNumberFormat="1" applyFont="1" applyBorder="1" applyAlignment="1" applyProtection="1">
      <alignment horizontal="center"/>
    </xf>
    <xf numFmtId="166" fontId="1" fillId="0" borderId="9" xfId="0" applyNumberFormat="1" applyFont="1" applyBorder="1" applyAlignment="1" applyProtection="1">
      <alignment horizontal="right"/>
    </xf>
    <xf numFmtId="164" fontId="2" fillId="0" borderId="3" xfId="0" applyFont="1" applyBorder="1"/>
    <xf numFmtId="164" fontId="2" fillId="0" borderId="9" xfId="0" applyFont="1" applyBorder="1"/>
    <xf numFmtId="165" fontId="1" fillId="0" borderId="10" xfId="0" applyNumberFormat="1" applyFont="1" applyBorder="1" applyAlignment="1" applyProtection="1">
      <alignment horizontal="center"/>
    </xf>
    <xf numFmtId="164" fontId="1" fillId="0" borderId="8" xfId="0" applyNumberFormat="1" applyFont="1" applyBorder="1" applyAlignment="1" applyProtection="1">
      <alignment horizontal="center"/>
    </xf>
    <xf numFmtId="164" fontId="1" fillId="0" borderId="10" xfId="0" applyNumberFormat="1" applyFont="1" applyBorder="1" applyAlignment="1" applyProtection="1">
      <alignment horizontal="center"/>
    </xf>
    <xf numFmtId="166" fontId="1" fillId="0" borderId="8" xfId="0" applyNumberFormat="1" applyFont="1" applyBorder="1" applyAlignment="1" applyProtection="1">
      <alignment horizontal="center"/>
    </xf>
    <xf numFmtId="166" fontId="1" fillId="0" borderId="10" xfId="0" applyNumberFormat="1" applyFont="1" applyBorder="1" applyAlignment="1" applyProtection="1">
      <alignment horizontal="center"/>
    </xf>
    <xf numFmtId="166" fontId="1" fillId="0" borderId="10" xfId="0" applyNumberFormat="1" applyFont="1" applyBorder="1" applyAlignment="1" applyProtection="1">
      <alignment horizontal="right"/>
    </xf>
    <xf numFmtId="164" fontId="1" fillId="0" borderId="8" xfId="0" applyFont="1" applyBorder="1" applyAlignment="1">
      <alignment horizontal="center" vertical="center"/>
    </xf>
    <xf numFmtId="165" fontId="2" fillId="0" borderId="10" xfId="0" applyNumberFormat="1" applyFont="1" applyBorder="1" applyAlignment="1" applyProtection="1">
      <alignment horizontal="center"/>
    </xf>
    <xf numFmtId="164" fontId="2" fillId="0" borderId="10" xfId="0" applyFont="1" applyBorder="1"/>
    <xf numFmtId="165" fontId="1" fillId="0" borderId="11" xfId="0" applyNumberFormat="1" applyFont="1" applyBorder="1" applyAlignment="1">
      <alignment horizontal="center"/>
    </xf>
    <xf numFmtId="164" fontId="1" fillId="0" borderId="11" xfId="0" applyFont="1" applyBorder="1" applyAlignment="1">
      <alignment horizontal="center"/>
    </xf>
    <xf numFmtId="164" fontId="1" fillId="0" borderId="11" xfId="0" applyFont="1" applyBorder="1" applyAlignment="1">
      <alignment horizontal="right"/>
    </xf>
    <xf numFmtId="164" fontId="1" fillId="0" borderId="6" xfId="0" applyFont="1" applyBorder="1"/>
    <xf numFmtId="164" fontId="1" fillId="0" borderId="11" xfId="0" applyFont="1" applyBorder="1"/>
    <xf numFmtId="165" fontId="1" fillId="0" borderId="1" xfId="0" applyNumberFormat="1" applyFont="1" applyBorder="1" applyAlignment="1" applyProtection="1">
      <alignment horizontal="center"/>
    </xf>
    <xf numFmtId="164" fontId="1" fillId="0" borderId="2" xfId="0" applyNumberFormat="1" applyFont="1" applyBorder="1" applyAlignment="1" applyProtection="1">
      <alignment horizontal="fill"/>
    </xf>
    <xf numFmtId="164" fontId="1" fillId="0" borderId="3" xfId="0" applyNumberFormat="1" applyFont="1" applyBorder="1" applyAlignment="1" applyProtection="1">
      <alignment horizontal="fill"/>
    </xf>
    <xf numFmtId="164" fontId="2" fillId="0" borderId="7" xfId="0" applyNumberFormat="1" applyFont="1" applyBorder="1" applyAlignment="1" applyProtection="1"/>
    <xf numFmtId="164" fontId="2" fillId="0" borderId="0" xfId="0" applyNumberFormat="1" applyFont="1" applyBorder="1" applyAlignment="1" applyProtection="1">
      <alignment horizontal="center"/>
    </xf>
    <xf numFmtId="164" fontId="2" fillId="0" borderId="7" xfId="0" applyNumberFormat="1" applyFont="1" applyBorder="1" applyAlignment="1" applyProtection="1">
      <alignment horizontal="center"/>
    </xf>
    <xf numFmtId="164" fontId="2" fillId="0" borderId="0" xfId="0" applyNumberFormat="1" applyFont="1" applyBorder="1" applyAlignment="1" applyProtection="1">
      <alignment horizontal="center" vertical="center"/>
    </xf>
    <xf numFmtId="164" fontId="2" fillId="0" borderId="8" xfId="0" applyFont="1" applyBorder="1" applyAlignment="1">
      <alignment horizontal="center"/>
    </xf>
    <xf numFmtId="164" fontId="1" fillId="0" borderId="5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19050</xdr:rowOff>
    </xdr:from>
    <xdr:to>
      <xdr:col>1</xdr:col>
      <xdr:colOff>0</xdr:colOff>
      <xdr:row>9</xdr:row>
      <xdr:rowOff>0</xdr:rowOff>
    </xdr:to>
    <xdr:sp macro="" textlink="">
      <xdr:nvSpPr>
        <xdr:cNvPr id="2" name="Line 2"/>
        <xdr:cNvSpPr>
          <a:spLocks noChangeShapeType="1"/>
        </xdr:cNvSpPr>
      </xdr:nvSpPr>
      <xdr:spPr bwMode="auto">
        <a:xfrm>
          <a:off x="0" y="819150"/>
          <a:ext cx="838200" cy="981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I.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I_1 Net foreign assets"/>
    </sheetNames>
    <sheetDataSet>
      <sheetData sheetId="0">
        <row r="2">
          <cell r="I2" t="str">
            <v xml:space="preserve"> </v>
          </cell>
          <cell r="Q2" t="str">
            <v>II.1</v>
          </cell>
        </row>
        <row r="3">
          <cell r="A3" t="str">
            <v>NET FOREIGN ASSETS</v>
          </cell>
        </row>
        <row r="4">
          <cell r="A4" t="str">
            <v>(In million of BIF)</v>
          </cell>
        </row>
        <row r="7">
          <cell r="A7" t="str">
            <v xml:space="preserve">             Description</v>
          </cell>
          <cell r="B7" t="str">
            <v>CENTRAL BANK</v>
          </cell>
          <cell r="K7" t="str">
            <v>COMMERCIAL BANKS</v>
          </cell>
          <cell r="N7" t="str">
            <v>MICROFINANCE INSTITUTIONS</v>
          </cell>
          <cell r="Q7" t="str">
            <v>NET FOREIGN</v>
          </cell>
        </row>
        <row r="8">
          <cell r="Q8" t="str">
            <v>ASSETS</v>
          </cell>
        </row>
        <row r="10">
          <cell r="E10" t="str">
            <v>Foreign assets</v>
          </cell>
        </row>
        <row r="11">
          <cell r="I11" t="str">
            <v>Foreign</v>
          </cell>
          <cell r="J11" t="str">
            <v>Net foreign</v>
          </cell>
          <cell r="K11" t="str">
            <v>Foreign</v>
          </cell>
          <cell r="L11" t="str">
            <v>Foreign</v>
          </cell>
          <cell r="M11" t="str">
            <v>Net foreign</v>
          </cell>
          <cell r="N11" t="str">
            <v>Foreign</v>
          </cell>
          <cell r="O11" t="str">
            <v>Foreign</v>
          </cell>
          <cell r="P11" t="str">
            <v>Net foreign</v>
          </cell>
        </row>
        <row r="12">
          <cell r="B12" t="str">
            <v>Official Reserves</v>
          </cell>
          <cell r="G12" t="str">
            <v>other foreign</v>
          </cell>
          <cell r="H12" t="str">
            <v>Total</v>
          </cell>
          <cell r="I12" t="str">
            <v>liabilities</v>
          </cell>
          <cell r="J12" t="str">
            <v>assets</v>
          </cell>
          <cell r="K12" t="str">
            <v>assets</v>
          </cell>
          <cell r="L12" t="str">
            <v>liabilities</v>
          </cell>
          <cell r="M12" t="str">
            <v>assets</v>
          </cell>
          <cell r="N12" t="str">
            <v>assets</v>
          </cell>
          <cell r="O12" t="str">
            <v>liabilities</v>
          </cell>
          <cell r="P12" t="str">
            <v>assets</v>
          </cell>
        </row>
        <row r="13">
          <cell r="G13" t="str">
            <v>assets</v>
          </cell>
        </row>
        <row r="14">
          <cell r="A14" t="str">
            <v>Period</v>
          </cell>
          <cell r="B14" t="str">
            <v>Monetary</v>
          </cell>
          <cell r="C14" t="str">
            <v>SDRs</v>
          </cell>
          <cell r="D14" t="str">
            <v>Reserve</v>
          </cell>
          <cell r="E14" t="str">
            <v>Foreign currency</v>
          </cell>
          <cell r="F14" t="str">
            <v xml:space="preserve">   Total</v>
          </cell>
        </row>
        <row r="15">
          <cell r="B15" t="str">
            <v>gold</v>
          </cell>
          <cell r="D15" t="str">
            <v>position in IMF</v>
          </cell>
          <cell r="E15" t="str">
            <v>(Cash+deposits)</v>
          </cell>
        </row>
        <row r="17">
          <cell r="D17" t="str">
            <v>réserve FMI</v>
          </cell>
        </row>
        <row r="19">
          <cell r="A19" t="str">
            <v>2008</v>
          </cell>
          <cell r="B19">
            <v>1033.4000000000001</v>
          </cell>
          <cell r="C19">
            <v>181.7</v>
          </cell>
          <cell r="D19">
            <v>688.7</v>
          </cell>
          <cell r="E19">
            <v>327362.5</v>
          </cell>
          <cell r="F19">
            <v>329266.3</v>
          </cell>
          <cell r="G19">
            <v>5223.6000000000004</v>
          </cell>
          <cell r="H19">
            <v>334489.89999999997</v>
          </cell>
          <cell r="I19">
            <v>175397.7</v>
          </cell>
          <cell r="J19">
            <v>159092.19999999995</v>
          </cell>
          <cell r="K19">
            <v>125768.90000000001</v>
          </cell>
          <cell r="L19">
            <v>30009.400000000009</v>
          </cell>
          <cell r="M19">
            <v>95759.5</v>
          </cell>
          <cell r="N19">
            <v>125768.90000000001</v>
          </cell>
          <cell r="O19">
            <v>30009.400000000009</v>
          </cell>
          <cell r="P19">
            <v>95759.5</v>
          </cell>
          <cell r="Q19">
            <v>254851.69999999995</v>
          </cell>
        </row>
        <row r="20">
          <cell r="A20" t="str">
            <v>2009</v>
          </cell>
          <cell r="B20">
            <v>1304.8</v>
          </cell>
          <cell r="C20">
            <v>128093.7</v>
          </cell>
          <cell r="D20">
            <v>692.5</v>
          </cell>
          <cell r="E20">
            <v>267404.7</v>
          </cell>
          <cell r="F20">
            <v>397495.7</v>
          </cell>
          <cell r="G20">
            <v>3455.6000000000004</v>
          </cell>
          <cell r="H20">
            <v>400951.3</v>
          </cell>
          <cell r="I20">
            <v>255985.09999999998</v>
          </cell>
          <cell r="J20">
            <v>144966.20000000001</v>
          </cell>
          <cell r="K20">
            <v>155769.00000000003</v>
          </cell>
          <cell r="L20">
            <v>36237.599999999999</v>
          </cell>
          <cell r="M20">
            <v>119531.40000000002</v>
          </cell>
          <cell r="N20">
            <v>155769.00000000003</v>
          </cell>
          <cell r="O20">
            <v>36237.599999999999</v>
          </cell>
          <cell r="P20">
            <v>119531.40000000002</v>
          </cell>
          <cell r="Q20">
            <v>264497.60000000003</v>
          </cell>
        </row>
        <row r="21">
          <cell r="A21" t="str">
            <v>2010</v>
          </cell>
          <cell r="B21">
            <v>1678.2</v>
          </cell>
          <cell r="C21">
            <v>139030.6</v>
          </cell>
          <cell r="D21">
            <v>686.7</v>
          </cell>
          <cell r="E21">
            <v>268109.8</v>
          </cell>
          <cell r="F21">
            <v>409505.30000000005</v>
          </cell>
          <cell r="G21">
            <v>8766.9</v>
          </cell>
          <cell r="H21">
            <v>418272.20000000007</v>
          </cell>
          <cell r="I21">
            <v>276658.60000000003</v>
          </cell>
          <cell r="J21">
            <v>141613.60000000003</v>
          </cell>
          <cell r="K21">
            <v>162923</v>
          </cell>
          <cell r="L21">
            <v>50485.599999999991</v>
          </cell>
          <cell r="M21">
            <v>112437.40000000001</v>
          </cell>
          <cell r="N21">
            <v>162923</v>
          </cell>
          <cell r="O21">
            <v>50485.599999999991</v>
          </cell>
          <cell r="P21">
            <v>112437.40000000001</v>
          </cell>
          <cell r="Q21">
            <v>254051.00000000006</v>
          </cell>
        </row>
        <row r="22">
          <cell r="A22" t="str">
            <v>2011</v>
          </cell>
          <cell r="B22">
            <v>2045.5</v>
          </cell>
          <cell r="C22">
            <v>164634.5</v>
          </cell>
          <cell r="D22">
            <v>750.6</v>
          </cell>
          <cell r="E22">
            <v>235199.30000000002</v>
          </cell>
          <cell r="F22">
            <v>402629.9</v>
          </cell>
          <cell r="G22">
            <v>10113.9</v>
          </cell>
          <cell r="H22">
            <v>412743.80000000005</v>
          </cell>
          <cell r="I22">
            <v>330449.80000000005</v>
          </cell>
          <cell r="J22">
            <v>82294</v>
          </cell>
          <cell r="K22">
            <v>173267.6</v>
          </cell>
          <cell r="L22">
            <v>50036.000000000007</v>
          </cell>
          <cell r="M22">
            <v>123231.6</v>
          </cell>
          <cell r="N22">
            <v>173267.6</v>
          </cell>
          <cell r="O22">
            <v>50036.000000000007</v>
          </cell>
          <cell r="P22">
            <v>123231.6</v>
          </cell>
          <cell r="Q22">
            <v>205525.6</v>
          </cell>
        </row>
        <row r="23">
          <cell r="A23" t="str">
            <v>2012</v>
          </cell>
          <cell r="B23">
            <v>2482.1</v>
          </cell>
          <cell r="C23">
            <v>199698.5</v>
          </cell>
          <cell r="D23">
            <v>856</v>
          </cell>
          <cell r="E23">
            <v>274465.8</v>
          </cell>
          <cell r="F23">
            <v>477502.4</v>
          </cell>
          <cell r="G23">
            <v>7523.1</v>
          </cell>
          <cell r="H23">
            <v>485025.5</v>
          </cell>
          <cell r="I23">
            <v>418096.6</v>
          </cell>
          <cell r="J23">
            <v>66928.900000000023</v>
          </cell>
          <cell r="K23">
            <v>192680.5</v>
          </cell>
          <cell r="L23">
            <v>62971.7</v>
          </cell>
          <cell r="M23">
            <v>129708.8</v>
          </cell>
          <cell r="N23">
            <v>0</v>
          </cell>
          <cell r="O23">
            <v>0</v>
          </cell>
          <cell r="P23">
            <v>0</v>
          </cell>
          <cell r="Q23">
            <v>196637.7</v>
          </cell>
        </row>
        <row r="24">
          <cell r="A24" t="str">
            <v>2013</v>
          </cell>
          <cell r="B24">
            <v>1943.7</v>
          </cell>
          <cell r="C24">
            <v>182851.4</v>
          </cell>
          <cell r="D24">
            <v>858.19999999998254</v>
          </cell>
          <cell r="E24">
            <v>309703.29999999993</v>
          </cell>
          <cell r="F24">
            <v>495356.59999999992</v>
          </cell>
          <cell r="G24">
            <v>5966.9</v>
          </cell>
          <cell r="H24">
            <v>501323.49999999994</v>
          </cell>
          <cell r="I24">
            <v>383189.69999999995</v>
          </cell>
          <cell r="J24">
            <v>118133.79999999999</v>
          </cell>
          <cell r="K24">
            <v>201411.19999999998</v>
          </cell>
          <cell r="L24">
            <v>89788.900000000009</v>
          </cell>
          <cell r="M24">
            <v>111622.29999999997</v>
          </cell>
          <cell r="N24">
            <v>0</v>
          </cell>
          <cell r="O24">
            <v>97.2</v>
          </cell>
          <cell r="P24">
            <v>-97.2</v>
          </cell>
          <cell r="Q24">
            <v>229658.89999999997</v>
          </cell>
        </row>
        <row r="25">
          <cell r="A25" t="str">
            <v>2014</v>
          </cell>
          <cell r="B25">
            <v>1802</v>
          </cell>
          <cell r="C25">
            <v>183917.8</v>
          </cell>
          <cell r="D25">
            <v>810.4</v>
          </cell>
          <cell r="E25">
            <v>306201</v>
          </cell>
          <cell r="F25">
            <v>492731.19999999995</v>
          </cell>
          <cell r="G25">
            <v>8483.5</v>
          </cell>
          <cell r="H25">
            <v>501214.69999999995</v>
          </cell>
          <cell r="I25">
            <v>372538.8</v>
          </cell>
          <cell r="J25">
            <v>128675.89999999997</v>
          </cell>
          <cell r="K25">
            <v>199601.2</v>
          </cell>
          <cell r="L25">
            <v>147751.79999999999</v>
          </cell>
          <cell r="M25">
            <v>51849.4</v>
          </cell>
          <cell r="N25">
            <v>0</v>
          </cell>
          <cell r="O25">
            <v>48.6</v>
          </cell>
          <cell r="P25">
            <v>-48.6</v>
          </cell>
          <cell r="Q25">
            <v>180476.69999999995</v>
          </cell>
        </row>
        <row r="26">
          <cell r="A26" t="str">
            <v>2015</v>
          </cell>
          <cell r="B26">
            <v>1660.3</v>
          </cell>
          <cell r="C26">
            <v>88116.1</v>
          </cell>
          <cell r="D26">
            <v>808.1</v>
          </cell>
          <cell r="E26">
            <v>129945.5</v>
          </cell>
          <cell r="F26">
            <v>220530</v>
          </cell>
          <cell r="G26">
            <v>1299.6000000000001</v>
          </cell>
          <cell r="H26">
            <v>221829.6</v>
          </cell>
          <cell r="I26">
            <v>354815.2</v>
          </cell>
          <cell r="J26">
            <v>-132985.60000000001</v>
          </cell>
          <cell r="K26">
            <v>207089</v>
          </cell>
          <cell r="L26">
            <v>149973.5</v>
          </cell>
          <cell r="M26">
            <v>57115.5</v>
          </cell>
          <cell r="N26">
            <v>0</v>
          </cell>
          <cell r="O26">
            <v>0</v>
          </cell>
          <cell r="P26">
            <v>0</v>
          </cell>
          <cell r="Q26">
            <v>-75870.100000000006</v>
          </cell>
        </row>
        <row r="27">
          <cell r="A27" t="str">
            <v>2016</v>
          </cell>
          <cell r="B27">
            <v>1893.1</v>
          </cell>
          <cell r="C27">
            <v>19330.2</v>
          </cell>
          <cell r="D27">
            <v>44971.7</v>
          </cell>
          <cell r="E27">
            <v>94816.000000000015</v>
          </cell>
          <cell r="F27">
            <v>161011</v>
          </cell>
          <cell r="G27">
            <v>5423.7000000000007</v>
          </cell>
          <cell r="H27">
            <v>166434.70000000001</v>
          </cell>
          <cell r="I27">
            <v>328508.5</v>
          </cell>
          <cell r="J27">
            <v>-162073.79999999999</v>
          </cell>
          <cell r="K27">
            <v>125486.1</v>
          </cell>
          <cell r="L27">
            <v>139935.4</v>
          </cell>
          <cell r="M27">
            <v>-14449.299999999988</v>
          </cell>
          <cell r="P27">
            <v>0</v>
          </cell>
          <cell r="Q27">
            <v>-176523.09999999998</v>
          </cell>
        </row>
        <row r="29">
          <cell r="P29">
            <v>0</v>
          </cell>
        </row>
        <row r="30">
          <cell r="A30" t="str">
            <v>2010 décembre</v>
          </cell>
          <cell r="B30">
            <v>1678.2</v>
          </cell>
          <cell r="C30">
            <v>139030.6</v>
          </cell>
          <cell r="D30">
            <v>686.7</v>
          </cell>
          <cell r="E30">
            <v>268109.8</v>
          </cell>
          <cell r="F30">
            <v>409505.30000000005</v>
          </cell>
          <cell r="G30">
            <v>8766.9</v>
          </cell>
          <cell r="H30">
            <v>418272.20000000007</v>
          </cell>
          <cell r="I30">
            <v>276658.60000000003</v>
          </cell>
          <cell r="J30">
            <v>141613.60000000003</v>
          </cell>
          <cell r="K30">
            <v>162923</v>
          </cell>
          <cell r="L30">
            <v>50485.599999999991</v>
          </cell>
          <cell r="M30">
            <v>112437.40000000001</v>
          </cell>
          <cell r="P30">
            <v>0</v>
          </cell>
          <cell r="Q30">
            <v>254051.00000000006</v>
          </cell>
        </row>
        <row r="31">
          <cell r="P31">
            <v>0</v>
          </cell>
        </row>
        <row r="32">
          <cell r="P32">
            <v>0</v>
          </cell>
        </row>
        <row r="33">
          <cell r="A33" t="str">
            <v>2012 Décembre</v>
          </cell>
          <cell r="B33">
            <v>2482.1</v>
          </cell>
          <cell r="C33">
            <v>199698.5</v>
          </cell>
          <cell r="D33">
            <v>856</v>
          </cell>
          <cell r="E33">
            <v>274465.8</v>
          </cell>
          <cell r="F33">
            <v>477502.4</v>
          </cell>
          <cell r="G33">
            <v>7523.1</v>
          </cell>
          <cell r="H33">
            <v>485025.5</v>
          </cell>
          <cell r="I33">
            <v>418096.6</v>
          </cell>
          <cell r="J33">
            <v>66928.900000000023</v>
          </cell>
          <cell r="K33">
            <v>192680.5</v>
          </cell>
          <cell r="L33">
            <v>62971.7</v>
          </cell>
          <cell r="M33">
            <v>129708.8</v>
          </cell>
          <cell r="P33">
            <v>0</v>
          </cell>
          <cell r="Q33">
            <v>196637.7</v>
          </cell>
        </row>
        <row r="34">
          <cell r="A34" t="str">
            <v>2013 Mars</v>
          </cell>
          <cell r="B34">
            <v>2438.9</v>
          </cell>
          <cell r="C34">
            <v>179366.6</v>
          </cell>
          <cell r="D34">
            <v>848.2</v>
          </cell>
          <cell r="E34">
            <v>269294.7</v>
          </cell>
          <cell r="F34">
            <v>451948.4</v>
          </cell>
          <cell r="G34">
            <v>4627.2000000000007</v>
          </cell>
          <cell r="H34">
            <v>456575.60000000003</v>
          </cell>
          <cell r="I34">
            <v>407828.7</v>
          </cell>
          <cell r="J34">
            <v>48746.900000000023</v>
          </cell>
          <cell r="K34">
            <v>213236.8</v>
          </cell>
          <cell r="L34">
            <v>64129.799999999996</v>
          </cell>
          <cell r="M34">
            <v>149107</v>
          </cell>
          <cell r="P34">
            <v>0</v>
          </cell>
          <cell r="Q34">
            <v>197853.90000000002</v>
          </cell>
        </row>
        <row r="35">
          <cell r="A35" t="str">
            <v>2013 Juin</v>
          </cell>
          <cell r="B35">
            <v>1942.6</v>
          </cell>
          <cell r="C35">
            <v>176058.5</v>
          </cell>
          <cell r="D35">
            <v>832.5</v>
          </cell>
          <cell r="E35">
            <v>246048.1</v>
          </cell>
          <cell r="F35">
            <v>424881.7</v>
          </cell>
          <cell r="G35">
            <v>2913.4</v>
          </cell>
          <cell r="H35">
            <v>427795.10000000003</v>
          </cell>
          <cell r="I35">
            <v>370829.69999999995</v>
          </cell>
          <cell r="J35">
            <v>56965.400000000081</v>
          </cell>
          <cell r="K35">
            <v>165969.40000000002</v>
          </cell>
          <cell r="L35">
            <v>64040.999999999993</v>
          </cell>
          <cell r="M35">
            <v>101928.40000000002</v>
          </cell>
          <cell r="P35">
            <v>0</v>
          </cell>
          <cell r="Q35">
            <v>158893.8000000001</v>
          </cell>
        </row>
        <row r="36">
          <cell r="A36" t="str">
            <v>2013 Septembre</v>
          </cell>
          <cell r="B36">
            <v>2032</v>
          </cell>
          <cell r="C36">
            <v>182398.6</v>
          </cell>
          <cell r="D36">
            <v>850</v>
          </cell>
          <cell r="E36">
            <v>270941.5</v>
          </cell>
          <cell r="F36">
            <v>456222.1</v>
          </cell>
          <cell r="G36">
            <v>3132.1000000000004</v>
          </cell>
          <cell r="H36">
            <v>459354.19999999995</v>
          </cell>
          <cell r="I36">
            <v>380943.4</v>
          </cell>
          <cell r="J36">
            <v>78410.79999999993</v>
          </cell>
          <cell r="K36">
            <v>183463.6</v>
          </cell>
          <cell r="L36">
            <v>97088.099999999991</v>
          </cell>
          <cell r="M36">
            <v>86375.500000000015</v>
          </cell>
          <cell r="P36">
            <v>0</v>
          </cell>
          <cell r="Q36">
            <v>164786.29999999993</v>
          </cell>
        </row>
        <row r="37">
          <cell r="A37" t="str">
            <v>2013 Décembre</v>
          </cell>
          <cell r="B37">
            <v>1943.7</v>
          </cell>
          <cell r="C37">
            <v>182851.4</v>
          </cell>
          <cell r="D37">
            <v>858.19999999998254</v>
          </cell>
          <cell r="E37">
            <v>309703.29999999993</v>
          </cell>
          <cell r="F37">
            <v>495356.59999999992</v>
          </cell>
          <cell r="G37">
            <v>5966.9</v>
          </cell>
          <cell r="H37">
            <v>501323.49999999994</v>
          </cell>
          <cell r="I37">
            <v>383189.69999999995</v>
          </cell>
          <cell r="J37">
            <v>118133.79999999999</v>
          </cell>
          <cell r="K37">
            <v>201411.19999999998</v>
          </cell>
          <cell r="L37">
            <v>89788.900000000009</v>
          </cell>
          <cell r="M37">
            <v>111622.29999999997</v>
          </cell>
          <cell r="P37">
            <v>0</v>
          </cell>
          <cell r="Q37">
            <v>229756.09999999998</v>
          </cell>
        </row>
        <row r="38">
          <cell r="P38">
            <v>0</v>
          </cell>
        </row>
        <row r="39">
          <cell r="A39" t="str">
            <v>2014 March</v>
          </cell>
          <cell r="B39">
            <v>1933.3</v>
          </cell>
          <cell r="C39">
            <v>196400.6</v>
          </cell>
          <cell r="D39">
            <v>859</v>
          </cell>
          <cell r="E39">
            <v>287470.3</v>
          </cell>
          <cell r="F39">
            <v>486663.19999999995</v>
          </cell>
          <cell r="G39">
            <v>4899.7000000000007</v>
          </cell>
          <cell r="H39">
            <v>491562.89999999997</v>
          </cell>
          <cell r="I39">
            <v>396544.3</v>
          </cell>
          <cell r="J39">
            <v>95018.599999999977</v>
          </cell>
          <cell r="K39">
            <v>216698.30000000002</v>
          </cell>
          <cell r="L39">
            <v>100768.8</v>
          </cell>
          <cell r="M39">
            <v>115929.50000000001</v>
          </cell>
          <cell r="N39">
            <v>0</v>
          </cell>
          <cell r="O39">
            <v>97.2</v>
          </cell>
          <cell r="P39">
            <v>-97.2</v>
          </cell>
          <cell r="Q39">
            <v>210850.89999999997</v>
          </cell>
        </row>
        <row r="40">
          <cell r="A40" t="str">
            <v xml:space="preserve">         June</v>
          </cell>
          <cell r="B40">
            <v>1967.1</v>
          </cell>
          <cell r="C40">
            <v>196712.9</v>
          </cell>
          <cell r="D40">
            <v>860.4</v>
          </cell>
          <cell r="E40">
            <v>284533.90000000002</v>
          </cell>
          <cell r="F40">
            <v>484074.30000000005</v>
          </cell>
          <cell r="G40">
            <v>2530</v>
          </cell>
          <cell r="H40">
            <v>486604.30000000005</v>
          </cell>
          <cell r="I40">
            <v>397532.8</v>
          </cell>
          <cell r="J40">
            <v>89071.500000000058</v>
          </cell>
          <cell r="K40">
            <v>198408.8</v>
          </cell>
          <cell r="L40">
            <v>102707.5</v>
          </cell>
          <cell r="M40">
            <v>95701.299999999988</v>
          </cell>
          <cell r="N40">
            <v>0</v>
          </cell>
          <cell r="O40">
            <v>97.1</v>
          </cell>
          <cell r="P40">
            <v>-97.1</v>
          </cell>
          <cell r="Q40">
            <v>184675.70000000004</v>
          </cell>
        </row>
        <row r="41">
          <cell r="A41" t="str">
            <v xml:space="preserve">         September</v>
          </cell>
          <cell r="B41">
            <v>1822.1</v>
          </cell>
          <cell r="C41">
            <v>188332.9</v>
          </cell>
          <cell r="D41">
            <v>829.8</v>
          </cell>
          <cell r="E41">
            <v>325731.40000000002</v>
          </cell>
          <cell r="F41">
            <v>516716.2</v>
          </cell>
          <cell r="G41">
            <v>8188.6</v>
          </cell>
          <cell r="H41">
            <v>524904.80000000005</v>
          </cell>
          <cell r="I41">
            <v>382067.5</v>
          </cell>
          <cell r="J41">
            <v>142837.30000000005</v>
          </cell>
          <cell r="K41">
            <v>193925</v>
          </cell>
          <cell r="L41">
            <v>123903.5</v>
          </cell>
          <cell r="M41">
            <v>70021.5</v>
          </cell>
          <cell r="N41">
            <v>0</v>
          </cell>
          <cell r="O41">
            <v>72.900000000000006</v>
          </cell>
          <cell r="P41">
            <v>-72.900000000000006</v>
          </cell>
          <cell r="Q41">
            <v>212785.90000000005</v>
          </cell>
        </row>
        <row r="42">
          <cell r="A42" t="str">
            <v xml:space="preserve">         December</v>
          </cell>
          <cell r="B42">
            <v>1802</v>
          </cell>
          <cell r="C42">
            <v>183917.8</v>
          </cell>
          <cell r="D42">
            <v>810.4</v>
          </cell>
          <cell r="E42">
            <v>306201</v>
          </cell>
          <cell r="F42">
            <v>492731.19999999995</v>
          </cell>
          <cell r="G42">
            <v>8483.5</v>
          </cell>
          <cell r="H42">
            <v>501214.69999999995</v>
          </cell>
          <cell r="I42">
            <v>372538.8</v>
          </cell>
          <cell r="J42">
            <v>128675.89999999997</v>
          </cell>
          <cell r="K42">
            <v>199601.2</v>
          </cell>
          <cell r="L42">
            <v>147751.79999999999</v>
          </cell>
          <cell r="M42">
            <v>51849.4</v>
          </cell>
          <cell r="N42">
            <v>0</v>
          </cell>
          <cell r="O42">
            <v>48.6</v>
          </cell>
          <cell r="P42">
            <v>-48.6</v>
          </cell>
          <cell r="Q42">
            <v>180476.69999999995</v>
          </cell>
        </row>
        <row r="44">
          <cell r="A44" t="str">
            <v>2015 March</v>
          </cell>
          <cell r="B44">
            <v>1778.4</v>
          </cell>
          <cell r="C44">
            <v>174701.8</v>
          </cell>
          <cell r="D44">
            <v>775.5</v>
          </cell>
          <cell r="E44">
            <v>292147.59999999998</v>
          </cell>
          <cell r="F44">
            <v>469403.29999999993</v>
          </cell>
          <cell r="G44">
            <v>3107.7</v>
          </cell>
          <cell r="H44">
            <v>472510.99999999994</v>
          </cell>
          <cell r="I44">
            <v>356984.6</v>
          </cell>
          <cell r="J44">
            <v>115526.39999999997</v>
          </cell>
          <cell r="K44">
            <v>191610</v>
          </cell>
          <cell r="L44">
            <v>146245.4</v>
          </cell>
          <cell r="M44">
            <v>45364.600000000006</v>
          </cell>
          <cell r="N44">
            <v>0</v>
          </cell>
          <cell r="O44">
            <v>24.3</v>
          </cell>
          <cell r="P44">
            <v>-24.3</v>
          </cell>
          <cell r="Q44">
            <v>160866.69999999998</v>
          </cell>
        </row>
        <row r="45">
          <cell r="A45" t="str">
            <v xml:space="preserve">          June</v>
          </cell>
          <cell r="B45">
            <v>1781.7</v>
          </cell>
          <cell r="C45">
            <v>176983.9</v>
          </cell>
          <cell r="D45">
            <v>792.1</v>
          </cell>
          <cell r="E45">
            <v>191644.69999999998</v>
          </cell>
          <cell r="F45">
            <v>371202.4</v>
          </cell>
          <cell r="G45">
            <v>2014.8000000000002</v>
          </cell>
          <cell r="H45">
            <v>373217.2</v>
          </cell>
          <cell r="I45">
            <v>361289.7</v>
          </cell>
          <cell r="J45">
            <v>11927.5</v>
          </cell>
          <cell r="K45">
            <v>192773.59999999998</v>
          </cell>
          <cell r="L45">
            <v>139562.5</v>
          </cell>
          <cell r="M45">
            <v>53211.099999999977</v>
          </cell>
          <cell r="N45">
            <v>0</v>
          </cell>
          <cell r="O45">
            <v>0</v>
          </cell>
          <cell r="P45">
            <v>0</v>
          </cell>
          <cell r="Q45">
            <v>65138.599999999977</v>
          </cell>
        </row>
        <row r="46">
          <cell r="A46" t="str">
            <v xml:space="preserve">          September</v>
          </cell>
          <cell r="B46">
            <v>1720.4</v>
          </cell>
          <cell r="C46">
            <v>165076</v>
          </cell>
          <cell r="D46">
            <v>800.5</v>
          </cell>
          <cell r="E46">
            <v>105121.8</v>
          </cell>
          <cell r="F46">
            <v>272718.7</v>
          </cell>
          <cell r="G46">
            <v>1536</v>
          </cell>
          <cell r="H46">
            <v>274254.7</v>
          </cell>
          <cell r="I46">
            <v>351304.8</v>
          </cell>
          <cell r="J46">
            <v>-77050.100000000006</v>
          </cell>
          <cell r="K46">
            <v>179072.1</v>
          </cell>
          <cell r="L46">
            <v>135266.6</v>
          </cell>
          <cell r="M46">
            <v>43805.5</v>
          </cell>
          <cell r="N46">
            <v>0</v>
          </cell>
          <cell r="O46">
            <v>0</v>
          </cell>
          <cell r="P46">
            <v>0</v>
          </cell>
          <cell r="Q46">
            <v>-33244.600000000006</v>
          </cell>
        </row>
        <row r="47">
          <cell r="A47" t="str">
            <v xml:space="preserve">          December</v>
          </cell>
          <cell r="B47">
            <v>1660.3</v>
          </cell>
          <cell r="C47">
            <v>88116.1</v>
          </cell>
          <cell r="D47">
            <v>808.1</v>
          </cell>
          <cell r="E47">
            <v>129945.5</v>
          </cell>
          <cell r="F47">
            <v>220530</v>
          </cell>
          <cell r="G47">
            <v>1299.6000000000001</v>
          </cell>
          <cell r="H47">
            <v>221829.6</v>
          </cell>
          <cell r="I47">
            <v>354815.2</v>
          </cell>
          <cell r="J47">
            <v>-132985.60000000001</v>
          </cell>
          <cell r="K47">
            <v>207089</v>
          </cell>
          <cell r="L47">
            <v>149973.5</v>
          </cell>
          <cell r="M47">
            <v>57115.5</v>
          </cell>
          <cell r="N47">
            <v>0</v>
          </cell>
          <cell r="O47">
            <v>0</v>
          </cell>
          <cell r="P47">
            <v>0</v>
          </cell>
          <cell r="Q47">
            <v>-75870.100000000006</v>
          </cell>
        </row>
        <row r="49">
          <cell r="A49" t="str">
            <v>2016 March</v>
          </cell>
          <cell r="B49">
            <v>1943</v>
          </cell>
          <cell r="C49">
            <v>31919</v>
          </cell>
          <cell r="D49">
            <v>45023.1</v>
          </cell>
          <cell r="E49">
            <v>73905.5</v>
          </cell>
          <cell r="F49">
            <v>152790.6</v>
          </cell>
          <cell r="G49">
            <v>2429.1999999999998</v>
          </cell>
          <cell r="H49">
            <v>155219.80000000002</v>
          </cell>
          <cell r="I49">
            <v>350173.8</v>
          </cell>
          <cell r="J49">
            <v>-194953.99999999997</v>
          </cell>
          <cell r="K49">
            <v>182809.69999999998</v>
          </cell>
          <cell r="L49">
            <v>148879.5</v>
          </cell>
          <cell r="M49">
            <v>33930.199999999983</v>
          </cell>
          <cell r="N49">
            <v>0</v>
          </cell>
          <cell r="O49">
            <v>0</v>
          </cell>
          <cell r="P49">
            <v>0</v>
          </cell>
          <cell r="Q49">
            <v>-161023.79999999999</v>
          </cell>
        </row>
        <row r="50">
          <cell r="A50" t="str">
            <v xml:space="preserve">          June</v>
          </cell>
          <cell r="B50">
            <v>2102.1999999999998</v>
          </cell>
          <cell r="C50">
            <v>31971.9</v>
          </cell>
          <cell r="D50">
            <v>45217.4</v>
          </cell>
          <cell r="E50">
            <v>84217.1</v>
          </cell>
          <cell r="F50">
            <v>163508.6</v>
          </cell>
          <cell r="G50">
            <v>2326.8000000000002</v>
          </cell>
          <cell r="H50">
            <v>165835.4</v>
          </cell>
          <cell r="I50">
            <v>351838.8</v>
          </cell>
          <cell r="J50">
            <v>-186003.4</v>
          </cell>
          <cell r="K50">
            <v>163223.69999999998</v>
          </cell>
          <cell r="L50">
            <v>143107</v>
          </cell>
          <cell r="M50">
            <v>20116.699999999983</v>
          </cell>
          <cell r="N50">
            <v>0</v>
          </cell>
          <cell r="O50">
            <v>0</v>
          </cell>
          <cell r="P50">
            <v>0</v>
          </cell>
          <cell r="Q50">
            <v>-165886.70000000001</v>
          </cell>
        </row>
        <row r="51">
          <cell r="A51" t="str">
            <v xml:space="preserve">          September</v>
          </cell>
          <cell r="B51">
            <v>2139.1999999999998</v>
          </cell>
          <cell r="C51">
            <v>16443.5</v>
          </cell>
          <cell r="D51">
            <v>45578.3</v>
          </cell>
          <cell r="E51">
            <v>88668.4</v>
          </cell>
          <cell r="F51">
            <v>152829.4</v>
          </cell>
          <cell r="G51">
            <v>4564.1000000000004</v>
          </cell>
          <cell r="H51">
            <v>157393.5</v>
          </cell>
          <cell r="I51">
            <v>338994.5</v>
          </cell>
          <cell r="J51">
            <v>-181601</v>
          </cell>
          <cell r="K51">
            <v>129120.3</v>
          </cell>
          <cell r="L51">
            <v>139965.1</v>
          </cell>
          <cell r="M51">
            <v>-10844.800000000003</v>
          </cell>
          <cell r="N51">
            <v>0</v>
          </cell>
          <cell r="O51">
            <v>0</v>
          </cell>
          <cell r="P51">
            <v>0</v>
          </cell>
          <cell r="Q51">
            <v>-192445.8</v>
          </cell>
        </row>
        <row r="52">
          <cell r="A52" t="str">
            <v xml:space="preserve">          December</v>
          </cell>
          <cell r="B52">
            <v>1893.1</v>
          </cell>
          <cell r="C52">
            <v>19330.2</v>
          </cell>
          <cell r="D52">
            <v>44971.7</v>
          </cell>
          <cell r="E52">
            <v>94816.000000000015</v>
          </cell>
          <cell r="F52">
            <v>161011</v>
          </cell>
          <cell r="G52">
            <v>5423.7000000000007</v>
          </cell>
          <cell r="H52">
            <v>166434.70000000001</v>
          </cell>
          <cell r="I52">
            <v>328508.5</v>
          </cell>
          <cell r="J52">
            <v>-162073.79999999999</v>
          </cell>
          <cell r="K52">
            <v>125486.1</v>
          </cell>
          <cell r="L52">
            <v>139935.4</v>
          </cell>
          <cell r="M52">
            <v>-14449.299999999988</v>
          </cell>
          <cell r="N52">
            <v>0</v>
          </cell>
          <cell r="O52">
            <v>0</v>
          </cell>
          <cell r="P52">
            <v>0</v>
          </cell>
          <cell r="Q52">
            <v>-176523.09999999998</v>
          </cell>
        </row>
        <row r="54">
          <cell r="A54" t="str">
            <v>2017 March</v>
          </cell>
          <cell r="B54">
            <v>2063.9</v>
          </cell>
          <cell r="C54">
            <v>5656.1</v>
          </cell>
          <cell r="D54">
            <v>45880.6</v>
          </cell>
          <cell r="E54">
            <v>121117.99999999999</v>
          </cell>
          <cell r="F54">
            <v>174718.59999999998</v>
          </cell>
          <cell r="G54">
            <v>20073.7</v>
          </cell>
          <cell r="H54">
            <v>194792.3</v>
          </cell>
          <cell r="I54">
            <v>320951.90000000002</v>
          </cell>
          <cell r="J54">
            <v>-126159.60000000003</v>
          </cell>
          <cell r="K54">
            <v>118563.4</v>
          </cell>
          <cell r="L54">
            <v>150057.70000000001</v>
          </cell>
          <cell r="M54">
            <v>-31494.300000000017</v>
          </cell>
          <cell r="N54">
            <v>0</v>
          </cell>
          <cell r="O54">
            <v>0</v>
          </cell>
          <cell r="P54">
            <v>0</v>
          </cell>
          <cell r="Q54">
            <v>-157653.90000000005</v>
          </cell>
        </row>
        <row r="56">
          <cell r="A56" t="str">
            <v>2008 January</v>
          </cell>
          <cell r="B56">
            <v>1037</v>
          </cell>
          <cell r="C56">
            <v>443.4</v>
          </cell>
          <cell r="D56">
            <v>663.5</v>
          </cell>
          <cell r="E56">
            <v>222234.69999999998</v>
          </cell>
          <cell r="F56">
            <v>224378.59999999998</v>
          </cell>
          <cell r="G56">
            <v>4182.3999999999996</v>
          </cell>
          <cell r="H56">
            <v>228560.99999999997</v>
          </cell>
          <cell r="I56">
            <v>157560.9</v>
          </cell>
          <cell r="J56">
            <v>71000.099999999977</v>
          </cell>
          <cell r="K56">
            <v>95638.2</v>
          </cell>
          <cell r="L56">
            <v>23113.4</v>
          </cell>
          <cell r="M56">
            <v>72524.799999999988</v>
          </cell>
          <cell r="P56">
            <v>0</v>
          </cell>
          <cell r="Q56">
            <v>143524.89999999997</v>
          </cell>
        </row>
        <row r="57">
          <cell r="A57" t="str">
            <v xml:space="preserve">          February        </v>
          </cell>
          <cell r="B57">
            <v>1096.4000000000001</v>
          </cell>
          <cell r="C57">
            <v>225.9</v>
          </cell>
          <cell r="D57">
            <v>671.2</v>
          </cell>
          <cell r="E57">
            <v>215986.7</v>
          </cell>
          <cell r="F57">
            <v>217980.2</v>
          </cell>
          <cell r="G57">
            <v>3924.2</v>
          </cell>
          <cell r="H57">
            <v>221904.40000000002</v>
          </cell>
          <cell r="I57">
            <v>159092.1</v>
          </cell>
          <cell r="J57">
            <v>62812.300000000017</v>
          </cell>
          <cell r="K57">
            <v>103195.6</v>
          </cell>
          <cell r="L57">
            <v>21733.699999999997</v>
          </cell>
          <cell r="M57">
            <v>81461.900000000009</v>
          </cell>
          <cell r="P57">
            <v>0</v>
          </cell>
          <cell r="Q57">
            <v>144274.20000000001</v>
          </cell>
        </row>
        <row r="58">
          <cell r="A58" t="str">
            <v xml:space="preserve">          March</v>
          </cell>
          <cell r="B58">
            <v>1068.4000000000001</v>
          </cell>
          <cell r="C58">
            <v>235.3</v>
          </cell>
          <cell r="D58">
            <v>699.3</v>
          </cell>
          <cell r="E58">
            <v>222758.3</v>
          </cell>
          <cell r="F58">
            <v>224761.3</v>
          </cell>
          <cell r="G58">
            <v>3933.7</v>
          </cell>
          <cell r="H58">
            <v>228695</v>
          </cell>
          <cell r="I58">
            <v>168291.5</v>
          </cell>
          <cell r="J58">
            <v>60403.5</v>
          </cell>
          <cell r="K58">
            <v>116002.2</v>
          </cell>
          <cell r="L58">
            <v>27821.300000000003</v>
          </cell>
          <cell r="M58">
            <v>88180.9</v>
          </cell>
          <cell r="P58">
            <v>0</v>
          </cell>
          <cell r="Q58">
            <v>148584.4</v>
          </cell>
        </row>
        <row r="59">
          <cell r="A59" t="str">
            <v xml:space="preserve">          April</v>
          </cell>
          <cell r="B59">
            <v>989.7</v>
          </cell>
          <cell r="C59">
            <v>231.2</v>
          </cell>
          <cell r="D59">
            <v>687</v>
          </cell>
          <cell r="E59">
            <v>223435.59999999998</v>
          </cell>
          <cell r="F59">
            <v>225343.49999999997</v>
          </cell>
          <cell r="G59">
            <v>3770</v>
          </cell>
          <cell r="H59">
            <v>229113.49999999997</v>
          </cell>
          <cell r="I59">
            <v>163484.1</v>
          </cell>
          <cell r="J59">
            <v>65629.399999999965</v>
          </cell>
          <cell r="K59">
            <v>109956.69999999998</v>
          </cell>
          <cell r="L59">
            <v>25249.1</v>
          </cell>
          <cell r="M59">
            <v>84707.599999999977</v>
          </cell>
          <cell r="P59">
            <v>0</v>
          </cell>
          <cell r="Q59">
            <v>150336.99999999994</v>
          </cell>
        </row>
        <row r="60">
          <cell r="A60" t="str">
            <v xml:space="preserve">          May</v>
          </cell>
          <cell r="B60">
            <v>994.6</v>
          </cell>
          <cell r="C60">
            <v>50.7</v>
          </cell>
          <cell r="D60">
            <v>689.8</v>
          </cell>
          <cell r="E60">
            <v>219617.2</v>
          </cell>
          <cell r="F60">
            <v>221352.30000000002</v>
          </cell>
          <cell r="G60">
            <v>3685.1000000000004</v>
          </cell>
          <cell r="H60">
            <v>225037.40000000002</v>
          </cell>
          <cell r="I60">
            <v>163549.40000000002</v>
          </cell>
          <cell r="J60">
            <v>61488</v>
          </cell>
          <cell r="K60">
            <v>103309.4</v>
          </cell>
          <cell r="L60">
            <v>24010.900000000005</v>
          </cell>
          <cell r="M60">
            <v>79298.499999999985</v>
          </cell>
          <cell r="P60">
            <v>0</v>
          </cell>
          <cell r="Q60">
            <v>140786.5</v>
          </cell>
        </row>
        <row r="61">
          <cell r="A61" t="str">
            <v xml:space="preserve">          June</v>
          </cell>
          <cell r="B61">
            <v>1072.5999999999999</v>
          </cell>
          <cell r="C61">
            <v>888.8</v>
          </cell>
          <cell r="D61">
            <v>701.4</v>
          </cell>
          <cell r="E61">
            <v>216375.6</v>
          </cell>
          <cell r="F61">
            <v>219038.4</v>
          </cell>
          <cell r="G61">
            <v>4023.6000000000004</v>
          </cell>
          <cell r="H61">
            <v>223062</v>
          </cell>
          <cell r="I61">
            <v>166752.5</v>
          </cell>
          <cell r="J61">
            <v>56309.5</v>
          </cell>
          <cell r="K61">
            <v>111373.8</v>
          </cell>
          <cell r="L61">
            <v>28737.400000000005</v>
          </cell>
          <cell r="M61">
            <v>82636.399999999994</v>
          </cell>
          <cell r="P61">
            <v>0</v>
          </cell>
          <cell r="Q61">
            <v>138945.9</v>
          </cell>
        </row>
        <row r="62">
          <cell r="A62" t="str">
            <v xml:space="preserve">          Jully</v>
          </cell>
          <cell r="B62">
            <v>1043.5999999999999</v>
          </cell>
          <cell r="C62">
            <v>879.9</v>
          </cell>
          <cell r="D62">
            <v>694.3</v>
          </cell>
          <cell r="E62">
            <v>239190.9</v>
          </cell>
          <cell r="F62">
            <v>241808.69999999998</v>
          </cell>
          <cell r="G62">
            <v>6068.7000000000007</v>
          </cell>
          <cell r="H62">
            <v>247877.4</v>
          </cell>
          <cell r="I62">
            <v>177733.2</v>
          </cell>
          <cell r="J62">
            <v>70144.199999999983</v>
          </cell>
          <cell r="K62">
            <v>103087.9</v>
          </cell>
          <cell r="L62">
            <v>28529.1</v>
          </cell>
          <cell r="M62">
            <v>74558.799999999988</v>
          </cell>
          <cell r="P62">
            <v>0</v>
          </cell>
          <cell r="Q62">
            <v>144702.99999999997</v>
          </cell>
        </row>
        <row r="63">
          <cell r="A63" t="str">
            <v xml:space="preserve">          August</v>
          </cell>
          <cell r="B63">
            <v>952.2</v>
          </cell>
          <cell r="C63">
            <v>175.8</v>
          </cell>
          <cell r="D63">
            <v>667.1</v>
          </cell>
          <cell r="E63">
            <v>242984.30000000002</v>
          </cell>
          <cell r="F63">
            <v>244779.40000000002</v>
          </cell>
          <cell r="G63">
            <v>5227.5</v>
          </cell>
          <cell r="H63">
            <v>250006.90000000002</v>
          </cell>
          <cell r="I63">
            <v>170889.4</v>
          </cell>
          <cell r="J63">
            <v>79117.500000000029</v>
          </cell>
          <cell r="K63">
            <v>113713.59999999999</v>
          </cell>
          <cell r="L63">
            <v>27114.2</v>
          </cell>
          <cell r="M63">
            <v>86599.4</v>
          </cell>
          <cell r="P63">
            <v>0</v>
          </cell>
          <cell r="Q63">
            <v>165716.90000000002</v>
          </cell>
        </row>
        <row r="64">
          <cell r="A64" t="str">
            <v xml:space="preserve">          September</v>
          </cell>
          <cell r="B64">
            <v>1010.3</v>
          </cell>
          <cell r="C64">
            <v>177.4</v>
          </cell>
          <cell r="D64">
            <v>673.3</v>
          </cell>
          <cell r="E64">
            <v>240677.8</v>
          </cell>
          <cell r="F64">
            <v>242538.8</v>
          </cell>
          <cell r="G64">
            <v>5464.4</v>
          </cell>
          <cell r="H64">
            <v>248003.19999999998</v>
          </cell>
          <cell r="I64">
            <v>172169.9</v>
          </cell>
          <cell r="J64">
            <v>75833.299999999988</v>
          </cell>
          <cell r="K64">
            <v>134420.80000000002</v>
          </cell>
          <cell r="L64">
            <v>27827.299999999996</v>
          </cell>
          <cell r="M64">
            <v>106593.50000000003</v>
          </cell>
          <cell r="P64">
            <v>0</v>
          </cell>
          <cell r="Q64">
            <v>182426.80000000002</v>
          </cell>
        </row>
        <row r="65">
          <cell r="A65" t="str">
            <v xml:space="preserve">          October</v>
          </cell>
          <cell r="B65">
            <v>859.6</v>
          </cell>
          <cell r="C65">
            <v>318.5</v>
          </cell>
          <cell r="D65">
            <v>656</v>
          </cell>
          <cell r="E65">
            <v>255508.7</v>
          </cell>
          <cell r="F65">
            <v>257342.80000000002</v>
          </cell>
          <cell r="G65">
            <v>5431.4</v>
          </cell>
          <cell r="H65">
            <v>262774.2</v>
          </cell>
          <cell r="I65">
            <v>167470.6</v>
          </cell>
          <cell r="J65">
            <v>95303.6</v>
          </cell>
          <cell r="K65">
            <v>124242.09999999999</v>
          </cell>
          <cell r="L65">
            <v>27742.3</v>
          </cell>
          <cell r="M65">
            <v>96499.799999999988</v>
          </cell>
          <cell r="P65">
            <v>0</v>
          </cell>
          <cell r="Q65">
            <v>191803.4</v>
          </cell>
        </row>
        <row r="66">
          <cell r="A66" t="str">
            <v xml:space="preserve">          November</v>
          </cell>
          <cell r="B66">
            <v>971.7</v>
          </cell>
          <cell r="C66">
            <v>156.1</v>
          </cell>
          <cell r="D66">
            <v>665.6</v>
          </cell>
          <cell r="E66">
            <v>269776</v>
          </cell>
          <cell r="F66">
            <v>271569.40000000002</v>
          </cell>
          <cell r="G66">
            <v>5559.5</v>
          </cell>
          <cell r="H66">
            <v>277128.90000000002</v>
          </cell>
          <cell r="I66">
            <v>169792.50000000003</v>
          </cell>
          <cell r="J66">
            <v>107336.4</v>
          </cell>
          <cell r="K66">
            <v>129104.30000000002</v>
          </cell>
          <cell r="L66">
            <v>29356.899999999998</v>
          </cell>
          <cell r="M66">
            <v>99747.400000000023</v>
          </cell>
          <cell r="P66">
            <v>0</v>
          </cell>
          <cell r="Q66">
            <v>207083.80000000002</v>
          </cell>
        </row>
        <row r="67">
          <cell r="A67" t="str">
            <v xml:space="preserve">          December</v>
          </cell>
          <cell r="B67">
            <v>1033.4000000000001</v>
          </cell>
          <cell r="C67">
            <v>181.7</v>
          </cell>
          <cell r="D67">
            <v>688.7</v>
          </cell>
          <cell r="E67">
            <v>327362.5</v>
          </cell>
          <cell r="F67">
            <v>329266.3</v>
          </cell>
          <cell r="G67">
            <v>5223.6000000000004</v>
          </cell>
          <cell r="H67">
            <v>334489.89999999997</v>
          </cell>
          <cell r="I67">
            <v>175397.7</v>
          </cell>
          <cell r="J67">
            <v>159092.19999999995</v>
          </cell>
          <cell r="K67">
            <v>125768.90000000001</v>
          </cell>
          <cell r="L67">
            <v>30009.400000000009</v>
          </cell>
          <cell r="M67">
            <v>95759.5</v>
          </cell>
          <cell r="P67">
            <v>0</v>
          </cell>
          <cell r="Q67">
            <v>254851.69999999995</v>
          </cell>
        </row>
        <row r="68">
          <cell r="P68">
            <v>0</v>
          </cell>
        </row>
        <row r="69">
          <cell r="A69" t="str">
            <v>2009 January</v>
          </cell>
          <cell r="B69">
            <v>1074.8</v>
          </cell>
          <cell r="C69">
            <v>176.3</v>
          </cell>
          <cell r="D69">
            <v>668</v>
          </cell>
          <cell r="E69">
            <v>303144.5</v>
          </cell>
          <cell r="F69">
            <v>305063.59999999998</v>
          </cell>
          <cell r="G69">
            <v>6989.7000000000007</v>
          </cell>
          <cell r="H69">
            <v>312053.3</v>
          </cell>
          <cell r="I69">
            <v>170683.4</v>
          </cell>
          <cell r="J69">
            <v>141369.9</v>
          </cell>
          <cell r="K69">
            <v>116140.49999999999</v>
          </cell>
          <cell r="L69">
            <v>27662.7</v>
          </cell>
          <cell r="M69">
            <v>88477.799999999988</v>
          </cell>
          <cell r="P69">
            <v>0</v>
          </cell>
          <cell r="Q69">
            <v>229847.69999999998</v>
          </cell>
        </row>
        <row r="70">
          <cell r="A70" t="str">
            <v xml:space="preserve">          February        </v>
          </cell>
          <cell r="B70">
            <v>1118.5999999999999</v>
          </cell>
          <cell r="C70">
            <v>109.9</v>
          </cell>
          <cell r="D70">
            <v>652.70000000000005</v>
          </cell>
          <cell r="E70">
            <v>294546.8</v>
          </cell>
          <cell r="F70">
            <v>296428</v>
          </cell>
          <cell r="G70">
            <v>7176.7000000000007</v>
          </cell>
          <cell r="H70">
            <v>303604.7</v>
          </cell>
          <cell r="I70">
            <v>178338.8</v>
          </cell>
          <cell r="J70">
            <v>125265.90000000002</v>
          </cell>
          <cell r="K70">
            <v>117864.69999999998</v>
          </cell>
          <cell r="L70">
            <v>27916.6</v>
          </cell>
          <cell r="M70">
            <v>89948.099999999977</v>
          </cell>
          <cell r="P70">
            <v>0</v>
          </cell>
          <cell r="Q70">
            <v>215214</v>
          </cell>
        </row>
        <row r="71">
          <cell r="A71" t="str">
            <v xml:space="preserve">          March</v>
          </cell>
          <cell r="B71">
            <v>1094.0999999999999</v>
          </cell>
          <cell r="C71">
            <v>111.6</v>
          </cell>
          <cell r="D71">
            <v>662.7</v>
          </cell>
          <cell r="E71">
            <v>278039.10000000003</v>
          </cell>
          <cell r="F71">
            <v>279907.50000000006</v>
          </cell>
          <cell r="G71">
            <v>6741.6</v>
          </cell>
          <cell r="H71">
            <v>286649.10000000003</v>
          </cell>
          <cell r="I71">
            <v>180864.6</v>
          </cell>
          <cell r="J71">
            <v>105784.50000000003</v>
          </cell>
          <cell r="K71">
            <v>120440.8</v>
          </cell>
          <cell r="L71">
            <v>28111.9</v>
          </cell>
          <cell r="M71">
            <v>92328.9</v>
          </cell>
          <cell r="P71">
            <v>0</v>
          </cell>
          <cell r="Q71">
            <v>198113.40000000002</v>
          </cell>
        </row>
        <row r="72">
          <cell r="A72" t="str">
            <v xml:space="preserve">          April</v>
          </cell>
          <cell r="B72">
            <v>1060</v>
          </cell>
          <cell r="C72">
            <v>111.5</v>
          </cell>
          <cell r="D72">
            <v>662.3</v>
          </cell>
          <cell r="E72">
            <v>264601.2</v>
          </cell>
          <cell r="F72">
            <v>266435</v>
          </cell>
          <cell r="G72">
            <v>5492.8</v>
          </cell>
          <cell r="H72">
            <v>271927.8</v>
          </cell>
          <cell r="I72">
            <v>181050.30000000002</v>
          </cell>
          <cell r="J72">
            <v>90877.499999999971</v>
          </cell>
          <cell r="K72">
            <v>126001.60000000001</v>
          </cell>
          <cell r="L72">
            <v>36224.19999999999</v>
          </cell>
          <cell r="M72">
            <v>89777.400000000023</v>
          </cell>
          <cell r="P72">
            <v>0</v>
          </cell>
          <cell r="Q72">
            <v>180654.9</v>
          </cell>
        </row>
        <row r="73">
          <cell r="A73" t="str">
            <v xml:space="preserve">          May</v>
          </cell>
          <cell r="B73">
            <v>1143.5</v>
          </cell>
          <cell r="C73">
            <v>80.7</v>
          </cell>
          <cell r="D73">
            <v>679.5</v>
          </cell>
          <cell r="E73">
            <v>274451.90000000002</v>
          </cell>
          <cell r="F73">
            <v>276355.60000000003</v>
          </cell>
          <cell r="G73">
            <v>4756.1000000000004</v>
          </cell>
          <cell r="H73">
            <v>281111.7</v>
          </cell>
          <cell r="I73">
            <v>126775.29999999999</v>
          </cell>
          <cell r="J73">
            <v>154336.40000000002</v>
          </cell>
          <cell r="K73">
            <v>123079.29999999999</v>
          </cell>
          <cell r="L73">
            <v>34014</v>
          </cell>
          <cell r="M73">
            <v>89065.299999999988</v>
          </cell>
          <cell r="P73">
            <v>0</v>
          </cell>
          <cell r="Q73">
            <v>243401.7</v>
          </cell>
        </row>
        <row r="74">
          <cell r="A74" t="str">
            <v xml:space="preserve">          June</v>
          </cell>
          <cell r="B74">
            <v>1120.5999999999999</v>
          </cell>
          <cell r="C74">
            <v>367.7</v>
          </cell>
          <cell r="D74">
            <v>686.8</v>
          </cell>
          <cell r="E74">
            <v>269075.8</v>
          </cell>
          <cell r="F74">
            <v>271250.89999999997</v>
          </cell>
          <cell r="G74">
            <v>4660</v>
          </cell>
          <cell r="H74">
            <v>275910.89999999997</v>
          </cell>
          <cell r="I74">
            <v>127669</v>
          </cell>
          <cell r="J74">
            <v>148241.89999999997</v>
          </cell>
          <cell r="K74">
            <v>125767.2</v>
          </cell>
          <cell r="L74">
            <v>37042.699999999997</v>
          </cell>
          <cell r="M74">
            <v>88724.5</v>
          </cell>
          <cell r="P74">
            <v>0</v>
          </cell>
          <cell r="Q74">
            <v>236966.39999999997</v>
          </cell>
        </row>
        <row r="75">
          <cell r="A75" t="str">
            <v xml:space="preserve">          Jully</v>
          </cell>
          <cell r="B75">
            <v>1115.2</v>
          </cell>
          <cell r="C75">
            <v>12701.4</v>
          </cell>
          <cell r="D75">
            <v>687.6</v>
          </cell>
          <cell r="E75">
            <v>253205.2</v>
          </cell>
          <cell r="F75">
            <v>267709.40000000002</v>
          </cell>
          <cell r="G75">
            <v>4478.7000000000007</v>
          </cell>
          <cell r="H75">
            <v>272188.10000000003</v>
          </cell>
          <cell r="I75">
            <v>140035.5</v>
          </cell>
          <cell r="J75">
            <v>132152.60000000003</v>
          </cell>
          <cell r="K75">
            <v>119354.19999999998</v>
          </cell>
          <cell r="L75">
            <v>31841.699999999997</v>
          </cell>
          <cell r="M75">
            <v>87512.499999999985</v>
          </cell>
          <cell r="P75">
            <v>0</v>
          </cell>
          <cell r="Q75">
            <v>219665.10000000003</v>
          </cell>
        </row>
        <row r="76">
          <cell r="A76" t="str">
            <v xml:space="preserve">          August</v>
          </cell>
          <cell r="B76">
            <v>1136.3</v>
          </cell>
          <cell r="C76">
            <v>122653.6</v>
          </cell>
          <cell r="D76">
            <v>693.4</v>
          </cell>
          <cell r="E76">
            <v>238703.09999999998</v>
          </cell>
          <cell r="F76">
            <v>363186.39999999997</v>
          </cell>
          <cell r="G76">
            <v>3479.8</v>
          </cell>
          <cell r="H76">
            <v>366666.19999999995</v>
          </cell>
          <cell r="I76">
            <v>250916.19999999998</v>
          </cell>
          <cell r="J76">
            <v>115749.99999999997</v>
          </cell>
          <cell r="K76">
            <v>126943.29999999999</v>
          </cell>
          <cell r="L76">
            <v>34910.100000000006</v>
          </cell>
          <cell r="M76">
            <v>92033.199999999983</v>
          </cell>
          <cell r="P76">
            <v>0</v>
          </cell>
          <cell r="Q76">
            <v>207783.19999999995</v>
          </cell>
        </row>
        <row r="77">
          <cell r="A77" t="str">
            <v xml:space="preserve">          September</v>
          </cell>
          <cell r="B77">
            <v>1191</v>
          </cell>
          <cell r="C77">
            <v>129687.2</v>
          </cell>
          <cell r="D77">
            <v>699.5</v>
          </cell>
          <cell r="E77">
            <v>257969.09999999998</v>
          </cell>
          <cell r="F77">
            <v>389546.8</v>
          </cell>
          <cell r="G77">
            <v>3715.8</v>
          </cell>
          <cell r="H77">
            <v>393262.6</v>
          </cell>
          <cell r="I77">
            <v>259318.9</v>
          </cell>
          <cell r="J77">
            <v>133943.69999999998</v>
          </cell>
          <cell r="K77">
            <v>125532.20000000001</v>
          </cell>
          <cell r="L77">
            <v>37309.800000000003</v>
          </cell>
          <cell r="M77">
            <v>88222.400000000009</v>
          </cell>
          <cell r="P77">
            <v>0</v>
          </cell>
          <cell r="Q77">
            <v>222166.09999999998</v>
          </cell>
        </row>
        <row r="78">
          <cell r="A78" t="str">
            <v xml:space="preserve">          October</v>
          </cell>
          <cell r="B78">
            <v>1240.0999999999999</v>
          </cell>
          <cell r="C78">
            <v>130455.6</v>
          </cell>
          <cell r="D78">
            <v>703.6</v>
          </cell>
          <cell r="E78">
            <v>254245.1</v>
          </cell>
          <cell r="F78">
            <v>386644.4</v>
          </cell>
          <cell r="G78">
            <v>3322.7</v>
          </cell>
          <cell r="H78">
            <v>389967.10000000003</v>
          </cell>
          <cell r="I78">
            <v>260952.5</v>
          </cell>
          <cell r="J78">
            <v>129014.60000000003</v>
          </cell>
          <cell r="K78">
            <v>124128.7</v>
          </cell>
          <cell r="L78">
            <v>37126.300000000003</v>
          </cell>
          <cell r="M78">
            <v>87002.4</v>
          </cell>
          <cell r="P78">
            <v>0</v>
          </cell>
          <cell r="Q78">
            <v>216017.00000000003</v>
          </cell>
        </row>
        <row r="79">
          <cell r="A79" t="str">
            <v xml:space="preserve">          November</v>
          </cell>
          <cell r="B79">
            <v>1389.7</v>
          </cell>
          <cell r="C79">
            <v>132353.70000000001</v>
          </cell>
          <cell r="D79">
            <v>714</v>
          </cell>
          <cell r="E79">
            <v>246867.1</v>
          </cell>
          <cell r="F79">
            <v>381324.5</v>
          </cell>
          <cell r="G79">
            <v>2909.8</v>
          </cell>
          <cell r="H79">
            <v>384234.3</v>
          </cell>
          <cell r="I79">
            <v>263875.60000000003</v>
          </cell>
          <cell r="J79">
            <v>120358.69999999995</v>
          </cell>
          <cell r="K79">
            <v>130034.9</v>
          </cell>
          <cell r="L79">
            <v>37392.799999999996</v>
          </cell>
          <cell r="M79">
            <v>92642.1</v>
          </cell>
          <cell r="P79">
            <v>0</v>
          </cell>
          <cell r="Q79">
            <v>213000.79999999996</v>
          </cell>
        </row>
        <row r="80">
          <cell r="A80" t="str">
            <v xml:space="preserve">          December</v>
          </cell>
          <cell r="B80">
            <v>1304.8</v>
          </cell>
          <cell r="C80">
            <v>128093.7</v>
          </cell>
          <cell r="D80">
            <v>692.5</v>
          </cell>
          <cell r="E80">
            <v>267404.7</v>
          </cell>
          <cell r="F80">
            <v>397495.7</v>
          </cell>
          <cell r="G80">
            <v>3455.6000000000004</v>
          </cell>
          <cell r="H80">
            <v>400951.3</v>
          </cell>
          <cell r="I80">
            <v>255985.09999999998</v>
          </cell>
          <cell r="J80">
            <v>144966.20000000001</v>
          </cell>
          <cell r="K80">
            <v>155769.00000000003</v>
          </cell>
          <cell r="L80">
            <v>36237.599999999999</v>
          </cell>
          <cell r="M80">
            <v>119531.40000000002</v>
          </cell>
          <cell r="P80">
            <v>0</v>
          </cell>
          <cell r="Q80">
            <v>264497.60000000003</v>
          </cell>
        </row>
        <row r="81">
          <cell r="P81">
            <v>0</v>
          </cell>
        </row>
        <row r="82">
          <cell r="A82" t="str">
            <v>2010 January</v>
          </cell>
          <cell r="B82">
            <v>1291.5</v>
          </cell>
          <cell r="C82">
            <v>127598.1</v>
          </cell>
          <cell r="D82">
            <v>689.8</v>
          </cell>
          <cell r="E82">
            <v>275503.90000000002</v>
          </cell>
          <cell r="F82">
            <v>405083.30000000005</v>
          </cell>
          <cell r="G82">
            <v>2905.9</v>
          </cell>
          <cell r="H82">
            <v>407989.20000000007</v>
          </cell>
          <cell r="I82">
            <v>254946.7</v>
          </cell>
          <cell r="J82">
            <v>153042.50000000006</v>
          </cell>
          <cell r="K82">
            <v>153536.5</v>
          </cell>
          <cell r="L82">
            <v>35732.400000000009</v>
          </cell>
          <cell r="M82">
            <v>117804.09999999999</v>
          </cell>
          <cell r="P82">
            <v>0</v>
          </cell>
          <cell r="Q82">
            <v>270846.60000000003</v>
          </cell>
        </row>
        <row r="83">
          <cell r="A83" t="str">
            <v xml:space="preserve">          February        </v>
          </cell>
          <cell r="B83">
            <v>1318.4</v>
          </cell>
          <cell r="C83">
            <v>125359.6</v>
          </cell>
          <cell r="D83">
            <v>677.7</v>
          </cell>
          <cell r="E83">
            <v>280367.2</v>
          </cell>
          <cell r="F83">
            <v>407722.9</v>
          </cell>
          <cell r="G83">
            <v>4287.2000000000007</v>
          </cell>
          <cell r="H83">
            <v>412010.10000000003</v>
          </cell>
          <cell r="I83">
            <v>261782.6</v>
          </cell>
          <cell r="J83">
            <v>150227.50000000003</v>
          </cell>
          <cell r="K83">
            <v>157687.9</v>
          </cell>
          <cell r="L83">
            <v>35653.4</v>
          </cell>
          <cell r="M83">
            <v>122034.5</v>
          </cell>
          <cell r="P83">
            <v>0</v>
          </cell>
          <cell r="Q83">
            <v>272262</v>
          </cell>
        </row>
        <row r="84">
          <cell r="A84" t="str">
            <v xml:space="preserve">          March</v>
          </cell>
          <cell r="B84">
            <v>1314.8</v>
          </cell>
          <cell r="C84">
            <v>124553.9</v>
          </cell>
          <cell r="D84">
            <v>673.3</v>
          </cell>
          <cell r="E84">
            <v>265831</v>
          </cell>
          <cell r="F84">
            <v>392373</v>
          </cell>
          <cell r="G84">
            <v>4171.5</v>
          </cell>
          <cell r="H84">
            <v>396544.5</v>
          </cell>
          <cell r="I84">
            <v>260330.80000000002</v>
          </cell>
          <cell r="J84">
            <v>136213.69999999998</v>
          </cell>
          <cell r="K84">
            <v>155722.80000000005</v>
          </cell>
          <cell r="L84">
            <v>33546.700000000004</v>
          </cell>
          <cell r="M84">
            <v>122176.10000000003</v>
          </cell>
          <cell r="P84">
            <v>0</v>
          </cell>
          <cell r="Q84">
            <v>258389.80000000002</v>
          </cell>
        </row>
        <row r="85">
          <cell r="A85" t="str">
            <v xml:space="preserve">          April</v>
          </cell>
          <cell r="B85">
            <v>1392.6</v>
          </cell>
          <cell r="C85">
            <v>123646.7</v>
          </cell>
          <cell r="D85">
            <v>668.4</v>
          </cell>
          <cell r="E85">
            <v>252588.50000000003</v>
          </cell>
          <cell r="F85">
            <v>378296.2</v>
          </cell>
          <cell r="G85">
            <v>4343.3999999999996</v>
          </cell>
          <cell r="H85">
            <v>382639.60000000003</v>
          </cell>
          <cell r="I85">
            <v>257699.40000000002</v>
          </cell>
          <cell r="J85">
            <v>124940.20000000001</v>
          </cell>
          <cell r="K85">
            <v>148851.90000000002</v>
          </cell>
          <cell r="L85">
            <v>40011.5</v>
          </cell>
          <cell r="M85">
            <v>108840.40000000002</v>
          </cell>
          <cell r="P85">
            <v>0</v>
          </cell>
          <cell r="Q85">
            <v>233780.60000000003</v>
          </cell>
        </row>
        <row r="86">
          <cell r="A86" t="str">
            <v xml:space="preserve">          May</v>
          </cell>
          <cell r="B86">
            <v>1440.2</v>
          </cell>
          <cell r="C86">
            <v>120848.9</v>
          </cell>
          <cell r="D86">
            <v>653.4</v>
          </cell>
          <cell r="E86">
            <v>235306.59999999998</v>
          </cell>
          <cell r="F86">
            <v>358249.1</v>
          </cell>
          <cell r="G86">
            <v>4183.5</v>
          </cell>
          <cell r="H86">
            <v>362432.6</v>
          </cell>
          <cell r="I86">
            <v>251894.59999999998</v>
          </cell>
          <cell r="J86">
            <v>110538</v>
          </cell>
          <cell r="K86">
            <v>136564.19999999998</v>
          </cell>
          <cell r="L86">
            <v>35952.400000000001</v>
          </cell>
          <cell r="M86">
            <v>100611.79999999999</v>
          </cell>
          <cell r="P86">
            <v>0</v>
          </cell>
          <cell r="Q86">
            <v>211149.8</v>
          </cell>
        </row>
        <row r="87">
          <cell r="A87" t="str">
            <v xml:space="preserve">          June</v>
          </cell>
          <cell r="B87">
            <v>1475</v>
          </cell>
          <cell r="C87">
            <v>120972.7</v>
          </cell>
          <cell r="D87">
            <v>654</v>
          </cell>
          <cell r="E87">
            <v>219261.3</v>
          </cell>
          <cell r="F87">
            <v>342363</v>
          </cell>
          <cell r="G87">
            <v>3896.1000000000004</v>
          </cell>
          <cell r="H87">
            <v>346259.1</v>
          </cell>
          <cell r="I87">
            <v>252121.1</v>
          </cell>
          <cell r="J87">
            <v>94137.999999999971</v>
          </cell>
          <cell r="K87">
            <v>139243.59999999998</v>
          </cell>
          <cell r="L87">
            <v>37032.600000000006</v>
          </cell>
          <cell r="M87">
            <v>102210.99999999997</v>
          </cell>
          <cell r="P87">
            <v>0</v>
          </cell>
          <cell r="Q87">
            <v>196348.99999999994</v>
          </cell>
        </row>
        <row r="88">
          <cell r="A88" t="str">
            <v xml:space="preserve">          Jully</v>
          </cell>
          <cell r="B88">
            <v>1390.5</v>
          </cell>
          <cell r="C88">
            <v>124796.9</v>
          </cell>
          <cell r="D88">
            <v>674.8</v>
          </cell>
          <cell r="E88">
            <v>221202.6</v>
          </cell>
          <cell r="F88">
            <v>348064.8</v>
          </cell>
          <cell r="G88">
            <v>3963.1000000000004</v>
          </cell>
          <cell r="H88">
            <v>352027.89999999997</v>
          </cell>
          <cell r="I88">
            <v>260288</v>
          </cell>
          <cell r="J88">
            <v>91739.899999999965</v>
          </cell>
          <cell r="K88">
            <v>148565.79999999999</v>
          </cell>
          <cell r="L88">
            <v>39069.899999999994</v>
          </cell>
          <cell r="M88">
            <v>109495.9</v>
          </cell>
          <cell r="P88">
            <v>0</v>
          </cell>
          <cell r="Q88">
            <v>201235.79999999996</v>
          </cell>
        </row>
        <row r="89">
          <cell r="A89" t="str">
            <v xml:space="preserve">          August</v>
          </cell>
          <cell r="B89">
            <v>1469.3</v>
          </cell>
          <cell r="C89">
            <v>136021.1</v>
          </cell>
          <cell r="D89">
            <v>669.2</v>
          </cell>
          <cell r="E89">
            <v>211068.09999999998</v>
          </cell>
          <cell r="F89">
            <v>349227.69999999995</v>
          </cell>
          <cell r="G89">
            <v>5042.3999999999996</v>
          </cell>
          <cell r="H89">
            <v>354270.1</v>
          </cell>
          <cell r="I89">
            <v>270617.09999999998</v>
          </cell>
          <cell r="J89">
            <v>83653</v>
          </cell>
          <cell r="K89">
            <v>137763</v>
          </cell>
          <cell r="L89">
            <v>36289.300000000003</v>
          </cell>
          <cell r="M89">
            <v>101473.7</v>
          </cell>
          <cell r="P89">
            <v>0</v>
          </cell>
          <cell r="Q89">
            <v>185126.7</v>
          </cell>
        </row>
        <row r="90">
          <cell r="A90" t="str">
            <v xml:space="preserve">          September</v>
          </cell>
          <cell r="B90">
            <v>1555</v>
          </cell>
          <cell r="C90">
            <v>139909.4</v>
          </cell>
          <cell r="D90">
            <v>688.3</v>
          </cell>
          <cell r="E90">
            <v>200071.4</v>
          </cell>
          <cell r="F90">
            <v>342224.1</v>
          </cell>
          <cell r="G90">
            <v>6532.7999999999993</v>
          </cell>
          <cell r="H90">
            <v>348756.89999999997</v>
          </cell>
          <cell r="I90">
            <v>279209.8</v>
          </cell>
          <cell r="J90">
            <v>69547.099999999977</v>
          </cell>
          <cell r="K90">
            <v>135528.9</v>
          </cell>
          <cell r="L90">
            <v>37379.599999999999</v>
          </cell>
          <cell r="M90">
            <v>98149.299999999988</v>
          </cell>
          <cell r="P90">
            <v>0</v>
          </cell>
          <cell r="Q90">
            <v>167696.39999999997</v>
          </cell>
        </row>
        <row r="91">
          <cell r="A91" t="str">
            <v xml:space="preserve">          October</v>
          </cell>
          <cell r="B91">
            <v>1593.5</v>
          </cell>
          <cell r="C91">
            <v>141490.79999999999</v>
          </cell>
          <cell r="D91">
            <v>698.7</v>
          </cell>
          <cell r="E91">
            <v>196503</v>
          </cell>
          <cell r="F91">
            <v>340286</v>
          </cell>
          <cell r="G91">
            <v>7493.4</v>
          </cell>
          <cell r="H91">
            <v>347779.4</v>
          </cell>
          <cell r="I91">
            <v>281295.59999999998</v>
          </cell>
          <cell r="J91">
            <v>66483.800000000047</v>
          </cell>
          <cell r="K91">
            <v>148423.1</v>
          </cell>
          <cell r="L91">
            <v>40353.199999999997</v>
          </cell>
          <cell r="M91">
            <v>108069.90000000001</v>
          </cell>
          <cell r="P91">
            <v>0</v>
          </cell>
          <cell r="Q91">
            <v>174553.70000000007</v>
          </cell>
        </row>
        <row r="92">
          <cell r="A92" t="str">
            <v xml:space="preserve">          November</v>
          </cell>
          <cell r="B92">
            <v>1624.7</v>
          </cell>
          <cell r="C92">
            <v>138203.1</v>
          </cell>
          <cell r="D92">
            <v>682.5</v>
          </cell>
          <cell r="E92">
            <v>201049</v>
          </cell>
          <cell r="F92">
            <v>341559.30000000005</v>
          </cell>
          <cell r="G92">
            <v>7640</v>
          </cell>
          <cell r="H92">
            <v>349199.30000000005</v>
          </cell>
          <cell r="I92">
            <v>274549</v>
          </cell>
          <cell r="J92">
            <v>74650.300000000047</v>
          </cell>
          <cell r="K92">
            <v>150072.59999999998</v>
          </cell>
          <cell r="L92">
            <v>46726.1</v>
          </cell>
          <cell r="M92">
            <v>103346.49999999997</v>
          </cell>
          <cell r="P92">
            <v>0</v>
          </cell>
          <cell r="Q92">
            <v>177996.80000000002</v>
          </cell>
        </row>
        <row r="93">
          <cell r="A93" t="str">
            <v xml:space="preserve">          December</v>
          </cell>
          <cell r="B93">
            <v>1678.2</v>
          </cell>
          <cell r="C93">
            <v>139030.6</v>
          </cell>
          <cell r="D93">
            <v>686.7</v>
          </cell>
          <cell r="E93">
            <v>268109.8</v>
          </cell>
          <cell r="F93">
            <v>409505.30000000005</v>
          </cell>
          <cell r="G93">
            <v>8766.9</v>
          </cell>
          <cell r="H93">
            <v>418272.20000000007</v>
          </cell>
          <cell r="I93">
            <v>276658.60000000003</v>
          </cell>
          <cell r="J93">
            <v>141613.60000000003</v>
          </cell>
          <cell r="K93">
            <v>162923</v>
          </cell>
          <cell r="L93">
            <v>50485.599999999991</v>
          </cell>
          <cell r="M93">
            <v>112437.40000000001</v>
          </cell>
          <cell r="N93">
            <v>0</v>
          </cell>
          <cell r="O93">
            <v>0</v>
          </cell>
          <cell r="P93">
            <v>0</v>
          </cell>
          <cell r="Q93">
            <v>254051.00000000006</v>
          </cell>
        </row>
        <row r="95">
          <cell r="A95" t="str">
            <v>2011 January</v>
          </cell>
          <cell r="B95">
            <v>1592.8</v>
          </cell>
          <cell r="C95">
            <v>141347.70000000001</v>
          </cell>
          <cell r="D95">
            <v>692.9</v>
          </cell>
          <cell r="E95">
            <v>258807.2</v>
          </cell>
          <cell r="F95">
            <v>402440.6</v>
          </cell>
          <cell r="G95">
            <v>10593.4</v>
          </cell>
          <cell r="H95">
            <v>413034</v>
          </cell>
          <cell r="I95">
            <v>281587.09999999998</v>
          </cell>
          <cell r="J95">
            <v>131446.90000000002</v>
          </cell>
          <cell r="K95">
            <v>152646.00000000003</v>
          </cell>
          <cell r="L95">
            <v>44614.499999999993</v>
          </cell>
          <cell r="M95">
            <v>108031.50000000003</v>
          </cell>
          <cell r="N95">
            <v>0</v>
          </cell>
          <cell r="O95">
            <v>0</v>
          </cell>
          <cell r="P95">
            <v>0</v>
          </cell>
          <cell r="Q95">
            <v>239478.40000000005</v>
          </cell>
        </row>
        <row r="96">
          <cell r="A96" t="str">
            <v xml:space="preserve">          February        </v>
          </cell>
          <cell r="B96">
            <v>1678.2</v>
          </cell>
          <cell r="C96">
            <v>140620</v>
          </cell>
          <cell r="D96">
            <v>694.5</v>
          </cell>
          <cell r="E96">
            <v>283349.7</v>
          </cell>
          <cell r="F96">
            <v>426342.40000000002</v>
          </cell>
          <cell r="G96">
            <v>11586.4</v>
          </cell>
          <cell r="H96">
            <v>437928.80000000005</v>
          </cell>
          <cell r="I96">
            <v>281664.40000000002</v>
          </cell>
          <cell r="J96">
            <v>156264.40000000002</v>
          </cell>
          <cell r="K96">
            <v>149996.80000000002</v>
          </cell>
          <cell r="L96">
            <v>49423.19999999999</v>
          </cell>
          <cell r="M96">
            <v>100573.60000000003</v>
          </cell>
          <cell r="N96">
            <v>0</v>
          </cell>
          <cell r="O96">
            <v>0</v>
          </cell>
          <cell r="P96">
            <v>0</v>
          </cell>
          <cell r="Q96">
            <v>256838.00000000006</v>
          </cell>
        </row>
        <row r="97">
          <cell r="A97" t="str">
            <v xml:space="preserve">          March</v>
          </cell>
          <cell r="B97">
            <v>1704.1</v>
          </cell>
          <cell r="C97">
            <v>141665.1</v>
          </cell>
          <cell r="D97">
            <v>699.7</v>
          </cell>
          <cell r="E97">
            <v>271744.2</v>
          </cell>
          <cell r="F97">
            <v>415813.10000000003</v>
          </cell>
          <cell r="G97">
            <v>10815.5</v>
          </cell>
          <cell r="H97">
            <v>426628.60000000003</v>
          </cell>
          <cell r="I97">
            <v>283289.5</v>
          </cell>
          <cell r="J97">
            <v>143339.10000000003</v>
          </cell>
          <cell r="K97">
            <v>143485.69999999995</v>
          </cell>
          <cell r="L97">
            <v>39002.5</v>
          </cell>
          <cell r="M97">
            <v>104483.19999999995</v>
          </cell>
          <cell r="N97">
            <v>0</v>
          </cell>
          <cell r="O97">
            <v>0</v>
          </cell>
          <cell r="P97">
            <v>0</v>
          </cell>
          <cell r="Q97">
            <v>247822.3</v>
          </cell>
        </row>
        <row r="98">
          <cell r="A98" t="str">
            <v xml:space="preserve">          April</v>
          </cell>
          <cell r="B98">
            <v>1853.9</v>
          </cell>
          <cell r="C98">
            <v>158675.70000000001</v>
          </cell>
          <cell r="D98">
            <v>722.6</v>
          </cell>
          <cell r="E98">
            <v>284505.59999999998</v>
          </cell>
          <cell r="F98">
            <v>445757.8</v>
          </cell>
          <cell r="G98">
            <v>9926.6</v>
          </cell>
          <cell r="H98">
            <v>455684.39999999997</v>
          </cell>
          <cell r="I98">
            <v>304102.80000000005</v>
          </cell>
          <cell r="J98">
            <v>151581.59999999992</v>
          </cell>
          <cell r="K98">
            <v>142072.69999999998</v>
          </cell>
          <cell r="L98">
            <v>43570.299999999996</v>
          </cell>
          <cell r="M98">
            <v>98502.399999999994</v>
          </cell>
          <cell r="N98">
            <v>0</v>
          </cell>
          <cell r="O98">
            <v>0</v>
          </cell>
          <cell r="P98">
            <v>0</v>
          </cell>
          <cell r="Q98">
            <v>250083.99999999991</v>
          </cell>
        </row>
        <row r="99">
          <cell r="A99" t="str">
            <v xml:space="preserve">          May</v>
          </cell>
          <cell r="B99">
            <v>1842.5</v>
          </cell>
          <cell r="C99">
            <v>156290.6</v>
          </cell>
          <cell r="D99">
            <v>711.7</v>
          </cell>
          <cell r="E99">
            <v>277304.5</v>
          </cell>
          <cell r="F99">
            <v>436149.30000000005</v>
          </cell>
          <cell r="G99">
            <v>8461.9</v>
          </cell>
          <cell r="H99">
            <v>444611.20000000007</v>
          </cell>
          <cell r="I99">
            <v>299175.7</v>
          </cell>
          <cell r="J99">
            <v>145435.50000000006</v>
          </cell>
          <cell r="K99">
            <v>136429.60000000003</v>
          </cell>
          <cell r="L99">
            <v>41594.699999999997</v>
          </cell>
          <cell r="M99">
            <v>94834.900000000038</v>
          </cell>
          <cell r="N99">
            <v>0</v>
          </cell>
          <cell r="O99">
            <v>0</v>
          </cell>
          <cell r="P99">
            <v>0</v>
          </cell>
          <cell r="Q99">
            <v>240270.40000000008</v>
          </cell>
        </row>
        <row r="100">
          <cell r="A100" t="str">
            <v xml:space="preserve">          June</v>
          </cell>
          <cell r="B100">
            <v>1816.6</v>
          </cell>
          <cell r="C100">
            <v>157079.9</v>
          </cell>
          <cell r="D100">
            <v>715.3</v>
          </cell>
          <cell r="E100">
            <v>268057.40000000002</v>
          </cell>
          <cell r="F100">
            <v>427669.2</v>
          </cell>
          <cell r="G100">
            <v>6572.7999999999993</v>
          </cell>
          <cell r="H100">
            <v>434242</v>
          </cell>
          <cell r="I100">
            <v>300858.90000000002</v>
          </cell>
          <cell r="J100">
            <v>133383.09999999998</v>
          </cell>
          <cell r="K100">
            <v>129712.2</v>
          </cell>
          <cell r="L100">
            <v>39056.400000000001</v>
          </cell>
          <cell r="M100">
            <v>90655.799999999988</v>
          </cell>
          <cell r="N100">
            <v>0</v>
          </cell>
          <cell r="O100">
            <v>0</v>
          </cell>
          <cell r="P100">
            <v>0</v>
          </cell>
          <cell r="Q100">
            <v>224038.89999999997</v>
          </cell>
        </row>
        <row r="101">
          <cell r="A101" t="str">
            <v xml:space="preserve">          Jully</v>
          </cell>
          <cell r="B101">
            <v>1948.9</v>
          </cell>
          <cell r="C101">
            <v>171537.2</v>
          </cell>
          <cell r="D101">
            <v>721</v>
          </cell>
          <cell r="E101">
            <v>256308.99999999997</v>
          </cell>
          <cell r="F101">
            <v>430516.1</v>
          </cell>
          <cell r="G101">
            <v>6457.4</v>
          </cell>
          <cell r="H101">
            <v>436973.5</v>
          </cell>
          <cell r="I101">
            <v>316978.40000000002</v>
          </cell>
          <cell r="J101">
            <v>119995.09999999998</v>
          </cell>
          <cell r="K101">
            <v>136658.50000000003</v>
          </cell>
          <cell r="L101">
            <v>42413.599999999999</v>
          </cell>
          <cell r="M101">
            <v>94244.900000000023</v>
          </cell>
          <cell r="N101">
            <v>0</v>
          </cell>
          <cell r="O101">
            <v>0</v>
          </cell>
          <cell r="P101">
            <v>0</v>
          </cell>
          <cell r="Q101">
            <v>214240</v>
          </cell>
        </row>
        <row r="102">
          <cell r="A102" t="str">
            <v xml:space="preserve">          August</v>
          </cell>
          <cell r="B102">
            <v>2231.9</v>
          </cell>
          <cell r="C102">
            <v>172119.9</v>
          </cell>
          <cell r="D102">
            <v>729.5</v>
          </cell>
          <cell r="E102">
            <v>238971.10000000003</v>
          </cell>
          <cell r="F102">
            <v>414052.4</v>
          </cell>
          <cell r="G102">
            <v>6040.5</v>
          </cell>
          <cell r="H102">
            <v>420092.9</v>
          </cell>
          <cell r="I102">
            <v>319000</v>
          </cell>
          <cell r="J102">
            <v>101092.90000000002</v>
          </cell>
          <cell r="K102">
            <v>137401.50000000003</v>
          </cell>
          <cell r="L102">
            <v>41757.4</v>
          </cell>
          <cell r="M102">
            <v>95644.100000000035</v>
          </cell>
          <cell r="N102">
            <v>0</v>
          </cell>
          <cell r="O102">
            <v>0</v>
          </cell>
          <cell r="P102">
            <v>0</v>
          </cell>
          <cell r="Q102">
            <v>196737.00000000006</v>
          </cell>
        </row>
        <row r="103">
          <cell r="A103" t="str">
            <v xml:space="preserve">          September</v>
          </cell>
          <cell r="B103">
            <v>2001.3</v>
          </cell>
          <cell r="C103">
            <v>169415.7</v>
          </cell>
          <cell r="D103">
            <v>718</v>
          </cell>
          <cell r="E103">
            <v>216623.7</v>
          </cell>
          <cell r="F103">
            <v>388758.7</v>
          </cell>
          <cell r="G103">
            <v>6131.6</v>
          </cell>
          <cell r="H103">
            <v>394890.3</v>
          </cell>
          <cell r="I103">
            <v>313648.90000000002</v>
          </cell>
          <cell r="J103">
            <v>81241.399999999965</v>
          </cell>
          <cell r="K103">
            <v>129686.30000000002</v>
          </cell>
          <cell r="L103">
            <v>41451.9</v>
          </cell>
          <cell r="M103">
            <v>88234.400000000023</v>
          </cell>
          <cell r="N103">
            <v>0</v>
          </cell>
          <cell r="O103">
            <v>0</v>
          </cell>
          <cell r="P103">
            <v>0</v>
          </cell>
          <cell r="Q103">
            <v>169475.8</v>
          </cell>
        </row>
        <row r="104">
          <cell r="A104" t="str">
            <v xml:space="preserve">          October</v>
          </cell>
          <cell r="B104">
            <v>2136.1999999999998</v>
          </cell>
          <cell r="C104">
            <v>175588.7</v>
          </cell>
          <cell r="D104">
            <v>744.2</v>
          </cell>
          <cell r="E104">
            <v>203143.3</v>
          </cell>
          <cell r="F104">
            <v>381612.4</v>
          </cell>
          <cell r="G104">
            <v>6997.2999999999993</v>
          </cell>
          <cell r="H104">
            <v>388609.7</v>
          </cell>
          <cell r="I104">
            <v>327004.7</v>
          </cell>
          <cell r="J104">
            <v>61605</v>
          </cell>
          <cell r="K104">
            <v>138503.9</v>
          </cell>
          <cell r="L104">
            <v>46518.7</v>
          </cell>
          <cell r="M104">
            <v>91985.2</v>
          </cell>
          <cell r="N104">
            <v>0</v>
          </cell>
          <cell r="O104">
            <v>0</v>
          </cell>
          <cell r="P104">
            <v>0</v>
          </cell>
          <cell r="Q104">
            <v>153590.20000000001</v>
          </cell>
        </row>
        <row r="105">
          <cell r="A105" t="str">
            <v xml:space="preserve">          November</v>
          </cell>
          <cell r="B105">
            <v>2215.6999999999998</v>
          </cell>
          <cell r="C105">
            <v>175988.7</v>
          </cell>
          <cell r="D105">
            <v>745.8</v>
          </cell>
          <cell r="E105">
            <v>199719.9</v>
          </cell>
          <cell r="F105">
            <v>378670.1</v>
          </cell>
          <cell r="G105">
            <v>9353.5</v>
          </cell>
          <cell r="H105">
            <v>388023.6</v>
          </cell>
          <cell r="I105">
            <v>328313.3</v>
          </cell>
          <cell r="J105">
            <v>59710.299999999988</v>
          </cell>
          <cell r="K105">
            <v>156380.9</v>
          </cell>
          <cell r="L105">
            <v>54902.900000000009</v>
          </cell>
          <cell r="M105">
            <v>101477.99999999999</v>
          </cell>
          <cell r="N105">
            <v>0</v>
          </cell>
          <cell r="O105">
            <v>0</v>
          </cell>
          <cell r="P105">
            <v>0</v>
          </cell>
          <cell r="Q105">
            <v>161188.29999999999</v>
          </cell>
        </row>
        <row r="106">
          <cell r="A106" t="str">
            <v xml:space="preserve">          December</v>
          </cell>
          <cell r="B106">
            <v>2045.5</v>
          </cell>
          <cell r="C106">
            <v>164634.5</v>
          </cell>
          <cell r="D106">
            <v>750.6</v>
          </cell>
          <cell r="E106">
            <v>235199.30000000002</v>
          </cell>
          <cell r="F106">
            <v>402629.9</v>
          </cell>
          <cell r="G106">
            <v>10113.9</v>
          </cell>
          <cell r="H106">
            <v>412743.80000000005</v>
          </cell>
          <cell r="I106">
            <v>330449.80000000005</v>
          </cell>
          <cell r="J106">
            <v>82294</v>
          </cell>
          <cell r="K106">
            <v>173267.6</v>
          </cell>
          <cell r="L106">
            <v>50036.000000000007</v>
          </cell>
          <cell r="M106">
            <v>123231.6</v>
          </cell>
          <cell r="N106">
            <v>0</v>
          </cell>
          <cell r="O106">
            <v>0</v>
          </cell>
          <cell r="P106">
            <v>0</v>
          </cell>
          <cell r="Q106">
            <v>205525.6</v>
          </cell>
        </row>
        <row r="108">
          <cell r="A108" t="str">
            <v>2012 January</v>
          </cell>
          <cell r="B108">
            <v>2322.1999999999998</v>
          </cell>
          <cell r="C108">
            <v>176671.9</v>
          </cell>
          <cell r="D108">
            <v>773.4</v>
          </cell>
          <cell r="E108">
            <v>268822.00000000006</v>
          </cell>
          <cell r="F108">
            <v>448589.50000000006</v>
          </cell>
          <cell r="G108">
            <v>11511.4</v>
          </cell>
          <cell r="H108">
            <v>460100.90000000008</v>
          </cell>
          <cell r="I108">
            <v>347210.1</v>
          </cell>
          <cell r="J108">
            <v>112890.8000000001</v>
          </cell>
          <cell r="K108">
            <v>179393.09999999998</v>
          </cell>
          <cell r="L108">
            <v>53883.600000000006</v>
          </cell>
          <cell r="M108">
            <v>125509.49999999997</v>
          </cell>
          <cell r="N108">
            <v>0</v>
          </cell>
          <cell r="O108">
            <v>0</v>
          </cell>
          <cell r="P108">
            <v>0</v>
          </cell>
          <cell r="Q108">
            <v>238400.30000000008</v>
          </cell>
        </row>
        <row r="109">
          <cell r="A109" t="str">
            <v xml:space="preserve">          February        </v>
          </cell>
          <cell r="B109">
            <v>2432.3000000000002</v>
          </cell>
          <cell r="C109">
            <v>181301.4</v>
          </cell>
          <cell r="D109">
            <v>788.1</v>
          </cell>
          <cell r="E109">
            <v>259759.40000000002</v>
          </cell>
          <cell r="F109">
            <v>444281.2</v>
          </cell>
          <cell r="G109">
            <v>8881.7000000000007</v>
          </cell>
          <cell r="H109">
            <v>453162.9</v>
          </cell>
          <cell r="I109">
            <v>354739</v>
          </cell>
          <cell r="J109">
            <v>98423.900000000023</v>
          </cell>
          <cell r="K109">
            <v>179987.70000000004</v>
          </cell>
          <cell r="L109">
            <v>56918.8</v>
          </cell>
          <cell r="M109">
            <v>123068.90000000004</v>
          </cell>
          <cell r="N109">
            <v>0</v>
          </cell>
          <cell r="O109">
            <v>0</v>
          </cell>
          <cell r="P109">
            <v>0</v>
          </cell>
          <cell r="Q109">
            <v>221492.80000000005</v>
          </cell>
        </row>
        <row r="110">
          <cell r="A110" t="str">
            <v xml:space="preserve">          March</v>
          </cell>
          <cell r="B110">
            <v>2328</v>
          </cell>
          <cell r="C110">
            <v>179153.7</v>
          </cell>
          <cell r="D110">
            <v>778.8</v>
          </cell>
          <cell r="E110">
            <v>228377.30000000002</v>
          </cell>
          <cell r="F110">
            <v>410637.80000000005</v>
          </cell>
          <cell r="G110">
            <v>8584.6</v>
          </cell>
          <cell r="H110">
            <v>419222.4</v>
          </cell>
          <cell r="I110">
            <v>351493.3</v>
          </cell>
          <cell r="J110">
            <v>67729.100000000035</v>
          </cell>
          <cell r="K110">
            <v>180705.5</v>
          </cell>
          <cell r="L110">
            <v>62213.7</v>
          </cell>
          <cell r="M110">
            <v>118491.8</v>
          </cell>
          <cell r="N110">
            <v>0</v>
          </cell>
          <cell r="O110">
            <v>0</v>
          </cell>
          <cell r="P110">
            <v>0</v>
          </cell>
          <cell r="Q110">
            <v>186220.90000000002</v>
          </cell>
        </row>
        <row r="111">
          <cell r="A111" t="str">
            <v xml:space="preserve">          April</v>
          </cell>
          <cell r="B111">
            <v>2253.6999999999998</v>
          </cell>
          <cell r="C111">
            <v>179876.5</v>
          </cell>
          <cell r="D111">
            <v>781.9</v>
          </cell>
          <cell r="E111">
            <v>219303.5</v>
          </cell>
          <cell r="F111">
            <v>402215.6</v>
          </cell>
          <cell r="G111">
            <v>7773.1</v>
          </cell>
          <cell r="H111">
            <v>409988.69999999995</v>
          </cell>
          <cell r="I111">
            <v>352132.9</v>
          </cell>
          <cell r="J111">
            <v>57855.79999999993</v>
          </cell>
          <cell r="K111">
            <v>176724.7</v>
          </cell>
          <cell r="L111">
            <v>70689</v>
          </cell>
          <cell r="M111">
            <v>106035.70000000001</v>
          </cell>
          <cell r="N111">
            <v>0</v>
          </cell>
          <cell r="O111">
            <v>0</v>
          </cell>
          <cell r="P111">
            <v>0</v>
          </cell>
          <cell r="Q111">
            <v>163891.49999999994</v>
          </cell>
        </row>
        <row r="112">
          <cell r="A112" t="str">
            <v xml:space="preserve">          May</v>
          </cell>
          <cell r="B112">
            <v>2129.5</v>
          </cell>
          <cell r="C112">
            <v>176865.2</v>
          </cell>
          <cell r="D112">
            <v>768.8</v>
          </cell>
          <cell r="E112">
            <v>220544.19999999998</v>
          </cell>
          <cell r="F112">
            <v>400307.69999999995</v>
          </cell>
          <cell r="G112">
            <v>6724.2999999999993</v>
          </cell>
          <cell r="H112">
            <v>407031.99999999994</v>
          </cell>
          <cell r="I112">
            <v>346496.6</v>
          </cell>
          <cell r="J112">
            <v>60535.399999999965</v>
          </cell>
          <cell r="K112">
            <v>151792.70000000001</v>
          </cell>
          <cell r="L112">
            <v>68426.7</v>
          </cell>
          <cell r="M112">
            <v>83366.000000000015</v>
          </cell>
          <cell r="N112">
            <v>0</v>
          </cell>
          <cell r="O112">
            <v>0</v>
          </cell>
          <cell r="P112">
            <v>0</v>
          </cell>
          <cell r="Q112">
            <v>143901.39999999997</v>
          </cell>
        </row>
        <row r="113">
          <cell r="A113" t="str">
            <v xml:space="preserve">          June</v>
          </cell>
          <cell r="B113">
            <v>2179.4</v>
          </cell>
          <cell r="C113">
            <v>180253.4</v>
          </cell>
          <cell r="D113">
            <v>783.6</v>
          </cell>
          <cell r="E113">
            <v>211668.7</v>
          </cell>
          <cell r="F113">
            <v>394885.1</v>
          </cell>
          <cell r="G113">
            <v>7532.5</v>
          </cell>
          <cell r="H113">
            <v>402417.6</v>
          </cell>
          <cell r="I113">
            <v>353109.6</v>
          </cell>
          <cell r="J113">
            <v>49308</v>
          </cell>
          <cell r="K113">
            <v>156569.30000000002</v>
          </cell>
          <cell r="L113">
            <v>78012.399999999994</v>
          </cell>
          <cell r="M113">
            <v>78556.900000000023</v>
          </cell>
          <cell r="N113">
            <v>0</v>
          </cell>
          <cell r="O113">
            <v>0</v>
          </cell>
          <cell r="P113">
            <v>0</v>
          </cell>
          <cell r="Q113">
            <v>127864.90000000002</v>
          </cell>
        </row>
        <row r="114">
          <cell r="A114" t="str">
            <v xml:space="preserve">          Jully</v>
          </cell>
          <cell r="B114">
            <v>2299.6999999999998</v>
          </cell>
          <cell r="C114">
            <v>186375.8</v>
          </cell>
          <cell r="D114">
            <v>796.4</v>
          </cell>
          <cell r="E114">
            <v>212229</v>
          </cell>
          <cell r="F114">
            <v>401700.9</v>
          </cell>
          <cell r="G114">
            <v>6684.6</v>
          </cell>
          <cell r="H114">
            <v>408385.5</v>
          </cell>
          <cell r="I114">
            <v>361512.7</v>
          </cell>
          <cell r="J114">
            <v>46872.799999999988</v>
          </cell>
          <cell r="K114">
            <v>164800.70000000001</v>
          </cell>
          <cell r="L114">
            <v>66663.799999999988</v>
          </cell>
          <cell r="M114">
            <v>98136.900000000023</v>
          </cell>
          <cell r="N114">
            <v>0</v>
          </cell>
          <cell r="O114">
            <v>0</v>
          </cell>
          <cell r="P114">
            <v>0</v>
          </cell>
          <cell r="Q114">
            <v>145009.70000000001</v>
          </cell>
        </row>
        <row r="115">
          <cell r="A115" t="str">
            <v xml:space="preserve">          August</v>
          </cell>
          <cell r="B115">
            <v>2355</v>
          </cell>
          <cell r="C115">
            <v>196178.7</v>
          </cell>
          <cell r="D115">
            <v>806.9</v>
          </cell>
          <cell r="E115">
            <v>208565.1</v>
          </cell>
          <cell r="F115">
            <v>407905.7</v>
          </cell>
          <cell r="G115">
            <v>5039.7000000000007</v>
          </cell>
          <cell r="H115">
            <v>412945.4</v>
          </cell>
          <cell r="I115">
            <v>373365.2</v>
          </cell>
          <cell r="J115">
            <v>39580.200000000012</v>
          </cell>
          <cell r="K115">
            <v>173543.9</v>
          </cell>
          <cell r="L115">
            <v>71446.5</v>
          </cell>
          <cell r="M115">
            <v>102097.4</v>
          </cell>
          <cell r="N115">
            <v>0</v>
          </cell>
          <cell r="O115">
            <v>0</v>
          </cell>
          <cell r="P115">
            <v>0</v>
          </cell>
          <cell r="Q115">
            <v>141677.6</v>
          </cell>
        </row>
        <row r="116">
          <cell r="A116" t="str">
            <v xml:space="preserve">          September</v>
          </cell>
          <cell r="B116">
            <v>2542.8000000000002</v>
          </cell>
          <cell r="C116">
            <v>197524</v>
          </cell>
          <cell r="D116">
            <v>819.1</v>
          </cell>
          <cell r="E116">
            <v>225684.4</v>
          </cell>
          <cell r="F116">
            <v>426570.3</v>
          </cell>
          <cell r="G116">
            <v>6255.2999999999993</v>
          </cell>
          <cell r="H116">
            <v>432825.59999999998</v>
          </cell>
          <cell r="I116">
            <v>377411.10000000003</v>
          </cell>
          <cell r="J116">
            <v>55414.499999999942</v>
          </cell>
          <cell r="K116">
            <v>166098.70000000001</v>
          </cell>
          <cell r="L116">
            <v>60502.900000000009</v>
          </cell>
          <cell r="M116">
            <v>105595.8</v>
          </cell>
          <cell r="N116">
            <v>0</v>
          </cell>
          <cell r="O116">
            <v>0</v>
          </cell>
          <cell r="P116">
            <v>0</v>
          </cell>
          <cell r="Q116">
            <v>161010.29999999993</v>
          </cell>
        </row>
        <row r="117">
          <cell r="A117" t="str">
            <v xml:space="preserve">          October</v>
          </cell>
          <cell r="B117">
            <v>2458.6999999999998</v>
          </cell>
          <cell r="C117">
            <v>192194.1</v>
          </cell>
          <cell r="D117">
            <v>823.9</v>
          </cell>
          <cell r="E117">
            <v>220591.7</v>
          </cell>
          <cell r="F117">
            <v>416068.4</v>
          </cell>
          <cell r="G117">
            <v>7424.2000000000007</v>
          </cell>
          <cell r="H117">
            <v>423492.60000000003</v>
          </cell>
          <cell r="I117">
            <v>372759.3</v>
          </cell>
          <cell r="J117">
            <v>50733.300000000047</v>
          </cell>
          <cell r="K117">
            <v>164341.09999999998</v>
          </cell>
          <cell r="L117">
            <v>64818.400000000009</v>
          </cell>
          <cell r="M117">
            <v>99522.699999999968</v>
          </cell>
          <cell r="N117">
            <v>0</v>
          </cell>
          <cell r="O117">
            <v>0</v>
          </cell>
          <cell r="P117">
            <v>0</v>
          </cell>
          <cell r="Q117">
            <v>150256</v>
          </cell>
        </row>
        <row r="118">
          <cell r="A118" t="str">
            <v xml:space="preserve">          November</v>
          </cell>
          <cell r="B118">
            <v>2525.3000000000002</v>
          </cell>
          <cell r="C118">
            <v>195045.8</v>
          </cell>
          <cell r="D118">
            <v>836.1</v>
          </cell>
          <cell r="E118">
            <v>223335.49999999997</v>
          </cell>
          <cell r="F118">
            <v>421742.69999999995</v>
          </cell>
          <cell r="G118">
            <v>6929.6</v>
          </cell>
          <cell r="H118">
            <v>428672.29999999993</v>
          </cell>
          <cell r="I118">
            <v>378277.3</v>
          </cell>
          <cell r="J118">
            <v>50394.999999999942</v>
          </cell>
          <cell r="K118">
            <v>176416</v>
          </cell>
          <cell r="L118">
            <v>69376.799999999988</v>
          </cell>
          <cell r="M118">
            <v>107039.20000000001</v>
          </cell>
          <cell r="N118">
            <v>0</v>
          </cell>
          <cell r="O118">
            <v>0</v>
          </cell>
          <cell r="P118">
            <v>0</v>
          </cell>
          <cell r="Q118">
            <v>157434.19999999995</v>
          </cell>
        </row>
        <row r="119">
          <cell r="A119" t="str">
            <v xml:space="preserve">          December</v>
          </cell>
          <cell r="B119">
            <v>2482.1</v>
          </cell>
          <cell r="C119">
            <v>199698.5</v>
          </cell>
          <cell r="D119">
            <v>856</v>
          </cell>
          <cell r="E119">
            <v>274465.8</v>
          </cell>
          <cell r="F119">
            <v>477502.4</v>
          </cell>
          <cell r="G119">
            <v>7523.1</v>
          </cell>
          <cell r="H119">
            <v>485025.5</v>
          </cell>
          <cell r="I119">
            <v>418096.6</v>
          </cell>
          <cell r="J119">
            <v>66928.900000000023</v>
          </cell>
          <cell r="K119">
            <v>192680.5</v>
          </cell>
          <cell r="L119">
            <v>62971.7</v>
          </cell>
          <cell r="M119">
            <v>129708.8</v>
          </cell>
          <cell r="N119">
            <v>0</v>
          </cell>
          <cell r="O119">
            <v>0</v>
          </cell>
          <cell r="P119">
            <v>0</v>
          </cell>
          <cell r="Q119">
            <v>196637.7</v>
          </cell>
        </row>
        <row r="121">
          <cell r="A121" t="str">
            <v>2013 January</v>
          </cell>
          <cell r="B121">
            <v>2572.6</v>
          </cell>
          <cell r="C121">
            <v>205278.1</v>
          </cell>
          <cell r="D121">
            <v>880</v>
          </cell>
          <cell r="E121">
            <v>268155.30000000005</v>
          </cell>
          <cell r="F121">
            <v>476886.00000000006</v>
          </cell>
          <cell r="G121">
            <v>8046.9</v>
          </cell>
          <cell r="H121">
            <v>484932.90000000008</v>
          </cell>
          <cell r="I121">
            <v>429150.2</v>
          </cell>
          <cell r="J121">
            <v>55782.70000000007</v>
          </cell>
          <cell r="K121">
            <v>209039.9</v>
          </cell>
          <cell r="L121">
            <v>68564.5</v>
          </cell>
          <cell r="M121">
            <v>140475.4</v>
          </cell>
          <cell r="N121">
            <v>0</v>
          </cell>
          <cell r="O121">
            <v>8.1</v>
          </cell>
          <cell r="P121">
            <v>-8.1</v>
          </cell>
          <cell r="Q121">
            <v>196250.00000000006</v>
          </cell>
        </row>
        <row r="122">
          <cell r="A122" t="str">
            <v xml:space="preserve">          February        </v>
          </cell>
          <cell r="B122">
            <v>2650.3</v>
          </cell>
          <cell r="C122">
            <v>200002.4</v>
          </cell>
          <cell r="D122">
            <v>937</v>
          </cell>
          <cell r="E122">
            <v>339031.3</v>
          </cell>
          <cell r="F122">
            <v>542621</v>
          </cell>
          <cell r="G122">
            <v>6385.4</v>
          </cell>
          <cell r="H122">
            <v>549006.4</v>
          </cell>
          <cell r="I122">
            <v>451586.9</v>
          </cell>
          <cell r="J122">
            <v>97419.5</v>
          </cell>
          <cell r="K122">
            <v>227852.4</v>
          </cell>
          <cell r="L122">
            <v>69500.799999999988</v>
          </cell>
          <cell r="M122">
            <v>158351.6</v>
          </cell>
          <cell r="N122">
            <v>0</v>
          </cell>
          <cell r="O122">
            <v>16.2</v>
          </cell>
          <cell r="P122">
            <v>-16.2</v>
          </cell>
          <cell r="Q122">
            <v>255754.9</v>
          </cell>
        </row>
        <row r="123">
          <cell r="A123" t="str">
            <v xml:space="preserve">          March</v>
          </cell>
          <cell r="B123">
            <v>2438.9</v>
          </cell>
          <cell r="C123">
            <v>179366.6</v>
          </cell>
          <cell r="D123">
            <v>848.2</v>
          </cell>
          <cell r="E123">
            <v>269294.7</v>
          </cell>
          <cell r="F123">
            <v>451948.4</v>
          </cell>
          <cell r="G123">
            <v>4627.2000000000007</v>
          </cell>
          <cell r="H123">
            <v>456575.60000000003</v>
          </cell>
          <cell r="I123">
            <v>407828.7</v>
          </cell>
          <cell r="J123">
            <v>48746.900000000023</v>
          </cell>
          <cell r="K123">
            <v>213236.8</v>
          </cell>
          <cell r="L123">
            <v>64129.799999999996</v>
          </cell>
          <cell r="M123">
            <v>149107</v>
          </cell>
          <cell r="N123">
            <v>0</v>
          </cell>
          <cell r="O123">
            <v>24.3</v>
          </cell>
          <cell r="P123">
            <v>-24.3</v>
          </cell>
          <cell r="Q123">
            <v>197829.60000000003</v>
          </cell>
        </row>
        <row r="124">
          <cell r="A124" t="str">
            <v xml:space="preserve">          April</v>
          </cell>
          <cell r="B124">
            <v>2228.6</v>
          </cell>
          <cell r="C124">
            <v>178604</v>
          </cell>
          <cell r="D124">
            <v>844.6</v>
          </cell>
          <cell r="E124">
            <v>264162.60000000003</v>
          </cell>
          <cell r="F124">
            <v>445839.80000000005</v>
          </cell>
          <cell r="G124">
            <v>4745</v>
          </cell>
          <cell r="H124">
            <v>450584.80000000005</v>
          </cell>
          <cell r="I124">
            <v>405891.2</v>
          </cell>
          <cell r="J124">
            <v>44693.600000000035</v>
          </cell>
          <cell r="K124">
            <v>209200.40000000002</v>
          </cell>
          <cell r="L124">
            <v>57243.500000000007</v>
          </cell>
          <cell r="M124">
            <v>151956.90000000002</v>
          </cell>
          <cell r="N124">
            <v>0</v>
          </cell>
          <cell r="O124">
            <v>32.4</v>
          </cell>
          <cell r="P124">
            <v>-32.4</v>
          </cell>
          <cell r="Q124">
            <v>196618.10000000006</v>
          </cell>
        </row>
        <row r="125">
          <cell r="A125" t="str">
            <v xml:space="preserve">          May</v>
          </cell>
          <cell r="B125">
            <v>2138.3000000000002</v>
          </cell>
          <cell r="C125">
            <v>175589.1</v>
          </cell>
          <cell r="D125">
            <v>830.3</v>
          </cell>
          <cell r="E125">
            <v>280961.79999999993</v>
          </cell>
          <cell r="F125">
            <v>459519.49999999988</v>
          </cell>
          <cell r="G125">
            <v>4255.8</v>
          </cell>
          <cell r="H125">
            <v>463775.29999999987</v>
          </cell>
          <cell r="I125">
            <v>399562.69999999995</v>
          </cell>
          <cell r="J125">
            <v>64212.599999999919</v>
          </cell>
          <cell r="K125">
            <v>185038.30000000002</v>
          </cell>
          <cell r="L125">
            <v>62889.8</v>
          </cell>
          <cell r="M125">
            <v>122148.50000000001</v>
          </cell>
          <cell r="N125">
            <v>0</v>
          </cell>
          <cell r="O125">
            <v>40.5</v>
          </cell>
          <cell r="P125">
            <v>-40.5</v>
          </cell>
          <cell r="Q125">
            <v>186320.59999999992</v>
          </cell>
        </row>
        <row r="126">
          <cell r="A126" t="str">
            <v xml:space="preserve">          June</v>
          </cell>
          <cell r="B126">
            <v>1942.6</v>
          </cell>
          <cell r="C126">
            <v>176058.5</v>
          </cell>
          <cell r="D126">
            <v>832.5</v>
          </cell>
          <cell r="E126">
            <v>246048.1</v>
          </cell>
          <cell r="F126">
            <v>424881.7</v>
          </cell>
          <cell r="G126">
            <v>2913.4</v>
          </cell>
          <cell r="H126">
            <v>427795.10000000003</v>
          </cell>
          <cell r="I126">
            <v>370829.69999999995</v>
          </cell>
          <cell r="J126">
            <v>56965.400000000081</v>
          </cell>
          <cell r="K126">
            <v>165969.40000000002</v>
          </cell>
          <cell r="L126">
            <v>64040.999999999993</v>
          </cell>
          <cell r="M126">
            <v>101928.40000000002</v>
          </cell>
          <cell r="N126">
            <v>0</v>
          </cell>
          <cell r="O126">
            <v>48.6</v>
          </cell>
          <cell r="P126">
            <v>-48.6</v>
          </cell>
          <cell r="Q126">
            <v>158845.2000000001</v>
          </cell>
        </row>
        <row r="127">
          <cell r="A127" t="str">
            <v xml:space="preserve">          Jully</v>
          </cell>
          <cell r="B127">
            <v>2017.7</v>
          </cell>
          <cell r="C127">
            <v>175762</v>
          </cell>
          <cell r="D127">
            <v>839</v>
          </cell>
          <cell r="E127">
            <v>278030.5</v>
          </cell>
          <cell r="F127">
            <v>456649.2</v>
          </cell>
          <cell r="G127">
            <v>2842.7</v>
          </cell>
          <cell r="H127">
            <v>459491.9</v>
          </cell>
          <cell r="I127">
            <v>371231.19999999995</v>
          </cell>
          <cell r="J127">
            <v>88260.70000000007</v>
          </cell>
          <cell r="K127">
            <v>190726</v>
          </cell>
          <cell r="L127">
            <v>93196.400000000023</v>
          </cell>
          <cell r="M127">
            <v>97529.599999999977</v>
          </cell>
          <cell r="N127">
            <v>0</v>
          </cell>
          <cell r="O127">
            <v>56.7</v>
          </cell>
          <cell r="P127">
            <v>-56.7</v>
          </cell>
          <cell r="Q127">
            <v>185733.60000000003</v>
          </cell>
        </row>
        <row r="128">
          <cell r="A128" t="str">
            <v xml:space="preserve">          August</v>
          </cell>
          <cell r="B128">
            <v>2136.1</v>
          </cell>
          <cell r="C128">
            <v>170420.4</v>
          </cell>
          <cell r="D128">
            <v>840.7</v>
          </cell>
          <cell r="E128">
            <v>269145.8</v>
          </cell>
          <cell r="F128">
            <v>442543</v>
          </cell>
          <cell r="G128">
            <v>3073.2</v>
          </cell>
          <cell r="H128">
            <v>445616.2</v>
          </cell>
          <cell r="I128">
            <v>366147.9</v>
          </cell>
          <cell r="J128">
            <v>79468.299999999988</v>
          </cell>
          <cell r="K128">
            <v>185728.7</v>
          </cell>
          <cell r="L128">
            <v>97191.5</v>
          </cell>
          <cell r="M128">
            <v>88537.200000000012</v>
          </cell>
          <cell r="N128">
            <v>0</v>
          </cell>
          <cell r="O128">
            <v>64.8</v>
          </cell>
          <cell r="P128">
            <v>-64.8</v>
          </cell>
          <cell r="Q128">
            <v>167940.7</v>
          </cell>
        </row>
        <row r="129">
          <cell r="A129" t="str">
            <v xml:space="preserve">          September</v>
          </cell>
          <cell r="B129">
            <v>2032</v>
          </cell>
          <cell r="C129">
            <v>182398.6</v>
          </cell>
          <cell r="D129">
            <v>850</v>
          </cell>
          <cell r="E129">
            <v>270941.5</v>
          </cell>
          <cell r="F129">
            <v>456222.1</v>
          </cell>
          <cell r="G129">
            <v>3132.1000000000004</v>
          </cell>
          <cell r="H129">
            <v>459354.19999999995</v>
          </cell>
          <cell r="I129">
            <v>380943.4</v>
          </cell>
          <cell r="J129">
            <v>78410.79999999993</v>
          </cell>
          <cell r="K129">
            <v>183463.6</v>
          </cell>
          <cell r="L129">
            <v>97088.099999999991</v>
          </cell>
          <cell r="M129">
            <v>86375.500000000015</v>
          </cell>
          <cell r="N129">
            <v>0</v>
          </cell>
          <cell r="O129">
            <v>72.900000000000006</v>
          </cell>
          <cell r="P129">
            <v>-72.900000000000006</v>
          </cell>
          <cell r="Q129">
            <v>164713.39999999994</v>
          </cell>
        </row>
        <row r="130">
          <cell r="A130" t="str">
            <v xml:space="preserve">          October</v>
          </cell>
          <cell r="B130">
            <v>2151.6</v>
          </cell>
          <cell r="C130">
            <v>182373.7</v>
          </cell>
          <cell r="D130">
            <v>856.2</v>
          </cell>
          <cell r="E130">
            <v>292561.59999999998</v>
          </cell>
          <cell r="F130">
            <v>477943.1</v>
          </cell>
          <cell r="G130">
            <v>2878.5</v>
          </cell>
          <cell r="H130">
            <v>480821.6</v>
          </cell>
          <cell r="I130">
            <v>382194.3</v>
          </cell>
          <cell r="J130">
            <v>98627.299999999988</v>
          </cell>
          <cell r="K130">
            <v>183935.00000000006</v>
          </cell>
          <cell r="L130">
            <v>93801</v>
          </cell>
          <cell r="M130">
            <v>90134.000000000058</v>
          </cell>
          <cell r="N130">
            <v>0</v>
          </cell>
          <cell r="O130">
            <v>81</v>
          </cell>
          <cell r="P130">
            <v>-81</v>
          </cell>
          <cell r="Q130">
            <v>188680.30000000005</v>
          </cell>
        </row>
        <row r="131">
          <cell r="A131" t="str">
            <v xml:space="preserve">          November</v>
          </cell>
          <cell r="B131">
            <v>2007.4</v>
          </cell>
          <cell r="C131">
            <v>181527.9</v>
          </cell>
          <cell r="D131">
            <v>852</v>
          </cell>
          <cell r="E131">
            <v>271956.90000000002</v>
          </cell>
          <cell r="F131">
            <v>456344.2</v>
          </cell>
          <cell r="G131">
            <v>5133.1000000000004</v>
          </cell>
          <cell r="H131">
            <v>461477.3</v>
          </cell>
          <cell r="I131">
            <v>380221.19999999995</v>
          </cell>
          <cell r="J131">
            <v>81256.100000000035</v>
          </cell>
          <cell r="K131">
            <v>190482.5</v>
          </cell>
          <cell r="L131">
            <v>94747.3</v>
          </cell>
          <cell r="M131">
            <v>95735.2</v>
          </cell>
          <cell r="N131">
            <v>0</v>
          </cell>
          <cell r="O131">
            <v>89.1</v>
          </cell>
          <cell r="P131">
            <v>-89.1</v>
          </cell>
          <cell r="Q131">
            <v>176902.20000000004</v>
          </cell>
        </row>
        <row r="132">
          <cell r="A132" t="str">
            <v xml:space="preserve">          December</v>
          </cell>
          <cell r="B132">
            <v>1943.7</v>
          </cell>
          <cell r="C132">
            <v>182851.4</v>
          </cell>
          <cell r="D132">
            <v>858.19999999998254</v>
          </cell>
          <cell r="E132">
            <v>309703.29999999993</v>
          </cell>
          <cell r="F132">
            <v>495356.59999999992</v>
          </cell>
          <cell r="G132">
            <v>5966.9</v>
          </cell>
          <cell r="H132">
            <v>501323.49999999994</v>
          </cell>
          <cell r="I132">
            <v>383189.69999999995</v>
          </cell>
          <cell r="J132">
            <v>118133.79999999999</v>
          </cell>
          <cell r="K132">
            <v>201411.19999999998</v>
          </cell>
          <cell r="L132">
            <v>89788.900000000009</v>
          </cell>
          <cell r="M132">
            <v>111622.29999999997</v>
          </cell>
          <cell r="N132">
            <v>0</v>
          </cell>
          <cell r="O132">
            <v>97.2</v>
          </cell>
          <cell r="P132">
            <v>-97.2</v>
          </cell>
          <cell r="Q132">
            <v>229658.89999999997</v>
          </cell>
        </row>
        <row r="134">
          <cell r="A134" t="str">
            <v>2014 January</v>
          </cell>
          <cell r="B134">
            <v>2013.5</v>
          </cell>
          <cell r="C134">
            <v>175305.1</v>
          </cell>
          <cell r="D134">
            <v>854.1</v>
          </cell>
          <cell r="E134">
            <v>292029.50000000006</v>
          </cell>
          <cell r="F134">
            <v>470202.20000000007</v>
          </cell>
          <cell r="G134">
            <v>6218.6</v>
          </cell>
          <cell r="H134">
            <v>476420.80000000005</v>
          </cell>
          <cell r="I134">
            <v>374224.5</v>
          </cell>
          <cell r="J134">
            <v>102196.30000000005</v>
          </cell>
          <cell r="K134">
            <v>212478.3</v>
          </cell>
          <cell r="L134">
            <v>99764.6</v>
          </cell>
          <cell r="M134">
            <v>112713.69999999998</v>
          </cell>
          <cell r="N134">
            <v>0</v>
          </cell>
          <cell r="O134">
            <v>97.2</v>
          </cell>
          <cell r="P134">
            <v>-97.2</v>
          </cell>
          <cell r="Q134">
            <v>214812.80000000002</v>
          </cell>
        </row>
        <row r="135">
          <cell r="A135" t="str">
            <v xml:space="preserve">          February        </v>
          </cell>
          <cell r="B135">
            <v>1982.1</v>
          </cell>
          <cell r="C135">
            <v>185837.4</v>
          </cell>
          <cell r="D135">
            <v>857.4</v>
          </cell>
          <cell r="E135">
            <v>281725.90000000002</v>
          </cell>
          <cell r="F135">
            <v>470402.80000000005</v>
          </cell>
          <cell r="G135">
            <v>6543.2999999999993</v>
          </cell>
          <cell r="H135">
            <v>476946.10000000003</v>
          </cell>
          <cell r="I135">
            <v>385806.2</v>
          </cell>
          <cell r="J135">
            <v>91139.900000000023</v>
          </cell>
          <cell r="K135">
            <v>231189.1</v>
          </cell>
          <cell r="L135">
            <v>92448.2</v>
          </cell>
          <cell r="M135">
            <v>138740.90000000002</v>
          </cell>
          <cell r="N135">
            <v>0</v>
          </cell>
          <cell r="O135">
            <v>97.2</v>
          </cell>
          <cell r="P135">
            <v>-97.2</v>
          </cell>
          <cell r="Q135">
            <v>229783.60000000003</v>
          </cell>
        </row>
        <row r="136">
          <cell r="A136" t="str">
            <v xml:space="preserve">          March</v>
          </cell>
          <cell r="B136">
            <v>1933.3</v>
          </cell>
          <cell r="C136">
            <v>196400.6</v>
          </cell>
          <cell r="D136">
            <v>859</v>
          </cell>
          <cell r="E136">
            <v>287470.3</v>
          </cell>
          <cell r="F136">
            <v>486663.19999999995</v>
          </cell>
          <cell r="G136">
            <v>4899.7000000000007</v>
          </cell>
          <cell r="H136">
            <v>491562.89999999997</v>
          </cell>
          <cell r="I136">
            <v>396544.3</v>
          </cell>
          <cell r="J136">
            <v>95018.599999999977</v>
          </cell>
          <cell r="K136">
            <v>216698.30000000002</v>
          </cell>
          <cell r="L136">
            <v>100768.8</v>
          </cell>
          <cell r="M136">
            <v>115929.50000000001</v>
          </cell>
          <cell r="N136">
            <v>0</v>
          </cell>
          <cell r="O136">
            <v>97.2</v>
          </cell>
          <cell r="P136">
            <v>-97.2</v>
          </cell>
          <cell r="Q136">
            <v>210850.89999999997</v>
          </cell>
        </row>
        <row r="137">
          <cell r="A137" t="str">
            <v xml:space="preserve">          April</v>
          </cell>
          <cell r="B137">
            <v>1931.1</v>
          </cell>
          <cell r="C137">
            <v>197221.5</v>
          </cell>
          <cell r="D137">
            <v>862.6</v>
          </cell>
          <cell r="E137">
            <v>287858.3</v>
          </cell>
          <cell r="F137">
            <v>487873.5</v>
          </cell>
          <cell r="G137">
            <v>5756</v>
          </cell>
          <cell r="H137">
            <v>493629.5</v>
          </cell>
          <cell r="I137">
            <v>398474</v>
          </cell>
          <cell r="J137">
            <v>95155.5</v>
          </cell>
          <cell r="K137">
            <v>226514.2</v>
          </cell>
          <cell r="L137">
            <v>107327.7</v>
          </cell>
          <cell r="M137">
            <v>119186.50000000001</v>
          </cell>
          <cell r="N137">
            <v>0</v>
          </cell>
          <cell r="O137">
            <v>97.1</v>
          </cell>
          <cell r="P137">
            <v>-97.1</v>
          </cell>
          <cell r="Q137">
            <v>214244.9</v>
          </cell>
        </row>
        <row r="138">
          <cell r="A138" t="str">
            <v xml:space="preserve">          May</v>
          </cell>
          <cell r="B138">
            <v>1879.1</v>
          </cell>
          <cell r="C138">
            <v>196162.4</v>
          </cell>
          <cell r="D138">
            <v>857.7</v>
          </cell>
          <cell r="E138">
            <v>278722.3</v>
          </cell>
          <cell r="F138">
            <v>477621.5</v>
          </cell>
          <cell r="G138">
            <v>4818.5</v>
          </cell>
          <cell r="H138">
            <v>482440</v>
          </cell>
          <cell r="I138">
            <v>396516</v>
          </cell>
          <cell r="J138">
            <v>85924</v>
          </cell>
          <cell r="K138">
            <v>199401.80000000002</v>
          </cell>
          <cell r="L138">
            <v>101540.2</v>
          </cell>
          <cell r="M138">
            <v>97861.60000000002</v>
          </cell>
          <cell r="N138">
            <v>0</v>
          </cell>
          <cell r="O138">
            <v>97.1</v>
          </cell>
          <cell r="P138">
            <v>-97.1</v>
          </cell>
          <cell r="Q138">
            <v>183688.50000000003</v>
          </cell>
        </row>
        <row r="139">
          <cell r="A139" t="str">
            <v xml:space="preserve">          June</v>
          </cell>
          <cell r="B139">
            <v>1967.1</v>
          </cell>
          <cell r="C139">
            <v>196712.9</v>
          </cell>
          <cell r="D139">
            <v>860.4</v>
          </cell>
          <cell r="E139">
            <v>284533.90000000002</v>
          </cell>
          <cell r="F139">
            <v>484074.30000000005</v>
          </cell>
          <cell r="G139">
            <v>2530</v>
          </cell>
          <cell r="H139">
            <v>486604.30000000005</v>
          </cell>
          <cell r="I139">
            <v>397532.8</v>
          </cell>
          <cell r="J139">
            <v>89071.500000000058</v>
          </cell>
          <cell r="K139">
            <v>198408.8</v>
          </cell>
          <cell r="L139">
            <v>102707.5</v>
          </cell>
          <cell r="M139">
            <v>95701.299999999988</v>
          </cell>
          <cell r="N139">
            <v>0</v>
          </cell>
          <cell r="O139">
            <v>97.1</v>
          </cell>
          <cell r="P139">
            <v>-97.1</v>
          </cell>
          <cell r="Q139">
            <v>184675.70000000004</v>
          </cell>
        </row>
        <row r="140">
          <cell r="A140" t="str">
            <v xml:space="preserve">          Jully</v>
          </cell>
          <cell r="B140">
            <v>1934.8</v>
          </cell>
          <cell r="C140">
            <v>187062.5</v>
          </cell>
          <cell r="D140">
            <v>854.7</v>
          </cell>
          <cell r="E140">
            <v>264232.89999999997</v>
          </cell>
          <cell r="F140">
            <v>454084.89999999997</v>
          </cell>
          <cell r="G140">
            <v>2512.3000000000002</v>
          </cell>
          <cell r="H140">
            <v>456597.19999999995</v>
          </cell>
          <cell r="I140">
            <v>385996.79999999999</v>
          </cell>
          <cell r="J140">
            <v>70600.399999999965</v>
          </cell>
          <cell r="K140">
            <v>230561</v>
          </cell>
          <cell r="L140">
            <v>108565.8</v>
          </cell>
          <cell r="M140">
            <v>121995.2</v>
          </cell>
          <cell r="N140">
            <v>0</v>
          </cell>
          <cell r="O140">
            <v>89</v>
          </cell>
          <cell r="P140">
            <v>-89</v>
          </cell>
          <cell r="Q140">
            <v>192506.59999999998</v>
          </cell>
        </row>
        <row r="141">
          <cell r="A141" t="str">
            <v xml:space="preserve">          August</v>
          </cell>
          <cell r="B141">
            <v>1926.5</v>
          </cell>
          <cell r="C141">
            <v>182067.8</v>
          </cell>
          <cell r="D141">
            <v>846.6</v>
          </cell>
          <cell r="E141">
            <v>267723.2</v>
          </cell>
          <cell r="F141">
            <v>452564.1</v>
          </cell>
          <cell r="G141">
            <v>9245.5</v>
          </cell>
          <cell r="H141">
            <v>461809.6</v>
          </cell>
          <cell r="I141">
            <v>379199.7</v>
          </cell>
          <cell r="J141">
            <v>82609.899999999965</v>
          </cell>
          <cell r="K141">
            <v>193892.9</v>
          </cell>
          <cell r="L141">
            <v>125445.1</v>
          </cell>
          <cell r="M141">
            <v>68447.799999999988</v>
          </cell>
          <cell r="N141">
            <v>0</v>
          </cell>
          <cell r="O141">
            <v>80.900000000000006</v>
          </cell>
          <cell r="P141">
            <v>-80.900000000000006</v>
          </cell>
          <cell r="Q141">
            <v>150976.79999999996</v>
          </cell>
        </row>
        <row r="142">
          <cell r="A142" t="str">
            <v xml:space="preserve">          September</v>
          </cell>
          <cell r="B142">
            <v>1822.1</v>
          </cell>
          <cell r="C142">
            <v>188332.9</v>
          </cell>
          <cell r="D142">
            <v>829.8</v>
          </cell>
          <cell r="E142">
            <v>325731.40000000002</v>
          </cell>
          <cell r="F142">
            <v>516716.2</v>
          </cell>
          <cell r="G142">
            <v>8188.6</v>
          </cell>
          <cell r="H142">
            <v>524904.80000000005</v>
          </cell>
          <cell r="I142">
            <v>382067.5</v>
          </cell>
          <cell r="J142">
            <v>142837.30000000005</v>
          </cell>
          <cell r="K142">
            <v>193925</v>
          </cell>
          <cell r="L142">
            <v>123903.5</v>
          </cell>
          <cell r="M142">
            <v>70021.5</v>
          </cell>
          <cell r="N142">
            <v>0</v>
          </cell>
          <cell r="O142">
            <v>72.900000000000006</v>
          </cell>
          <cell r="P142">
            <v>-72.900000000000006</v>
          </cell>
          <cell r="Q142">
            <v>212785.90000000005</v>
          </cell>
        </row>
        <row r="143">
          <cell r="A143" t="str">
            <v xml:space="preserve">          October</v>
          </cell>
          <cell r="B143">
            <v>1788.4</v>
          </cell>
          <cell r="C143">
            <v>187590.6</v>
          </cell>
          <cell r="D143">
            <v>826.6</v>
          </cell>
          <cell r="E143">
            <v>319791.2</v>
          </cell>
          <cell r="F143">
            <v>509996.80000000005</v>
          </cell>
          <cell r="G143">
            <v>9134.2999999999993</v>
          </cell>
          <cell r="H143">
            <v>519131.10000000003</v>
          </cell>
          <cell r="I143">
            <v>380171.5</v>
          </cell>
          <cell r="J143">
            <v>138959.60000000003</v>
          </cell>
          <cell r="K143">
            <v>190465.19999999998</v>
          </cell>
          <cell r="L143">
            <v>126249.4</v>
          </cell>
          <cell r="M143">
            <v>64215.799999999988</v>
          </cell>
          <cell r="N143">
            <v>0</v>
          </cell>
          <cell r="O143">
            <v>64.8</v>
          </cell>
          <cell r="P143">
            <v>-64.8</v>
          </cell>
          <cell r="Q143">
            <v>203110.60000000003</v>
          </cell>
        </row>
        <row r="144">
          <cell r="A144" t="str">
            <v xml:space="preserve">          November</v>
          </cell>
          <cell r="B144">
            <v>1774.3</v>
          </cell>
          <cell r="C144">
            <v>185568.9</v>
          </cell>
          <cell r="D144">
            <v>817.6</v>
          </cell>
          <cell r="E144">
            <v>313407.2</v>
          </cell>
          <cell r="F144">
            <v>501568</v>
          </cell>
          <cell r="G144">
            <v>8664.7999999999993</v>
          </cell>
          <cell r="H144">
            <v>510232.8</v>
          </cell>
          <cell r="I144">
            <v>376171.7</v>
          </cell>
          <cell r="J144">
            <v>134061.09999999998</v>
          </cell>
          <cell r="K144">
            <v>177087.69999999998</v>
          </cell>
          <cell r="L144">
            <v>119264.9</v>
          </cell>
          <cell r="M144">
            <v>57822.799999999988</v>
          </cell>
          <cell r="N144">
            <v>0</v>
          </cell>
          <cell r="O144">
            <v>56.7</v>
          </cell>
          <cell r="P144">
            <v>-56.7</v>
          </cell>
          <cell r="Q144">
            <v>191827.19999999995</v>
          </cell>
        </row>
        <row r="145">
          <cell r="A145" t="str">
            <v xml:space="preserve">          December</v>
          </cell>
          <cell r="B145">
            <v>1802</v>
          </cell>
          <cell r="C145">
            <v>183917.8</v>
          </cell>
          <cell r="D145">
            <v>810.4</v>
          </cell>
          <cell r="E145">
            <v>306201</v>
          </cell>
          <cell r="F145">
            <v>492731.19999999995</v>
          </cell>
          <cell r="G145">
            <v>8483.5</v>
          </cell>
          <cell r="H145">
            <v>501214.69999999995</v>
          </cell>
          <cell r="I145">
            <v>372538.8</v>
          </cell>
          <cell r="J145">
            <v>128675.89999999997</v>
          </cell>
          <cell r="K145">
            <v>199601.2</v>
          </cell>
          <cell r="L145">
            <v>147751.79999999999</v>
          </cell>
          <cell r="M145">
            <v>51849.4</v>
          </cell>
          <cell r="N145">
            <v>0</v>
          </cell>
          <cell r="O145">
            <v>48.6</v>
          </cell>
          <cell r="P145">
            <v>-48.6</v>
          </cell>
          <cell r="Q145">
            <v>180476.69999999995</v>
          </cell>
        </row>
        <row r="147">
          <cell r="A147" t="str">
            <v>2015 January</v>
          </cell>
          <cell r="B147">
            <v>1893.4</v>
          </cell>
          <cell r="C147">
            <v>172860.79999999999</v>
          </cell>
          <cell r="D147">
            <v>788.7</v>
          </cell>
          <cell r="E147">
            <v>300209.5</v>
          </cell>
          <cell r="F147">
            <v>475752.4</v>
          </cell>
          <cell r="G147">
            <v>8645.5</v>
          </cell>
          <cell r="H147">
            <v>484397.9</v>
          </cell>
          <cell r="I147">
            <v>357331.8</v>
          </cell>
          <cell r="J147">
            <v>127066.10000000003</v>
          </cell>
          <cell r="K147">
            <v>189271.09999999998</v>
          </cell>
          <cell r="L147">
            <v>141157.4</v>
          </cell>
          <cell r="M147">
            <v>48113.699999999983</v>
          </cell>
          <cell r="N147">
            <v>0</v>
          </cell>
          <cell r="O147">
            <v>40.5</v>
          </cell>
          <cell r="P147">
            <v>-40.5</v>
          </cell>
          <cell r="Q147">
            <v>175139.30000000002</v>
          </cell>
        </row>
        <row r="148">
          <cell r="A148" t="str">
            <v xml:space="preserve">2015 February        </v>
          </cell>
          <cell r="B148">
            <v>1816</v>
          </cell>
          <cell r="C148">
            <v>169040.4</v>
          </cell>
          <cell r="D148">
            <v>792.2</v>
          </cell>
          <cell r="E148">
            <v>295698.90000000002</v>
          </cell>
          <cell r="F148">
            <v>467347.5</v>
          </cell>
          <cell r="G148">
            <v>9224.2000000000007</v>
          </cell>
          <cell r="H148">
            <v>476571.7</v>
          </cell>
          <cell r="I148">
            <v>354020.7</v>
          </cell>
          <cell r="J148">
            <v>122551</v>
          </cell>
          <cell r="K148">
            <v>177732</v>
          </cell>
          <cell r="L148">
            <v>147647.69999999998</v>
          </cell>
          <cell r="M148">
            <v>30084.300000000017</v>
          </cell>
          <cell r="N148">
            <v>0</v>
          </cell>
          <cell r="O148">
            <v>32.4</v>
          </cell>
          <cell r="P148">
            <v>-32.4</v>
          </cell>
          <cell r="Q148">
            <v>152602.90000000002</v>
          </cell>
        </row>
        <row r="149">
          <cell r="A149" t="str">
            <v>2015 March</v>
          </cell>
          <cell r="B149">
            <v>1778.4</v>
          </cell>
          <cell r="C149">
            <v>174701.8</v>
          </cell>
          <cell r="D149">
            <v>775.5</v>
          </cell>
          <cell r="E149">
            <v>292147.59999999998</v>
          </cell>
          <cell r="F149">
            <v>469403.29999999993</v>
          </cell>
          <cell r="G149">
            <v>3107.7</v>
          </cell>
          <cell r="H149">
            <v>472510.99999999994</v>
          </cell>
          <cell r="I149">
            <v>356984.6</v>
          </cell>
          <cell r="J149">
            <v>115526.39999999997</v>
          </cell>
          <cell r="K149">
            <v>191610</v>
          </cell>
          <cell r="L149">
            <v>146245.4</v>
          </cell>
          <cell r="M149">
            <v>45364.600000000006</v>
          </cell>
          <cell r="N149">
            <v>0</v>
          </cell>
          <cell r="O149">
            <v>24.3</v>
          </cell>
          <cell r="P149">
            <v>-24.3</v>
          </cell>
          <cell r="Q149">
            <v>160866.69999999998</v>
          </cell>
        </row>
        <row r="150">
          <cell r="A150" t="str">
            <v xml:space="preserve">          April</v>
          </cell>
          <cell r="B150">
            <v>1809.5</v>
          </cell>
          <cell r="C150">
            <v>176226.4</v>
          </cell>
          <cell r="D150">
            <v>788.7</v>
          </cell>
          <cell r="E150">
            <v>266208</v>
          </cell>
          <cell r="F150">
            <v>445032.6</v>
          </cell>
          <cell r="G150">
            <v>8575.2999999999993</v>
          </cell>
          <cell r="H150">
            <v>453607.89999999997</v>
          </cell>
          <cell r="I150">
            <v>360084.5</v>
          </cell>
          <cell r="J150">
            <v>93523.399999999965</v>
          </cell>
          <cell r="K150">
            <v>202405.59999999998</v>
          </cell>
          <cell r="L150">
            <v>147867.70000000001</v>
          </cell>
          <cell r="M150">
            <v>54537.899999999965</v>
          </cell>
          <cell r="N150">
            <v>0</v>
          </cell>
          <cell r="O150">
            <v>16.2</v>
          </cell>
          <cell r="P150">
            <v>-16.2</v>
          </cell>
          <cell r="Q150">
            <v>148045.09999999992</v>
          </cell>
        </row>
        <row r="151">
          <cell r="A151" t="str">
            <v xml:space="preserve">          May</v>
          </cell>
          <cell r="B151">
            <v>1793.2</v>
          </cell>
          <cell r="C151">
            <v>174492</v>
          </cell>
          <cell r="D151">
            <v>778.1</v>
          </cell>
          <cell r="E151">
            <v>268460.2</v>
          </cell>
          <cell r="F151">
            <v>445523.5</v>
          </cell>
          <cell r="G151">
            <v>7667.9</v>
          </cell>
          <cell r="H151">
            <v>453191.4</v>
          </cell>
          <cell r="I151">
            <v>356222.3</v>
          </cell>
          <cell r="J151">
            <v>96969.100000000035</v>
          </cell>
          <cell r="K151">
            <v>178435.19999999998</v>
          </cell>
          <cell r="L151">
            <v>136901.4</v>
          </cell>
          <cell r="M151">
            <v>41533.799999999988</v>
          </cell>
          <cell r="N151">
            <v>0</v>
          </cell>
          <cell r="O151">
            <v>8.1</v>
          </cell>
          <cell r="P151">
            <v>-8.1</v>
          </cell>
          <cell r="Q151">
            <v>138494.80000000002</v>
          </cell>
        </row>
        <row r="152">
          <cell r="A152" t="str">
            <v xml:space="preserve">          June</v>
          </cell>
          <cell r="B152">
            <v>1781.7</v>
          </cell>
          <cell r="C152">
            <v>176983.9</v>
          </cell>
          <cell r="D152">
            <v>792.1</v>
          </cell>
          <cell r="E152">
            <v>191644.69999999998</v>
          </cell>
          <cell r="F152">
            <v>371202.4</v>
          </cell>
          <cell r="G152">
            <v>2014.8000000000002</v>
          </cell>
          <cell r="H152">
            <v>373217.2</v>
          </cell>
          <cell r="I152">
            <v>361289.7</v>
          </cell>
          <cell r="J152">
            <v>11927.5</v>
          </cell>
          <cell r="K152">
            <v>192773.59999999998</v>
          </cell>
          <cell r="L152">
            <v>139562.5</v>
          </cell>
          <cell r="M152">
            <v>53211.099999999977</v>
          </cell>
          <cell r="N152">
            <v>0</v>
          </cell>
          <cell r="O152">
            <v>0</v>
          </cell>
          <cell r="P152">
            <v>0</v>
          </cell>
          <cell r="Q152">
            <v>65138.599999999977</v>
          </cell>
        </row>
        <row r="153">
          <cell r="A153" t="str">
            <v xml:space="preserve">          Jully</v>
          </cell>
          <cell r="B153">
            <v>1648.2</v>
          </cell>
          <cell r="C153">
            <v>171841.9</v>
          </cell>
          <cell r="D153">
            <v>790.1</v>
          </cell>
          <cell r="E153">
            <v>177754.8</v>
          </cell>
          <cell r="F153">
            <v>352035</v>
          </cell>
          <cell r="G153">
            <v>1908.7</v>
          </cell>
          <cell r="H153">
            <v>353943.7</v>
          </cell>
          <cell r="I153">
            <v>356249.3</v>
          </cell>
          <cell r="J153">
            <v>-2305.6</v>
          </cell>
          <cell r="K153">
            <v>167511</v>
          </cell>
          <cell r="L153">
            <v>135310.6</v>
          </cell>
          <cell r="M153">
            <v>32200.399999999994</v>
          </cell>
          <cell r="N153">
            <v>0</v>
          </cell>
          <cell r="O153">
            <v>0</v>
          </cell>
          <cell r="P153">
            <v>0</v>
          </cell>
          <cell r="Q153">
            <v>29894.799999999996</v>
          </cell>
        </row>
        <row r="154">
          <cell r="A154" t="str">
            <v xml:space="preserve">          August</v>
          </cell>
          <cell r="B154">
            <v>1729.2</v>
          </cell>
          <cell r="C154">
            <v>169523.6</v>
          </cell>
          <cell r="D154">
            <v>800.2</v>
          </cell>
          <cell r="E154">
            <v>138546.6</v>
          </cell>
          <cell r="F154">
            <v>310599.60000000003</v>
          </cell>
          <cell r="G154">
            <v>1924.3</v>
          </cell>
          <cell r="H154">
            <v>312523.90000000002</v>
          </cell>
          <cell r="I154">
            <v>355556.2</v>
          </cell>
          <cell r="J154">
            <v>-43032.3</v>
          </cell>
          <cell r="K154">
            <v>188311.69999999998</v>
          </cell>
          <cell r="L154">
            <v>142073</v>
          </cell>
          <cell r="M154">
            <v>46238.699999999983</v>
          </cell>
          <cell r="N154">
            <v>0</v>
          </cell>
          <cell r="O154">
            <v>0</v>
          </cell>
          <cell r="P154">
            <v>0</v>
          </cell>
          <cell r="Q154">
            <v>3206.3999999999796</v>
          </cell>
        </row>
        <row r="155">
          <cell r="A155" t="str">
            <v xml:space="preserve">          September</v>
          </cell>
          <cell r="B155">
            <v>1720.4</v>
          </cell>
          <cell r="C155">
            <v>165076</v>
          </cell>
          <cell r="D155">
            <v>800.5</v>
          </cell>
          <cell r="E155">
            <v>105121.8</v>
          </cell>
          <cell r="F155">
            <v>272718.7</v>
          </cell>
          <cell r="G155">
            <v>1536</v>
          </cell>
          <cell r="H155">
            <v>274254.7</v>
          </cell>
          <cell r="I155">
            <v>351304.8</v>
          </cell>
          <cell r="J155">
            <v>-77050.100000000006</v>
          </cell>
          <cell r="K155">
            <v>179072.09999999998</v>
          </cell>
          <cell r="L155">
            <v>135266.6</v>
          </cell>
          <cell r="M155">
            <v>43805.499999999971</v>
          </cell>
          <cell r="N155">
            <v>0</v>
          </cell>
          <cell r="O155">
            <v>0</v>
          </cell>
          <cell r="P155">
            <v>0</v>
          </cell>
          <cell r="Q155">
            <v>-33244.600000000035</v>
          </cell>
        </row>
        <row r="156">
          <cell r="A156" t="str">
            <v xml:space="preserve">          October</v>
          </cell>
          <cell r="B156">
            <v>1756.1</v>
          </cell>
          <cell r="C156">
            <v>141968.9</v>
          </cell>
          <cell r="D156">
            <v>795.6</v>
          </cell>
          <cell r="E156">
            <v>144572.5</v>
          </cell>
          <cell r="F156">
            <v>289093.09999999998</v>
          </cell>
          <cell r="G156">
            <v>1534.3000000000002</v>
          </cell>
          <cell r="H156">
            <v>290627.39999999997</v>
          </cell>
          <cell r="I156">
            <v>349041.3</v>
          </cell>
          <cell r="J156">
            <v>-58413.9</v>
          </cell>
          <cell r="K156">
            <v>167200.69999999998</v>
          </cell>
          <cell r="L156">
            <v>132616.1</v>
          </cell>
          <cell r="M156">
            <v>34584.599999999977</v>
          </cell>
          <cell r="N156">
            <v>0</v>
          </cell>
          <cell r="O156">
            <v>0</v>
          </cell>
          <cell r="P156">
            <v>0</v>
          </cell>
          <cell r="Q156">
            <v>-23829.300000000025</v>
          </cell>
        </row>
        <row r="157">
          <cell r="A157" t="str">
            <v xml:space="preserve">          November</v>
          </cell>
          <cell r="B157">
            <v>1644.9</v>
          </cell>
          <cell r="C157">
            <v>142186.4</v>
          </cell>
          <cell r="D157">
            <v>796.8</v>
          </cell>
          <cell r="E157">
            <v>91232.099999999991</v>
          </cell>
          <cell r="F157">
            <v>235860.19999999995</v>
          </cell>
          <cell r="G157">
            <v>1636.9</v>
          </cell>
          <cell r="H157">
            <v>237497.09999999995</v>
          </cell>
          <cell r="I157">
            <v>350334.2</v>
          </cell>
          <cell r="J157">
            <v>-112837.1</v>
          </cell>
          <cell r="K157">
            <v>182736.59999999998</v>
          </cell>
          <cell r="L157">
            <v>154302.79999999999</v>
          </cell>
          <cell r="M157">
            <v>28433.799999999988</v>
          </cell>
          <cell r="N157">
            <v>0</v>
          </cell>
          <cell r="O157">
            <v>0</v>
          </cell>
          <cell r="P157">
            <v>0</v>
          </cell>
          <cell r="Q157">
            <v>-84403.300000000017</v>
          </cell>
        </row>
        <row r="158">
          <cell r="A158" t="str">
            <v xml:space="preserve">          December</v>
          </cell>
          <cell r="B158">
            <v>1660.3</v>
          </cell>
          <cell r="C158">
            <v>88116.1</v>
          </cell>
          <cell r="D158">
            <v>808.1</v>
          </cell>
          <cell r="E158">
            <v>129945.5</v>
          </cell>
          <cell r="F158">
            <v>220530</v>
          </cell>
          <cell r="G158">
            <v>1299.6000000000001</v>
          </cell>
          <cell r="H158">
            <v>221829.6</v>
          </cell>
          <cell r="I158">
            <v>354815.2</v>
          </cell>
          <cell r="J158">
            <v>-132985.60000000001</v>
          </cell>
          <cell r="K158">
            <v>207089</v>
          </cell>
          <cell r="L158">
            <v>149973.5</v>
          </cell>
          <cell r="M158">
            <v>57115.5</v>
          </cell>
          <cell r="N158">
            <v>0</v>
          </cell>
          <cell r="O158">
            <v>0</v>
          </cell>
          <cell r="P158">
            <v>0</v>
          </cell>
          <cell r="Q158">
            <v>-75870.100000000006</v>
          </cell>
        </row>
        <row r="160">
          <cell r="A160" t="str">
            <v>2016 January</v>
          </cell>
          <cell r="B160">
            <v>1750.1</v>
          </cell>
          <cell r="C160">
            <v>83715.399999999994</v>
          </cell>
          <cell r="D160">
            <v>809.7</v>
          </cell>
          <cell r="E160">
            <v>127253.90000000001</v>
          </cell>
          <cell r="F160">
            <v>213529.1</v>
          </cell>
          <cell r="G160">
            <v>1744</v>
          </cell>
          <cell r="H160">
            <v>215273.1</v>
          </cell>
          <cell r="I160">
            <v>351129.1</v>
          </cell>
          <cell r="J160">
            <v>-135855.99999999997</v>
          </cell>
          <cell r="K160">
            <v>163636.69999999998</v>
          </cell>
          <cell r="L160">
            <v>147014.70000000001</v>
          </cell>
          <cell r="M160">
            <v>16621.999999999971</v>
          </cell>
          <cell r="N160">
            <v>0</v>
          </cell>
          <cell r="O160">
            <v>0</v>
          </cell>
          <cell r="P160">
            <v>0</v>
          </cell>
          <cell r="Q160">
            <v>-119234</v>
          </cell>
        </row>
        <row r="161">
          <cell r="A161" t="str">
            <v xml:space="preserve">          February        </v>
          </cell>
          <cell r="B161">
            <v>1935.2</v>
          </cell>
          <cell r="C161">
            <v>32914.6</v>
          </cell>
          <cell r="D161">
            <v>44208</v>
          </cell>
          <cell r="E161">
            <v>96592.4</v>
          </cell>
          <cell r="F161">
            <v>175650.19999999998</v>
          </cell>
          <cell r="G161">
            <v>2495.4</v>
          </cell>
          <cell r="H161">
            <v>178145.59999999998</v>
          </cell>
          <cell r="I161">
            <v>344743.7</v>
          </cell>
          <cell r="J161">
            <v>-166598.10000000003</v>
          </cell>
          <cell r="K161">
            <v>178520.4</v>
          </cell>
          <cell r="L161">
            <v>144711</v>
          </cell>
          <cell r="M161">
            <v>33809.399999999994</v>
          </cell>
          <cell r="N161">
            <v>0</v>
          </cell>
          <cell r="O161">
            <v>0</v>
          </cell>
          <cell r="P161">
            <v>0</v>
          </cell>
          <cell r="Q161">
            <v>-132788.70000000004</v>
          </cell>
        </row>
        <row r="162">
          <cell r="A162" t="str">
            <v xml:space="preserve">          March</v>
          </cell>
          <cell r="B162">
            <v>1943</v>
          </cell>
          <cell r="C162">
            <v>31919</v>
          </cell>
          <cell r="D162">
            <v>45023.1</v>
          </cell>
          <cell r="E162">
            <v>73905.5</v>
          </cell>
          <cell r="F162">
            <v>152790.6</v>
          </cell>
          <cell r="G162">
            <v>2429.1999999999998</v>
          </cell>
          <cell r="H162">
            <v>155219.80000000002</v>
          </cell>
          <cell r="I162">
            <v>350173.8</v>
          </cell>
          <cell r="J162">
            <v>-194953.99999999997</v>
          </cell>
          <cell r="K162">
            <v>182809.69999999998</v>
          </cell>
          <cell r="L162">
            <v>148879.5</v>
          </cell>
          <cell r="M162">
            <v>33930.199999999983</v>
          </cell>
          <cell r="N162">
            <v>0</v>
          </cell>
          <cell r="O162">
            <v>0</v>
          </cell>
          <cell r="P162">
            <v>0</v>
          </cell>
          <cell r="Q162">
            <v>-161023.79999999999</v>
          </cell>
        </row>
        <row r="163">
          <cell r="A163" t="str">
            <v xml:space="preserve">          April</v>
          </cell>
          <cell r="B163">
            <v>2026.8</v>
          </cell>
          <cell r="C163">
            <v>32304.9</v>
          </cell>
          <cell r="D163">
            <v>45607</v>
          </cell>
          <cell r="E163">
            <v>97051.8</v>
          </cell>
          <cell r="F163">
            <v>176990.5</v>
          </cell>
          <cell r="G163">
            <v>2542.9</v>
          </cell>
          <cell r="H163">
            <v>179533.4</v>
          </cell>
          <cell r="I163">
            <v>355049.6</v>
          </cell>
          <cell r="J163">
            <v>-175516.19999999998</v>
          </cell>
          <cell r="K163">
            <v>157788.59999999998</v>
          </cell>
          <cell r="L163">
            <v>151565.20000000001</v>
          </cell>
          <cell r="M163">
            <v>6223.3999999999651</v>
          </cell>
          <cell r="N163">
            <v>0</v>
          </cell>
          <cell r="O163">
            <v>0</v>
          </cell>
          <cell r="P163">
            <v>0</v>
          </cell>
          <cell r="Q163">
            <v>-169292.80000000002</v>
          </cell>
        </row>
        <row r="164">
          <cell r="A164" t="str">
            <v xml:space="preserve">          May</v>
          </cell>
          <cell r="B164">
            <v>1931.6</v>
          </cell>
          <cell r="C164">
            <v>32105.5</v>
          </cell>
          <cell r="D164">
            <v>45406.400000000001</v>
          </cell>
          <cell r="E164">
            <v>74943.3</v>
          </cell>
          <cell r="F164">
            <v>154386.79999999999</v>
          </cell>
          <cell r="G164">
            <v>2326.1000000000004</v>
          </cell>
          <cell r="H164">
            <v>156712.9</v>
          </cell>
          <cell r="I164">
            <v>352456.3</v>
          </cell>
          <cell r="J164">
            <v>-195743.4</v>
          </cell>
          <cell r="K164">
            <v>155604.4</v>
          </cell>
          <cell r="L164">
            <v>155149.9</v>
          </cell>
          <cell r="M164">
            <v>454.5</v>
          </cell>
          <cell r="N164">
            <v>0</v>
          </cell>
          <cell r="O164">
            <v>0</v>
          </cell>
          <cell r="P164">
            <v>0</v>
          </cell>
          <cell r="Q164">
            <v>-195288.9</v>
          </cell>
        </row>
        <row r="165">
          <cell r="A165" t="str">
            <v xml:space="preserve">          June</v>
          </cell>
          <cell r="B165">
            <v>2102.1999999999998</v>
          </cell>
          <cell r="C165">
            <v>31971.9</v>
          </cell>
          <cell r="D165">
            <v>45217.4</v>
          </cell>
          <cell r="E165">
            <v>84217.1</v>
          </cell>
          <cell r="F165">
            <v>163508.6</v>
          </cell>
          <cell r="G165">
            <v>2326.8000000000002</v>
          </cell>
          <cell r="H165">
            <v>165835.4</v>
          </cell>
          <cell r="I165">
            <v>351838.8</v>
          </cell>
          <cell r="J165">
            <v>-186003.4</v>
          </cell>
          <cell r="K165">
            <v>163223.69999999998</v>
          </cell>
          <cell r="L165">
            <v>143107</v>
          </cell>
          <cell r="M165">
            <v>20116.699999999983</v>
          </cell>
          <cell r="N165">
            <v>0</v>
          </cell>
          <cell r="O165">
            <v>0</v>
          </cell>
          <cell r="P165">
            <v>0</v>
          </cell>
          <cell r="Q165">
            <v>-165886.70000000001</v>
          </cell>
        </row>
        <row r="166">
          <cell r="A166" t="str">
            <v xml:space="preserve">          Jully</v>
          </cell>
          <cell r="B166">
            <v>2141.8000000000002</v>
          </cell>
          <cell r="C166">
            <v>27286.9</v>
          </cell>
          <cell r="D166">
            <v>45223.1</v>
          </cell>
          <cell r="E166">
            <v>82716.299999999988</v>
          </cell>
          <cell r="F166">
            <v>157368.09999999998</v>
          </cell>
          <cell r="G166">
            <v>3193.2</v>
          </cell>
          <cell r="H166">
            <v>160561.29999999999</v>
          </cell>
          <cell r="I166">
            <v>346787.6</v>
          </cell>
          <cell r="J166">
            <v>-186226.3</v>
          </cell>
          <cell r="K166">
            <v>141680.69999999998</v>
          </cell>
          <cell r="L166">
            <v>143986.79999999999</v>
          </cell>
          <cell r="M166">
            <v>-2306.1000000000058</v>
          </cell>
          <cell r="N166">
            <v>0</v>
          </cell>
          <cell r="O166">
            <v>0</v>
          </cell>
          <cell r="P166">
            <v>0</v>
          </cell>
          <cell r="Q166">
            <v>-188532.4</v>
          </cell>
        </row>
        <row r="167">
          <cell r="A167" t="str">
            <v xml:space="preserve">          August</v>
          </cell>
          <cell r="B167">
            <v>2116.3000000000002</v>
          </cell>
          <cell r="C167">
            <v>19545.400000000001</v>
          </cell>
          <cell r="D167">
            <v>45620</v>
          </cell>
          <cell r="E167">
            <v>78121.899999999994</v>
          </cell>
          <cell r="F167">
            <v>145403.59999999998</v>
          </cell>
          <cell r="G167">
            <v>2398.1000000000004</v>
          </cell>
          <cell r="H167">
            <v>147801.69999999998</v>
          </cell>
          <cell r="I167">
            <v>340352.3</v>
          </cell>
          <cell r="J167">
            <v>-192550.6</v>
          </cell>
          <cell r="K167">
            <v>127492.8</v>
          </cell>
          <cell r="L167">
            <v>137165.5</v>
          </cell>
          <cell r="M167">
            <v>-9672.6999999999971</v>
          </cell>
          <cell r="N167">
            <v>0</v>
          </cell>
          <cell r="O167">
            <v>0</v>
          </cell>
          <cell r="P167">
            <v>0</v>
          </cell>
          <cell r="Q167">
            <v>-202223.3</v>
          </cell>
        </row>
        <row r="168">
          <cell r="A168" t="str">
            <v xml:space="preserve">          September</v>
          </cell>
          <cell r="B168">
            <v>2139.1999999999998</v>
          </cell>
          <cell r="C168">
            <v>16443.5</v>
          </cell>
          <cell r="D168">
            <v>45578.3</v>
          </cell>
          <cell r="E168">
            <v>88668.4</v>
          </cell>
          <cell r="F168">
            <v>152829.4</v>
          </cell>
          <cell r="G168">
            <v>4564.1000000000004</v>
          </cell>
          <cell r="H168">
            <v>157393.5</v>
          </cell>
          <cell r="I168">
            <v>338994.5</v>
          </cell>
          <cell r="J168">
            <v>-181601</v>
          </cell>
          <cell r="K168">
            <v>129120.3</v>
          </cell>
          <cell r="L168">
            <v>139965.1</v>
          </cell>
          <cell r="M168">
            <v>-10844.800000000003</v>
          </cell>
          <cell r="N168">
            <v>0</v>
          </cell>
          <cell r="O168">
            <v>0</v>
          </cell>
          <cell r="P168">
            <v>0</v>
          </cell>
          <cell r="Q168">
            <v>-192445.8</v>
          </cell>
        </row>
        <row r="169">
          <cell r="A169" t="str">
            <v xml:space="preserve">          October</v>
          </cell>
          <cell r="B169">
            <v>2069.5</v>
          </cell>
          <cell r="C169">
            <v>16216.6</v>
          </cell>
          <cell r="D169">
            <v>45461.7</v>
          </cell>
          <cell r="E169">
            <v>85037.699999999983</v>
          </cell>
          <cell r="F169">
            <v>148785.49999999997</v>
          </cell>
          <cell r="G169">
            <v>5686.2000000000007</v>
          </cell>
          <cell r="H169">
            <v>154471.69999999998</v>
          </cell>
          <cell r="I169">
            <v>336106.5</v>
          </cell>
          <cell r="J169">
            <v>-181634.80000000002</v>
          </cell>
          <cell r="K169">
            <v>127832.20000000001</v>
          </cell>
          <cell r="L169">
            <v>142544.6</v>
          </cell>
          <cell r="M169">
            <v>-14712.399999999994</v>
          </cell>
          <cell r="N169">
            <v>0</v>
          </cell>
          <cell r="O169">
            <v>0</v>
          </cell>
          <cell r="P169">
            <v>0</v>
          </cell>
          <cell r="Q169">
            <v>-196347.2</v>
          </cell>
        </row>
        <row r="170">
          <cell r="A170" t="str">
            <v xml:space="preserve">          November</v>
          </cell>
          <cell r="B170">
            <v>1959.7</v>
          </cell>
          <cell r="C170">
            <v>19424</v>
          </cell>
          <cell r="D170">
            <v>44934.8</v>
          </cell>
          <cell r="E170">
            <v>84711.5</v>
          </cell>
          <cell r="F170">
            <v>151030</v>
          </cell>
          <cell r="G170">
            <v>5437.7999999999993</v>
          </cell>
          <cell r="H170">
            <v>156467.79999999999</v>
          </cell>
          <cell r="I170">
            <v>330545.8</v>
          </cell>
          <cell r="J170">
            <v>-174078</v>
          </cell>
          <cell r="K170">
            <v>143745.9</v>
          </cell>
          <cell r="L170">
            <v>150685.4</v>
          </cell>
          <cell r="M170">
            <v>-6939.5</v>
          </cell>
          <cell r="N170">
            <v>0</v>
          </cell>
          <cell r="O170">
            <v>0</v>
          </cell>
          <cell r="P170">
            <v>0</v>
          </cell>
          <cell r="Q170">
            <v>-181017.5</v>
          </cell>
        </row>
        <row r="171">
          <cell r="A171" t="str">
            <v xml:space="preserve">          December</v>
          </cell>
          <cell r="B171">
            <v>1893.1</v>
          </cell>
          <cell r="C171">
            <v>19330.2</v>
          </cell>
          <cell r="D171">
            <v>44971.7</v>
          </cell>
          <cell r="E171">
            <v>94816.000000000015</v>
          </cell>
          <cell r="F171">
            <v>161011</v>
          </cell>
          <cell r="G171">
            <v>5423.7000000000007</v>
          </cell>
          <cell r="H171">
            <v>166434.70000000001</v>
          </cell>
          <cell r="I171">
            <v>328508.5</v>
          </cell>
          <cell r="J171">
            <v>-162073.79999999999</v>
          </cell>
          <cell r="K171">
            <v>125486.1</v>
          </cell>
          <cell r="L171">
            <v>139935.4</v>
          </cell>
          <cell r="M171">
            <v>-14449.299999999988</v>
          </cell>
          <cell r="N171">
            <v>0</v>
          </cell>
          <cell r="O171">
            <v>0</v>
          </cell>
          <cell r="P171">
            <v>0</v>
          </cell>
          <cell r="Q171">
            <v>-176523.09999999998</v>
          </cell>
        </row>
        <row r="173">
          <cell r="A173" t="str">
            <v>2017 January</v>
          </cell>
          <cell r="B173">
            <v>1967.6</v>
          </cell>
          <cell r="C173">
            <v>13405</v>
          </cell>
          <cell r="D173">
            <v>45512.9</v>
          </cell>
          <cell r="E173">
            <v>113290.8</v>
          </cell>
          <cell r="F173">
            <v>174176.3</v>
          </cell>
          <cell r="G173">
            <v>16878</v>
          </cell>
          <cell r="H173">
            <v>191054.3</v>
          </cell>
          <cell r="I173">
            <v>326730.09999999998</v>
          </cell>
          <cell r="J173">
            <v>-135675.79999999999</v>
          </cell>
          <cell r="K173">
            <v>119719.5</v>
          </cell>
          <cell r="L173">
            <v>145736.79999999999</v>
          </cell>
          <cell r="M173">
            <v>-26017.299999999988</v>
          </cell>
          <cell r="N173">
            <v>0</v>
          </cell>
          <cell r="O173">
            <v>0</v>
          </cell>
          <cell r="P173">
            <v>0</v>
          </cell>
          <cell r="Q173">
            <v>-161693.09999999998</v>
          </cell>
        </row>
        <row r="174">
          <cell r="A174" t="str">
            <v xml:space="preserve">         February</v>
          </cell>
          <cell r="B174">
            <v>2060.8000000000002</v>
          </cell>
          <cell r="C174">
            <v>10280.299999999999</v>
          </cell>
          <cell r="D174">
            <v>45495</v>
          </cell>
          <cell r="E174">
            <v>136911.20000000001</v>
          </cell>
          <cell r="F174">
            <v>194747.30000000002</v>
          </cell>
          <cell r="G174">
            <v>20548.300000000003</v>
          </cell>
          <cell r="H174">
            <v>215295.60000000003</v>
          </cell>
          <cell r="I174">
            <v>326019</v>
          </cell>
          <cell r="J174">
            <v>-110723.39999999997</v>
          </cell>
          <cell r="K174">
            <v>121679.2</v>
          </cell>
          <cell r="L174">
            <v>151954.29999999999</v>
          </cell>
          <cell r="M174">
            <v>-30275.099999999991</v>
          </cell>
          <cell r="N174">
            <v>0</v>
          </cell>
          <cell r="O174">
            <v>0</v>
          </cell>
          <cell r="P174">
            <v>0</v>
          </cell>
          <cell r="Q174">
            <v>-140998.49999999994</v>
          </cell>
        </row>
        <row r="175">
          <cell r="A175" t="str">
            <v xml:space="preserve">         March</v>
          </cell>
          <cell r="B175">
            <v>2063.9</v>
          </cell>
          <cell r="C175">
            <v>5656.1</v>
          </cell>
          <cell r="D175">
            <v>45880.6</v>
          </cell>
          <cell r="E175">
            <v>121117.99999999999</v>
          </cell>
          <cell r="F175">
            <v>174718.59999999998</v>
          </cell>
          <cell r="G175">
            <v>20073.7</v>
          </cell>
          <cell r="H175">
            <v>194792.3</v>
          </cell>
          <cell r="I175">
            <v>320951.90000000002</v>
          </cell>
          <cell r="J175">
            <v>-126159.60000000003</v>
          </cell>
          <cell r="K175">
            <v>118563.4</v>
          </cell>
          <cell r="L175">
            <v>150057.70000000001</v>
          </cell>
          <cell r="M175">
            <v>-31494.300000000017</v>
          </cell>
          <cell r="N175">
            <v>0</v>
          </cell>
          <cell r="O175">
            <v>0</v>
          </cell>
          <cell r="P175">
            <v>0</v>
          </cell>
          <cell r="Q175">
            <v>-157653.90000000005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1"/>
  <sheetViews>
    <sheetView showGridLines="0" tabSelected="1" view="pageBreakPreview" topLeftCell="A38" zoomScale="60" zoomScaleNormal="100" workbookViewId="0">
      <selection activeCell="Q238" sqref="Q238"/>
    </sheetView>
  </sheetViews>
  <sheetFormatPr defaultColWidth="9.77734375" defaultRowHeight="12.75" x14ac:dyDescent="0.2"/>
  <cols>
    <col min="1" max="1" width="22.44140625" style="1" customWidth="1"/>
    <col min="2" max="2" width="14.6640625" style="1" customWidth="1"/>
    <col min="3" max="3" width="9.5546875" style="4" customWidth="1"/>
    <col min="4" max="4" width="10.44140625" style="4" bestFit="1" customWidth="1"/>
    <col min="5" max="5" width="10.88671875" style="3" bestFit="1" customWidth="1"/>
    <col min="6" max="6" width="8.21875" style="4" customWidth="1"/>
    <col min="7" max="7" width="8.6640625" style="3" hidden="1" customWidth="1"/>
    <col min="8" max="8" width="9.44140625" style="3" customWidth="1"/>
    <col min="9" max="9" width="12.77734375" style="3" customWidth="1"/>
    <col min="10" max="10" width="9.77734375" style="3" customWidth="1"/>
    <col min="11" max="11" width="10.5546875" style="3" customWidth="1"/>
    <col min="12" max="12" width="9.77734375" style="2" customWidth="1"/>
    <col min="13" max="13" width="4.44140625" style="1" customWidth="1"/>
    <col min="14" max="14" width="18.33203125" style="1" customWidth="1"/>
    <col min="15" max="16384" width="9.77734375" style="1"/>
  </cols>
  <sheetData>
    <row r="1" spans="1:12" x14ac:dyDescent="0.2">
      <c r="A1" s="81"/>
      <c r="B1" s="91"/>
      <c r="C1" s="13"/>
      <c r="D1" s="13"/>
      <c r="E1" s="12"/>
      <c r="F1" s="13"/>
      <c r="G1" s="12"/>
      <c r="H1" s="12"/>
      <c r="I1" s="12"/>
      <c r="J1" s="12"/>
      <c r="K1" s="12"/>
      <c r="L1" s="11"/>
    </row>
    <row r="2" spans="1:12" ht="15.75" customHeight="1" x14ac:dyDescent="0.2">
      <c r="A2" s="90" t="s">
        <v>81</v>
      </c>
      <c r="B2" s="89" t="s">
        <v>80</v>
      </c>
      <c r="C2" s="89"/>
      <c r="D2" s="89"/>
      <c r="E2" s="89"/>
      <c r="F2" s="89"/>
      <c r="G2" s="89"/>
      <c r="H2" s="89"/>
      <c r="I2" s="89"/>
      <c r="J2" s="89"/>
      <c r="K2" s="89"/>
      <c r="L2" s="88" t="s">
        <v>79</v>
      </c>
    </row>
    <row r="3" spans="1:12" s="3" customFormat="1" ht="15.75" customHeight="1" x14ac:dyDescent="0.2">
      <c r="A3" s="59"/>
      <c r="B3" s="87" t="s">
        <v>78</v>
      </c>
      <c r="C3" s="87"/>
      <c r="D3" s="87"/>
      <c r="E3" s="87"/>
      <c r="F3" s="87"/>
      <c r="G3" s="87"/>
      <c r="H3" s="87"/>
      <c r="I3" s="87"/>
      <c r="J3" s="87"/>
      <c r="K3" s="87"/>
      <c r="L3" s="86"/>
    </row>
    <row r="4" spans="1:12" x14ac:dyDescent="0.2">
      <c r="A4" s="85"/>
      <c r="B4" s="84"/>
      <c r="C4" s="8"/>
      <c r="D4" s="8"/>
      <c r="E4" s="64"/>
      <c r="F4" s="8"/>
      <c r="G4" s="64"/>
      <c r="H4" s="64"/>
      <c r="I4" s="64"/>
      <c r="J4" s="64"/>
      <c r="K4" s="64"/>
      <c r="L4" s="83"/>
    </row>
    <row r="5" spans="1:12" x14ac:dyDescent="0.2">
      <c r="A5" s="82"/>
      <c r="B5" s="81"/>
      <c r="C5" s="80"/>
      <c r="D5" s="80"/>
      <c r="E5" s="79"/>
      <c r="F5" s="80"/>
      <c r="G5" s="12"/>
      <c r="H5" s="79"/>
      <c r="I5" s="12"/>
      <c r="J5" s="79"/>
      <c r="K5" s="12"/>
      <c r="L5" s="78"/>
    </row>
    <row r="6" spans="1:12" x14ac:dyDescent="0.2">
      <c r="A6" s="77" t="s">
        <v>77</v>
      </c>
      <c r="B6" s="59" t="s">
        <v>76</v>
      </c>
      <c r="C6" s="71" t="s">
        <v>75</v>
      </c>
      <c r="D6" s="73" t="s">
        <v>72</v>
      </c>
      <c r="E6" s="70" t="s">
        <v>72</v>
      </c>
      <c r="F6" s="71" t="s">
        <v>72</v>
      </c>
      <c r="G6" s="21" t="s">
        <v>72</v>
      </c>
      <c r="H6" s="72" t="s">
        <v>74</v>
      </c>
      <c r="I6" s="73" t="s">
        <v>73</v>
      </c>
      <c r="J6" s="70" t="s">
        <v>72</v>
      </c>
      <c r="K6" s="71" t="s">
        <v>71</v>
      </c>
      <c r="L6" s="76" t="s">
        <v>70</v>
      </c>
    </row>
    <row r="7" spans="1:12" x14ac:dyDescent="0.2">
      <c r="A7" s="77"/>
      <c r="B7" s="59" t="s">
        <v>69</v>
      </c>
      <c r="C7" s="74" t="s">
        <v>53</v>
      </c>
      <c r="D7" s="73" t="s">
        <v>68</v>
      </c>
      <c r="E7" s="72" t="s">
        <v>67</v>
      </c>
      <c r="F7" s="71" t="s">
        <v>66</v>
      </c>
      <c r="G7" s="21" t="s">
        <v>65</v>
      </c>
      <c r="H7" s="72" t="s">
        <v>64</v>
      </c>
      <c r="I7" s="71" t="s">
        <v>63</v>
      </c>
      <c r="J7" s="70" t="s">
        <v>62</v>
      </c>
      <c r="K7" s="71" t="s">
        <v>60</v>
      </c>
      <c r="L7" s="76" t="s">
        <v>61</v>
      </c>
    </row>
    <row r="8" spans="1:12" x14ac:dyDescent="0.2">
      <c r="A8" s="50"/>
      <c r="B8" s="75" t="s">
        <v>60</v>
      </c>
      <c r="C8" s="74" t="s">
        <v>53</v>
      </c>
      <c r="D8" s="73" t="s">
        <v>59</v>
      </c>
      <c r="E8" s="72" t="s">
        <v>58</v>
      </c>
      <c r="F8" s="71" t="s">
        <v>57</v>
      </c>
      <c r="G8" s="21" t="s">
        <v>57</v>
      </c>
      <c r="H8" s="72" t="s">
        <v>56</v>
      </c>
      <c r="I8" s="71" t="s">
        <v>55</v>
      </c>
      <c r="J8" s="70" t="s">
        <v>54</v>
      </c>
      <c r="K8" s="60"/>
      <c r="L8" s="69" t="s">
        <v>53</v>
      </c>
    </row>
    <row r="9" spans="1:12" x14ac:dyDescent="0.2">
      <c r="A9" s="68" t="s">
        <v>52</v>
      </c>
      <c r="B9" s="67"/>
      <c r="C9" s="66"/>
      <c r="D9" s="65"/>
      <c r="E9" s="63"/>
      <c r="F9" s="22"/>
      <c r="G9" s="64"/>
      <c r="H9" s="63"/>
      <c r="I9" s="22" t="s">
        <v>51</v>
      </c>
      <c r="J9" s="23"/>
      <c r="K9" s="62"/>
      <c r="L9" s="61"/>
    </row>
    <row r="10" spans="1:12" s="5" customFormat="1" x14ac:dyDescent="0.2">
      <c r="A10" s="51"/>
      <c r="B10" s="50"/>
      <c r="C10" s="30"/>
      <c r="D10" s="18"/>
      <c r="E10" s="59"/>
      <c r="F10" s="56"/>
      <c r="G10" s="59"/>
      <c r="H10" s="60"/>
      <c r="I10" s="60"/>
      <c r="J10" s="17"/>
      <c r="K10" s="59"/>
      <c r="L10" s="45"/>
    </row>
    <row r="11" spans="1:12" ht="12" hidden="1" customHeight="1" x14ac:dyDescent="0.2">
      <c r="A11" s="54">
        <v>2008</v>
      </c>
      <c r="B11" s="55"/>
      <c r="C11" s="58">
        <f>368.4+1042.3</f>
        <v>1410.6999999999998</v>
      </c>
      <c r="D11" s="57">
        <v>450</v>
      </c>
      <c r="E11" s="38">
        <f>0+11</f>
        <v>11</v>
      </c>
      <c r="F11" s="58">
        <f>833.8</f>
        <v>833.8</v>
      </c>
      <c r="G11" s="58" t="s">
        <v>2</v>
      </c>
      <c r="H11" s="58">
        <v>615.9</v>
      </c>
      <c r="I11" s="58">
        <f>166.6+176.1</f>
        <v>342.7</v>
      </c>
      <c r="J11" s="57">
        <f>12723.8+781.9+14884.8+758.3</f>
        <v>29148.799999999999</v>
      </c>
      <c r="K11" s="56">
        <f>967.8+3396.8</f>
        <v>4364.6000000000004</v>
      </c>
      <c r="L11" s="28">
        <f>SUM(C11:K11)</f>
        <v>37177.5</v>
      </c>
    </row>
    <row r="12" spans="1:12" ht="11.25" hidden="1" customHeight="1" x14ac:dyDescent="0.2">
      <c r="A12" s="54">
        <v>2009</v>
      </c>
      <c r="B12" s="55"/>
      <c r="C12" s="28">
        <f>762.5+957.7</f>
        <v>1720.2</v>
      </c>
      <c r="D12" s="32">
        <v>750</v>
      </c>
      <c r="E12" s="31">
        <f>0+11</f>
        <v>11</v>
      </c>
      <c r="F12" s="28">
        <f>68.2+833.8</f>
        <v>902</v>
      </c>
      <c r="G12" s="28" t="s">
        <v>2</v>
      </c>
      <c r="H12" s="28">
        <v>657</v>
      </c>
      <c r="I12" s="28">
        <f>24.4+728.3+10.8</f>
        <v>763.49999999999989</v>
      </c>
      <c r="J12" s="32">
        <f>15766.6+857.8+16123.7+1007.3</f>
        <v>33755.4</v>
      </c>
      <c r="K12" s="29">
        <f>1070.7+3901.4</f>
        <v>4972.1000000000004</v>
      </c>
      <c r="L12" s="28">
        <f>SUM(C12:K12)</f>
        <v>43531.199999999997</v>
      </c>
    </row>
    <row r="13" spans="1:12" ht="12" hidden="1" customHeight="1" x14ac:dyDescent="0.2">
      <c r="A13" s="54">
        <v>2010</v>
      </c>
      <c r="B13" s="31" t="s">
        <v>2</v>
      </c>
      <c r="C13" s="37">
        <v>2353.3000000000002</v>
      </c>
      <c r="D13" s="43">
        <v>450</v>
      </c>
      <c r="E13" s="44">
        <v>11</v>
      </c>
      <c r="F13" s="37">
        <v>876.6</v>
      </c>
      <c r="G13" s="37" t="s">
        <v>2</v>
      </c>
      <c r="H13" s="37">
        <v>142.9</v>
      </c>
      <c r="I13" s="37">
        <v>920.59999999999991</v>
      </c>
      <c r="J13" s="43">
        <v>46586.3</v>
      </c>
      <c r="K13" s="42">
        <v>4986.5</v>
      </c>
      <c r="L13" s="37">
        <v>56327.200000000004</v>
      </c>
    </row>
    <row r="14" spans="1:12" ht="12" hidden="1" customHeight="1" x14ac:dyDescent="0.2">
      <c r="A14" s="54">
        <v>2011</v>
      </c>
      <c r="B14" s="31" t="s">
        <v>2</v>
      </c>
      <c r="C14" s="28">
        <v>1069.2</v>
      </c>
      <c r="D14" s="31" t="s">
        <v>2</v>
      </c>
      <c r="E14" s="31">
        <v>11</v>
      </c>
      <c r="F14" s="28">
        <v>850.2</v>
      </c>
      <c r="G14" s="28" t="s">
        <v>2</v>
      </c>
      <c r="H14" s="28">
        <v>261.8</v>
      </c>
      <c r="I14" s="28">
        <v>967.59999999999991</v>
      </c>
      <c r="J14" s="32">
        <v>56451.100000000006</v>
      </c>
      <c r="K14" s="29">
        <v>5218.8</v>
      </c>
      <c r="L14" s="37">
        <v>64829.700000000012</v>
      </c>
    </row>
    <row r="15" spans="1:12" ht="12" customHeight="1" x14ac:dyDescent="0.2">
      <c r="A15" s="54">
        <v>2012</v>
      </c>
      <c r="B15" s="31" t="s">
        <v>2</v>
      </c>
      <c r="C15" s="28">
        <v>3984.8</v>
      </c>
      <c r="D15" s="32">
        <v>1200</v>
      </c>
      <c r="E15" s="31">
        <v>11</v>
      </c>
      <c r="F15" s="31">
        <v>836.59999999999991</v>
      </c>
      <c r="G15" s="28" t="s">
        <v>2</v>
      </c>
      <c r="H15" s="28">
        <v>693.3</v>
      </c>
      <c r="I15" s="28">
        <v>839.19999999999982</v>
      </c>
      <c r="J15" s="32">
        <v>59250.000000000007</v>
      </c>
      <c r="K15" s="29">
        <v>5417.5</v>
      </c>
      <c r="L15" s="37">
        <v>72232.400000000009</v>
      </c>
    </row>
    <row r="16" spans="1:12" ht="12" customHeight="1" x14ac:dyDescent="0.2">
      <c r="A16" s="53" t="s">
        <v>50</v>
      </c>
      <c r="B16" s="31" t="s">
        <v>2</v>
      </c>
      <c r="C16" s="28">
        <v>1535.5</v>
      </c>
      <c r="D16" s="32">
        <v>200</v>
      </c>
      <c r="E16" s="31">
        <v>11</v>
      </c>
      <c r="F16" s="31">
        <v>0</v>
      </c>
      <c r="G16" s="28" t="s">
        <v>2</v>
      </c>
      <c r="H16" s="28">
        <v>609.79999999999995</v>
      </c>
      <c r="I16" s="28">
        <v>604.59999999999991</v>
      </c>
      <c r="J16" s="32">
        <v>73439.199999999997</v>
      </c>
      <c r="K16" s="29">
        <v>6708.5</v>
      </c>
      <c r="L16" s="37">
        <v>83108.599999999991</v>
      </c>
    </row>
    <row r="17" spans="1:12" ht="12" customHeight="1" x14ac:dyDescent="0.2">
      <c r="A17" s="53" t="s">
        <v>49</v>
      </c>
      <c r="B17" s="38">
        <v>67.2</v>
      </c>
      <c r="C17" s="28">
        <v>2724.3</v>
      </c>
      <c r="D17" s="32">
        <v>1500</v>
      </c>
      <c r="E17" s="31">
        <v>511</v>
      </c>
      <c r="F17" s="31">
        <v>0</v>
      </c>
      <c r="G17" s="31" t="s">
        <v>2</v>
      </c>
      <c r="H17" s="31" t="s">
        <v>2</v>
      </c>
      <c r="I17" s="30">
        <v>597.69999999999993</v>
      </c>
      <c r="J17" s="4">
        <v>87468.6</v>
      </c>
      <c r="K17" s="29">
        <v>9064.2000000000007</v>
      </c>
      <c r="L17" s="37">
        <v>101933</v>
      </c>
    </row>
    <row r="18" spans="1:12" ht="12" customHeight="1" x14ac:dyDescent="0.2">
      <c r="A18" s="53" t="s">
        <v>48</v>
      </c>
      <c r="B18" s="31" t="s">
        <v>2</v>
      </c>
      <c r="C18" s="28">
        <v>8555</v>
      </c>
      <c r="D18" s="32">
        <v>9496.7000000000007</v>
      </c>
      <c r="E18" s="31">
        <v>11</v>
      </c>
      <c r="F18" s="31">
        <v>23.2</v>
      </c>
      <c r="G18" s="31" t="s">
        <v>2</v>
      </c>
      <c r="H18" s="31" t="s">
        <v>2</v>
      </c>
      <c r="I18" s="30">
        <v>529</v>
      </c>
      <c r="J18" s="4">
        <v>86640.700000000012</v>
      </c>
      <c r="K18" s="29">
        <v>14206.4</v>
      </c>
      <c r="L18" s="37">
        <v>119462</v>
      </c>
    </row>
    <row r="19" spans="1:12" x14ac:dyDescent="0.2">
      <c r="A19" s="53" t="s">
        <v>47</v>
      </c>
      <c r="B19" s="31" t="s">
        <v>2</v>
      </c>
      <c r="C19" s="28">
        <v>7159.2</v>
      </c>
      <c r="D19" s="32">
        <v>8792.4</v>
      </c>
      <c r="E19" s="31">
        <v>312.8</v>
      </c>
      <c r="F19" s="31">
        <v>51.1</v>
      </c>
      <c r="G19" s="31"/>
      <c r="H19" s="31" t="s">
        <v>2</v>
      </c>
      <c r="I19" s="30">
        <v>507.1</v>
      </c>
      <c r="J19" s="4">
        <v>102322.1</v>
      </c>
      <c r="K19" s="29">
        <v>19061.099999999999</v>
      </c>
      <c r="L19" s="37">
        <v>138205.80000000002</v>
      </c>
    </row>
    <row r="20" spans="1:12" ht="11.25" customHeight="1" x14ac:dyDescent="0.2">
      <c r="A20" s="35"/>
      <c r="B20" s="20"/>
      <c r="C20" s="28"/>
      <c r="D20" s="32"/>
      <c r="E20" s="31"/>
      <c r="F20" s="28"/>
      <c r="G20" s="28"/>
      <c r="H20" s="28"/>
      <c r="I20" s="28"/>
      <c r="J20" s="32"/>
      <c r="K20" s="29"/>
      <c r="L20" s="28"/>
    </row>
    <row r="21" spans="1:12" ht="12" hidden="1" customHeight="1" x14ac:dyDescent="0.2">
      <c r="A21" s="35" t="s">
        <v>46</v>
      </c>
      <c r="B21" s="20"/>
      <c r="C21" s="28">
        <f>1325.2+356.7</f>
        <v>1681.9</v>
      </c>
      <c r="D21" s="32">
        <v>950</v>
      </c>
      <c r="E21" s="31">
        <f>0+11</f>
        <v>11</v>
      </c>
      <c r="F21" s="28">
        <f>57.5+833.8</f>
        <v>891.3</v>
      </c>
      <c r="G21" s="28" t="s">
        <v>2</v>
      </c>
      <c r="H21" s="28">
        <v>579.79999999999995</v>
      </c>
      <c r="I21" s="28">
        <f>17.6+680.9+10.8</f>
        <v>709.3</v>
      </c>
      <c r="J21" s="32">
        <f>18048.9+1025.8+16765.2+1525.1</f>
        <v>37365</v>
      </c>
      <c r="K21" s="29">
        <f>1177.8+3082.4</f>
        <v>4260.2</v>
      </c>
      <c r="L21" s="28">
        <f>SUM(C21:K21)</f>
        <v>46448.5</v>
      </c>
    </row>
    <row r="22" spans="1:12" ht="12" hidden="1" customHeight="1" x14ac:dyDescent="0.2">
      <c r="A22" s="35" t="s">
        <v>45</v>
      </c>
      <c r="B22" s="20"/>
      <c r="C22" s="28">
        <f>841.1+1512.2</f>
        <v>2353.3000000000002</v>
      </c>
      <c r="D22" s="32">
        <v>450</v>
      </c>
      <c r="E22" s="31">
        <f>0+11</f>
        <v>11</v>
      </c>
      <c r="F22" s="28">
        <f>42.8+833.8</f>
        <v>876.59999999999991</v>
      </c>
      <c r="G22" s="28" t="s">
        <v>2</v>
      </c>
      <c r="H22" s="28">
        <v>142.9</v>
      </c>
      <c r="I22" s="28">
        <f>10.7+899.1+10.8</f>
        <v>920.6</v>
      </c>
      <c r="J22" s="32">
        <f>22636.8+1125.9+21489.7+1344.7-10.8</f>
        <v>46586.299999999996</v>
      </c>
      <c r="K22" s="29">
        <f>1288+3698.5</f>
        <v>4986.5</v>
      </c>
      <c r="L22" s="28">
        <f>SUM(C22:K22)</f>
        <v>56327.199999999997</v>
      </c>
    </row>
    <row r="23" spans="1:12" ht="12" hidden="1" customHeight="1" x14ac:dyDescent="0.2">
      <c r="A23" s="35"/>
      <c r="B23" s="20"/>
      <c r="C23" s="28"/>
      <c r="D23" s="32"/>
      <c r="E23" s="31"/>
      <c r="F23" s="28"/>
      <c r="G23" s="28"/>
      <c r="H23" s="28"/>
      <c r="I23" s="28"/>
      <c r="J23" s="32"/>
      <c r="K23" s="29"/>
      <c r="L23" s="28"/>
    </row>
    <row r="24" spans="1:12" ht="12" hidden="1" customHeight="1" x14ac:dyDescent="0.2">
      <c r="A24" s="35"/>
      <c r="B24" s="20"/>
      <c r="C24" s="28"/>
      <c r="D24" s="32"/>
      <c r="E24" s="31"/>
      <c r="F24" s="28"/>
      <c r="G24" s="28"/>
      <c r="H24" s="28"/>
      <c r="I24" s="28"/>
      <c r="J24" s="32"/>
      <c r="K24" s="29"/>
      <c r="L24" s="28"/>
    </row>
    <row r="25" spans="1:12" ht="12" hidden="1" customHeight="1" x14ac:dyDescent="0.2">
      <c r="A25" s="35"/>
      <c r="B25" s="20"/>
      <c r="C25" s="28"/>
      <c r="D25" s="32"/>
      <c r="E25" s="31"/>
      <c r="F25" s="28"/>
      <c r="G25" s="28"/>
      <c r="H25" s="28"/>
      <c r="I25" s="28"/>
      <c r="J25" s="32"/>
      <c r="K25" s="29"/>
      <c r="L25" s="28"/>
    </row>
    <row r="26" spans="1:12" ht="12" hidden="1" customHeight="1" x14ac:dyDescent="0.2">
      <c r="A26" s="35" t="s">
        <v>44</v>
      </c>
      <c r="B26" s="20"/>
      <c r="C26" s="28">
        <f>834.8+2150</f>
        <v>2984.8</v>
      </c>
      <c r="D26" s="32">
        <f>200+2000</f>
        <v>2200</v>
      </c>
      <c r="E26" s="31">
        <v>11</v>
      </c>
      <c r="F26" s="31">
        <f>833.8+2.8</f>
        <v>836.59999999999991</v>
      </c>
      <c r="G26" s="31"/>
      <c r="H26" s="28">
        <v>693.3</v>
      </c>
      <c r="I26" s="28">
        <f>828.6+9.8</f>
        <v>838.4</v>
      </c>
      <c r="J26" s="32">
        <f>23295.6+2107.6+32276.8+1570.8</f>
        <v>59250.8</v>
      </c>
      <c r="K26" s="29">
        <f>2020.7+3396.8</f>
        <v>5417.5</v>
      </c>
      <c r="L26" s="28">
        <f>SUM(C26:K26)</f>
        <v>72232.400000000009</v>
      </c>
    </row>
    <row r="27" spans="1:12" ht="12" hidden="1" customHeight="1" x14ac:dyDescent="0.2">
      <c r="A27" s="35" t="s">
        <v>43</v>
      </c>
      <c r="B27" s="20"/>
      <c r="C27" s="28">
        <v>1437.3000000000002</v>
      </c>
      <c r="D27" s="32">
        <v>2200</v>
      </c>
      <c r="E27" s="31">
        <v>11</v>
      </c>
      <c r="F27" s="31">
        <v>329.8</v>
      </c>
      <c r="G27" s="28" t="s">
        <v>2</v>
      </c>
      <c r="H27" s="28">
        <v>659.3</v>
      </c>
      <c r="I27" s="28">
        <v>803.69999999999993</v>
      </c>
      <c r="J27" s="32">
        <v>61557.000000000007</v>
      </c>
      <c r="K27" s="29">
        <v>5974.5</v>
      </c>
      <c r="L27" s="28">
        <v>72972.600000000006</v>
      </c>
    </row>
    <row r="28" spans="1:12" ht="12" hidden="1" customHeight="1" x14ac:dyDescent="0.2">
      <c r="A28" s="35" t="s">
        <v>42</v>
      </c>
      <c r="B28" s="20"/>
      <c r="C28" s="28">
        <f>588.8+860.7</f>
        <v>1449.5</v>
      </c>
      <c r="D28" s="32">
        <f>200+1000</f>
        <v>1200</v>
      </c>
      <c r="E28" s="31">
        <f>11+700</f>
        <v>711</v>
      </c>
      <c r="F28" s="31">
        <f>2.8</f>
        <v>2.8</v>
      </c>
      <c r="G28" s="28" t="s">
        <v>2</v>
      </c>
      <c r="H28" s="28">
        <v>1041.2</v>
      </c>
      <c r="I28" s="28">
        <f>760.1+8.4</f>
        <v>768.5</v>
      </c>
      <c r="J28" s="32">
        <f>25310.6+2222.7+34641.4+1643.7</f>
        <v>63818.399999999994</v>
      </c>
      <c r="K28" s="29">
        <f>2282.3+3893.7</f>
        <v>6176</v>
      </c>
      <c r="L28" s="28">
        <f>SUM(C28:K28)</f>
        <v>75167.399999999994</v>
      </c>
    </row>
    <row r="29" spans="1:12" ht="12" hidden="1" customHeight="1" x14ac:dyDescent="0.2">
      <c r="A29" s="35" t="s">
        <v>41</v>
      </c>
      <c r="B29" s="20"/>
      <c r="C29" s="28">
        <f>780.2+225.1</f>
        <v>1005.3000000000001</v>
      </c>
      <c r="D29" s="32">
        <f>200</f>
        <v>200</v>
      </c>
      <c r="E29" s="31">
        <v>11</v>
      </c>
      <c r="F29" s="28" t="s">
        <v>2</v>
      </c>
      <c r="G29" s="28" t="s">
        <v>2</v>
      </c>
      <c r="H29" s="28">
        <v>550.70000000000005</v>
      </c>
      <c r="I29" s="28">
        <f>596.9+7.7</f>
        <v>604.6</v>
      </c>
      <c r="J29" s="32">
        <f>28418.1+2395+37243.4+1686.4</f>
        <v>69742.899999999994</v>
      </c>
      <c r="K29" s="29">
        <f>2692.4+3908.7</f>
        <v>6601.1</v>
      </c>
      <c r="L29" s="28">
        <f>SUM(C29:K29)</f>
        <v>78715.600000000006</v>
      </c>
    </row>
    <row r="30" spans="1:12" ht="12" hidden="1" customHeight="1" x14ac:dyDescent="0.2">
      <c r="A30" s="35" t="s">
        <v>40</v>
      </c>
      <c r="B30" s="20"/>
      <c r="C30" s="28">
        <f>957.1+578.4</f>
        <v>1535.5</v>
      </c>
      <c r="D30" s="32">
        <v>200</v>
      </c>
      <c r="E30" s="31">
        <v>11</v>
      </c>
      <c r="F30" s="31" t="s">
        <v>2</v>
      </c>
      <c r="G30" s="28" t="s">
        <v>2</v>
      </c>
      <c r="H30" s="28">
        <v>609.79999999999995</v>
      </c>
      <c r="I30" s="28">
        <v>603.79999999999995</v>
      </c>
      <c r="J30" s="32">
        <v>73440</v>
      </c>
      <c r="K30" s="29">
        <v>6708.5</v>
      </c>
      <c r="L30" s="28">
        <f>SUM(C30:K30)</f>
        <v>83108.600000000006</v>
      </c>
    </row>
    <row r="31" spans="1:12" ht="12" hidden="1" customHeight="1" x14ac:dyDescent="0.2">
      <c r="A31" s="35"/>
      <c r="B31" s="20"/>
      <c r="C31" s="28"/>
      <c r="D31" s="32"/>
      <c r="E31" s="31"/>
      <c r="F31" s="31"/>
      <c r="G31" s="28"/>
      <c r="H31" s="28"/>
      <c r="I31" s="28"/>
      <c r="J31" s="32"/>
      <c r="K31" s="29"/>
      <c r="L31" s="28"/>
    </row>
    <row r="32" spans="1:12" ht="12" customHeight="1" x14ac:dyDescent="0.2">
      <c r="A32" s="35" t="s">
        <v>39</v>
      </c>
      <c r="B32" s="31" t="s">
        <v>2</v>
      </c>
      <c r="C32" s="28">
        <v>1175.9000000000001</v>
      </c>
      <c r="D32" s="32">
        <v>200</v>
      </c>
      <c r="E32" s="31">
        <v>11</v>
      </c>
      <c r="F32" s="31">
        <v>0</v>
      </c>
      <c r="G32" s="28" t="s">
        <v>2</v>
      </c>
      <c r="H32" s="28">
        <v>461.5</v>
      </c>
      <c r="I32" s="30">
        <v>602.99999999999989</v>
      </c>
      <c r="J32" s="4">
        <v>75716.200000000012</v>
      </c>
      <c r="K32" s="29">
        <v>7587.5</v>
      </c>
      <c r="L32" s="37">
        <v>85755.1</v>
      </c>
    </row>
    <row r="33" spans="1:12" ht="12" customHeight="1" x14ac:dyDescent="0.2">
      <c r="A33" s="35" t="s">
        <v>38</v>
      </c>
      <c r="B33" s="31" t="s">
        <v>2</v>
      </c>
      <c r="C33" s="28">
        <v>1781.1</v>
      </c>
      <c r="D33" s="32">
        <v>250</v>
      </c>
      <c r="E33" s="31">
        <v>11</v>
      </c>
      <c r="F33" s="31">
        <v>73.199999999999989</v>
      </c>
      <c r="G33" s="28" t="s">
        <v>2</v>
      </c>
      <c r="H33" s="28">
        <v>444.8</v>
      </c>
      <c r="I33" s="30">
        <v>601.79999999999995</v>
      </c>
      <c r="J33" s="4">
        <v>79629.900000000009</v>
      </c>
      <c r="K33" s="29">
        <v>8264.6000000000022</v>
      </c>
      <c r="L33" s="37">
        <v>91056.400000000009</v>
      </c>
    </row>
    <row r="34" spans="1:12" ht="12" customHeight="1" x14ac:dyDescent="0.2">
      <c r="A34" s="35" t="s">
        <v>37</v>
      </c>
      <c r="B34" s="38">
        <v>67.2</v>
      </c>
      <c r="C34" s="28">
        <v>2418</v>
      </c>
      <c r="D34" s="31" t="s">
        <v>2</v>
      </c>
      <c r="E34" s="31">
        <v>11</v>
      </c>
      <c r="F34" s="31">
        <v>0</v>
      </c>
      <c r="G34" s="28" t="s">
        <v>2</v>
      </c>
      <c r="H34" s="28">
        <v>401.1</v>
      </c>
      <c r="I34" s="30">
        <v>600.9</v>
      </c>
      <c r="J34" s="4">
        <v>84091.8</v>
      </c>
      <c r="K34" s="29">
        <v>8356.5</v>
      </c>
      <c r="L34" s="37">
        <v>95946.5</v>
      </c>
    </row>
    <row r="35" spans="1:12" ht="12" customHeight="1" x14ac:dyDescent="0.2">
      <c r="A35" s="35" t="s">
        <v>36</v>
      </c>
      <c r="B35" s="38">
        <v>67.2</v>
      </c>
      <c r="C35" s="28">
        <v>2724.3</v>
      </c>
      <c r="D35" s="32">
        <v>1500</v>
      </c>
      <c r="E35" s="31">
        <v>511</v>
      </c>
      <c r="F35" s="31">
        <v>0</v>
      </c>
      <c r="G35" s="31" t="s">
        <v>2</v>
      </c>
      <c r="H35" s="31" t="s">
        <v>2</v>
      </c>
      <c r="I35" s="30">
        <v>597.69999999999993</v>
      </c>
      <c r="J35" s="4">
        <v>87468.6</v>
      </c>
      <c r="K35" s="29">
        <v>9064.2000000000007</v>
      </c>
      <c r="L35" s="37">
        <v>101933</v>
      </c>
    </row>
    <row r="36" spans="1:12" ht="12" customHeight="1" x14ac:dyDescent="0.2">
      <c r="A36" s="35"/>
      <c r="B36" s="20"/>
      <c r="C36" s="28"/>
      <c r="D36" s="32"/>
      <c r="E36" s="31"/>
      <c r="F36" s="31"/>
      <c r="G36" s="31"/>
      <c r="H36" s="31"/>
      <c r="I36" s="30"/>
      <c r="J36" s="4"/>
      <c r="K36" s="29"/>
      <c r="L36" s="28"/>
    </row>
    <row r="37" spans="1:12" ht="12" customHeight="1" x14ac:dyDescent="0.2">
      <c r="A37" s="35" t="s">
        <v>18</v>
      </c>
      <c r="B37" s="38">
        <v>67.2</v>
      </c>
      <c r="C37" s="28">
        <v>1745.7</v>
      </c>
      <c r="D37" s="32">
        <v>2265.8000000000002</v>
      </c>
      <c r="E37" s="31">
        <v>511</v>
      </c>
      <c r="F37" s="31">
        <v>0</v>
      </c>
      <c r="G37" s="31" t="s">
        <v>2</v>
      </c>
      <c r="H37" s="31" t="s">
        <v>2</v>
      </c>
      <c r="I37" s="30">
        <v>597.69999999999993</v>
      </c>
      <c r="J37" s="4">
        <v>87282.8</v>
      </c>
      <c r="K37" s="29">
        <v>10418.700000000001</v>
      </c>
      <c r="L37" s="37">
        <v>102888.9</v>
      </c>
    </row>
    <row r="38" spans="1:12" ht="12" customHeight="1" x14ac:dyDescent="0.2">
      <c r="A38" s="35" t="s">
        <v>12</v>
      </c>
      <c r="B38" s="38">
        <v>67.2</v>
      </c>
      <c r="C38" s="28">
        <v>3429.1000000000004</v>
      </c>
      <c r="D38" s="32">
        <v>5715.8</v>
      </c>
      <c r="E38" s="31">
        <v>11</v>
      </c>
      <c r="F38" s="31">
        <v>0</v>
      </c>
      <c r="G38" s="31" t="s">
        <v>2</v>
      </c>
      <c r="H38" s="31" t="s">
        <v>2</v>
      </c>
      <c r="I38" s="30">
        <v>597.69999999999993</v>
      </c>
      <c r="J38" s="4">
        <v>86842</v>
      </c>
      <c r="K38" s="29">
        <v>10593.5</v>
      </c>
      <c r="L38" s="37">
        <v>107256.3</v>
      </c>
    </row>
    <row r="39" spans="1:12" ht="12" customHeight="1" x14ac:dyDescent="0.2">
      <c r="A39" s="35" t="s">
        <v>9</v>
      </c>
      <c r="B39" s="38">
        <v>67.2</v>
      </c>
      <c r="C39" s="28">
        <v>4414.1000000000004</v>
      </c>
      <c r="D39" s="32">
        <v>9215.7999999999993</v>
      </c>
      <c r="E39" s="31">
        <v>11</v>
      </c>
      <c r="F39" s="31">
        <v>0</v>
      </c>
      <c r="G39" s="31" t="s">
        <v>2</v>
      </c>
      <c r="H39" s="31" t="s">
        <v>2</v>
      </c>
      <c r="I39" s="30">
        <v>597.69999999999993</v>
      </c>
      <c r="J39" s="4">
        <v>87471.799999999988</v>
      </c>
      <c r="K39" s="29">
        <v>10771.5</v>
      </c>
      <c r="L39" s="37">
        <v>112549.09999999999</v>
      </c>
    </row>
    <row r="40" spans="1:12" ht="12" customHeight="1" x14ac:dyDescent="0.2">
      <c r="A40" s="35" t="s">
        <v>6</v>
      </c>
      <c r="B40" s="31" t="s">
        <v>2</v>
      </c>
      <c r="C40" s="28">
        <v>8555</v>
      </c>
      <c r="D40" s="32">
        <v>9496.7000000000007</v>
      </c>
      <c r="E40" s="31">
        <v>11</v>
      </c>
      <c r="F40" s="31">
        <v>23.2</v>
      </c>
      <c r="G40" s="31" t="s">
        <v>2</v>
      </c>
      <c r="H40" s="31" t="s">
        <v>2</v>
      </c>
      <c r="I40" s="30">
        <v>529</v>
      </c>
      <c r="J40" s="4">
        <v>86640.700000000012</v>
      </c>
      <c r="K40" s="29">
        <v>14206.4</v>
      </c>
      <c r="L40" s="37">
        <v>119462</v>
      </c>
    </row>
    <row r="41" spans="1:12" ht="12" customHeight="1" x14ac:dyDescent="0.2">
      <c r="A41" s="35"/>
      <c r="B41" s="20"/>
      <c r="C41" s="28"/>
      <c r="D41" s="32"/>
      <c r="E41" s="31"/>
      <c r="F41" s="31"/>
      <c r="G41" s="31"/>
      <c r="H41" s="31"/>
      <c r="I41" s="30"/>
      <c r="J41" s="4"/>
      <c r="K41" s="29"/>
      <c r="L41" s="28"/>
    </row>
    <row r="42" spans="1:12" x14ac:dyDescent="0.2">
      <c r="A42" s="35" t="s">
        <v>35</v>
      </c>
      <c r="B42" s="31" t="s">
        <v>2</v>
      </c>
      <c r="C42" s="28">
        <v>9209.5</v>
      </c>
      <c r="D42" s="32">
        <v>9626.5</v>
      </c>
      <c r="E42" s="31">
        <v>11</v>
      </c>
      <c r="F42" s="31">
        <v>24.4</v>
      </c>
      <c r="G42" s="31" t="s">
        <v>2</v>
      </c>
      <c r="H42" s="31" t="s">
        <v>2</v>
      </c>
      <c r="I42" s="30">
        <v>528.20000000000005</v>
      </c>
      <c r="J42" s="4">
        <v>90185.5</v>
      </c>
      <c r="K42" s="29">
        <v>17286</v>
      </c>
      <c r="L42" s="37">
        <v>126871.1</v>
      </c>
    </row>
    <row r="43" spans="1:12" x14ac:dyDescent="0.2">
      <c r="A43" s="35" t="s">
        <v>12</v>
      </c>
      <c r="B43" s="31" t="s">
        <v>2</v>
      </c>
      <c r="C43" s="28">
        <v>4975.3</v>
      </c>
      <c r="D43" s="32">
        <v>8060.6</v>
      </c>
      <c r="E43" s="31">
        <v>311</v>
      </c>
      <c r="F43" s="31">
        <v>33.299999999999997</v>
      </c>
      <c r="G43" s="31"/>
      <c r="H43" s="31" t="s">
        <v>2</v>
      </c>
      <c r="I43" s="30">
        <v>507.1</v>
      </c>
      <c r="J43" s="4">
        <v>96470.1</v>
      </c>
      <c r="K43" s="29">
        <v>17272.400000000001</v>
      </c>
      <c r="L43" s="37">
        <v>127629.80000000002</v>
      </c>
    </row>
    <row r="44" spans="1:12" x14ac:dyDescent="0.2">
      <c r="A44" s="52" t="s">
        <v>9</v>
      </c>
      <c r="B44" s="31" t="s">
        <v>2</v>
      </c>
      <c r="C44" s="28">
        <v>8292.6999999999989</v>
      </c>
      <c r="D44" s="32">
        <v>8078.5000000000009</v>
      </c>
      <c r="E44" s="31">
        <v>312.7</v>
      </c>
      <c r="F44" s="31">
        <v>42.2</v>
      </c>
      <c r="G44" s="31"/>
      <c r="H44" s="31" t="s">
        <v>2</v>
      </c>
      <c r="I44" s="30">
        <v>507.1</v>
      </c>
      <c r="J44" s="4">
        <v>98409.9</v>
      </c>
      <c r="K44" s="29">
        <v>18620.599999999999</v>
      </c>
      <c r="L44" s="37">
        <v>134263.69999999998</v>
      </c>
    </row>
    <row r="45" spans="1:12" x14ac:dyDescent="0.2">
      <c r="A45" s="52" t="s">
        <v>6</v>
      </c>
      <c r="B45" s="31" t="s">
        <v>2</v>
      </c>
      <c r="C45" s="28">
        <v>7159.2</v>
      </c>
      <c r="D45" s="32">
        <v>8792.4</v>
      </c>
      <c r="E45" s="31">
        <v>312.8</v>
      </c>
      <c r="F45" s="31">
        <v>51.1</v>
      </c>
      <c r="G45" s="31"/>
      <c r="H45" s="31" t="s">
        <v>2</v>
      </c>
      <c r="I45" s="30">
        <v>507.1</v>
      </c>
      <c r="J45" s="4">
        <v>102322.1</v>
      </c>
      <c r="K45" s="29">
        <v>19061.099999999999</v>
      </c>
      <c r="L45" s="37">
        <v>138205.80000000002</v>
      </c>
    </row>
    <row r="46" spans="1:12" ht="12" customHeight="1" x14ac:dyDescent="0.2">
      <c r="A46" s="35"/>
      <c r="B46" s="20"/>
      <c r="C46" s="28"/>
      <c r="D46" s="32"/>
      <c r="E46" s="31"/>
      <c r="F46" s="31"/>
      <c r="G46" s="31"/>
      <c r="H46" s="31"/>
      <c r="I46" s="30"/>
      <c r="J46" s="4"/>
      <c r="K46" s="29"/>
      <c r="L46" s="28"/>
    </row>
    <row r="47" spans="1:12" ht="12" customHeight="1" x14ac:dyDescent="0.2">
      <c r="A47" s="52" t="s">
        <v>34</v>
      </c>
      <c r="B47" s="31" t="s">
        <v>2</v>
      </c>
      <c r="C47" s="28">
        <v>6991.1</v>
      </c>
      <c r="D47" s="32">
        <v>8936.6</v>
      </c>
      <c r="E47" s="31">
        <v>312.8</v>
      </c>
      <c r="F47" s="31">
        <v>2.2000000000000002</v>
      </c>
      <c r="G47" s="31"/>
      <c r="H47" s="31" t="s">
        <v>2</v>
      </c>
      <c r="I47" s="30">
        <v>447.7</v>
      </c>
      <c r="J47" s="4">
        <v>100995.79999999999</v>
      </c>
      <c r="K47" s="29">
        <v>20915.400000000001</v>
      </c>
      <c r="L47" s="37">
        <f>SUM(B47:K47)</f>
        <v>138601.59999999998</v>
      </c>
    </row>
    <row r="48" spans="1:12" ht="12" customHeight="1" x14ac:dyDescent="0.2">
      <c r="A48" s="35"/>
      <c r="B48" s="20"/>
      <c r="C48" s="28"/>
      <c r="D48" s="32"/>
      <c r="E48" s="31"/>
      <c r="F48" s="31"/>
      <c r="G48" s="31"/>
      <c r="H48" s="28"/>
      <c r="I48" s="28"/>
      <c r="J48" s="32"/>
      <c r="K48" s="29"/>
      <c r="L48" s="28"/>
    </row>
    <row r="49" spans="1:12" hidden="1" x14ac:dyDescent="0.2">
      <c r="A49" s="35" t="s">
        <v>33</v>
      </c>
      <c r="B49" s="20"/>
      <c r="C49" s="28">
        <f>22.6+250.5+116.2+15+59.6</f>
        <v>463.90000000000003</v>
      </c>
      <c r="D49" s="32">
        <f>739+59.2</f>
        <v>798.2</v>
      </c>
      <c r="E49" s="31">
        <f>0+11+151+6</f>
        <v>168</v>
      </c>
      <c r="F49" s="31">
        <f>251.8+608.2+887.2</f>
        <v>1747.2</v>
      </c>
      <c r="G49" s="29">
        <v>201.3</v>
      </c>
      <c r="H49" s="28">
        <f>48.9+72.6</f>
        <v>121.5</v>
      </c>
      <c r="I49" s="28">
        <f>184.7+443.5+10.8+779+35.8+127.5+35.5</f>
        <v>1616.8</v>
      </c>
      <c r="J49" s="32">
        <f>2374.8+63.1+9868.5+154.4+4997.4+117.6+4396.4+446.3+1333.7+87-154.4+153.8-35.5</f>
        <v>23803.099999999995</v>
      </c>
      <c r="K49" s="29">
        <f>738.4+4972.6+557+1366.6+285.7-4972.6+4973.2</f>
        <v>7920.9</v>
      </c>
      <c r="L49" s="28">
        <f>SUM(C49:K49)</f>
        <v>36840.899999999994</v>
      </c>
    </row>
    <row r="50" spans="1:12" hidden="1" x14ac:dyDescent="0.2">
      <c r="A50" s="35" t="s">
        <v>16</v>
      </c>
      <c r="B50" s="20"/>
      <c r="C50" s="28">
        <f>22.6+250.5+116.2+15+59.6-250.5+44.1-116.2+120.4-15+38-59.6+51.8-22.6+34</f>
        <v>288.30000000000007</v>
      </c>
      <c r="D50" s="32">
        <f>739+59.2-739+669+100</f>
        <v>828.2</v>
      </c>
      <c r="E50" s="31">
        <f>0+11+151+6</f>
        <v>168</v>
      </c>
      <c r="F50" s="31">
        <f>251.8+608.2+887.2+143.6-887.2+608.2</f>
        <v>1611.8</v>
      </c>
      <c r="G50" s="29">
        <f>201.3-201.3+183.3</f>
        <v>183.3</v>
      </c>
      <c r="H50" s="28">
        <f>48.9+72.6-48.9+47.1-72.6+71.5</f>
        <v>118.6</v>
      </c>
      <c r="I50" s="28">
        <f>184.7+443.5+10.8+779+35.8+127.5-443.5+446.9-779+820.3-184.7+174.7+43.7</f>
        <v>1659.6999999999998</v>
      </c>
      <c r="J50" s="32">
        <f>2374.8+63.1+9868.5+154.4+4997.4+117.6+4396.4+446.3+1333.7+87-9868.5+9986-154.4+153-4997.4+4936.6-117.6+116-4396.4+4298.8-446.3+450-1333.7+1319.5-87+87.5-2374.8+2298.8-63.1+61-153+152.4-43.7</f>
        <v>23662.899999999994</v>
      </c>
      <c r="K50" s="29">
        <f>738.4+4972.6+557+1366.6+285.7-4972.6+4956.1-557+560.4-1366.6+1360.3-285.7+226.8-738.4+769.9-4956.1+4956.7</f>
        <v>7874.1</v>
      </c>
      <c r="L50" s="28">
        <f>SUM(C50:K50)</f>
        <v>36394.899999999994</v>
      </c>
    </row>
    <row r="51" spans="1:12" hidden="1" x14ac:dyDescent="0.2">
      <c r="A51" s="35" t="s">
        <v>15</v>
      </c>
      <c r="B51" s="20"/>
      <c r="C51" s="28">
        <f>22.6+250.5+116.2+15+59.6-250.5+44.1-116.2+120.4-15+38-59.6+51.8-22.6+34-51.8+14.4-44.1+56.5-38+177.1-120.4+79.4-34+14.1</f>
        <v>341.50000000000011</v>
      </c>
      <c r="D51" s="32">
        <f>739+59.2-739+669+100-669+709-100</f>
        <v>768.2</v>
      </c>
      <c r="E51" s="31">
        <f>0+11+151+6</f>
        <v>168</v>
      </c>
      <c r="F51" s="31">
        <f>251.8+608.2+887.2+143.6-887.2+608.2-143.6+150</f>
        <v>1618.2</v>
      </c>
      <c r="G51" s="29">
        <f>201.3-201.3+183.3</f>
        <v>183.3</v>
      </c>
      <c r="H51" s="28">
        <f>48.9+72.6-48.9+47.1-72.6+71.5-47.1+44.1-71.5+129.1</f>
        <v>173.2</v>
      </c>
      <c r="I51" s="28">
        <f>184.7+443.5+10.8+779+35.8+127.5-443.5+446.9-779+820.3-184.7+174.7+43.7-171.2+171.6-446.9+450-820.3+820.6-174.7+196.7</f>
        <v>1685.5</v>
      </c>
      <c r="J51" s="32">
        <v>24055.4</v>
      </c>
      <c r="K51" s="29">
        <f>738.4+4972.6+557+1366.6+285.7-4972.6+4956.1-557+560.4-1366.6+1360.3-285.7+226.8-738.4+769.9-4956.1+4956.7-226.8+219.1-4956.7+4148.2-1360.3+1461.6-560.4+644.8-769.9+782.3</f>
        <v>7256.0000000000018</v>
      </c>
      <c r="L51" s="28">
        <f>SUM(C51:K51)</f>
        <v>36249.300000000003</v>
      </c>
    </row>
    <row r="52" spans="1:12" hidden="1" x14ac:dyDescent="0.2">
      <c r="A52" s="35" t="s">
        <v>14</v>
      </c>
      <c r="B52" s="20"/>
      <c r="C52" s="28">
        <f>22.6+250.5+116.2+15+59.6-250.5+44.1-116.2+120.4-15+38-59.6+51.8-22.6+34-51.8+14.4-44.1+56.5-38+177.1-120.4+79.4-34+14.1-79.4+120-56.5+95-14.1+11.4-14.4+70.4-177.1+163.4-11.4</f>
        <v>448.80000000000007</v>
      </c>
      <c r="D52" s="32">
        <f>739+59.2-739+669+100-669+709-100-709+290</f>
        <v>349.20000000000005</v>
      </c>
      <c r="E52" s="31">
        <f>0+11+151+6-151</f>
        <v>17</v>
      </c>
      <c r="F52" s="31">
        <f>251.8+608.2+887.2+143.6-887.2+608.2-143.6+150-150+150-251.8</f>
        <v>1366.4</v>
      </c>
      <c r="G52" s="29">
        <f>201.3-201.3+183.3</f>
        <v>183.3</v>
      </c>
      <c r="H52" s="28">
        <f>48.9+72.6-48.9+47.1-72.6+71.5-47.1+44.1-71.5+129.1-44.1+44.4-129.1+125.4</f>
        <v>169.8</v>
      </c>
      <c r="I52" s="28">
        <f>184.7+443.5+10.8+779+35.8+127.5-443.5+446.9-779+820.3-184.7+174.7+43.7-171.2+171.6-446.9+450-820.3+820.6-174.7+196.7-450+452.9-196.7+202.7-171.6+190.2-820.6+914.7-202.7</f>
        <v>1604.4000000000003</v>
      </c>
      <c r="J52" s="32">
        <f>2374.8+63.1+9868.5+154.4+4997.4+117.6+4396.4+446.3+1333.7+87-9868.5+9986-154.4+153-4997.4+4936.6-117.6+116-4396.4+4298.8-446.3+450-1333.7+1319.5-87+87.5-2374.8+2298.8-63.1+61-153+152.4-43.7-1275.8+1407-87.5+85.8-9986+10264.6-152.4+150.6-4298.8+4298.4-450+468.4-4936.6+4954.7-116+122.2-2298.8+2235.6-61+68.1-4954.7+5334.3-122.2+120.2-10264.6+10292.9-150.6+148.1-2235.6+2217.6-68.1+76.2-1407+1550.9-85.8+89.3-4298.4+4430.5-468.4+486.7-2217.6-76.2</f>
        <v>22452.899999999994</v>
      </c>
      <c r="K52" s="29">
        <f>738.4+4972.6+557+1366.6+285.7-4972.6+4956.1-557+560.4-1366.6+1360.3-285.7+226.8-738.4+769.9-4956.1+4956.7-226.8+219.1-4956.7+4148.2-1360.3+1461.6-560.4+644.8-769.9+782.3-644.8+801.8-4148.2+4933.6-782.3+891.4-219.1+209-1461.6+1454.2-891.4</f>
        <v>7398.6000000000022</v>
      </c>
      <c r="L52" s="28">
        <f>SUM(C52:K52)</f>
        <v>33990.399999999994</v>
      </c>
    </row>
    <row r="53" spans="1:12" hidden="1" x14ac:dyDescent="0.2">
      <c r="A53" s="35" t="s">
        <v>13</v>
      </c>
      <c r="B53" s="20"/>
      <c r="C53" s="28">
        <f>22.6+250.5+116.2+15+59.6-250.5+44.1-116.2+120.4-15+38-59.6+51.8-22.6+34-51.8+14.4-44.1+56.5-38+177.1-120.4+79.4-34+14.1-79.4+120-56.5+95-14.1+11.4-14.4+70.4-177.1+163.4-11.4-70.4+218.6-120+58.6-95+474.6-163.4+271</f>
        <v>1022.8000000000002</v>
      </c>
      <c r="D53" s="32">
        <f>739+59.2-739+669+100-669+709-100-709+290</f>
        <v>349.20000000000005</v>
      </c>
      <c r="E53" s="31">
        <f>0+11+151+6-151</f>
        <v>17</v>
      </c>
      <c r="F53" s="31">
        <f>251.8+608.2+887.2+143.6-887.2+608.2-143.6+150-150+150-251.8</f>
        <v>1366.4</v>
      </c>
      <c r="G53" s="29">
        <f>201.3-201.3+183.3</f>
        <v>183.3</v>
      </c>
      <c r="H53" s="28">
        <f>48.9+72.6-48.9+47.1-72.6+71.5-47.1+44.1-71.5+129.1-44.1+44.4-129.1+125.4-44.4+44.7-125.4+122</f>
        <v>166.70000000000002</v>
      </c>
      <c r="I53" s="28">
        <f>184.7+443.5+10.8+779+35.8+127.5-443.5+446.9-779+820.3-184.7+174.7+43.7-171.2+171.6-446.9+450-820.3+820.6-174.7+196.7-450+452.9-196.7+202.7-171.6+190.2-820.6+914.7-202.7-190.2+208.8-452.9+455.5-914.7+928.7</f>
        <v>1639.6000000000004</v>
      </c>
      <c r="J53" s="32">
        <f>2374.8+63.1+9868.5+154.4+4997.4+117.6+4396.4+446.3+1333.7+87-9868.5+9986-154.4+153-4997.4+4936.6-117.6+116-4396.4+4298.8-446.3+450-1333.7+1319.5-87+87.5-2374.8+2298.8-63.1+61-153+152.4-43.7-1275.8+1407-87.5+85.8-9986+10264.6-152.4+150.6-4298.8+4298.4-450+468.4-4936.6+4954.7-116+122.2-2298.8+2235.6-61+68.1-4954.7+5334.3-122.2+120.2-10264.6+10292.9-150.6+148.1-2235.6+2217.6-68.1+76.2-1407+1550.9-85.8+89.3-4298.4+4430.5-468.4+486.7-2217.6-76.2-1550.9+1932.7-89.3+86.7-5334.3+5318.3-120.2+122.2-10292.9+10954.6-148.1+145-4430.5+4797-486.7+496.9</f>
        <v>23853.399999999998</v>
      </c>
      <c r="K53" s="29">
        <f>738.4+4972.6+557+1366.6+285.7-4972.6+4956.1-557+560.4-1366.6+1360.3-285.7+226.8-738.4+769.9-4956.1+4956.7-226.8+219.1-4956.7+4148.2-1360.3+1461.6-560.4+644.8-769.9+782.3-644.8+801.8-4148.2+4933.6-782.3+891.4-219.1+209-1461.6+1454.2-891.4-209+228.9-801.8+790.6-4933.6+4983.6-1454.2+1422.5</f>
        <v>7425.6000000000022</v>
      </c>
      <c r="L53" s="28">
        <f>SUM(C53:K53)</f>
        <v>36024</v>
      </c>
    </row>
    <row r="54" spans="1:12" hidden="1" x14ac:dyDescent="0.2">
      <c r="A54" s="35" t="s">
        <v>12</v>
      </c>
      <c r="B54" s="20"/>
      <c r="C54" s="28">
        <f>22.6+250.5+116.2+15+59.6-250.5+44.1-116.2+120.4-15+38-59.6+51.8-22.6+34-51.8+14.4-44.1+56.5-38+177.1-120.4+79.4-34+14.1-79.4+120-56.5+95-14.1+11.4-14.4+70.4-177.1+163.4-11.4-70.4+218.6-120+58.6-95+474.6-163.4+271-218.6+145.2-58.6+208.3-271+315.6-474.6+227.3</f>
        <v>896.40000000000032</v>
      </c>
      <c r="D54" s="32">
        <f>739+59.2-739+669+100-669+709-100-709+290-290+150</f>
        <v>209.20000000000005</v>
      </c>
      <c r="E54" s="31">
        <f>0+11+151+6-151</f>
        <v>17</v>
      </c>
      <c r="F54" s="31">
        <f>251.8+608.2+887.2+143.6-887.2+608.2-143.6+150-150+150-251.8-150+370</f>
        <v>1586.4</v>
      </c>
      <c r="G54" s="29">
        <f>201.3-201.3+183.3-183.3+164.4</f>
        <v>164.4</v>
      </c>
      <c r="H54" s="28">
        <f>48.9+72.6-48.9+47.1-72.6+71.5-47.1+44.1-71.5+129.1-44.1+44.4-129.1+125.4-44.4+44.7-125.4+122-122+142.8-44.7+43.9</f>
        <v>186.70000000000002</v>
      </c>
      <c r="I54" s="28">
        <f>184.7+443.5+10.8+779+35.8+127.5-443.5+446.9-779+820.3-184.7+174.7+43.7-171.2+171.6-446.9+450-820.3+820.6-174.7+196.7-450+452.9-196.7+202.7-171.6+190.2-820.6+914.7-202.7-190.2+208.8-452.9+455.5-914.7+928.7-208.8+230.7-928.7+949.5-455.5+457.8</f>
        <v>1684.6000000000004</v>
      </c>
      <c r="J54" s="32">
        <f>2374.8+63.1+9868.5+154.4+4997.4+117.6+4396.4+446.3+1333.7+87-9868.5+9986-154.4+153-4997.4+4936.6-117.6+116-4396.4+4298.8-446.3+450-1333.7+1319.5-87+87.5-2374.8+2298.8-63.1+61-153+152.4-43.7-1275.8+1407-87.5+85.8-9986+10264.6-152.4+150.6-4298.8+4298.4-450+468.4-4936.6+4954.7-116+122.2-2298.8+2235.6-61+68.1-4954.7+5334.3-122.2+120.2-10264.6+10292.9-150.6+148.1-2235.6+2217.6-68.1+76.2-1407+1550.9-85.8+89.3-4298.4+4430.5-468.4+486.7-2217.6-76.2-1550.9+1932.7-89.3+86.7-5334.3+5318.3-120.2+122.2-10292.9+10954.6-148.1+145-4430.5+4797-486.7+496.9-1932.7+2317-5318.3+5169.7-122.2+124.2-4797+5141.6-496.9+504-10954.6+12187.3</f>
        <v>25675.499999999993</v>
      </c>
      <c r="K54" s="29">
        <f>738.4+4972.6+557+1366.6+285.7-4972.6+4956.1-557+560.4-1366.6+1360.3-285.7+226.8-738.4+769.9-4956.1+4956.7-226.8+219.1-4956.7+4148.2-1360.3+1461.6-560.4+644.8-769.9+782.3-644.8+801.8-4148.2+4933.6-782.3+891.4-219.1+209-1461.6+1454.2-891.4-209+228.9-801.8+790.6-4933.6+4983.6-1454.2+1422.5-228.9+287.6-86.7+85-790.6+712.6-1422.5+1530.9-4983.6+5071.8</f>
        <v>7601.2000000000035</v>
      </c>
      <c r="L54" s="28">
        <f>SUM(C54:K54)</f>
        <v>38021.399999999994</v>
      </c>
    </row>
    <row r="55" spans="1:12" hidden="1" x14ac:dyDescent="0.2">
      <c r="A55" s="35" t="s">
        <v>11</v>
      </c>
      <c r="B55" s="20"/>
      <c r="C55" s="28">
        <f>22.6+250.5+116.2+15+59.6-250.5+44.1-116.2+120.4-15+38-59.6+51.8-22.6+34-51.8+14.4-44.1+56.5-38+177.1-120.4+79.4-34+14.1-79.4+120-56.5+95-14.1+11.4-14.4+70.4-177.1+163.4-11.4-70.4+218.6-120+58.6-95+474.6-163.4+271-218.6+145.2-58.6+208.3-271+315.6-474.6+227.3-145.2+128.2-208.3+60.5-315.6+266.7-227.3+128.9</f>
        <v>584.3000000000003</v>
      </c>
      <c r="D55" s="32">
        <f>739+59.2-739+669+100-669+709-100-709+290-290+150-150+300+200</f>
        <v>559.20000000000005</v>
      </c>
      <c r="E55" s="31">
        <f>0+11+151+6-151</f>
        <v>17</v>
      </c>
      <c r="F55" s="31">
        <f>251.8+608.2+887.2+143.6-887.2+608.2-143.6+150-150+150-251.8-150+370-370+410-608.2+1052.5-608.2+956.9</f>
        <v>2419.3999999999996</v>
      </c>
      <c r="G55" s="29">
        <f>201.3-201.3+183.3-183.3+164.4-164.4+144.4</f>
        <v>144.4</v>
      </c>
      <c r="H55" s="28">
        <f>48.9+72.6-48.9+47.1-72.6+71.5-47.1+44.1-71.5+129.1-44.1+44.4-129.1+125.4-44.4+44.7-125.4+122-122+142.8-44.7+43.9-142.8+295.4-43.9+44.5</f>
        <v>339.9</v>
      </c>
      <c r="I55" s="28">
        <f>184.7+443.5+10.8+779+35.8+127.5-443.5+446.9-779+820.3-184.7+174.7+43.7-171.2+171.6-446.9+450-820.3+820.6-174.7+196.7-450+452.9-196.7+202.7-171.6+190.2-820.6+914.7-202.7-190.2+208.8-452.9+455.5-914.7+928.7-208.8+230.7-928.7+949.5-455.5+457.8-230.7+259.4-949.5+619.2-457.8+619.9</f>
        <v>1545.1000000000004</v>
      </c>
      <c r="J55" s="32">
        <f>2374.8+63.1+9868.5+154.4+4997.4+117.6+4396.4+446.3+1333.7+87-9868.5+9986-154.4+153-4997.4+4936.6-117.6+116-4396.4+4298.8-446.3+450-1333.7+1319.5-87+87.5-2374.8+2298.8-63.1+61-153+152.4-43.7-1275.8+1407-87.5+85.8-9986+10264.6-152.4+150.6-4298.8+4298.4-450+468.4-4936.6+4954.7-116+122.2-2298.8+2235.6-61+68.1-4954.7+5334.3-122.2+120.2-10264.6+10292.9-150.6+148.1-2235.6+2217.6-68.1+76.2-1407+1550.9-85.8+89.3-4298.4+4430.5-468.4+486.7-2217.6-76.2-1550.9+1932.7-89.3+86.7-5334.3+5318.3-120.2+122.2-10292.9+10954.6-148.1+145-4430.5+4797-486.7+496.9-1932.7+2317-5318.3+5169.7-122.2+124.2-4797+5141.6-496.9+504-10954.6+12187.3-2317+2925.1-5169.7+5105.3-124.2+124.3-5141.6+5498.7-504+505.7-12187.3+12558.8-145+143.1</f>
        <v>26947.69999999999</v>
      </c>
      <c r="K55" s="29">
        <f>738.4+4972.6+557+1366.6+285.7-4972.6+4956.1-557+560.4-1366.6+1360.3-285.7+226.8-738.4+769.9-4956.1+4956.7-226.8+219.1-4956.7+4148.2-1360.3+1461.6-560.4+644.8-769.9+782.3-644.8+801.8-4148.2+4933.6-782.3+891.4-219.1+209-1461.6+1454.2-891.4-209+228.9-801.8+790.6-4933.6+4983.6-1454.2+1422.5-228.9+287.6-86.7+85-790.6+712.6-1422.5+1530.9-4983.6+5071.8-287.6+211.6-85+83.7-712.6+777.7-1530.9+1442.4-5071.8+4970.2</f>
        <v>7398.9000000000015</v>
      </c>
      <c r="L55" s="28">
        <f>SUM(C55:K55)</f>
        <v>39955.899999999994</v>
      </c>
    </row>
    <row r="56" spans="1:12" hidden="1" x14ac:dyDescent="0.2">
      <c r="A56" s="35" t="s">
        <v>10</v>
      </c>
      <c r="B56" s="20"/>
      <c r="C56" s="28">
        <f>22.6+250.5+116.2+15+59.6-250.5+44.1-116.2+120.4-15+38-59.6+51.8-22.6+34-51.8+14.4-44.1+56.5-38+177.1-120.4+79.4-34+14.1-79.4+120-56.5+95-14.1+11.4-14.4+70.4-177.1+163.4-11.4-70.4+218.6-120+58.6-95+474.6-163.4+271-218.6+145.2-58.6+208.3-271+315.6-474.6+227.3-145.2+128.2-208.3+60.5-315.6+266.7-227.3+128.9-128.2+29.4-266.7+42-60.5+184.2-128.9+198.8</f>
        <v>454.40000000000032</v>
      </c>
      <c r="D56" s="32">
        <f>739+59.2-739+669+100-669+709-100-709+290-290+150-150+300+200-300+200-200+300</f>
        <v>559.20000000000005</v>
      </c>
      <c r="E56" s="31">
        <f>0+11+151+6-151</f>
        <v>17</v>
      </c>
      <c r="F56" s="31">
        <f>251.8+608.2+887.2+143.6-887.2+608.2-143.6+150-150+150-251.8-150+370-370+410-608.2+1052.5-608.2+956.9-410+460</f>
        <v>2469.3999999999996</v>
      </c>
      <c r="G56" s="29">
        <f>201.3-201.3+183.3-183.3+164.4-164.4+144.4+45.8</f>
        <v>190.2</v>
      </c>
      <c r="H56" s="28">
        <f>48.9+72.6-48.9+47.1-72.6+71.5-47.1+44.1-71.5+129.1-44.1+44.4-129.1+125.4-44.4+44.7-125.4+122-122+142.8-44.7+43.9-142.8+295.4-43.9+44.5-295.4+114.5+80.1-44.5+42.4</f>
        <v>237</v>
      </c>
      <c r="I56" s="28">
        <f>184.7+443.5+10.8+779+35.8+127.5-443.5+446.9-779+820.3-184.7+174.7+43.7-171.2+171.6-446.9+450-820.3+820.6-174.7+196.7-450+452.9-196.7+202.7-171.6+190.2-820.6+914.7-202.7-190.2+208.8-452.9+455.5-914.7+928.7-208.8+230.7-928.7+949.5-455.5+457.8-230.7+259.4-949.5+619.2-457.8+619.9-259.4+260.7-619.2+786.9+76.4-619.9+487.6</f>
        <v>1658.2000000000003</v>
      </c>
      <c r="J56" s="32">
        <f>2374.8+63.1+9868.5+154.4+4997.4+117.6+4396.4+446.3+1333.7+87-9868.5+9986-154.4+153-4997.4+4936.6-117.6+116-4396.4+4298.8-446.3+450-1333.7+1319.5-87+87.5-2374.8+2298.8-63.1+61-153+152.4-43.7-1275.8+1407-87.5+85.8-9986+10264.6-152.4+150.6-4298.8+4298.4-450+468.4-4936.6+4954.7-116+122.2-2298.8+2235.6-61+68.1-4954.7+5334.3-122.2+120.2-10264.6+10292.9-150.6+148.1-2235.6+2217.6-68.1+76.2-1407+1550.9-85.8+89.3-4298.4+4430.5-468.4+486.7-2217.6-76.2-1550.9+1932.7-89.3+86.7-5334.3+5318.3-120.2+122.2-10292.9+10954.6-148.1+145-4430.5+4797-486.7+496.9-1932.7+2317-5318.3+5169.7-122.2+124.2-4797+5141.6-496.9+504-10954.6+12187.3-2317+2925.1-5169.7+5105.3-124.2+124.3-5141.6+5498.7-504+505.7-12187.3+12558.8-145+143.1-2925.1+3298.6-5498.7+6284.9-505.7+523.9-5105.3+4859.6-124.3+120.8-12558.8+13333.2-153.9+157.6</f>
        <v>28654.499999999985</v>
      </c>
      <c r="K56" s="29">
        <f>738.4+4972.6+557+1366.6+285.7-4972.6+4956.1-557+560.4-1366.6+1360.3-285.7+226.8-738.4+769.9-4956.1+4956.7-226.8+219.1-4956.7+4148.2-1360.3+1461.6-560.4+644.8-769.9+782.3-644.8+801.8-4148.2+4933.6-782.3+891.4-219.1+209-1461.6+1454.2-891.4-209+228.9-801.8+790.6-4933.6+4983.6-1454.2+1422.5-228.9+287.6-86.7+85-790.6+712.6-1422.5+1530.9-4983.6+5071.8-287.6+211.6-85+83.7-712.6+777.7-1530.9+1442.4-5071.8+4970.2-211.6+255.1-83.7+78.5-1442.4+1561.6-777.7+787.6-4970.2+5059.4</f>
        <v>7655.5000000000018</v>
      </c>
      <c r="L56" s="28">
        <f>SUM(C56:K56)</f>
        <v>41895.399999999987</v>
      </c>
    </row>
    <row r="57" spans="1:12" hidden="1" x14ac:dyDescent="0.2">
      <c r="A57" s="35" t="s">
        <v>9</v>
      </c>
      <c r="B57" s="20"/>
      <c r="C57" s="28">
        <f>30.7+56.5+15+211</f>
        <v>313.2</v>
      </c>
      <c r="D57" s="32">
        <f>200+59.2+200</f>
        <v>459.2</v>
      </c>
      <c r="E57" s="31">
        <f>6+11</f>
        <v>17</v>
      </c>
      <c r="F57" s="31">
        <f>520+1052.5+956.9</f>
        <v>2529.4</v>
      </c>
      <c r="G57" s="29">
        <f>45.8+144.4</f>
        <v>190.2</v>
      </c>
      <c r="H57" s="28">
        <f>104.4+133.2+42</f>
        <v>279.60000000000002</v>
      </c>
      <c r="I57" s="28">
        <f>262.6+75.9+844.2+35.8+546.3+10.8</f>
        <v>1775.6</v>
      </c>
      <c r="J57" s="32">
        <f>3327.4+78.9+4816.9+148+6292.8+521.8+13521.7+144.6</f>
        <v>28852.1</v>
      </c>
      <c r="K57" s="29">
        <f>258.9+828.8+1303.3+7702</f>
        <v>10093</v>
      </c>
      <c r="L57" s="28">
        <f>SUM(C57:K57)</f>
        <v>44509.299999999996</v>
      </c>
    </row>
    <row r="58" spans="1:12" hidden="1" x14ac:dyDescent="0.2">
      <c r="A58" s="35" t="s">
        <v>8</v>
      </c>
      <c r="B58" s="20"/>
      <c r="C58" s="28">
        <f>274.4+84.4+65.3+86.7</f>
        <v>510.79999999999995</v>
      </c>
      <c r="D58" s="32">
        <f>350+59.2+150</f>
        <v>559.20000000000005</v>
      </c>
      <c r="E58" s="31">
        <f>6+11</f>
        <v>17</v>
      </c>
      <c r="F58" s="31">
        <f>570+1052.5+1267.2</f>
        <v>2889.7</v>
      </c>
      <c r="G58" s="29">
        <f>40+153.4</f>
        <v>193.4</v>
      </c>
      <c r="H58" s="28">
        <f>104+131.9+41.9</f>
        <v>277.8</v>
      </c>
      <c r="I58" s="28">
        <f>262.6+73.8+909.4+35.8+530.2+10.8</f>
        <v>1822.6</v>
      </c>
      <c r="J58" s="32">
        <f>3255.2+79.6+4781.4+166.3+6077.7+518.7+13191.4+143.7</f>
        <v>28213.999999999996</v>
      </c>
      <c r="K58" s="29">
        <f>305.6+838.9+1422.3+7648.5</f>
        <v>10215.299999999999</v>
      </c>
      <c r="L58" s="28">
        <f>SUM(C58:K58)</f>
        <v>44699.8</v>
      </c>
    </row>
    <row r="59" spans="1:12" hidden="1" x14ac:dyDescent="0.2">
      <c r="A59" s="35" t="s">
        <v>7</v>
      </c>
      <c r="B59" s="20"/>
      <c r="C59" s="28">
        <f>18.8+403.7+96+169.9</f>
        <v>688.4</v>
      </c>
      <c r="D59" s="32">
        <f>320+59.2</f>
        <v>379.2</v>
      </c>
      <c r="E59" s="31">
        <f>6+11</f>
        <v>17</v>
      </c>
      <c r="F59" s="31">
        <f>241+1052.5+1267.2</f>
        <v>2560.6999999999998</v>
      </c>
      <c r="G59" s="29">
        <f>40+123.4</f>
        <v>163.4</v>
      </c>
      <c r="H59" s="28">
        <f>103.6+128.1+40.9</f>
        <v>272.59999999999997</v>
      </c>
      <c r="I59" s="28">
        <f>262.6+69.8+905.9+35.8+539.8+10.8</f>
        <v>1824.6999999999998</v>
      </c>
      <c r="J59" s="32">
        <f>3103.9+78.3+5043.9+175.8+6127.1+518.9+12859.6+140.2</f>
        <v>28047.7</v>
      </c>
      <c r="K59" s="29">
        <f>290.4+1043.6+1415.9+7645.6</f>
        <v>10395.5</v>
      </c>
      <c r="L59" s="28">
        <f>SUM(C59:K59)</f>
        <v>44349.2</v>
      </c>
    </row>
    <row r="60" spans="1:12" hidden="1" x14ac:dyDescent="0.2">
      <c r="A60" s="35" t="s">
        <v>6</v>
      </c>
      <c r="B60" s="20"/>
      <c r="C60" s="28">
        <f>30.5+86.5+76+130.8</f>
        <v>323.8</v>
      </c>
      <c r="D60" s="32">
        <f>320+59.2</f>
        <v>379.2</v>
      </c>
      <c r="E60" s="31">
        <f>6+11</f>
        <v>17</v>
      </c>
      <c r="F60" s="31">
        <f>154.3+1052.5+1044.5</f>
        <v>2251.3000000000002</v>
      </c>
      <c r="G60" s="29">
        <f>37+101.2</f>
        <v>138.19999999999999</v>
      </c>
      <c r="H60" s="28">
        <f>103.3+124.3+40</f>
        <v>267.60000000000002</v>
      </c>
      <c r="I60" s="28">
        <f>262.6+69.3+881.4+35.8+355.2+10.8</f>
        <v>1615.1</v>
      </c>
      <c r="J60" s="32">
        <f>2977.4+76.3+5130.1+189.2+6084.1+516.8+12827.6+133.7</f>
        <v>27935.200000000001</v>
      </c>
      <c r="K60" s="29">
        <f>377.2+1183.2+1406+7927.5</f>
        <v>10893.9</v>
      </c>
      <c r="L60" s="28">
        <f>SUM(C60:K60)</f>
        <v>43821.3</v>
      </c>
    </row>
    <row r="61" spans="1:12" ht="12" hidden="1" customHeight="1" x14ac:dyDescent="0.2">
      <c r="A61" s="51"/>
      <c r="B61" s="50"/>
      <c r="C61" s="49"/>
      <c r="D61" s="48"/>
      <c r="E61" s="46"/>
      <c r="F61" s="29"/>
      <c r="G61" s="46"/>
      <c r="H61" s="45"/>
      <c r="I61" s="45"/>
      <c r="J61" s="47"/>
      <c r="K61" s="46"/>
      <c r="L61" s="45"/>
    </row>
    <row r="62" spans="1:12" ht="12" hidden="1" customHeight="1" x14ac:dyDescent="0.2">
      <c r="A62" s="35" t="s">
        <v>32</v>
      </c>
      <c r="B62" s="20"/>
      <c r="C62" s="28">
        <f>28.6+18.1+32.5+6.8+60.6</f>
        <v>146.6</v>
      </c>
      <c r="D62" s="32">
        <f>59.2+200</f>
        <v>259.2</v>
      </c>
      <c r="E62" s="31">
        <f>6+11</f>
        <v>17</v>
      </c>
      <c r="F62" s="31">
        <f>608.2+647.1+89.2+122.7</f>
        <v>1467.2000000000003</v>
      </c>
      <c r="G62" s="29">
        <f>101.2+97.6+34</f>
        <v>232.8</v>
      </c>
      <c r="H62" s="28">
        <f>122.5+39.5+98.1</f>
        <v>260.10000000000002</v>
      </c>
      <c r="I62" s="28">
        <f>881.4+35.8+135.1+518.5+10.8+67.6</f>
        <v>1649.1999999999998</v>
      </c>
      <c r="J62" s="32">
        <f>5910.2+511.3+2792.4+74.8+12221.4+147+410.7+44.3+5229.2+209.4</f>
        <v>27550.7</v>
      </c>
      <c r="K62" s="29">
        <f>1568.6+261.3+7926.9+71.1+1170.2</f>
        <v>10998.1</v>
      </c>
      <c r="L62" s="28">
        <f>SUM(C62:K62)</f>
        <v>42580.9</v>
      </c>
    </row>
    <row r="63" spans="1:12" hidden="1" x14ac:dyDescent="0.2">
      <c r="A63" s="35" t="s">
        <v>16</v>
      </c>
      <c r="B63" s="20"/>
      <c r="C63" s="28">
        <f>19.6+49.7+18.1+5.3+102.8</f>
        <v>195.5</v>
      </c>
      <c r="D63" s="32">
        <f>59.2+400</f>
        <v>459.2</v>
      </c>
      <c r="E63" s="31">
        <f>6+11</f>
        <v>17</v>
      </c>
      <c r="F63" s="31">
        <f>608.2+647.1+88.5+98.3</f>
        <v>1442.1000000000001</v>
      </c>
      <c r="G63" s="29">
        <f>101.2+108.4+30.8</f>
        <v>240.40000000000003</v>
      </c>
      <c r="H63" s="28">
        <f>119.9+39.4+96</f>
        <v>255.3</v>
      </c>
      <c r="I63" s="28">
        <f>881.4+35.8+135.1+521.8+10.8+67.6</f>
        <v>1652.4999999999998</v>
      </c>
      <c r="J63" s="32">
        <f>5675.2+549.2+2585.3+72.4+11964.6+152.1+392.4+44.3+5214.6+214.4</f>
        <v>26864.5</v>
      </c>
      <c r="K63" s="29">
        <f>1682.6+285.1+7988.5+72.3+1190.6</f>
        <v>11219.1</v>
      </c>
      <c r="L63" s="28">
        <f>SUM(C63:K63)</f>
        <v>42345.599999999999</v>
      </c>
    </row>
    <row r="64" spans="1:12" hidden="1" x14ac:dyDescent="0.2">
      <c r="A64" s="35" t="s">
        <v>15</v>
      </c>
      <c r="B64" s="20"/>
      <c r="C64" s="28">
        <f>50.9+40.8+58.5+3.3+77.2</f>
        <v>230.7</v>
      </c>
      <c r="D64" s="32">
        <f>59.2+200+150</f>
        <v>409.2</v>
      </c>
      <c r="E64" s="31">
        <f>6+11</f>
        <v>17</v>
      </c>
      <c r="F64" s="31">
        <f>608.2+647.1+98.5+248.3</f>
        <v>1602.1000000000001</v>
      </c>
      <c r="G64" s="29">
        <f>101.2+98.2+27.7</f>
        <v>227.1</v>
      </c>
      <c r="H64" s="28">
        <f>118.6+39.3+95.6</f>
        <v>253.49999999999997</v>
      </c>
      <c r="I64" s="28">
        <f>881.4+35.8+135.1+524.7+10.8+66.6</f>
        <v>1654.3999999999999</v>
      </c>
      <c r="J64" s="32">
        <f>5423.4+550.3+2422.8+66.8+11644.4+148.6+390.2+43.3+5167+235.8</f>
        <v>26092.599999999995</v>
      </c>
      <c r="K64" s="29">
        <f>1744.6+273.2+8528.9+81.7+1185.1</f>
        <v>11813.5</v>
      </c>
      <c r="L64" s="28">
        <f>SUM(C64:K64)</f>
        <v>42300.099999999991</v>
      </c>
    </row>
    <row r="65" spans="1:12" ht="12" hidden="1" customHeight="1" x14ac:dyDescent="0.2">
      <c r="A65" s="35" t="s">
        <v>14</v>
      </c>
      <c r="B65" s="20"/>
      <c r="C65" s="28">
        <f>11.8+36.1+27.4+14.9+120</f>
        <v>210.20000000000002</v>
      </c>
      <c r="D65" s="32">
        <f>59.2+370+50</f>
        <v>479.2</v>
      </c>
      <c r="E65" s="31">
        <f>6+11</f>
        <v>17</v>
      </c>
      <c r="F65" s="31">
        <f>186.6+225.4+93.5+278.3</f>
        <v>783.8</v>
      </c>
      <c r="G65" s="29">
        <f>77.9+101.9+27.7</f>
        <v>207.5</v>
      </c>
      <c r="H65" s="28">
        <f>189.3+37.8+86.1</f>
        <v>313.20000000000005</v>
      </c>
      <c r="I65" s="28">
        <f>878.5+35.8+135.1+527.4+10.8+74.4</f>
        <v>1661.9999999999998</v>
      </c>
      <c r="J65" s="32">
        <f>5228.6+577.6+2212.8+24+11307.1+144.7+371.6+43+5090.6+245.4</f>
        <v>25245.4</v>
      </c>
      <c r="K65" s="29">
        <f>1616.6+271.3+8515.3+86.4+1153.3</f>
        <v>11642.899999999998</v>
      </c>
      <c r="L65" s="28">
        <f>SUM(C65:K65)</f>
        <v>40561.199999999997</v>
      </c>
    </row>
    <row r="66" spans="1:12" ht="12" hidden="1" customHeight="1" x14ac:dyDescent="0.2">
      <c r="A66" s="35" t="s">
        <v>13</v>
      </c>
      <c r="B66" s="20"/>
      <c r="C66" s="28">
        <f>16.8+51.6+11.1+76.1</f>
        <v>155.6</v>
      </c>
      <c r="D66" s="32">
        <f>400+50</f>
        <v>450</v>
      </c>
      <c r="E66" s="31">
        <f>11</f>
        <v>11</v>
      </c>
      <c r="F66" s="31">
        <f>225.4+89+458.3</f>
        <v>772.7</v>
      </c>
      <c r="G66" s="29">
        <f>147.8+18.1</f>
        <v>165.9</v>
      </c>
      <c r="H66" s="28">
        <f>37.7+159.3</f>
        <v>197</v>
      </c>
      <c r="I66" s="28">
        <f>135.1+560.9+10.8+73.6</f>
        <v>780.4</v>
      </c>
      <c r="J66" s="32">
        <f>2143.1+23.2+11217.9+144.7+334.4+42.2+5020.9+242.2</f>
        <v>19168.600000000002</v>
      </c>
      <c r="K66" s="29">
        <f>281.9+8400.9+80.3+1141.4</f>
        <v>9904.4999999999982</v>
      </c>
      <c r="L66" s="28">
        <f>SUM(C66:K66)</f>
        <v>31605.700000000004</v>
      </c>
    </row>
    <row r="67" spans="1:12" ht="12" hidden="1" customHeight="1" x14ac:dyDescent="0.2">
      <c r="A67" s="35" t="s">
        <v>12</v>
      </c>
      <c r="B67" s="20"/>
      <c r="C67" s="28">
        <f>21.6+60.9+94.2+64.1</f>
        <v>240.79999999999998</v>
      </c>
      <c r="D67" s="32">
        <f>50</f>
        <v>50</v>
      </c>
      <c r="E67" s="31">
        <f>11</f>
        <v>11</v>
      </c>
      <c r="F67" s="31">
        <f>225.4+0.2+518.3</f>
        <v>743.9</v>
      </c>
      <c r="G67" s="29">
        <f>115+14.7</f>
        <v>129.69999999999999</v>
      </c>
      <c r="H67" s="28">
        <f>37.8+158.9</f>
        <v>196.7</v>
      </c>
      <c r="I67" s="28">
        <f>135.1+470.6+10.8+71.9</f>
        <v>688.4</v>
      </c>
      <c r="J67" s="32">
        <f>2035.9+11.9+11215.6+125.2+369.6+41.5+5109.8+160.9</f>
        <v>19070.400000000005</v>
      </c>
      <c r="K67" s="29">
        <f>263.3+9270.6+80.6+1158.1</f>
        <v>10772.6</v>
      </c>
      <c r="L67" s="28">
        <f>SUM(C67:K67)</f>
        <v>31903.500000000007</v>
      </c>
    </row>
    <row r="68" spans="1:12" ht="12" hidden="1" customHeight="1" x14ac:dyDescent="0.2">
      <c r="A68" s="35" t="s">
        <v>11</v>
      </c>
      <c r="B68" s="20"/>
      <c r="C68" s="28">
        <f>21.6+60.9+94.2+64.1-21.6+23.7-94.2+94.3-60.9+63.5-64.1+77.8</f>
        <v>259.3</v>
      </c>
      <c r="D68" s="32">
        <f>50</f>
        <v>50</v>
      </c>
      <c r="E68" s="31">
        <f>11</f>
        <v>11</v>
      </c>
      <c r="F68" s="31">
        <f>225.4+0.2+518.3-518.3+518.1</f>
        <v>743.7</v>
      </c>
      <c r="G68" s="29">
        <f>115+14.7-115+110.3</f>
        <v>124.99999999999999</v>
      </c>
      <c r="H68" s="28">
        <f>37.8+158.9-37.8+35.6-158.9+64</f>
        <v>99.599999999999966</v>
      </c>
      <c r="I68" s="28">
        <f>135.1+470.6+10.8+71.9-470.6+543.1-71.9+72</f>
        <v>761</v>
      </c>
      <c r="J68" s="32">
        <f>2035.9+11.9+11215.6+125.2+369.6+41.5+5109.8+160.9-2035.9+1983-11.9+11.3-369.6+373.8-41.5+40.5-11215.6+11197-136+136.1-5109.8+5192.6-160.9+167.2</f>
        <v>19090.7</v>
      </c>
      <c r="K68" s="29">
        <f>263.3+9270.6+80.6+1158.1-263.3+257.9-80.6+104.1-9270.6+8964.5-1158.1+1144.1</f>
        <v>10470.6</v>
      </c>
      <c r="L68" s="28">
        <f>SUM(C68:K68)</f>
        <v>31610.9</v>
      </c>
    </row>
    <row r="69" spans="1:12" ht="12" hidden="1" customHeight="1" x14ac:dyDescent="0.2">
      <c r="A69" s="35" t="s">
        <v>10</v>
      </c>
      <c r="B69" s="20"/>
      <c r="C69" s="28">
        <v>351.5</v>
      </c>
      <c r="D69" s="32">
        <v>90</v>
      </c>
      <c r="E69" s="31">
        <v>11</v>
      </c>
      <c r="F69" s="31">
        <v>741.9</v>
      </c>
      <c r="G69" s="29">
        <v>125</v>
      </c>
      <c r="H69" s="28">
        <v>114.7</v>
      </c>
      <c r="I69" s="28">
        <v>828.8</v>
      </c>
      <c r="J69" s="32">
        <v>19184.599999999999</v>
      </c>
      <c r="K69" s="29">
        <v>10447.1</v>
      </c>
      <c r="L69" s="28">
        <f>SUM(C69:K69)</f>
        <v>31894.6</v>
      </c>
    </row>
    <row r="70" spans="1:12" ht="12" hidden="1" customHeight="1" x14ac:dyDescent="0.2">
      <c r="A70" s="35" t="s">
        <v>9</v>
      </c>
      <c r="B70" s="20"/>
      <c r="C70" s="28">
        <f>351.5-151.2+157-17.4+21.1-54.2+63.5-128.7+81.8</f>
        <v>323.40000000000009</v>
      </c>
      <c r="D70" s="32">
        <v>90</v>
      </c>
      <c r="E70" s="31">
        <v>11</v>
      </c>
      <c r="F70" s="31">
        <f>741.9-1.5+50.2</f>
        <v>790.6</v>
      </c>
      <c r="G70" s="29">
        <f>125-110.3+113.5-14.7+7.8</f>
        <v>121.29999999999998</v>
      </c>
      <c r="H70" s="28">
        <f>114.7-35.7+55.4-79+355.8</f>
        <v>411.20000000000005</v>
      </c>
      <c r="I70" s="28">
        <f>828.8-611.3+590.4-71.6+86.4</f>
        <v>822.69999999999993</v>
      </c>
      <c r="J70" s="32">
        <f>19184.6-370.4+372-39.9+37.3-1962.3+1961.3-11.2+10.5-11293.4+11246.2-134.9+132.8-5213.4+5139.2-169.9+182.1</f>
        <v>19070.599999999991</v>
      </c>
      <c r="K70" s="29">
        <f>10447.1-99.9+100.5-255.2+251.3-8955+9241.1-1137+1137.3</f>
        <v>10730.199999999999</v>
      </c>
      <c r="L70" s="28">
        <f>SUM(C70:K70)</f>
        <v>32370.999999999993</v>
      </c>
    </row>
    <row r="71" spans="1:12" ht="12" hidden="1" customHeight="1" x14ac:dyDescent="0.2">
      <c r="A71" s="35" t="s">
        <v>8</v>
      </c>
      <c r="B71" s="20"/>
      <c r="C71" s="28">
        <f>351.5-151.2+157-17.4+21.1-54.2+63.5-128.7+81.8-157+159.4-21.1+23.7-63.5+32.7-81.8+503.5</f>
        <v>719.3</v>
      </c>
      <c r="D71" s="32" t="s">
        <v>2</v>
      </c>
      <c r="E71" s="31">
        <v>11</v>
      </c>
      <c r="F71" s="31">
        <f>741.9-1.5+50.2-50.2+49.4-515+415</f>
        <v>689.8</v>
      </c>
      <c r="G71" s="29">
        <f>125-110.3+113.5-14.7+7.8-113.5+115.6-7.8+0.7</f>
        <v>116.29999999999998</v>
      </c>
      <c r="H71" s="28">
        <f>114.7-35.7+55.4-79+355.8-55.4+32.2-355.8+72.7</f>
        <v>104.90000000000005</v>
      </c>
      <c r="I71" s="28">
        <f>828.8-611.3+590.4-71.6+86.4-590.4+596-86.4+70.8</f>
        <v>812.69999999999993</v>
      </c>
      <c r="J71" s="32">
        <f>19184.6-370.4+372-39.9+37.3-1962.3+1961.3-11.2+10.5-11293.4+11246.2-134.9+132.8-5213.4+5139.2-169.9+182.1-372+365.3-37.3+42-1961.3+1950-10.5+10-11246.2+11719.9-132.8+130.5-5139.2+5109.3-182.1+188.9</f>
        <v>19505.099999999995</v>
      </c>
      <c r="K71" s="29">
        <f>10447.1-99.9+100.5-255.2+251.3-8955+9241.1-1137+1137.3-100.5+102-251.3+232.6-9241.1+9151.7-1137.3+1128.7</f>
        <v>10615.000000000002</v>
      </c>
      <c r="L71" s="28">
        <f>SUM(C71:K71)</f>
        <v>32574.1</v>
      </c>
    </row>
    <row r="72" spans="1:12" ht="12" hidden="1" customHeight="1" x14ac:dyDescent="0.2">
      <c r="A72" s="35" t="s">
        <v>7</v>
      </c>
      <c r="B72" s="20"/>
      <c r="C72" s="28">
        <f>351.5-151.2+157-17.4+21.1-54.2+63.5-128.7+81.8-157+159.4-21.1+23.7-63.5+32.7-81.8+503.5-159.4+153.2-23.7+46.7-503.5+102.1-32.7+29.1</f>
        <v>331.09999999999997</v>
      </c>
      <c r="D72" s="32">
        <f>0+240+300</f>
        <v>540</v>
      </c>
      <c r="E72" s="31">
        <v>11</v>
      </c>
      <c r="F72" s="31">
        <f>741.9-1.5+50.2-50.2+49.4-515+415-49.4+57.3-415+1225</f>
        <v>1507.6999999999998</v>
      </c>
      <c r="G72" s="29">
        <f>125-110.3+113.5-14.7+7.8-113.5+115.6-7.8+0.7-115.6+119.5</f>
        <v>120.19999999999999</v>
      </c>
      <c r="H72" s="28">
        <f>114.7-35.7+55.4-79+355.8-55.4+32.2-355.8+72.7-32.2+55.3</f>
        <v>128.00000000000006</v>
      </c>
      <c r="I72" s="28">
        <f>828.8-611.3+590.4-71.6+86.4-590.4+596-86.4+70.8-70.8+84.8-596+601.2</f>
        <v>831.9</v>
      </c>
      <c r="J72" s="32">
        <f>19184.6-370.4+372-39.9+37.3-1962.3+1961.3-11.2+10.5-11293.4+11246.2-134.9+132.8-5213.4+5139.2-169.9+182.1-372+365.3-37.3+42-1961.3+1950-10.5+10-11246.2+11719.9-132.8+130.5-5139.2+5109.3-182.1+188.9-365.3+358.5-42+40.9-1950+1741.3-10+9.2-5109.3+5080.4-188.9+203.4-11719.9+11395.2-130.5+129.2</f>
        <v>18947.3</v>
      </c>
      <c r="K72" s="29">
        <f>10447.1-99.9+100.5-255.2+251.3-8955+9241.1-1137+1137.3-100.5+102-251.3+232.6-9241.1+9151.7-1137.3+1128.7-102+102.7-232.6+240.1-1128.7+1119.6-9151.7+9161.5</f>
        <v>10623.900000000001</v>
      </c>
      <c r="L72" s="28">
        <f>SUM(C72:K72)</f>
        <v>33041.1</v>
      </c>
    </row>
    <row r="73" spans="1:12" ht="12" hidden="1" customHeight="1" x14ac:dyDescent="0.2">
      <c r="A73" s="35" t="s">
        <v>6</v>
      </c>
      <c r="B73" s="20"/>
      <c r="C73" s="28">
        <f>351.5-151.2+157-17.4+21.1-54.2+63.5-128.7+81.8-157+159.4-21.1+23.7-63.5+32.7-81.8+503.5-159.4+153.2-23.7+46.7-503.5+102.1-32.7+29.1-153.2+200.4-46.7+57.8-29.1+194.2-102.1+534.2</f>
        <v>986.6</v>
      </c>
      <c r="D73" s="31" t="s">
        <v>2</v>
      </c>
      <c r="E73" s="31">
        <v>11</v>
      </c>
      <c r="F73" s="31">
        <f>741.9-1.5+50.2-50.2+49.4-515+415-49.4+57.3-415+1225-57.3-225.4+186.6-1225+825</f>
        <v>1011.5999999999997</v>
      </c>
      <c r="G73" s="29">
        <f>125-110.3+113.5-14.7+7.8-113.5+115.6-7.8+0.7-115.6+119.5-119.5+115.1</f>
        <v>115.79999999999998</v>
      </c>
      <c r="H73" s="28">
        <f>114.7-35.7+55.4-79+355.8-55.4+32.2-355.8+72.7-32.2+55.3-55.3+55.8-72.7+72.2</f>
        <v>128.00000000000006</v>
      </c>
      <c r="I73" s="28">
        <f>828.8-611.3+590.4-71.6+86.4-590.4+596-86.4+70.8-70.8+84.8-596+601.2-601.2+606-84.8+86.2</f>
        <v>838.1</v>
      </c>
      <c r="J73" s="32">
        <f>19184.6-370.4+372-39.9+37.3-1962.3+1961.3-11.2+10.5-11293.4+11246.2-134.9+132.8-5213.4+5139.2-169.9+182.1-372+365.3-37.3+42-1961.3+1950-10.5+10-11246.2+11719.9-132.8+130.5-5139.2+5109.3-182.1+188.9-365.3+358.5-42+40.9-1950+1741.3-10+9.2-5109.3+5080.4-188.9+203.4-11719.9+11395.2-130.5+129.2-358.5+366.3-40.9+42.4-1741.3+1683.4-9.2+8.8-11395.2+11826.6-5080.4+5369.9-203.4+216.4</f>
        <v>19632.199999999997</v>
      </c>
      <c r="K73" s="29">
        <f>10447.1-99.9+100.5-255.2+251.3-8955+9241.1-1137+1137.3-100.5+102-251.3+232.6-9241.1+9151.7-1137.3+1128.7-102+102.7-232.6+240.1-1128.7+1119.6-9151.7+9161.5-102.7+103.6-240.1+177.9-129.2+124.5-9161.5+9837.9-1119.6+1100.7</f>
        <v>11215.4</v>
      </c>
      <c r="L73" s="28">
        <f>SUM(C73:K73)</f>
        <v>33938.699999999997</v>
      </c>
    </row>
    <row r="74" spans="1:12" ht="12" hidden="1" customHeight="1" x14ac:dyDescent="0.2">
      <c r="A74" s="35"/>
      <c r="B74" s="20"/>
      <c r="C74" s="28"/>
      <c r="D74" s="32"/>
      <c r="E74" s="31"/>
      <c r="F74" s="31"/>
      <c r="G74" s="29"/>
      <c r="H74" s="28"/>
      <c r="I74" s="28"/>
      <c r="J74" s="32"/>
      <c r="K74" s="29"/>
      <c r="L74" s="28"/>
    </row>
    <row r="75" spans="1:12" ht="12" hidden="1" customHeight="1" x14ac:dyDescent="0.2">
      <c r="A75" s="35" t="s">
        <v>31</v>
      </c>
      <c r="B75" s="20"/>
      <c r="C75" s="28">
        <v>733</v>
      </c>
      <c r="D75" s="32">
        <v>350</v>
      </c>
      <c r="E75" s="31">
        <v>11</v>
      </c>
      <c r="F75" s="31">
        <v>1246.4000000000001</v>
      </c>
      <c r="G75" s="29">
        <v>115.4</v>
      </c>
      <c r="H75" s="28">
        <v>106.6</v>
      </c>
      <c r="I75" s="28">
        <v>669</v>
      </c>
      <c r="J75" s="32">
        <v>19256.8</v>
      </c>
      <c r="K75" s="29">
        <v>11219.3</v>
      </c>
      <c r="L75" s="28">
        <f>SUM(C75:K75)</f>
        <v>33707.5</v>
      </c>
    </row>
    <row r="76" spans="1:12" ht="12" hidden="1" customHeight="1" x14ac:dyDescent="0.2">
      <c r="A76" s="35" t="s">
        <v>16</v>
      </c>
      <c r="B76" s="20"/>
      <c r="C76" s="28">
        <v>509</v>
      </c>
      <c r="D76" s="32">
        <v>150</v>
      </c>
      <c r="E76" s="31">
        <v>11</v>
      </c>
      <c r="F76" s="31">
        <v>1396.9</v>
      </c>
      <c r="G76" s="29">
        <v>224.6</v>
      </c>
      <c r="H76" s="28">
        <v>112.5</v>
      </c>
      <c r="I76" s="28">
        <v>645.79999999999995</v>
      </c>
      <c r="J76" s="32">
        <v>18907.099999999999</v>
      </c>
      <c r="K76" s="29">
        <v>11259.7</v>
      </c>
      <c r="L76" s="28">
        <f>SUM(C76:K76)</f>
        <v>33216.6</v>
      </c>
    </row>
    <row r="77" spans="1:12" ht="12" hidden="1" customHeight="1" x14ac:dyDescent="0.2">
      <c r="A77" s="35" t="s">
        <v>15</v>
      </c>
      <c r="B77" s="20"/>
      <c r="C77" s="28">
        <v>858.2</v>
      </c>
      <c r="D77" s="32">
        <v>170</v>
      </c>
      <c r="E77" s="31">
        <v>11</v>
      </c>
      <c r="F77" s="31">
        <v>1544.6</v>
      </c>
      <c r="G77" s="29">
        <v>221.3</v>
      </c>
      <c r="H77" s="28">
        <v>108.2</v>
      </c>
      <c r="I77" s="28">
        <v>647.20000000000005</v>
      </c>
      <c r="J77" s="32">
        <v>18595.8</v>
      </c>
      <c r="K77" s="29">
        <v>10984.3</v>
      </c>
      <c r="L77" s="28">
        <f>SUM(C77:K77)</f>
        <v>33140.6</v>
      </c>
    </row>
    <row r="78" spans="1:12" ht="12" hidden="1" customHeight="1" x14ac:dyDescent="0.2">
      <c r="A78" s="35" t="s">
        <v>14</v>
      </c>
      <c r="B78" s="20"/>
      <c r="C78" s="28">
        <v>499.3</v>
      </c>
      <c r="D78" s="32">
        <v>221.2</v>
      </c>
      <c r="E78" s="31">
        <v>11</v>
      </c>
      <c r="F78" s="31">
        <v>1235.5999999999999</v>
      </c>
      <c r="G78" s="29">
        <v>216.1</v>
      </c>
      <c r="H78" s="28">
        <v>105.3</v>
      </c>
      <c r="I78" s="28">
        <v>704.6</v>
      </c>
      <c r="J78" s="32">
        <v>19599.8</v>
      </c>
      <c r="K78" s="29">
        <v>10965.5</v>
      </c>
      <c r="L78" s="28">
        <f>SUM(C78:K78)</f>
        <v>33558.399999999994</v>
      </c>
    </row>
    <row r="79" spans="1:12" ht="12" hidden="1" customHeight="1" x14ac:dyDescent="0.2">
      <c r="A79" s="35" t="s">
        <v>13</v>
      </c>
      <c r="B79" s="20"/>
      <c r="C79" s="28">
        <v>352.8</v>
      </c>
      <c r="D79" s="32">
        <v>201.2</v>
      </c>
      <c r="E79" s="31">
        <v>11</v>
      </c>
      <c r="F79" s="31">
        <v>1235.5999999999999</v>
      </c>
      <c r="G79" s="29">
        <v>216.1</v>
      </c>
      <c r="H79" s="28">
        <v>104.6</v>
      </c>
      <c r="I79" s="28">
        <v>692.8</v>
      </c>
      <c r="J79" s="32">
        <v>20936.400000000001</v>
      </c>
      <c r="K79" s="29">
        <v>10991.9</v>
      </c>
      <c r="L79" s="28">
        <f>SUM(C79:K79)</f>
        <v>34742.400000000001</v>
      </c>
    </row>
    <row r="80" spans="1:12" ht="12" hidden="1" customHeight="1" x14ac:dyDescent="0.2">
      <c r="A80" s="35" t="s">
        <v>12</v>
      </c>
      <c r="B80" s="20"/>
      <c r="C80" s="28">
        <v>300.10000000000002</v>
      </c>
      <c r="D80" s="32">
        <v>101.2</v>
      </c>
      <c r="E80" s="31">
        <v>11</v>
      </c>
      <c r="F80" s="31">
        <v>965.6</v>
      </c>
      <c r="G80" s="29">
        <v>212</v>
      </c>
      <c r="H80" s="28">
        <v>103.6</v>
      </c>
      <c r="I80" s="28">
        <v>725.7</v>
      </c>
      <c r="J80" s="32">
        <v>20704.3</v>
      </c>
      <c r="K80" s="29">
        <v>10718.9</v>
      </c>
      <c r="L80" s="28">
        <f>SUM(C80:K80)</f>
        <v>33842.400000000001</v>
      </c>
    </row>
    <row r="81" spans="1:12" ht="12" hidden="1" customHeight="1" x14ac:dyDescent="0.2">
      <c r="A81" s="35" t="s">
        <v>11</v>
      </c>
      <c r="B81" s="20"/>
      <c r="C81" s="28">
        <v>326.89999999999998</v>
      </c>
      <c r="D81" s="32">
        <v>181.2</v>
      </c>
      <c r="E81" s="31">
        <v>11</v>
      </c>
      <c r="F81" s="28">
        <v>1005.6</v>
      </c>
      <c r="G81" s="29">
        <v>215.6</v>
      </c>
      <c r="H81" s="28">
        <v>128.1</v>
      </c>
      <c r="I81" s="28">
        <v>975</v>
      </c>
      <c r="J81" s="32">
        <v>22590.6</v>
      </c>
      <c r="K81" s="29">
        <v>10851.6</v>
      </c>
      <c r="L81" s="28">
        <f>SUM(C81:K81)</f>
        <v>36285.599999999999</v>
      </c>
    </row>
    <row r="82" spans="1:12" ht="12" hidden="1" customHeight="1" x14ac:dyDescent="0.2">
      <c r="A82" s="35" t="s">
        <v>10</v>
      </c>
      <c r="B82" s="20"/>
      <c r="C82" s="28">
        <v>297.2</v>
      </c>
      <c r="D82" s="32">
        <v>91.2</v>
      </c>
      <c r="E82" s="31">
        <v>11</v>
      </c>
      <c r="F82" s="28">
        <v>1146.9000000000001</v>
      </c>
      <c r="G82" s="29">
        <v>211.6</v>
      </c>
      <c r="H82" s="28">
        <v>160.4</v>
      </c>
      <c r="I82" s="28">
        <v>828.6</v>
      </c>
      <c r="J82" s="32">
        <v>21360.2</v>
      </c>
      <c r="K82" s="29">
        <v>10745.6</v>
      </c>
      <c r="L82" s="28">
        <f>SUM(C82:K82)</f>
        <v>34852.700000000004</v>
      </c>
    </row>
    <row r="83" spans="1:12" ht="12" hidden="1" customHeight="1" x14ac:dyDescent="0.2">
      <c r="A83" s="35" t="s">
        <v>9</v>
      </c>
      <c r="B83" s="20"/>
      <c r="C83" s="28">
        <v>342.8</v>
      </c>
      <c r="D83" s="32">
        <v>81.2</v>
      </c>
      <c r="E83" s="31">
        <v>11</v>
      </c>
      <c r="F83" s="28">
        <v>1147</v>
      </c>
      <c r="G83" s="29">
        <v>207</v>
      </c>
      <c r="H83" s="28">
        <v>184.5</v>
      </c>
      <c r="I83" s="28">
        <v>812</v>
      </c>
      <c r="J83" s="32">
        <v>20645.7</v>
      </c>
      <c r="K83" s="29">
        <v>10881</v>
      </c>
      <c r="L83" s="28">
        <f>SUM(C83:K83)</f>
        <v>34312.199999999997</v>
      </c>
    </row>
    <row r="84" spans="1:12" ht="12" hidden="1" customHeight="1" x14ac:dyDescent="0.2">
      <c r="A84" s="35" t="s">
        <v>8</v>
      </c>
      <c r="B84" s="20"/>
      <c r="C84" s="28">
        <v>110.2</v>
      </c>
      <c r="D84" s="28" t="s">
        <v>2</v>
      </c>
      <c r="E84" s="31">
        <v>11</v>
      </c>
      <c r="F84" s="28">
        <v>1146.9000000000001</v>
      </c>
      <c r="G84" s="29">
        <v>90.2</v>
      </c>
      <c r="H84" s="28">
        <v>149.19999999999999</v>
      </c>
      <c r="I84" s="28">
        <v>819.7</v>
      </c>
      <c r="J84" s="32">
        <v>20108.7</v>
      </c>
      <c r="K84" s="29">
        <v>10716.8</v>
      </c>
      <c r="L84" s="28">
        <f>SUM(C84:K84)</f>
        <v>33152.699999999997</v>
      </c>
    </row>
    <row r="85" spans="1:12" ht="12" hidden="1" customHeight="1" x14ac:dyDescent="0.2">
      <c r="A85" s="35" t="s">
        <v>7</v>
      </c>
      <c r="B85" s="20"/>
      <c r="C85" s="28">
        <v>217.3</v>
      </c>
      <c r="D85" s="28" t="s">
        <v>2</v>
      </c>
      <c r="E85" s="31">
        <v>11</v>
      </c>
      <c r="F85" s="31">
        <v>1146.9000000000001</v>
      </c>
      <c r="G85" s="29">
        <v>85.2</v>
      </c>
      <c r="H85" s="28">
        <v>216.1</v>
      </c>
      <c r="I85" s="28">
        <v>464.1</v>
      </c>
      <c r="J85" s="32">
        <v>19374.7</v>
      </c>
      <c r="K85" s="29">
        <v>8360.7000000000007</v>
      </c>
      <c r="L85" s="28">
        <f>SUM(C85:K85)</f>
        <v>29876</v>
      </c>
    </row>
    <row r="86" spans="1:12" ht="12" hidden="1" customHeight="1" x14ac:dyDescent="0.2">
      <c r="A86" s="35" t="s">
        <v>6</v>
      </c>
      <c r="B86" s="20"/>
      <c r="C86" s="28">
        <v>257.2</v>
      </c>
      <c r="D86" s="28" t="s">
        <v>2</v>
      </c>
      <c r="E86" s="31">
        <v>11</v>
      </c>
      <c r="F86" s="31">
        <v>1146.9000000000001</v>
      </c>
      <c r="G86" s="29">
        <v>82.6</v>
      </c>
      <c r="H86" s="28">
        <v>322.5</v>
      </c>
      <c r="I86" s="28">
        <v>431.8</v>
      </c>
      <c r="J86" s="32">
        <v>18112.400000000001</v>
      </c>
      <c r="K86" s="29">
        <v>8295.1</v>
      </c>
      <c r="L86" s="28">
        <f>SUM(C86:K86)</f>
        <v>28659.5</v>
      </c>
    </row>
    <row r="87" spans="1:12" ht="12" hidden="1" customHeight="1" x14ac:dyDescent="0.2">
      <c r="A87" s="35"/>
      <c r="B87" s="20"/>
      <c r="C87" s="28"/>
      <c r="D87" s="32"/>
      <c r="E87" s="31"/>
      <c r="F87" s="31"/>
      <c r="G87" s="29"/>
      <c r="H87" s="28"/>
      <c r="I87" s="28"/>
      <c r="J87" s="32"/>
      <c r="K87" s="29"/>
      <c r="L87" s="28"/>
    </row>
    <row r="88" spans="1:12" ht="12" hidden="1" customHeight="1" x14ac:dyDescent="0.2">
      <c r="A88" s="35" t="s">
        <v>30</v>
      </c>
      <c r="B88" s="20"/>
      <c r="C88" s="28">
        <f>338.9+40.2</f>
        <v>379.09999999999997</v>
      </c>
      <c r="D88" s="32" t="s">
        <v>2</v>
      </c>
      <c r="E88" s="31">
        <v>11</v>
      </c>
      <c r="F88" s="31">
        <f>186.6+574.9</f>
        <v>761.5</v>
      </c>
      <c r="G88" s="29">
        <f>79.9+0</f>
        <v>79.900000000000006</v>
      </c>
      <c r="H88" s="28">
        <f>447.5+40.4</f>
        <v>487.9</v>
      </c>
      <c r="I88" s="28">
        <f>55.1+318</f>
        <v>373.1</v>
      </c>
      <c r="J88" s="32">
        <f>5544.6+302.8+12945.8+200.8</f>
        <v>18994</v>
      </c>
      <c r="K88" s="29">
        <f>1073.7+3917.9</f>
        <v>4991.6000000000004</v>
      </c>
      <c r="L88" s="28">
        <f>SUM(C88:K88)</f>
        <v>26078.1</v>
      </c>
    </row>
    <row r="89" spans="1:12" ht="12" hidden="1" customHeight="1" x14ac:dyDescent="0.2">
      <c r="A89" s="35" t="s">
        <v>16</v>
      </c>
      <c r="B89" s="20"/>
      <c r="C89" s="28">
        <f>378.4+45.9</f>
        <v>424.29999999999995</v>
      </c>
      <c r="D89" s="32" t="s">
        <v>2</v>
      </c>
      <c r="E89" s="31">
        <v>11</v>
      </c>
      <c r="F89" s="31">
        <f>186.6+576</f>
        <v>762.6</v>
      </c>
      <c r="G89" s="29">
        <f>80</f>
        <v>80</v>
      </c>
      <c r="H89" s="28">
        <f>437.3+40.3</f>
        <v>477.6</v>
      </c>
      <c r="I89" s="28">
        <f>55.1+297.2</f>
        <v>352.3</v>
      </c>
      <c r="J89" s="32">
        <f>5554.2+301.1+11725.5+199.9</f>
        <v>17780.7</v>
      </c>
      <c r="K89" s="29">
        <f>1085.2+3896.6</f>
        <v>4981.8</v>
      </c>
      <c r="L89" s="28">
        <f>SUM(C89:K89)</f>
        <v>24870.3</v>
      </c>
    </row>
    <row r="90" spans="1:12" ht="12" hidden="1" customHeight="1" x14ac:dyDescent="0.2">
      <c r="A90" s="35" t="s">
        <v>15</v>
      </c>
      <c r="B90" s="20"/>
      <c r="C90" s="28">
        <f>382.9+76.3</f>
        <v>459.2</v>
      </c>
      <c r="D90" s="32">
        <v>364</v>
      </c>
      <c r="E90" s="31">
        <v>11</v>
      </c>
      <c r="F90" s="31">
        <f>186.6</f>
        <v>186.6</v>
      </c>
      <c r="G90" s="29">
        <f>80</f>
        <v>80</v>
      </c>
      <c r="H90" s="28">
        <f>413.2+22.2</f>
        <v>435.4</v>
      </c>
      <c r="I90" s="28">
        <f>53.1+276</f>
        <v>329.1</v>
      </c>
      <c r="J90" s="32">
        <f>5886.5+313.3+11283.8+195.5</f>
        <v>17679.099999999999</v>
      </c>
      <c r="K90" s="29">
        <f>1078.4+3887.4</f>
        <v>4965.8</v>
      </c>
      <c r="L90" s="28">
        <f>SUM(C90:K90)</f>
        <v>24510.199999999997</v>
      </c>
    </row>
    <row r="91" spans="1:12" ht="12" hidden="1" customHeight="1" x14ac:dyDescent="0.2">
      <c r="A91" s="35" t="s">
        <v>14</v>
      </c>
      <c r="B91" s="20"/>
      <c r="C91" s="28">
        <f>100.3+984.7</f>
        <v>1085</v>
      </c>
      <c r="D91" s="32">
        <v>364</v>
      </c>
      <c r="E91" s="31">
        <v>11</v>
      </c>
      <c r="F91" s="31">
        <f>430.6</f>
        <v>430.6</v>
      </c>
      <c r="G91" s="29">
        <f>78</f>
        <v>78</v>
      </c>
      <c r="H91" s="28">
        <f>395.5+22.2</f>
        <v>417.7</v>
      </c>
      <c r="I91" s="28">
        <f>51.1+621.7</f>
        <v>672.80000000000007</v>
      </c>
      <c r="J91" s="32">
        <f>5921.5+316+10670.1+192.5</f>
        <v>17100.099999999999</v>
      </c>
      <c r="K91" s="29">
        <f>1122.9+3933.9</f>
        <v>5056.8</v>
      </c>
      <c r="L91" s="28">
        <f>SUM(C91:K91)</f>
        <v>25215.999999999996</v>
      </c>
    </row>
    <row r="92" spans="1:12" ht="12" hidden="1" customHeight="1" x14ac:dyDescent="0.2">
      <c r="A92" s="35" t="s">
        <v>13</v>
      </c>
      <c r="B92" s="20"/>
      <c r="C92" s="28">
        <f>175.9+552.4</f>
        <v>728.3</v>
      </c>
      <c r="D92" s="32">
        <v>514</v>
      </c>
      <c r="E92" s="31">
        <v>11</v>
      </c>
      <c r="F92" s="31">
        <f>186.6</f>
        <v>186.6</v>
      </c>
      <c r="G92" s="29">
        <f>75</f>
        <v>75</v>
      </c>
      <c r="H92" s="28">
        <f>385.3+27.2</f>
        <v>412.5</v>
      </c>
      <c r="I92" s="28">
        <f>50.8+514.7</f>
        <v>565.5</v>
      </c>
      <c r="J92" s="32">
        <f>5597.7+312.5+10374.4+189.5</f>
        <v>16474.099999999999</v>
      </c>
      <c r="K92" s="29">
        <f>1090.5+3916.8</f>
        <v>5007.3</v>
      </c>
      <c r="L92" s="28">
        <f>SUM(C92:K92)</f>
        <v>23974.3</v>
      </c>
    </row>
    <row r="93" spans="1:12" ht="12" hidden="1" customHeight="1" x14ac:dyDescent="0.2">
      <c r="A93" s="35" t="s">
        <v>12</v>
      </c>
      <c r="B93" s="20"/>
      <c r="C93" s="28">
        <f>361+236.7</f>
        <v>597.70000000000005</v>
      </c>
      <c r="D93" s="32">
        <v>714</v>
      </c>
      <c r="E93" s="31">
        <v>11</v>
      </c>
      <c r="F93" s="31">
        <f>186.6</f>
        <v>186.6</v>
      </c>
      <c r="G93" s="29">
        <f>75</f>
        <v>75</v>
      </c>
      <c r="H93" s="28">
        <f>37.8+19.6</f>
        <v>57.4</v>
      </c>
      <c r="I93" s="28">
        <f>46.9+621.8</f>
        <v>668.69999999999993</v>
      </c>
      <c r="J93" s="32">
        <f>5665.3+316.4+9723.1+186</f>
        <v>15890.8</v>
      </c>
      <c r="K93" s="29">
        <f>1082.4+3079.1</f>
        <v>4161.5</v>
      </c>
      <c r="L93" s="28">
        <f>SUM(C93:K93)</f>
        <v>22362.7</v>
      </c>
    </row>
    <row r="94" spans="1:12" ht="12" hidden="1" customHeight="1" x14ac:dyDescent="0.2">
      <c r="A94" s="35" t="s">
        <v>11</v>
      </c>
      <c r="B94" s="20"/>
      <c r="C94" s="28">
        <f>119.3+266.7</f>
        <v>386</v>
      </c>
      <c r="D94" s="32">
        <v>554</v>
      </c>
      <c r="E94" s="31">
        <v>11</v>
      </c>
      <c r="F94" s="31">
        <f>1046.8</f>
        <v>1046.8</v>
      </c>
      <c r="G94" s="29">
        <f>70.7</f>
        <v>70.7</v>
      </c>
      <c r="H94" s="28">
        <f>32+19.6</f>
        <v>51.6</v>
      </c>
      <c r="I94" s="28">
        <f>46.5+754.6</f>
        <v>801.1</v>
      </c>
      <c r="J94" s="32">
        <f>5909.7+313.8+9305+184.5</f>
        <v>15713</v>
      </c>
      <c r="K94" s="29">
        <f>1133.4+2975.6</f>
        <v>4109</v>
      </c>
      <c r="L94" s="28">
        <f>SUM(C94:K94)</f>
        <v>22743.200000000001</v>
      </c>
    </row>
    <row r="95" spans="1:12" ht="12" hidden="1" customHeight="1" x14ac:dyDescent="0.2">
      <c r="A95" s="35" t="s">
        <v>10</v>
      </c>
      <c r="B95" s="20"/>
      <c r="C95" s="28">
        <f>141.3+286.7</f>
        <v>428</v>
      </c>
      <c r="D95" s="32">
        <v>654</v>
      </c>
      <c r="E95" s="31">
        <v>11</v>
      </c>
      <c r="F95" s="31">
        <f>1292.5</f>
        <v>1292.5</v>
      </c>
      <c r="G95" s="29">
        <f>70.7</f>
        <v>70.7</v>
      </c>
      <c r="H95" s="28">
        <f>27.3+19.6</f>
        <v>46.900000000000006</v>
      </c>
      <c r="I95" s="28">
        <f>46.5+886.9</f>
        <v>933.4</v>
      </c>
      <c r="J95" s="32">
        <f>6042.1+322.1+8876.3+183.4</f>
        <v>15423.9</v>
      </c>
      <c r="K95" s="29">
        <f>1083.8+3022.5</f>
        <v>4106.3</v>
      </c>
      <c r="L95" s="28">
        <f>SUM(C95:K95)</f>
        <v>22966.7</v>
      </c>
    </row>
    <row r="96" spans="1:12" ht="12" hidden="1" customHeight="1" x14ac:dyDescent="0.2">
      <c r="A96" s="35" t="s">
        <v>9</v>
      </c>
      <c r="B96" s="20"/>
      <c r="C96" s="28">
        <f>184.6+362.8</f>
        <v>547.4</v>
      </c>
      <c r="D96" s="32">
        <v>684</v>
      </c>
      <c r="E96" s="31">
        <v>11</v>
      </c>
      <c r="F96" s="31">
        <f>1486.6</f>
        <v>1486.6</v>
      </c>
      <c r="G96" s="29">
        <v>64.3</v>
      </c>
      <c r="H96" s="28">
        <f>43+19.6</f>
        <v>62.6</v>
      </c>
      <c r="I96" s="28">
        <f>45.7+856</f>
        <v>901.7</v>
      </c>
      <c r="J96" s="32">
        <f>6044.1+320.7+8652.3+181.3</f>
        <v>15198.399999999998</v>
      </c>
      <c r="K96" s="29">
        <f>1063+2930.4</f>
        <v>3993.4</v>
      </c>
      <c r="L96" s="28">
        <f>SUM(C96:K96)</f>
        <v>22949.4</v>
      </c>
    </row>
    <row r="97" spans="1:12" ht="12" hidden="1" customHeight="1" x14ac:dyDescent="0.2">
      <c r="A97" s="35" t="s">
        <v>8</v>
      </c>
      <c r="B97" s="20"/>
      <c r="C97" s="28">
        <f>162.1+266.5</f>
        <v>428.6</v>
      </c>
      <c r="D97" s="32">
        <f>834+200</f>
        <v>1034</v>
      </c>
      <c r="E97" s="31">
        <v>11</v>
      </c>
      <c r="F97" s="31">
        <f>1686.6</f>
        <v>1686.6</v>
      </c>
      <c r="G97" s="29">
        <v>61</v>
      </c>
      <c r="H97" s="28">
        <f>42.8+1.5</f>
        <v>44.3</v>
      </c>
      <c r="I97" s="28">
        <f>45.7+824.4</f>
        <v>870.1</v>
      </c>
      <c r="J97" s="32">
        <f>6007.6+321+8569.3+179.2</f>
        <v>15077.1</v>
      </c>
      <c r="K97" s="29">
        <f>1060.8+2954.2</f>
        <v>4015</v>
      </c>
      <c r="L97" s="28">
        <f>SUM(C97:K97)</f>
        <v>23227.7</v>
      </c>
    </row>
    <row r="98" spans="1:12" ht="12" hidden="1" customHeight="1" x14ac:dyDescent="0.2">
      <c r="A98" s="35" t="s">
        <v>7</v>
      </c>
      <c r="B98" s="20"/>
      <c r="C98" s="28">
        <f>105.8+1204.5</f>
        <v>1310.3</v>
      </c>
      <c r="D98" s="32">
        <f>934+1000</f>
        <v>1934</v>
      </c>
      <c r="E98" s="31">
        <v>11</v>
      </c>
      <c r="F98" s="31">
        <f>186.6</f>
        <v>186.6</v>
      </c>
      <c r="G98" s="29">
        <v>57.6</v>
      </c>
      <c r="H98" s="28">
        <f>4.4+1.5</f>
        <v>5.9</v>
      </c>
      <c r="I98" s="28">
        <f>45.7+828.3</f>
        <v>874</v>
      </c>
      <c r="J98" s="32">
        <f>6206.5+326.9+9052.4+175.9</f>
        <v>15761.699999999999</v>
      </c>
      <c r="K98" s="29">
        <f>1040+2660.2</f>
        <v>3700.2</v>
      </c>
      <c r="L98" s="28">
        <f>SUM(C98:K98)</f>
        <v>23841.3</v>
      </c>
    </row>
    <row r="99" spans="1:12" ht="12" hidden="1" customHeight="1" x14ac:dyDescent="0.2">
      <c r="A99" s="35" t="s">
        <v>6</v>
      </c>
      <c r="B99" s="20"/>
      <c r="C99" s="28">
        <f>128.1+618</f>
        <v>746.1</v>
      </c>
      <c r="D99" s="32">
        <f>834+1300</f>
        <v>2134</v>
      </c>
      <c r="E99" s="31">
        <v>11</v>
      </c>
      <c r="F99" s="31">
        <f>186.6</f>
        <v>186.6</v>
      </c>
      <c r="G99" s="29">
        <v>54.2</v>
      </c>
      <c r="H99" s="28">
        <f>4.4+1.5</f>
        <v>5.9</v>
      </c>
      <c r="I99" s="28">
        <f>42.2+661.1</f>
        <v>703.30000000000007</v>
      </c>
      <c r="J99" s="32">
        <f>6213.1+378.2+9208.6+168.7</f>
        <v>15968.600000000002</v>
      </c>
      <c r="K99" s="29">
        <f>1009.5+2484.9</f>
        <v>3494.4</v>
      </c>
      <c r="L99" s="28">
        <f>SUM(C99:K99)</f>
        <v>23304.100000000002</v>
      </c>
    </row>
    <row r="100" spans="1:12" ht="12" hidden="1" customHeight="1" x14ac:dyDescent="0.2">
      <c r="A100" s="35"/>
      <c r="B100" s="20"/>
      <c r="C100" s="28"/>
      <c r="D100" s="32"/>
      <c r="E100" s="31"/>
      <c r="F100" s="31"/>
      <c r="G100" s="29"/>
      <c r="H100" s="28"/>
      <c r="I100" s="28"/>
      <c r="J100" s="32"/>
      <c r="K100" s="29"/>
      <c r="L100" s="28"/>
    </row>
    <row r="101" spans="1:12" ht="12" hidden="1" customHeight="1" x14ac:dyDescent="0.2">
      <c r="A101" s="35" t="s">
        <v>29</v>
      </c>
      <c r="B101" s="20"/>
      <c r="C101" s="28">
        <f>149.8+1110.5</f>
        <v>1260.3</v>
      </c>
      <c r="D101" s="32">
        <f>490+400</f>
        <v>890</v>
      </c>
      <c r="E101" s="31">
        <v>11</v>
      </c>
      <c r="F101" s="28" t="s">
        <v>2</v>
      </c>
      <c r="G101" s="29">
        <v>54.2</v>
      </c>
      <c r="H101" s="28">
        <f>4.4+1.5</f>
        <v>5.9</v>
      </c>
      <c r="I101" s="28">
        <f>42.2+626.7</f>
        <v>668.90000000000009</v>
      </c>
      <c r="J101" s="32">
        <f>6262.2+396.4+9497.7+193.9</f>
        <v>16350.199999999999</v>
      </c>
      <c r="K101" s="29">
        <f>1025.9+2629.7</f>
        <v>3655.6</v>
      </c>
      <c r="L101" s="28">
        <f>SUM(C101:K101)</f>
        <v>22896.1</v>
      </c>
    </row>
    <row r="102" spans="1:12" ht="12" hidden="1" customHeight="1" x14ac:dyDescent="0.2">
      <c r="A102" s="35" t="s">
        <v>16</v>
      </c>
      <c r="B102" s="20"/>
      <c r="C102" s="28">
        <f>325.8+527</f>
        <v>852.8</v>
      </c>
      <c r="D102" s="32">
        <f>490+400</f>
        <v>890</v>
      </c>
      <c r="E102" s="31">
        <v>11</v>
      </c>
      <c r="F102" s="28" t="s">
        <v>2</v>
      </c>
      <c r="G102" s="29">
        <v>54.2</v>
      </c>
      <c r="H102" s="28">
        <f>4.3+1.5</f>
        <v>5.8</v>
      </c>
      <c r="I102" s="28">
        <f>42.2+602.3</f>
        <v>644.5</v>
      </c>
      <c r="J102" s="32">
        <f>6588+407.3+10189.8+194.9</f>
        <v>17380</v>
      </c>
      <c r="K102" s="29">
        <f>1094.2+2566.6</f>
        <v>3660.8</v>
      </c>
      <c r="L102" s="28">
        <f>SUM(C102:K102)</f>
        <v>23499.1</v>
      </c>
    </row>
    <row r="103" spans="1:12" ht="12" hidden="1" customHeight="1" x14ac:dyDescent="0.2">
      <c r="A103" s="35" t="s">
        <v>15</v>
      </c>
      <c r="B103" s="20"/>
      <c r="C103" s="28">
        <f>276.4+724.8</f>
        <v>1001.1999999999999</v>
      </c>
      <c r="D103" s="32">
        <f>490+300</f>
        <v>790</v>
      </c>
      <c r="E103" s="31">
        <v>11</v>
      </c>
      <c r="F103" s="28" t="s">
        <v>2</v>
      </c>
      <c r="G103" s="29">
        <v>43.6</v>
      </c>
      <c r="H103" s="28">
        <f>4.4+1.5</f>
        <v>5.9</v>
      </c>
      <c r="I103" s="28">
        <f>42.2+555.6</f>
        <v>597.80000000000007</v>
      </c>
      <c r="J103" s="32">
        <f>6649.5+408.2+10302+196.3</f>
        <v>17556</v>
      </c>
      <c r="K103" s="29">
        <f>1053.8+2664.9</f>
        <v>3718.7</v>
      </c>
      <c r="L103" s="28">
        <f>SUM(C103:K103)</f>
        <v>23724.2</v>
      </c>
    </row>
    <row r="104" spans="1:12" ht="12" hidden="1" customHeight="1" x14ac:dyDescent="0.2">
      <c r="A104" s="35" t="s">
        <v>14</v>
      </c>
      <c r="B104" s="20"/>
      <c r="C104" s="28">
        <f>229.4+342.8</f>
        <v>572.20000000000005</v>
      </c>
      <c r="D104" s="32">
        <f>490+600</f>
        <v>1090</v>
      </c>
      <c r="E104" s="31">
        <v>11</v>
      </c>
      <c r="F104" s="28" t="s">
        <v>2</v>
      </c>
      <c r="G104" s="29">
        <v>43.6</v>
      </c>
      <c r="H104" s="28">
        <f>2.8+1.5</f>
        <v>4.3</v>
      </c>
      <c r="I104" s="28">
        <f>42.2+521.5</f>
        <v>563.70000000000005</v>
      </c>
      <c r="J104" s="32">
        <f>6760.3+410.6+9937.3+149.5</f>
        <v>17257.7</v>
      </c>
      <c r="K104" s="29">
        <f>1133.9+3140.8</f>
        <v>4274.7000000000007</v>
      </c>
      <c r="L104" s="28">
        <f>SUM(C104:K104)</f>
        <v>23817.200000000001</v>
      </c>
    </row>
    <row r="105" spans="1:12" ht="12" hidden="1" customHeight="1" x14ac:dyDescent="0.2">
      <c r="A105" s="35" t="s">
        <v>13</v>
      </c>
      <c r="B105" s="20"/>
      <c r="C105" s="28">
        <f>393.6+181.7</f>
        <v>575.29999999999995</v>
      </c>
      <c r="D105" s="32">
        <f>300+500</f>
        <v>800</v>
      </c>
      <c r="E105" s="31">
        <v>11</v>
      </c>
      <c r="F105" s="28" t="s">
        <v>2</v>
      </c>
      <c r="G105" s="29">
        <v>39.799999999999997</v>
      </c>
      <c r="H105" s="28">
        <f>2.8+1.5</f>
        <v>4.3</v>
      </c>
      <c r="I105" s="28">
        <f>42.1+479.6</f>
        <v>521.70000000000005</v>
      </c>
      <c r="J105" s="32">
        <f>6856+471.1+10648.2+142.5</f>
        <v>18117.800000000003</v>
      </c>
      <c r="K105" s="29">
        <f>1084.8+2886.3</f>
        <v>3971.1000000000004</v>
      </c>
      <c r="L105" s="28">
        <f>SUM(C105:K105)</f>
        <v>24041</v>
      </c>
    </row>
    <row r="106" spans="1:12" ht="12" hidden="1" customHeight="1" x14ac:dyDescent="0.2">
      <c r="A106" s="35" t="s">
        <v>12</v>
      </c>
      <c r="B106" s="20"/>
      <c r="C106" s="28">
        <f>184.9+402.7</f>
        <v>587.6</v>
      </c>
      <c r="D106" s="32">
        <f>480</f>
        <v>480</v>
      </c>
      <c r="E106" s="31">
        <v>11</v>
      </c>
      <c r="F106" s="28" t="s">
        <v>2</v>
      </c>
      <c r="G106" s="29">
        <v>39.799999999999997</v>
      </c>
      <c r="H106" s="28">
        <f>4.4+1.5</f>
        <v>5.9</v>
      </c>
      <c r="I106" s="28">
        <f>38.6+445.1</f>
        <v>483.70000000000005</v>
      </c>
      <c r="J106" s="32">
        <f>7282.1+471.1+10716.1+140.2</f>
        <v>18609.500000000004</v>
      </c>
      <c r="K106" s="29">
        <f>1082.2+3347.5</f>
        <v>4429.7</v>
      </c>
      <c r="L106" s="28">
        <f>SUM(C106:K106)</f>
        <v>24647.200000000004</v>
      </c>
    </row>
    <row r="107" spans="1:12" ht="12" hidden="1" customHeight="1" x14ac:dyDescent="0.2">
      <c r="A107" s="35" t="s">
        <v>11</v>
      </c>
      <c r="B107" s="20"/>
      <c r="C107" s="28">
        <f>90.3+202.4</f>
        <v>292.7</v>
      </c>
      <c r="D107" s="32">
        <v>610</v>
      </c>
      <c r="E107" s="31">
        <v>11</v>
      </c>
      <c r="F107" s="28" t="s">
        <v>2</v>
      </c>
      <c r="G107" s="29">
        <v>39.799999999999997</v>
      </c>
      <c r="H107" s="28">
        <f>5.7+1.5</f>
        <v>7.2</v>
      </c>
      <c r="I107" s="28">
        <f>38.7+699.3</f>
        <v>738</v>
      </c>
      <c r="J107" s="32">
        <f>7507.3+489.8+11025+139.4</f>
        <v>19161.5</v>
      </c>
      <c r="K107" s="29">
        <f>1128.2+3368.1</f>
        <v>4496.3</v>
      </c>
      <c r="L107" s="28">
        <f>SUM(C107:K107)</f>
        <v>25356.5</v>
      </c>
    </row>
    <row r="108" spans="1:12" ht="12" hidden="1" customHeight="1" x14ac:dyDescent="0.2">
      <c r="A108" s="35" t="s">
        <v>10</v>
      </c>
      <c r="B108" s="20"/>
      <c r="C108" s="28">
        <f>169.8+465.6</f>
        <v>635.40000000000009</v>
      </c>
      <c r="D108" s="32">
        <v>180</v>
      </c>
      <c r="E108" s="31">
        <v>11</v>
      </c>
      <c r="F108" s="28" t="s">
        <v>2</v>
      </c>
      <c r="G108" s="29">
        <v>36.299999999999997</v>
      </c>
      <c r="H108" s="28">
        <f>5.7+1.5</f>
        <v>7.2</v>
      </c>
      <c r="I108" s="28">
        <f>38.7+788.2</f>
        <v>826.90000000000009</v>
      </c>
      <c r="J108" s="32">
        <f>7642.8+492.6+10917.3+139.8</f>
        <v>19192.5</v>
      </c>
      <c r="K108" s="29">
        <f>1107+3145.2</f>
        <v>4252.2</v>
      </c>
      <c r="L108" s="28">
        <f>SUM(C108:K108)</f>
        <v>25141.5</v>
      </c>
    </row>
    <row r="109" spans="1:12" ht="12" hidden="1" customHeight="1" x14ac:dyDescent="0.2">
      <c r="A109" s="35" t="s">
        <v>9</v>
      </c>
      <c r="B109" s="20"/>
      <c r="C109" s="28">
        <f>242.5+752.2</f>
        <v>994.7</v>
      </c>
      <c r="D109" s="32">
        <v>480</v>
      </c>
      <c r="E109" s="31">
        <v>11</v>
      </c>
      <c r="F109" s="28" t="s">
        <v>2</v>
      </c>
      <c r="G109" s="29">
        <v>36.1</v>
      </c>
      <c r="H109" s="28">
        <f>5.7+1.5</f>
        <v>7.2</v>
      </c>
      <c r="I109" s="28">
        <f>38.6+758.4</f>
        <v>797</v>
      </c>
      <c r="J109" s="32">
        <f>7858.3+513.5+10866.7+135.1</f>
        <v>19373.599999999999</v>
      </c>
      <c r="K109" s="29">
        <f>1139.8+3018</f>
        <v>4157.8</v>
      </c>
      <c r="L109" s="28">
        <f>SUM(C109:K109)</f>
        <v>25857.399999999998</v>
      </c>
    </row>
    <row r="110" spans="1:12" ht="12" hidden="1" customHeight="1" x14ac:dyDescent="0.2">
      <c r="A110" s="35" t="s">
        <v>8</v>
      </c>
      <c r="B110" s="20"/>
      <c r="C110" s="28">
        <f>360.4+753.5</f>
        <v>1113.9000000000001</v>
      </c>
      <c r="D110" s="32">
        <v>575</v>
      </c>
      <c r="E110" s="31">
        <v>11</v>
      </c>
      <c r="F110" s="28" t="s">
        <v>2</v>
      </c>
      <c r="G110" s="29">
        <v>32.299999999999997</v>
      </c>
      <c r="H110" s="28">
        <f>5.7+1.5</f>
        <v>7.2</v>
      </c>
      <c r="I110" s="28">
        <f>32.4+730.4</f>
        <v>762.8</v>
      </c>
      <c r="J110" s="32">
        <f>7947+517+11067.4+132.7</f>
        <v>19664.100000000002</v>
      </c>
      <c r="K110" s="29">
        <f>1080.2+2968.3</f>
        <v>4048.5</v>
      </c>
      <c r="L110" s="28">
        <f>SUM(C110:K110)</f>
        <v>26214.800000000003</v>
      </c>
    </row>
    <row r="111" spans="1:12" ht="12" hidden="1" customHeight="1" x14ac:dyDescent="0.2">
      <c r="A111" s="35" t="s">
        <v>7</v>
      </c>
      <c r="B111" s="20"/>
      <c r="C111" s="28">
        <f>618.4+326</f>
        <v>944.4</v>
      </c>
      <c r="D111" s="32">
        <v>875</v>
      </c>
      <c r="E111" s="31">
        <v>11</v>
      </c>
      <c r="F111" s="28" t="s">
        <v>2</v>
      </c>
      <c r="G111" s="29">
        <v>16.399999999999999</v>
      </c>
      <c r="H111" s="28">
        <f>2.8+1.5</f>
        <v>4.3</v>
      </c>
      <c r="I111" s="28">
        <f>38.6+473.7</f>
        <v>512.29999999999995</v>
      </c>
      <c r="J111" s="32">
        <f>8048.5+517.9+11824.7+126.3</f>
        <v>20517.399999999998</v>
      </c>
      <c r="K111" s="29">
        <f>1117.8+2980.2</f>
        <v>4098</v>
      </c>
      <c r="L111" s="28">
        <f>SUM(C111:K111)</f>
        <v>26978.799999999999</v>
      </c>
    </row>
    <row r="112" spans="1:12" ht="12" hidden="1" customHeight="1" x14ac:dyDescent="0.2">
      <c r="A112" s="35" t="s">
        <v>6</v>
      </c>
      <c r="B112" s="20"/>
      <c r="C112" s="28">
        <f>410.1+269.4</f>
        <v>679.5</v>
      </c>
      <c r="D112" s="32">
        <v>725</v>
      </c>
      <c r="E112" s="31">
        <v>11</v>
      </c>
      <c r="F112" s="28" t="s">
        <v>2</v>
      </c>
      <c r="G112" s="29">
        <v>16.399999999999999</v>
      </c>
      <c r="H112" s="28">
        <f>4.3</f>
        <v>4.3</v>
      </c>
      <c r="I112" s="28">
        <f>38.6+374.7</f>
        <v>413.3</v>
      </c>
      <c r="J112" s="32">
        <f>8168.9+512+12055.9+119.9</f>
        <v>20856.7</v>
      </c>
      <c r="K112" s="29">
        <f>1144.6+3064.6</f>
        <v>4209.2</v>
      </c>
      <c r="L112" s="28">
        <f>SUM(C112:K112)</f>
        <v>26915.4</v>
      </c>
    </row>
    <row r="113" spans="1:12" ht="12" hidden="1" customHeight="1" x14ac:dyDescent="0.2">
      <c r="A113" s="35"/>
      <c r="B113" s="20"/>
      <c r="C113" s="28"/>
      <c r="D113" s="32"/>
      <c r="E113" s="31"/>
      <c r="F113" s="28"/>
      <c r="G113" s="29"/>
      <c r="H113" s="28"/>
      <c r="I113" s="28"/>
      <c r="J113" s="32"/>
      <c r="K113" s="29"/>
      <c r="L113" s="28"/>
    </row>
    <row r="114" spans="1:12" ht="12" hidden="1" customHeight="1" x14ac:dyDescent="0.2">
      <c r="A114" s="35" t="s">
        <v>28</v>
      </c>
      <c r="B114" s="20"/>
      <c r="C114" s="28">
        <f>260.4+276.4</f>
        <v>536.79999999999995</v>
      </c>
      <c r="D114" s="32">
        <v>835</v>
      </c>
      <c r="E114" s="31">
        <v>11</v>
      </c>
      <c r="F114" s="28">
        <v>50.7</v>
      </c>
      <c r="G114" s="29">
        <v>4</v>
      </c>
      <c r="H114" s="28">
        <f>79.2+1.4</f>
        <v>80.600000000000009</v>
      </c>
      <c r="I114" s="28">
        <f>87.8+717.9</f>
        <v>805.69999999999993</v>
      </c>
      <c r="J114" s="32">
        <f>7916.3+534.6+11638.5+138.7</f>
        <v>20228.100000000002</v>
      </c>
      <c r="K114" s="29">
        <f>1107.7+4018.2</f>
        <v>5125.8999999999996</v>
      </c>
      <c r="L114" s="28">
        <f>SUM(C114:K114)</f>
        <v>27677.800000000003</v>
      </c>
    </row>
    <row r="115" spans="1:12" ht="12" hidden="1" customHeight="1" x14ac:dyDescent="0.2">
      <c r="A115" s="35" t="s">
        <v>16</v>
      </c>
      <c r="B115" s="20"/>
      <c r="C115" s="28">
        <f>382.3+1110.8</f>
        <v>1493.1</v>
      </c>
      <c r="D115" s="32">
        <v>835</v>
      </c>
      <c r="E115" s="31">
        <v>11</v>
      </c>
      <c r="F115" s="28">
        <v>50.7</v>
      </c>
      <c r="G115" s="29">
        <v>4</v>
      </c>
      <c r="H115" s="28">
        <f>84.1+1.4</f>
        <v>85.5</v>
      </c>
      <c r="I115" s="28">
        <f>90+874.7</f>
        <v>964.7</v>
      </c>
      <c r="J115" s="32">
        <f>7893.8+546.1+12650.7+146.6</f>
        <v>21237.199999999997</v>
      </c>
      <c r="K115" s="29">
        <f>1117.8+3170.8</f>
        <v>4288.6000000000004</v>
      </c>
      <c r="L115" s="28">
        <f>SUM(C115:K115)</f>
        <v>28969.799999999996</v>
      </c>
    </row>
    <row r="116" spans="1:12" ht="12" hidden="1" customHeight="1" x14ac:dyDescent="0.2">
      <c r="A116" s="35" t="s">
        <v>15</v>
      </c>
      <c r="B116" s="20"/>
      <c r="C116" s="28">
        <f>462+838.4</f>
        <v>1300.4000000000001</v>
      </c>
      <c r="D116" s="32">
        <v>875</v>
      </c>
      <c r="E116" s="31">
        <v>11</v>
      </c>
      <c r="F116" s="28" t="s">
        <v>2</v>
      </c>
      <c r="G116" s="29">
        <v>28.7</v>
      </c>
      <c r="H116" s="28">
        <f>19.4+1.4</f>
        <v>20.799999999999997</v>
      </c>
      <c r="I116" s="28">
        <f>86.1+971.6</f>
        <v>1057.7</v>
      </c>
      <c r="J116" s="32">
        <f>7899.5+592.8+12971.5+147</f>
        <v>21610.799999999999</v>
      </c>
      <c r="K116" s="29">
        <f>1135.2+3276.5</f>
        <v>4411.7</v>
      </c>
      <c r="L116" s="28">
        <f>SUM(C116:K116)</f>
        <v>29316.100000000002</v>
      </c>
    </row>
    <row r="117" spans="1:12" ht="12" hidden="1" customHeight="1" x14ac:dyDescent="0.2">
      <c r="A117" s="35" t="s">
        <v>14</v>
      </c>
      <c r="B117" s="20"/>
      <c r="C117" s="28">
        <f>250+511.5</f>
        <v>761.5</v>
      </c>
      <c r="D117" s="32">
        <v>725</v>
      </c>
      <c r="E117" s="31">
        <v>11</v>
      </c>
      <c r="F117" s="28" t="s">
        <v>2</v>
      </c>
      <c r="G117" s="29">
        <v>28.7</v>
      </c>
      <c r="H117" s="28">
        <v>20.3</v>
      </c>
      <c r="I117" s="28">
        <f>86.1+884.3</f>
        <v>970.4</v>
      </c>
      <c r="J117" s="32">
        <f>8393.5+603.8+13465.4+151.2</f>
        <v>22613.899999999998</v>
      </c>
      <c r="K117" s="29">
        <f>1064.5+3325</f>
        <v>4389.5</v>
      </c>
      <c r="L117" s="28">
        <f>SUM(C117:K117)</f>
        <v>29520.3</v>
      </c>
    </row>
    <row r="118" spans="1:12" ht="12" hidden="1" customHeight="1" x14ac:dyDescent="0.2">
      <c r="A118" s="35" t="s">
        <v>13</v>
      </c>
      <c r="B118" s="20"/>
      <c r="C118" s="28">
        <f>526.6+388.1</f>
        <v>914.7</v>
      </c>
      <c r="D118" s="32">
        <v>375</v>
      </c>
      <c r="E118" s="31">
        <v>11</v>
      </c>
      <c r="F118" s="28" t="s">
        <v>2</v>
      </c>
      <c r="G118" s="29">
        <v>3</v>
      </c>
      <c r="H118" s="28">
        <f>18.2+1.4</f>
        <v>19.599999999999998</v>
      </c>
      <c r="I118" s="28">
        <f>82.2+885.1</f>
        <v>967.30000000000007</v>
      </c>
      <c r="J118" s="32">
        <f>8762+616.1+14029.5+145</f>
        <v>23552.6</v>
      </c>
      <c r="K118" s="29">
        <f>1068+3386.4</f>
        <v>4454.3999999999996</v>
      </c>
      <c r="L118" s="28">
        <f>SUM(C118:K118)</f>
        <v>30297.599999999999</v>
      </c>
    </row>
    <row r="119" spans="1:12" ht="12" hidden="1" customHeight="1" x14ac:dyDescent="0.2">
      <c r="A119" s="35" t="s">
        <v>12</v>
      </c>
      <c r="B119" s="20"/>
      <c r="C119" s="28">
        <f>229.2+384.8</f>
        <v>614</v>
      </c>
      <c r="D119" s="32">
        <v>75</v>
      </c>
      <c r="E119" s="31">
        <v>11</v>
      </c>
      <c r="F119" s="28" t="s">
        <v>2</v>
      </c>
      <c r="G119" s="29">
        <v>2.7</v>
      </c>
      <c r="H119" s="28">
        <f>15.6+1.4</f>
        <v>17</v>
      </c>
      <c r="I119" s="28">
        <f>80.1+828</f>
        <v>908.1</v>
      </c>
      <c r="J119" s="32">
        <f>9257.9+620+14486+146.3</f>
        <v>24510.2</v>
      </c>
      <c r="K119" s="29">
        <f>1111.7+3895.5</f>
        <v>5007.2</v>
      </c>
      <c r="L119" s="28">
        <f>SUM(C119:K119)</f>
        <v>31145.200000000001</v>
      </c>
    </row>
    <row r="120" spans="1:12" ht="12" hidden="1" customHeight="1" x14ac:dyDescent="0.2">
      <c r="A120" s="35" t="s">
        <v>11</v>
      </c>
      <c r="B120" s="20"/>
      <c r="C120" s="28">
        <f>223.9+563</f>
        <v>786.9</v>
      </c>
      <c r="D120" s="32">
        <v>225</v>
      </c>
      <c r="E120" s="31">
        <v>11</v>
      </c>
      <c r="F120" s="28" t="s">
        <v>2</v>
      </c>
      <c r="G120" s="29">
        <v>2.5</v>
      </c>
      <c r="H120" s="28">
        <f>15.6+1.4</f>
        <v>17</v>
      </c>
      <c r="I120" s="28">
        <f>77.6+827.5</f>
        <v>905.1</v>
      </c>
      <c r="J120" s="32">
        <f>9322.1+617.5+14492.6+150.4</f>
        <v>24582.600000000002</v>
      </c>
      <c r="K120" s="29">
        <f>1078.6+3934.2</f>
        <v>5012.7999999999993</v>
      </c>
      <c r="L120" s="28">
        <f>SUM(C120:K120)</f>
        <v>31542.9</v>
      </c>
    </row>
    <row r="121" spans="1:12" ht="12" hidden="1" customHeight="1" x14ac:dyDescent="0.2">
      <c r="A121" s="35" t="s">
        <v>10</v>
      </c>
      <c r="B121" s="20"/>
      <c r="C121" s="28">
        <f>207.9+390.3</f>
        <v>598.20000000000005</v>
      </c>
      <c r="D121" s="32">
        <v>225</v>
      </c>
      <c r="E121" s="31">
        <v>11</v>
      </c>
      <c r="F121" s="28" t="s">
        <v>2</v>
      </c>
      <c r="G121" s="29">
        <v>2.2000000000000002</v>
      </c>
      <c r="H121" s="28">
        <f>15.6+1.4</f>
        <v>17</v>
      </c>
      <c r="I121" s="28">
        <f>74.4+1109.2</f>
        <v>1183.6000000000001</v>
      </c>
      <c r="J121" s="32">
        <f>9489.6+667.2+14910.7+146.3</f>
        <v>25213.8</v>
      </c>
      <c r="K121" s="29">
        <f>1062.1+4075.4</f>
        <v>5137.5</v>
      </c>
      <c r="L121" s="28">
        <f>SUM(C121:K121)</f>
        <v>32388.3</v>
      </c>
    </row>
    <row r="122" spans="1:12" ht="12" hidden="1" customHeight="1" x14ac:dyDescent="0.2">
      <c r="A122" s="35" t="s">
        <v>9</v>
      </c>
      <c r="B122" s="20"/>
      <c r="C122" s="28">
        <f>188.6+398.2</f>
        <v>586.79999999999995</v>
      </c>
      <c r="D122" s="32">
        <v>225</v>
      </c>
      <c r="E122" s="31">
        <v>11</v>
      </c>
      <c r="F122" s="28" t="s">
        <v>2</v>
      </c>
      <c r="G122" s="29">
        <v>1.9</v>
      </c>
      <c r="H122" s="28">
        <f>15+1.4</f>
        <v>16.399999999999999</v>
      </c>
      <c r="I122" s="28">
        <f>68.8+1039.4</f>
        <v>1108.2</v>
      </c>
      <c r="J122" s="32">
        <f>9612.9+701.1+15292.1+137.2</f>
        <v>25743.3</v>
      </c>
      <c r="K122" s="29">
        <f>1130.2+3986</f>
        <v>5116.2</v>
      </c>
      <c r="L122" s="28">
        <f>SUM(C122:K122)</f>
        <v>32808.799999999996</v>
      </c>
    </row>
    <row r="123" spans="1:12" ht="12" hidden="1" customHeight="1" x14ac:dyDescent="0.2">
      <c r="A123" s="35" t="s">
        <v>8</v>
      </c>
      <c r="B123" s="20"/>
      <c r="C123" s="28">
        <f>314.3+912.8</f>
        <v>1227.0999999999999</v>
      </c>
      <c r="D123" s="32">
        <v>225</v>
      </c>
      <c r="E123" s="31">
        <v>11</v>
      </c>
      <c r="F123" s="28" t="s">
        <v>2</v>
      </c>
      <c r="G123" s="29">
        <v>1.6</v>
      </c>
      <c r="H123" s="28">
        <f>12.5+1.4</f>
        <v>13.9</v>
      </c>
      <c r="I123" s="28">
        <f>64.7+978.9</f>
        <v>1043.5999999999999</v>
      </c>
      <c r="J123" s="32">
        <f>9721.9+716.4+15137.5+135.4</f>
        <v>25711.200000000001</v>
      </c>
      <c r="K123" s="29">
        <f>992.1+3837.9</f>
        <v>4830</v>
      </c>
      <c r="L123" s="28">
        <f>SUM(C123:K123)</f>
        <v>33063.4</v>
      </c>
    </row>
    <row r="124" spans="1:12" ht="12" hidden="1" customHeight="1" x14ac:dyDescent="0.2">
      <c r="A124" s="35" t="s">
        <v>7</v>
      </c>
      <c r="B124" s="20"/>
      <c r="C124" s="28">
        <f>183.4+820.6</f>
        <v>1004</v>
      </c>
      <c r="D124" s="32">
        <f>560+44</f>
        <v>604</v>
      </c>
      <c r="E124" s="31">
        <v>11</v>
      </c>
      <c r="F124" s="28">
        <v>36</v>
      </c>
      <c r="G124" s="29">
        <v>1.3</v>
      </c>
      <c r="H124" s="28">
        <f>126.1</f>
        <v>126.1</v>
      </c>
      <c r="I124" s="28">
        <f>65.3+932</f>
        <v>997.3</v>
      </c>
      <c r="J124" s="32">
        <f>10087.6+690.7+14933.8+132.9</f>
        <v>25845</v>
      </c>
      <c r="K124" s="29">
        <f>961.5+3832.1</f>
        <v>4793.6000000000004</v>
      </c>
      <c r="L124" s="28">
        <f>SUM(C124:K124)</f>
        <v>33418.300000000003</v>
      </c>
    </row>
    <row r="125" spans="1:12" ht="12" hidden="1" customHeight="1" x14ac:dyDescent="0.2">
      <c r="A125" s="35" t="s">
        <v>6</v>
      </c>
      <c r="B125" s="20"/>
      <c r="C125" s="28">
        <f>120.4+871.4</f>
        <v>991.8</v>
      </c>
      <c r="D125" s="32">
        <f>610+44</f>
        <v>654</v>
      </c>
      <c r="E125" s="31">
        <v>11</v>
      </c>
      <c r="F125" s="28">
        <v>31.9</v>
      </c>
      <c r="G125" s="29">
        <v>1.3</v>
      </c>
      <c r="H125" s="28">
        <f>265.9</f>
        <v>265.89999999999998</v>
      </c>
      <c r="I125" s="28">
        <f>58.7+903.8</f>
        <v>962.5</v>
      </c>
      <c r="J125" s="32">
        <f>10067.1+706.5+14449.9+119.2</f>
        <v>25342.7</v>
      </c>
      <c r="K125" s="29">
        <f>958.3+3935.3</f>
        <v>4893.6000000000004</v>
      </c>
      <c r="L125" s="28">
        <f>SUM(C125:K125)</f>
        <v>33154.700000000004</v>
      </c>
    </row>
    <row r="126" spans="1:12" ht="12" hidden="1" customHeight="1" x14ac:dyDescent="0.2">
      <c r="A126" s="35"/>
      <c r="B126" s="20"/>
      <c r="C126" s="28"/>
      <c r="D126" s="32"/>
      <c r="E126" s="31"/>
      <c r="F126" s="31"/>
      <c r="G126" s="29"/>
      <c r="H126" s="28"/>
      <c r="I126" s="28"/>
      <c r="J126" s="32"/>
      <c r="K126" s="29"/>
      <c r="L126" s="28"/>
    </row>
    <row r="127" spans="1:12" ht="12" hidden="1" customHeight="1" x14ac:dyDescent="0.2">
      <c r="A127" s="35" t="s">
        <v>27</v>
      </c>
      <c r="B127" s="20"/>
      <c r="C127" s="28">
        <f>149.3+810.9</f>
        <v>960.2</v>
      </c>
      <c r="D127" s="32">
        <f>660+44</f>
        <v>704</v>
      </c>
      <c r="E127" s="31">
        <v>11</v>
      </c>
      <c r="F127" s="28">
        <v>30.5</v>
      </c>
      <c r="G127" s="29">
        <v>0.8</v>
      </c>
      <c r="H127" s="28">
        <v>320.8</v>
      </c>
      <c r="I127" s="28">
        <f>56.1+729.6</f>
        <v>785.7</v>
      </c>
      <c r="J127" s="32">
        <f>10193+744.7+14466.4+167.5</f>
        <v>25571.599999999999</v>
      </c>
      <c r="K127" s="29">
        <f>953.1+3906.3</f>
        <v>4859.4000000000005</v>
      </c>
      <c r="L127" s="28">
        <f>SUM(C127:K127)</f>
        <v>33244</v>
      </c>
    </row>
    <row r="128" spans="1:12" ht="12" hidden="1" customHeight="1" x14ac:dyDescent="0.2">
      <c r="A128" s="35" t="s">
        <v>16</v>
      </c>
      <c r="B128" s="20"/>
      <c r="C128" s="28">
        <f>539.3+1542.6</f>
        <v>2081.8999999999996</v>
      </c>
      <c r="D128" s="32">
        <f>860+44</f>
        <v>904</v>
      </c>
      <c r="E128" s="31">
        <v>11</v>
      </c>
      <c r="F128" s="28">
        <f>30.5+506.8</f>
        <v>537.29999999999995</v>
      </c>
      <c r="G128" s="28" t="s">
        <v>2</v>
      </c>
      <c r="H128" s="28">
        <v>140.9</v>
      </c>
      <c r="I128" s="28">
        <f>54.3+663.5</f>
        <v>717.8</v>
      </c>
      <c r="J128" s="32">
        <f>10237.8+754.1+13762.9+163.7</f>
        <v>24918.5</v>
      </c>
      <c r="K128" s="29">
        <f>954.8+4248.3</f>
        <v>5203.1000000000004</v>
      </c>
      <c r="L128" s="28">
        <f>SUM(C128:K128)</f>
        <v>34514.5</v>
      </c>
    </row>
    <row r="129" spans="1:12" ht="12" hidden="1" customHeight="1" x14ac:dyDescent="0.2">
      <c r="A129" s="35" t="s">
        <v>15</v>
      </c>
      <c r="B129" s="20"/>
      <c r="C129" s="28">
        <f>256.6+916.3</f>
        <v>1172.9000000000001</v>
      </c>
      <c r="D129" s="32">
        <f>510+44</f>
        <v>554</v>
      </c>
      <c r="E129" s="31">
        <v>11</v>
      </c>
      <c r="F129" s="28">
        <f>2.1+506.8</f>
        <v>508.90000000000003</v>
      </c>
      <c r="G129" s="28" t="s">
        <v>2</v>
      </c>
      <c r="H129" s="28">
        <f>132.9</f>
        <v>132.9</v>
      </c>
      <c r="I129" s="28">
        <f>47.5+453.5</f>
        <v>501</v>
      </c>
      <c r="J129" s="32">
        <f>10854.5+764+14411.1+163.4</f>
        <v>26193</v>
      </c>
      <c r="K129" s="29">
        <f>935.7+3637.1</f>
        <v>4572.8</v>
      </c>
      <c r="L129" s="28">
        <f>SUM(C129:K129)</f>
        <v>33646.5</v>
      </c>
    </row>
    <row r="130" spans="1:12" ht="12" hidden="1" customHeight="1" x14ac:dyDescent="0.2">
      <c r="A130" s="35" t="s">
        <v>14</v>
      </c>
      <c r="B130" s="20"/>
      <c r="C130" s="28">
        <f>264.4+1253.1</f>
        <v>1517.5</v>
      </c>
      <c r="D130" s="32">
        <f>510+44</f>
        <v>554</v>
      </c>
      <c r="E130" s="31">
        <v>11</v>
      </c>
      <c r="F130" s="28">
        <f>25.3+506.8</f>
        <v>532.1</v>
      </c>
      <c r="G130" s="28" t="s">
        <v>2</v>
      </c>
      <c r="H130" s="28">
        <f>21.3</f>
        <v>21.3</v>
      </c>
      <c r="I130" s="28">
        <f>252.3+425.3</f>
        <v>677.6</v>
      </c>
      <c r="J130" s="32">
        <f>10989.9+781.3+14248.1+174.9</f>
        <v>26194.2</v>
      </c>
      <c r="K130" s="29">
        <f>940.1+3472.3</f>
        <v>4412.4000000000005</v>
      </c>
      <c r="L130" s="28">
        <f>SUM(C130:K130)</f>
        <v>33920.1</v>
      </c>
    </row>
    <row r="131" spans="1:12" ht="12" hidden="1" customHeight="1" x14ac:dyDescent="0.2">
      <c r="A131" s="35" t="s">
        <v>13</v>
      </c>
      <c r="B131" s="20"/>
      <c r="C131" s="28">
        <f>205.9+1342.3</f>
        <v>1548.2</v>
      </c>
      <c r="D131" s="32">
        <f>510+193.9</f>
        <v>703.9</v>
      </c>
      <c r="E131" s="31">
        <v>11</v>
      </c>
      <c r="F131" s="28">
        <f>22.2+506.8</f>
        <v>529</v>
      </c>
      <c r="G131" s="28" t="s">
        <v>2</v>
      </c>
      <c r="H131" s="28">
        <v>19</v>
      </c>
      <c r="I131" s="28">
        <f>245.9+395.2</f>
        <v>641.1</v>
      </c>
      <c r="J131" s="32">
        <f>11214.8+792.5+14067.5+156.3</f>
        <v>26231.1</v>
      </c>
      <c r="K131" s="29">
        <f>940.3+3484.8</f>
        <v>4425.1000000000004</v>
      </c>
      <c r="L131" s="28">
        <f>SUM(C131:K131)</f>
        <v>34108.400000000001</v>
      </c>
    </row>
    <row r="132" spans="1:12" ht="12" hidden="1" customHeight="1" x14ac:dyDescent="0.2">
      <c r="A132" s="35" t="s">
        <v>12</v>
      </c>
      <c r="B132" s="20"/>
      <c r="C132" s="28">
        <v>1706.2</v>
      </c>
      <c r="D132" s="32">
        <v>700</v>
      </c>
      <c r="E132" s="31">
        <v>11</v>
      </c>
      <c r="F132" s="28">
        <f>22.2+506.8</f>
        <v>529</v>
      </c>
      <c r="G132" s="28" t="s">
        <v>2</v>
      </c>
      <c r="H132" s="28">
        <v>20.399999999999999</v>
      </c>
      <c r="I132" s="28">
        <v>591.6</v>
      </c>
      <c r="J132" s="32">
        <v>26739.8</v>
      </c>
      <c r="K132" s="29">
        <v>5003.8</v>
      </c>
      <c r="L132" s="28">
        <f>SUM(C132:K132)</f>
        <v>35301.800000000003</v>
      </c>
    </row>
    <row r="133" spans="1:12" ht="12" hidden="1" customHeight="1" x14ac:dyDescent="0.2">
      <c r="A133" s="35" t="s">
        <v>11</v>
      </c>
      <c r="B133" s="20"/>
      <c r="C133" s="28">
        <f>319.6+987.3</f>
        <v>1306.9000000000001</v>
      </c>
      <c r="D133" s="32">
        <f>900+394</f>
        <v>1294</v>
      </c>
      <c r="E133" s="31">
        <v>11</v>
      </c>
      <c r="F133" s="28">
        <f>22.2+833.8</f>
        <v>856</v>
      </c>
      <c r="G133" s="28" t="s">
        <v>2</v>
      </c>
      <c r="H133" s="28">
        <v>17</v>
      </c>
      <c r="I133" s="28">
        <f>214.5+316.6</f>
        <v>531.1</v>
      </c>
      <c r="J133" s="32">
        <f>11943.6+786.9+13935.2+147.1</f>
        <v>26812.799999999999</v>
      </c>
      <c r="K133" s="29">
        <f>962.6+4145</f>
        <v>5107.6000000000004</v>
      </c>
      <c r="L133" s="28">
        <f>SUM(C133:K133)</f>
        <v>35936.400000000001</v>
      </c>
    </row>
    <row r="134" spans="1:12" ht="12" hidden="1" customHeight="1" x14ac:dyDescent="0.2">
      <c r="A134" s="35" t="s">
        <v>10</v>
      </c>
      <c r="B134" s="20"/>
      <c r="C134" s="28">
        <f>621.9+1113.2</f>
        <v>1735.1</v>
      </c>
      <c r="D134" s="32">
        <f>500+150</f>
        <v>650</v>
      </c>
      <c r="E134" s="31">
        <v>11</v>
      </c>
      <c r="F134" s="28">
        <f>22.2+833.8</f>
        <v>856</v>
      </c>
      <c r="G134" s="28" t="s">
        <v>2</v>
      </c>
      <c r="H134" s="28">
        <v>17</v>
      </c>
      <c r="I134" s="28">
        <f>201.5+376.1</f>
        <v>577.6</v>
      </c>
      <c r="J134" s="32">
        <f>12146.6+786.6+14308.3+146.2</f>
        <v>27387.7</v>
      </c>
      <c r="K134" s="29">
        <f>1037.8+4233.9</f>
        <v>5271.7</v>
      </c>
      <c r="L134" s="28">
        <f>SUM(C134:K134)</f>
        <v>36506.1</v>
      </c>
    </row>
    <row r="135" spans="1:12" ht="12" hidden="1" customHeight="1" x14ac:dyDescent="0.2">
      <c r="A135" s="35" t="s">
        <v>9</v>
      </c>
      <c r="B135" s="20"/>
      <c r="C135" s="28">
        <f>75.9+1473.1</f>
        <v>1549</v>
      </c>
      <c r="D135" s="32">
        <f>500</f>
        <v>500</v>
      </c>
      <c r="E135" s="31">
        <v>11</v>
      </c>
      <c r="F135" s="28">
        <f>15.8+833.8</f>
        <v>849.59999999999991</v>
      </c>
      <c r="G135" s="28" t="s">
        <v>2</v>
      </c>
      <c r="H135" s="28">
        <v>658.1</v>
      </c>
      <c r="I135" s="28">
        <f>197.3+376.1</f>
        <v>573.40000000000009</v>
      </c>
      <c r="J135" s="32">
        <f>12300.1+785.4+13927+787.9</f>
        <v>27800.400000000001</v>
      </c>
      <c r="K135" s="29">
        <f>1078.2+3753.5</f>
        <v>4831.7</v>
      </c>
      <c r="L135" s="28">
        <f>SUM(C135:K135)</f>
        <v>36773.199999999997</v>
      </c>
    </row>
    <row r="136" spans="1:12" ht="12" hidden="1" customHeight="1" x14ac:dyDescent="0.2">
      <c r="A136" s="35" t="s">
        <v>8</v>
      </c>
      <c r="B136" s="20"/>
      <c r="C136" s="28">
        <f>294+902.4</f>
        <v>1196.4000000000001</v>
      </c>
      <c r="D136" s="32">
        <f>300+1000</f>
        <v>1300</v>
      </c>
      <c r="E136" s="31">
        <v>11</v>
      </c>
      <c r="F136" s="28">
        <f>13.1+833.8</f>
        <v>846.9</v>
      </c>
      <c r="G136" s="28" t="s">
        <v>2</v>
      </c>
      <c r="H136" s="28">
        <v>636.9</v>
      </c>
      <c r="I136" s="28">
        <f>174.8+176.1</f>
        <v>350.9</v>
      </c>
      <c r="J136" s="32">
        <f>12575.5+773.4+13760.5+796.1</f>
        <v>27905.5</v>
      </c>
      <c r="K136" s="29">
        <f>1020.7+3600.5</f>
        <v>4621.2</v>
      </c>
      <c r="L136" s="28">
        <f>SUM(C136:K136)</f>
        <v>36868.799999999996</v>
      </c>
    </row>
    <row r="137" spans="1:12" ht="12" hidden="1" customHeight="1" x14ac:dyDescent="0.2">
      <c r="A137" s="35" t="s">
        <v>7</v>
      </c>
      <c r="B137" s="20"/>
      <c r="C137" s="28">
        <f>246.9+618.2</f>
        <v>865.1</v>
      </c>
      <c r="D137" s="32">
        <f>300</f>
        <v>300</v>
      </c>
      <c r="E137" s="31">
        <f>0+11</f>
        <v>11</v>
      </c>
      <c r="F137" s="28">
        <f>6.7+833.8</f>
        <v>840.5</v>
      </c>
      <c r="G137" s="28" t="s">
        <v>2</v>
      </c>
      <c r="H137" s="28">
        <f>624.4</f>
        <v>624.4</v>
      </c>
      <c r="I137" s="28">
        <f>185+324</f>
        <v>509</v>
      </c>
      <c r="J137" s="32">
        <f>12663.6+769.7+14601.3+789.3</f>
        <v>28823.899999999998</v>
      </c>
      <c r="K137" s="29">
        <f>1043.1+3568.7</f>
        <v>4611.7999999999993</v>
      </c>
      <c r="L137" s="28">
        <f>SUM(C137:K137)</f>
        <v>36585.699999999997</v>
      </c>
    </row>
    <row r="138" spans="1:12" ht="12" hidden="1" customHeight="1" x14ac:dyDescent="0.2">
      <c r="A138" s="35" t="s">
        <v>6</v>
      </c>
      <c r="B138" s="20"/>
      <c r="C138" s="28">
        <f>368.4+1042.3</f>
        <v>1410.6999999999998</v>
      </c>
      <c r="D138" s="32">
        <v>450</v>
      </c>
      <c r="E138" s="31">
        <f>0+11</f>
        <v>11</v>
      </c>
      <c r="F138" s="28">
        <f>833.8</f>
        <v>833.8</v>
      </c>
      <c r="G138" s="28" t="s">
        <v>2</v>
      </c>
      <c r="H138" s="28">
        <v>615.9</v>
      </c>
      <c r="I138" s="28">
        <f>166.6+176.1</f>
        <v>342.7</v>
      </c>
      <c r="J138" s="32">
        <f>12723.8+781.9+14884.8+758.3</f>
        <v>29148.799999999999</v>
      </c>
      <c r="K138" s="29">
        <f>967.8+3396.8</f>
        <v>4364.6000000000004</v>
      </c>
      <c r="L138" s="28">
        <f>SUM(C138:K138)</f>
        <v>37177.5</v>
      </c>
    </row>
    <row r="139" spans="1:12" ht="12" hidden="1" customHeight="1" x14ac:dyDescent="0.2">
      <c r="A139" s="40"/>
      <c r="B139" s="20"/>
      <c r="C139" s="28"/>
      <c r="D139" s="32"/>
      <c r="E139" s="31"/>
      <c r="F139" s="31"/>
      <c r="G139" s="31"/>
      <c r="H139" s="28"/>
      <c r="I139" s="28"/>
      <c r="J139" s="32"/>
      <c r="K139" s="29"/>
      <c r="L139" s="28"/>
    </row>
    <row r="140" spans="1:12" ht="12" hidden="1" customHeight="1" x14ac:dyDescent="0.2">
      <c r="A140" s="35" t="s">
        <v>26</v>
      </c>
      <c r="B140" s="20"/>
      <c r="C140" s="28">
        <f>578.7+723.7</f>
        <v>1302.4000000000001</v>
      </c>
      <c r="D140" s="32">
        <v>150</v>
      </c>
      <c r="E140" s="31">
        <f>0+11</f>
        <v>11</v>
      </c>
      <c r="F140" s="28">
        <f>833.8+11</f>
        <v>844.8</v>
      </c>
      <c r="G140" s="28" t="s">
        <v>2</v>
      </c>
      <c r="H140" s="28">
        <v>26.4</v>
      </c>
      <c r="I140" s="28">
        <f>78.4+176.1</f>
        <v>254.5</v>
      </c>
      <c r="J140" s="32">
        <f>13512.9+825.9+15002.4+823.1</f>
        <v>30164.299999999996</v>
      </c>
      <c r="K140" s="29">
        <f>1042.9+3544.6</f>
        <v>4587.5</v>
      </c>
      <c r="L140" s="28">
        <f>SUM(C140:K140)</f>
        <v>37340.899999999994</v>
      </c>
    </row>
    <row r="141" spans="1:12" ht="12" hidden="1" customHeight="1" x14ac:dyDescent="0.2">
      <c r="A141" s="35" t="s">
        <v>16</v>
      </c>
      <c r="B141" s="20"/>
      <c r="C141" s="28">
        <f>294.2+530.2</f>
        <v>824.40000000000009</v>
      </c>
      <c r="D141" s="32">
        <v>300</v>
      </c>
      <c r="E141" s="31">
        <f>0+11</f>
        <v>11</v>
      </c>
      <c r="F141" s="28">
        <f>833.8+2.3</f>
        <v>836.09999999999991</v>
      </c>
      <c r="G141" s="28" t="s">
        <v>2</v>
      </c>
      <c r="H141" s="28">
        <v>3.5</v>
      </c>
      <c r="I141" s="28">
        <f>68.5+176.1</f>
        <v>244.6</v>
      </c>
      <c r="J141" s="32">
        <f>14069.8+816.6+14854.4+873.4</f>
        <v>30614.2</v>
      </c>
      <c r="K141" s="29">
        <f>1130.5+3900.6</f>
        <v>5031.1000000000004</v>
      </c>
      <c r="L141" s="28">
        <f>SUM(C141:K141)</f>
        <v>37864.9</v>
      </c>
    </row>
    <row r="142" spans="1:12" ht="12" hidden="1" customHeight="1" x14ac:dyDescent="0.2">
      <c r="A142" s="35" t="s">
        <v>15</v>
      </c>
      <c r="B142" s="20"/>
      <c r="C142" s="28">
        <f>266+377.8</f>
        <v>643.79999999999995</v>
      </c>
      <c r="D142" s="32">
        <v>650</v>
      </c>
      <c r="E142" s="31">
        <f>0+11</f>
        <v>11</v>
      </c>
      <c r="F142" s="28">
        <f>833.8</f>
        <v>833.8</v>
      </c>
      <c r="G142" s="28" t="s">
        <v>2</v>
      </c>
      <c r="H142" s="28">
        <v>47.5</v>
      </c>
      <c r="I142" s="28">
        <f>60.2+218.2</f>
        <v>278.39999999999998</v>
      </c>
      <c r="J142" s="32">
        <f>13994.5+829+15318.2+857.6</f>
        <v>30999.3</v>
      </c>
      <c r="K142" s="29">
        <f>1012.8+3575.4</f>
        <v>4588.2</v>
      </c>
      <c r="L142" s="28">
        <f>SUM(C142:K142)</f>
        <v>38052</v>
      </c>
    </row>
    <row r="143" spans="1:12" ht="12" hidden="1" customHeight="1" x14ac:dyDescent="0.2">
      <c r="A143" s="35" t="s">
        <v>14</v>
      </c>
      <c r="B143" s="20"/>
      <c r="C143" s="28">
        <f>201.3+299.1</f>
        <v>500.40000000000003</v>
      </c>
      <c r="D143" s="32">
        <v>650</v>
      </c>
      <c r="E143" s="31">
        <f>0+11</f>
        <v>11</v>
      </c>
      <c r="F143" s="28">
        <f>833.8</f>
        <v>833.8</v>
      </c>
      <c r="G143" s="28" t="s">
        <v>2</v>
      </c>
      <c r="H143" s="28">
        <v>18.399999999999999</v>
      </c>
      <c r="I143" s="28">
        <f>56+332.9</f>
        <v>388.9</v>
      </c>
      <c r="J143" s="32">
        <f>14342.8+831.7+15274.6+926.7</f>
        <v>31375.8</v>
      </c>
      <c r="K143" s="29">
        <f>1064.2+3433.1</f>
        <v>4497.3</v>
      </c>
      <c r="L143" s="28">
        <f>SUM(C143:K143)</f>
        <v>38275.600000000006</v>
      </c>
    </row>
    <row r="144" spans="1:12" ht="12" hidden="1" customHeight="1" x14ac:dyDescent="0.2">
      <c r="A144" s="35" t="s">
        <v>13</v>
      </c>
      <c r="B144" s="20"/>
      <c r="C144" s="28">
        <f>375.8+241.4</f>
        <v>617.20000000000005</v>
      </c>
      <c r="D144" s="32">
        <v>700</v>
      </c>
      <c r="E144" s="31">
        <f>0+11</f>
        <v>11</v>
      </c>
      <c r="F144" s="28">
        <f>833.8</f>
        <v>833.8</v>
      </c>
      <c r="G144" s="28" t="s">
        <v>2</v>
      </c>
      <c r="H144" s="28">
        <v>124.3</v>
      </c>
      <c r="I144" s="28">
        <f>51.7+176.1</f>
        <v>227.8</v>
      </c>
      <c r="J144" s="32">
        <f>14518.4+866.1+15437+885.5</f>
        <v>31707</v>
      </c>
      <c r="K144" s="29">
        <f>1121.6+3670.1</f>
        <v>4791.7</v>
      </c>
      <c r="L144" s="28">
        <f>SUM(C144:K144)</f>
        <v>39012.799999999996</v>
      </c>
    </row>
    <row r="145" spans="1:12" ht="12" hidden="1" customHeight="1" x14ac:dyDescent="0.2">
      <c r="A145" s="35" t="s">
        <v>12</v>
      </c>
      <c r="B145" s="20"/>
      <c r="C145" s="28">
        <f>271+569.3</f>
        <v>840.3</v>
      </c>
      <c r="D145" s="32">
        <v>850</v>
      </c>
      <c r="E145" s="31">
        <f>0+11</f>
        <v>11</v>
      </c>
      <c r="F145" s="28">
        <f>833.8</f>
        <v>833.8</v>
      </c>
      <c r="G145" s="28" t="s">
        <v>2</v>
      </c>
      <c r="H145" s="28">
        <v>122</v>
      </c>
      <c r="I145" s="28">
        <f>47.5+728.9</f>
        <v>776.4</v>
      </c>
      <c r="J145" s="32">
        <f>14758.6+890.4+15372.4+929.4</f>
        <v>31950.800000000003</v>
      </c>
      <c r="K145" s="29">
        <f>1058.4+3723.6</f>
        <v>4782</v>
      </c>
      <c r="L145" s="28">
        <f>SUM(C145:K145)</f>
        <v>40166.300000000003</v>
      </c>
    </row>
    <row r="146" spans="1:12" ht="12" hidden="1" customHeight="1" x14ac:dyDescent="0.2">
      <c r="A146" s="35" t="s">
        <v>11</v>
      </c>
      <c r="B146" s="20"/>
      <c r="C146" s="28">
        <f>178.5+202.5</f>
        <v>381</v>
      </c>
      <c r="D146" s="32">
        <v>858.3</v>
      </c>
      <c r="E146" s="31">
        <f>0+11</f>
        <v>11</v>
      </c>
      <c r="F146" s="28">
        <f>833.8</f>
        <v>833.8</v>
      </c>
      <c r="G146" s="28" t="s">
        <v>2</v>
      </c>
      <c r="H146" s="28">
        <v>694.8</v>
      </c>
      <c r="I146" s="28">
        <f>40.6+1122.2</f>
        <v>1162.8</v>
      </c>
      <c r="J146" s="32">
        <f>14507.4+907.6+15575.3+977.2</f>
        <v>31967.5</v>
      </c>
      <c r="K146" s="29">
        <f>1032.4+3389.1</f>
        <v>4421.5</v>
      </c>
      <c r="L146" s="28">
        <f>SUM(C146:K146)</f>
        <v>40330.699999999997</v>
      </c>
    </row>
    <row r="147" spans="1:12" ht="12" hidden="1" customHeight="1" x14ac:dyDescent="0.2">
      <c r="A147" s="35" t="s">
        <v>10</v>
      </c>
      <c r="B147" s="20"/>
      <c r="C147" s="28">
        <f>278.2+246.8</f>
        <v>525</v>
      </c>
      <c r="D147" s="32">
        <v>700</v>
      </c>
      <c r="E147" s="31">
        <f>0+11</f>
        <v>11</v>
      </c>
      <c r="F147" s="28">
        <f>833.8+75.6</f>
        <v>909.4</v>
      </c>
      <c r="G147" s="28" t="s">
        <v>2</v>
      </c>
      <c r="H147" s="28">
        <v>741.3</v>
      </c>
      <c r="I147" s="28">
        <f>35.4+615.9</f>
        <v>651.29999999999995</v>
      </c>
      <c r="J147" s="32">
        <f>14600.2+934.1+15284.9+956.5</f>
        <v>31775.7</v>
      </c>
      <c r="K147" s="29">
        <f>1055.7+5013.6</f>
        <v>6069.3</v>
      </c>
      <c r="L147" s="28">
        <f>SUM(C147:K147)</f>
        <v>41383</v>
      </c>
    </row>
    <row r="148" spans="1:12" hidden="1" x14ac:dyDescent="0.2">
      <c r="A148" s="35" t="s">
        <v>9</v>
      </c>
      <c r="B148" s="20"/>
      <c r="C148" s="28">
        <f>311.9+898.7</f>
        <v>1210.5999999999999</v>
      </c>
      <c r="D148" s="32">
        <v>450</v>
      </c>
      <c r="E148" s="31">
        <f>0+11</f>
        <v>11</v>
      </c>
      <c r="F148" s="28">
        <f>833.8+73.8</f>
        <v>907.59999999999991</v>
      </c>
      <c r="G148" s="28" t="s">
        <v>2</v>
      </c>
      <c r="H148" s="28">
        <v>725.9</v>
      </c>
      <c r="I148" s="28">
        <f>34.2+754.8</f>
        <v>789</v>
      </c>
      <c r="J148" s="32">
        <f>15157+928.7+15212.1+955.3</f>
        <v>32253.100000000002</v>
      </c>
      <c r="K148" s="29">
        <f>1122.1+4982.4</f>
        <v>6104.5</v>
      </c>
      <c r="L148" s="28">
        <f>SUM(C148:K148)</f>
        <v>42451.700000000004</v>
      </c>
    </row>
    <row r="149" spans="1:12" ht="11.25" hidden="1" customHeight="1" x14ac:dyDescent="0.2">
      <c r="A149" s="35" t="s">
        <v>8</v>
      </c>
      <c r="B149" s="20"/>
      <c r="C149" s="28">
        <f>342.5+900</f>
        <v>1242.5</v>
      </c>
      <c r="D149" s="32">
        <v>750</v>
      </c>
      <c r="E149" s="31">
        <f>0+11</f>
        <v>11</v>
      </c>
      <c r="F149" s="28">
        <f>72+833.8</f>
        <v>905.8</v>
      </c>
      <c r="G149" s="28" t="s">
        <v>2</v>
      </c>
      <c r="H149" s="28">
        <v>714.4</v>
      </c>
      <c r="I149" s="28">
        <f>33.7+692.8</f>
        <v>726.5</v>
      </c>
      <c r="J149" s="32">
        <f>15672+931.9+16323.1+969.9</f>
        <v>33896.9</v>
      </c>
      <c r="K149" s="29">
        <f>1077.7+3818.7</f>
        <v>4896.3999999999996</v>
      </c>
      <c r="L149" s="28">
        <f>SUM(C149:K149)</f>
        <v>43143.500000000007</v>
      </c>
    </row>
    <row r="150" spans="1:12" ht="11.25" hidden="1" customHeight="1" x14ac:dyDescent="0.2">
      <c r="A150" s="35" t="s">
        <v>7</v>
      </c>
      <c r="B150" s="20"/>
      <c r="C150" s="28">
        <f>689+609.3</f>
        <v>1298.3</v>
      </c>
      <c r="D150" s="32">
        <v>750</v>
      </c>
      <c r="E150" s="31">
        <f>0+11</f>
        <v>11</v>
      </c>
      <c r="F150" s="28">
        <f>71.1+833.8</f>
        <v>904.9</v>
      </c>
      <c r="G150" s="28" t="s">
        <v>2</v>
      </c>
      <c r="H150" s="28">
        <v>712.2</v>
      </c>
      <c r="I150" s="28">
        <f>29.8+760.5</f>
        <v>790.3</v>
      </c>
      <c r="J150" s="32">
        <f>16077.1+919+15624.5+983.3</f>
        <v>33603.9</v>
      </c>
      <c r="K150" s="29">
        <f>1126+4115.1</f>
        <v>5241.1000000000004</v>
      </c>
      <c r="L150" s="28">
        <f>SUM(C150:K150)</f>
        <v>43311.700000000004</v>
      </c>
    </row>
    <row r="151" spans="1:12" ht="11.25" hidden="1" customHeight="1" x14ac:dyDescent="0.2">
      <c r="A151" s="35" t="s">
        <v>6</v>
      </c>
      <c r="B151" s="20"/>
      <c r="C151" s="28">
        <f>762.5+957.7</f>
        <v>1720.2</v>
      </c>
      <c r="D151" s="32">
        <v>750</v>
      </c>
      <c r="E151" s="31">
        <f>0+11</f>
        <v>11</v>
      </c>
      <c r="F151" s="28">
        <f>68.2+833.8</f>
        <v>902</v>
      </c>
      <c r="G151" s="28" t="s">
        <v>2</v>
      </c>
      <c r="H151" s="28">
        <v>657</v>
      </c>
      <c r="I151" s="28">
        <f>24.4+728.3+10.8</f>
        <v>763.49999999999989</v>
      </c>
      <c r="J151" s="32">
        <f>15766.6+857.8+16123.7+1007.3</f>
        <v>33755.4</v>
      </c>
      <c r="K151" s="29">
        <f>1070.7+3901.4</f>
        <v>4972.1000000000004</v>
      </c>
      <c r="L151" s="28">
        <f>SUM(C151:K151)</f>
        <v>43531.199999999997</v>
      </c>
    </row>
    <row r="152" spans="1:12" ht="11.25" hidden="1" customHeight="1" x14ac:dyDescent="0.2">
      <c r="A152" s="35"/>
      <c r="B152" s="20"/>
      <c r="C152" s="28"/>
      <c r="D152" s="32"/>
      <c r="E152" s="31"/>
      <c r="F152" s="28"/>
      <c r="G152" s="28"/>
      <c r="H152" s="28"/>
      <c r="I152" s="28"/>
      <c r="J152" s="32"/>
      <c r="K152" s="29"/>
      <c r="L152" s="28"/>
    </row>
    <row r="153" spans="1:12" ht="12.75" hidden="1" customHeight="1" x14ac:dyDescent="0.2">
      <c r="A153" s="35" t="s">
        <v>25</v>
      </c>
      <c r="B153" s="20"/>
      <c r="C153" s="28">
        <f>1044.6+942.5</f>
        <v>1987.1</v>
      </c>
      <c r="D153" s="32">
        <v>600</v>
      </c>
      <c r="E153" s="31">
        <f>0+11</f>
        <v>11</v>
      </c>
      <c r="F153" s="28">
        <f>66.4+833.8</f>
        <v>900.19999999999993</v>
      </c>
      <c r="G153" s="28" t="s">
        <v>2</v>
      </c>
      <c r="H153" s="28">
        <v>653.1</v>
      </c>
      <c r="I153" s="28">
        <f>23.8+1218.4+10.8</f>
        <v>1253</v>
      </c>
      <c r="J153" s="32">
        <f>16360.5+924+15278.1+1099.2</f>
        <v>33661.799999999996</v>
      </c>
      <c r="K153" s="29">
        <f>1131.7+4318.3</f>
        <v>5450</v>
      </c>
      <c r="L153" s="28">
        <f>SUM(C153:K153)</f>
        <v>44516.2</v>
      </c>
    </row>
    <row r="154" spans="1:12" hidden="1" x14ac:dyDescent="0.2">
      <c r="A154" s="35" t="s">
        <v>16</v>
      </c>
      <c r="B154" s="20"/>
      <c r="C154" s="28">
        <f>1030.8+1937.9</f>
        <v>2968.7</v>
      </c>
      <c r="D154" s="32">
        <v>600</v>
      </c>
      <c r="E154" s="31">
        <f>0+11</f>
        <v>11</v>
      </c>
      <c r="F154" s="28">
        <f>64.5+833.8</f>
        <v>898.3</v>
      </c>
      <c r="G154" s="28" t="s">
        <v>2</v>
      </c>
      <c r="H154" s="28">
        <v>638.5</v>
      </c>
      <c r="I154" s="28">
        <f>23.5+616.6+10.8</f>
        <v>650.9</v>
      </c>
      <c r="J154" s="32">
        <f>16734.5+946.2+15489.5+1165</f>
        <v>34335.199999999997</v>
      </c>
      <c r="K154" s="29">
        <f>1149.6+3676</f>
        <v>4825.6000000000004</v>
      </c>
      <c r="L154" s="28">
        <f>SUM(C154:K154)</f>
        <v>44928.2</v>
      </c>
    </row>
    <row r="155" spans="1:12" ht="12" hidden="1" customHeight="1" x14ac:dyDescent="0.2">
      <c r="A155" s="35" t="s">
        <v>15</v>
      </c>
      <c r="B155" s="20"/>
      <c r="C155" s="28">
        <f>966.5+1270.6</f>
        <v>2237.1</v>
      </c>
      <c r="D155" s="32">
        <v>1100</v>
      </c>
      <c r="E155" s="31">
        <f>0+11</f>
        <v>11</v>
      </c>
      <c r="F155" s="28">
        <f>62.5+833.8</f>
        <v>896.3</v>
      </c>
      <c r="G155" s="28" t="s">
        <v>2</v>
      </c>
      <c r="H155" s="28">
        <v>621.20000000000005</v>
      </c>
      <c r="I155" s="28">
        <f>22.8+607.7+10.8</f>
        <v>641.29999999999995</v>
      </c>
      <c r="J155" s="32">
        <f>16996+1043.9+15614.1+1283.1</f>
        <v>34937.1</v>
      </c>
      <c r="K155" s="29">
        <f>1065.4+3264.1</f>
        <v>4329.5</v>
      </c>
      <c r="L155" s="28">
        <f>SUM(C155:K155)</f>
        <v>44773.5</v>
      </c>
    </row>
    <row r="156" spans="1:12" ht="12" hidden="1" customHeight="1" x14ac:dyDescent="0.2">
      <c r="A156" s="35" t="s">
        <v>14</v>
      </c>
      <c r="B156" s="20"/>
      <c r="C156" s="28">
        <f>853.5+832.9</f>
        <v>1686.4</v>
      </c>
      <c r="D156" s="32">
        <v>1450</v>
      </c>
      <c r="E156" s="31">
        <f>0+11</f>
        <v>11</v>
      </c>
      <c r="F156" s="28">
        <f>59.5+833.8</f>
        <v>893.3</v>
      </c>
      <c r="G156" s="28" t="s">
        <v>2</v>
      </c>
      <c r="H156" s="28">
        <v>606.79999999999995</v>
      </c>
      <c r="I156" s="28">
        <f>22.5+681.6+10.8</f>
        <v>714.9</v>
      </c>
      <c r="J156" s="32">
        <f>17034.4+1042+15714.6+1315.8</f>
        <v>35106.800000000003</v>
      </c>
      <c r="K156" s="29">
        <f>1068.8+3009.1</f>
        <v>4077.8999999999996</v>
      </c>
      <c r="L156" s="28">
        <f>SUM(C156:K156)</f>
        <v>44547.100000000006</v>
      </c>
    </row>
    <row r="157" spans="1:12" ht="12" hidden="1" customHeight="1" x14ac:dyDescent="0.2">
      <c r="A157" s="35" t="s">
        <v>13</v>
      </c>
      <c r="B157" s="20"/>
      <c r="C157" s="28">
        <f>1174.3+405.8</f>
        <v>1580.1</v>
      </c>
      <c r="D157" s="32">
        <v>1450</v>
      </c>
      <c r="E157" s="31">
        <f>0+11</f>
        <v>11</v>
      </c>
      <c r="F157" s="28">
        <f>59.5+833.8</f>
        <v>893.3</v>
      </c>
      <c r="G157" s="28" t="s">
        <v>2</v>
      </c>
      <c r="H157" s="28">
        <v>586.79999999999995</v>
      </c>
      <c r="I157" s="28">
        <f>21.8+681.2+10.8</f>
        <v>713.8</v>
      </c>
      <c r="J157" s="32">
        <f>16926+1027.2+15898.6+1386.1</f>
        <v>35237.9</v>
      </c>
      <c r="K157" s="29">
        <f>1137.6+3320.1</f>
        <v>4457.7</v>
      </c>
      <c r="L157" s="28">
        <f>SUM(C157:K157)</f>
        <v>44930.6</v>
      </c>
    </row>
    <row r="158" spans="1:12" ht="12" hidden="1" customHeight="1" x14ac:dyDescent="0.2">
      <c r="A158" s="35" t="s">
        <v>12</v>
      </c>
      <c r="B158" s="20"/>
      <c r="C158" s="28">
        <f>1325.2+356.7</f>
        <v>1681.9</v>
      </c>
      <c r="D158" s="32">
        <v>950</v>
      </c>
      <c r="E158" s="31">
        <f>0+11</f>
        <v>11</v>
      </c>
      <c r="F158" s="28">
        <f>57.5+833.8</f>
        <v>891.3</v>
      </c>
      <c r="G158" s="28" t="s">
        <v>2</v>
      </c>
      <c r="H158" s="28">
        <v>579.79999999999995</v>
      </c>
      <c r="I158" s="28">
        <f>17.6+680.9+10.8</f>
        <v>709.3</v>
      </c>
      <c r="J158" s="32">
        <f>18048.9+1025.8+16765.2+1525.1</f>
        <v>37365</v>
      </c>
      <c r="K158" s="29">
        <f>1177.8+3082.4</f>
        <v>4260.2</v>
      </c>
      <c r="L158" s="28">
        <f>SUM(C158:K158)</f>
        <v>46448.5</v>
      </c>
    </row>
    <row r="159" spans="1:12" ht="12" hidden="1" customHeight="1" x14ac:dyDescent="0.2">
      <c r="A159" s="35" t="s">
        <v>11</v>
      </c>
      <c r="B159" s="20"/>
      <c r="C159" s="28">
        <f>749+875.1</f>
        <v>1624.1</v>
      </c>
      <c r="D159" s="32">
        <v>1350</v>
      </c>
      <c r="E159" s="31">
        <f>0+11</f>
        <v>11</v>
      </c>
      <c r="F159" s="28">
        <f>53.5+833.8</f>
        <v>887.3</v>
      </c>
      <c r="G159" s="28" t="s">
        <v>2</v>
      </c>
      <c r="H159" s="28">
        <v>230.2</v>
      </c>
      <c r="I159" s="28">
        <f>17.1+681.4+10.8</f>
        <v>709.3</v>
      </c>
      <c r="J159" s="32">
        <f>19253.4+1056.9+17949.3+1597.9</f>
        <v>39857.500000000007</v>
      </c>
      <c r="K159" s="29">
        <f>1171.8+3329.6</f>
        <v>4501.3999999999996</v>
      </c>
      <c r="L159" s="28">
        <f>SUM(C159:K159)</f>
        <v>49170.80000000001</v>
      </c>
    </row>
    <row r="160" spans="1:12" ht="12" hidden="1" customHeight="1" x14ac:dyDescent="0.2">
      <c r="A160" s="35" t="s">
        <v>10</v>
      </c>
      <c r="B160" s="20"/>
      <c r="C160" s="28">
        <f>876.3+738.2</f>
        <v>1614.5</v>
      </c>
      <c r="D160" s="32">
        <v>850</v>
      </c>
      <c r="E160" s="31">
        <f>0+11</f>
        <v>11</v>
      </c>
      <c r="F160" s="28">
        <f>51.4+833.8</f>
        <v>885.19999999999993</v>
      </c>
      <c r="G160" s="28" t="s">
        <v>2</v>
      </c>
      <c r="H160" s="28">
        <v>595.79999999999995</v>
      </c>
      <c r="I160" s="28">
        <f>16.6+707.7+10.8</f>
        <v>735.1</v>
      </c>
      <c r="J160" s="32">
        <f>19725+1051.8+19035.7+1636.7</f>
        <v>41449.199999999997</v>
      </c>
      <c r="K160" s="29">
        <f>1266.8+3653.1</f>
        <v>4919.8999999999996</v>
      </c>
      <c r="L160" s="28">
        <f>SUM(C160:K160)</f>
        <v>51060.7</v>
      </c>
    </row>
    <row r="161" spans="1:16" ht="12" hidden="1" customHeight="1" x14ac:dyDescent="0.2">
      <c r="A161" s="35" t="s">
        <v>9</v>
      </c>
      <c r="B161" s="20"/>
      <c r="C161" s="28">
        <f>1269.8+1547.2</f>
        <v>2817</v>
      </c>
      <c r="D161" s="32">
        <v>450</v>
      </c>
      <c r="E161" s="31">
        <f>0+11</f>
        <v>11</v>
      </c>
      <c r="F161" s="28">
        <f>51.4+833.8</f>
        <v>885.19999999999993</v>
      </c>
      <c r="G161" s="28" t="s">
        <v>2</v>
      </c>
      <c r="H161" s="28">
        <v>593.20000000000005</v>
      </c>
      <c r="I161" s="28">
        <f>16+707.5+10.8</f>
        <v>734.3</v>
      </c>
      <c r="J161" s="32">
        <f>20019.2+1041.5+21291.3+1338.1</f>
        <v>43690.1</v>
      </c>
      <c r="K161" s="29">
        <f>1249.2+3581.5</f>
        <v>4830.7</v>
      </c>
      <c r="L161" s="28">
        <f>SUM(C161:K161)</f>
        <v>54011.499999999993</v>
      </c>
    </row>
    <row r="162" spans="1:16" ht="12" hidden="1" customHeight="1" x14ac:dyDescent="0.2">
      <c r="A162" s="35" t="s">
        <v>8</v>
      </c>
      <c r="B162" s="20"/>
      <c r="C162" s="28">
        <f>558.6+3504.9</f>
        <v>4063.5</v>
      </c>
      <c r="D162" s="32">
        <v>450</v>
      </c>
      <c r="E162" s="31">
        <f>0+11</f>
        <v>11</v>
      </c>
      <c r="F162" s="28">
        <f>49.3+833.8</f>
        <v>883.09999999999991</v>
      </c>
      <c r="G162" s="28" t="s">
        <v>2</v>
      </c>
      <c r="H162" s="28">
        <v>209.6</v>
      </c>
      <c r="I162" s="28">
        <f>15.4+707.5+10.8</f>
        <v>733.69999999999993</v>
      </c>
      <c r="J162" s="32">
        <f>21543.8+1060.2+21609.5+1344.1-10.8</f>
        <v>45546.799999999996</v>
      </c>
      <c r="K162" s="29">
        <f>1344.8+4020.8</f>
        <v>5365.6</v>
      </c>
      <c r="L162" s="28">
        <f>SUM(C162:K162)</f>
        <v>57263.299999999996</v>
      </c>
    </row>
    <row r="163" spans="1:16" ht="12" hidden="1" customHeight="1" x14ac:dyDescent="0.2">
      <c r="A163" s="35" t="s">
        <v>7</v>
      </c>
      <c r="B163" s="20"/>
      <c r="C163" s="28">
        <f>1496.3+3530.7</f>
        <v>5027</v>
      </c>
      <c r="D163" s="32">
        <v>450</v>
      </c>
      <c r="E163" s="31">
        <v>11</v>
      </c>
      <c r="F163" s="28">
        <f>47.2+833.8</f>
        <v>881</v>
      </c>
      <c r="G163" s="28" t="s">
        <v>2</v>
      </c>
      <c r="H163" s="28">
        <v>552.9</v>
      </c>
      <c r="I163" s="28">
        <f>14.8+707.2+10.8</f>
        <v>732.8</v>
      </c>
      <c r="J163" s="32">
        <f>21342.5+1068.7+21781.2+1354.3-10.8</f>
        <v>45535.9</v>
      </c>
      <c r="K163" s="29">
        <f>1322+3670.9</f>
        <v>4992.8999999999996</v>
      </c>
      <c r="L163" s="28">
        <f>SUM(C163:K163)</f>
        <v>58183.5</v>
      </c>
    </row>
    <row r="164" spans="1:16" s="41" customFormat="1" ht="12" hidden="1" customHeight="1" x14ac:dyDescent="0.2">
      <c r="A164" s="35" t="s">
        <v>6</v>
      </c>
      <c r="B164" s="31" t="s">
        <v>2</v>
      </c>
      <c r="C164" s="37">
        <v>2353.3000000000002</v>
      </c>
      <c r="D164" s="43">
        <v>450</v>
      </c>
      <c r="E164" s="44">
        <v>11</v>
      </c>
      <c r="F164" s="37">
        <v>876.6</v>
      </c>
      <c r="G164" s="37" t="s">
        <v>2</v>
      </c>
      <c r="H164" s="37">
        <v>142.9</v>
      </c>
      <c r="I164" s="37">
        <v>920.59999999999991</v>
      </c>
      <c r="J164" s="43">
        <v>46586.3</v>
      </c>
      <c r="K164" s="42">
        <v>4986.5</v>
      </c>
      <c r="L164" s="37">
        <f>SUM(B164:K164)</f>
        <v>56327.200000000004</v>
      </c>
    </row>
    <row r="165" spans="1:16" s="41" customFormat="1" ht="12" hidden="1" customHeight="1" x14ac:dyDescent="0.2">
      <c r="A165" s="35"/>
      <c r="B165" s="31"/>
      <c r="C165" s="37"/>
      <c r="D165" s="43"/>
      <c r="E165" s="44"/>
      <c r="F165" s="37"/>
      <c r="G165" s="37"/>
      <c r="H165" s="37"/>
      <c r="I165" s="37"/>
      <c r="J165" s="43"/>
      <c r="K165" s="42"/>
      <c r="L165" s="37"/>
    </row>
    <row r="166" spans="1:16" ht="12" hidden="1" customHeight="1" x14ac:dyDescent="0.2">
      <c r="A166" s="35" t="s">
        <v>24</v>
      </c>
      <c r="B166" s="31" t="s">
        <v>2</v>
      </c>
      <c r="C166" s="28">
        <v>2432.5</v>
      </c>
      <c r="D166" s="31" t="s">
        <v>2</v>
      </c>
      <c r="E166" s="31">
        <v>11</v>
      </c>
      <c r="F166" s="28">
        <v>876.59999999999991</v>
      </c>
      <c r="G166" s="28" t="s">
        <v>2</v>
      </c>
      <c r="H166" s="28">
        <v>522</v>
      </c>
      <c r="I166" s="28">
        <v>877.69999999999993</v>
      </c>
      <c r="J166" s="32">
        <v>47092.5</v>
      </c>
      <c r="K166" s="29">
        <v>4627.2</v>
      </c>
      <c r="L166" s="37">
        <f>SUM(B166:K166)</f>
        <v>56439.5</v>
      </c>
      <c r="O166" s="36"/>
      <c r="P166" s="36"/>
    </row>
    <row r="167" spans="1:16" ht="12" hidden="1" customHeight="1" x14ac:dyDescent="0.2">
      <c r="A167" s="35" t="s">
        <v>16</v>
      </c>
      <c r="B167" s="31" t="s">
        <v>2</v>
      </c>
      <c r="C167" s="28">
        <v>2226.8999999999996</v>
      </c>
      <c r="D167" s="31" t="s">
        <v>2</v>
      </c>
      <c r="E167" s="31">
        <v>11</v>
      </c>
      <c r="F167" s="28">
        <v>833.8</v>
      </c>
      <c r="G167" s="28" t="s">
        <v>2</v>
      </c>
      <c r="H167" s="28">
        <v>134.6</v>
      </c>
      <c r="I167" s="28">
        <v>835.4</v>
      </c>
      <c r="J167" s="32">
        <v>48523.8</v>
      </c>
      <c r="K167" s="29">
        <v>4868.8</v>
      </c>
      <c r="L167" s="37">
        <f>SUM(B167:K167)</f>
        <v>57434.3</v>
      </c>
      <c r="O167" s="36"/>
      <c r="P167" s="36"/>
    </row>
    <row r="168" spans="1:16" ht="12" hidden="1" customHeight="1" x14ac:dyDescent="0.2">
      <c r="A168" s="35" t="s">
        <v>15</v>
      </c>
      <c r="B168" s="31" t="s">
        <v>2</v>
      </c>
      <c r="C168" s="28">
        <v>1604.5</v>
      </c>
      <c r="D168" s="31" t="s">
        <v>2</v>
      </c>
      <c r="E168" s="31">
        <v>11</v>
      </c>
      <c r="F168" s="28">
        <v>833.80000000000007</v>
      </c>
      <c r="G168" s="28" t="s">
        <v>2</v>
      </c>
      <c r="H168" s="28">
        <v>523.1</v>
      </c>
      <c r="I168" s="28">
        <v>616.49999999999989</v>
      </c>
      <c r="J168" s="32">
        <v>49347.199999999997</v>
      </c>
      <c r="K168" s="29">
        <v>5406.2</v>
      </c>
      <c r="L168" s="37">
        <f>SUM(B168:K168)</f>
        <v>58342.299999999996</v>
      </c>
      <c r="O168" s="36"/>
      <c r="P168" s="36"/>
    </row>
    <row r="169" spans="1:16" ht="12" hidden="1" customHeight="1" x14ac:dyDescent="0.2">
      <c r="A169" s="35" t="s">
        <v>14</v>
      </c>
      <c r="B169" s="31" t="s">
        <v>2</v>
      </c>
      <c r="C169" s="28">
        <v>823.7</v>
      </c>
      <c r="D169" s="32">
        <v>400</v>
      </c>
      <c r="E169" s="31">
        <v>11</v>
      </c>
      <c r="F169" s="28">
        <v>833.8</v>
      </c>
      <c r="G169" s="28" t="s">
        <v>2</v>
      </c>
      <c r="H169" s="28">
        <v>522.5</v>
      </c>
      <c r="I169" s="28">
        <v>616.19999999999993</v>
      </c>
      <c r="J169" s="32">
        <v>49852.2</v>
      </c>
      <c r="K169" s="29">
        <v>5321.7</v>
      </c>
      <c r="L169" s="37">
        <f>SUM(B169:K169)</f>
        <v>58381.099999999991</v>
      </c>
      <c r="O169" s="36"/>
      <c r="P169" s="36"/>
    </row>
    <row r="170" spans="1:16" ht="12" hidden="1" customHeight="1" x14ac:dyDescent="0.2">
      <c r="A170" s="35" t="s">
        <v>13</v>
      </c>
      <c r="B170" s="31" t="s">
        <v>2</v>
      </c>
      <c r="C170" s="28">
        <v>1938.2000000000003</v>
      </c>
      <c r="D170" s="31" t="s">
        <v>2</v>
      </c>
      <c r="E170" s="31">
        <v>11</v>
      </c>
      <c r="F170" s="28">
        <v>833.80000000000007</v>
      </c>
      <c r="G170" s="28" t="s">
        <v>2</v>
      </c>
      <c r="H170" s="28">
        <v>487.6</v>
      </c>
      <c r="I170" s="28">
        <v>615.99999999999989</v>
      </c>
      <c r="J170" s="32">
        <v>51357.900000000009</v>
      </c>
      <c r="K170" s="29">
        <v>4793.1000000000004</v>
      </c>
      <c r="L170" s="37">
        <f>SUM(B170:K170)</f>
        <v>60037.600000000006</v>
      </c>
      <c r="O170" s="36"/>
      <c r="P170" s="36"/>
    </row>
    <row r="171" spans="1:16" ht="12" hidden="1" customHeight="1" x14ac:dyDescent="0.2">
      <c r="A171" s="35" t="s">
        <v>12</v>
      </c>
      <c r="B171" s="31" t="s">
        <v>2</v>
      </c>
      <c r="C171" s="28">
        <v>1708.6999999999998</v>
      </c>
      <c r="D171" s="32">
        <v>300</v>
      </c>
      <c r="E171" s="31">
        <v>11</v>
      </c>
      <c r="F171" s="28">
        <v>862.69999999999982</v>
      </c>
      <c r="G171" s="28" t="s">
        <v>2</v>
      </c>
      <c r="H171" s="28">
        <v>465.5</v>
      </c>
      <c r="I171" s="28">
        <v>614.59999999999991</v>
      </c>
      <c r="J171" s="32">
        <v>52919.6</v>
      </c>
      <c r="K171" s="29">
        <v>4347.2000000000007</v>
      </c>
      <c r="L171" s="37">
        <f>SUM(B171:K171)</f>
        <v>61229.3</v>
      </c>
      <c r="O171" s="36"/>
      <c r="P171" s="36"/>
    </row>
    <row r="172" spans="1:16" ht="12" hidden="1" customHeight="1" x14ac:dyDescent="0.2">
      <c r="A172" s="35" t="s">
        <v>11</v>
      </c>
      <c r="B172" s="31" t="s">
        <v>2</v>
      </c>
      <c r="C172" s="28">
        <v>815</v>
      </c>
      <c r="D172" s="31" t="s">
        <v>2</v>
      </c>
      <c r="E172" s="31">
        <v>11</v>
      </c>
      <c r="F172" s="28">
        <v>862.69999999999993</v>
      </c>
      <c r="G172" s="28" t="s">
        <v>2</v>
      </c>
      <c r="H172" s="28">
        <v>448.9</v>
      </c>
      <c r="I172" s="28">
        <v>1015.4999999999999</v>
      </c>
      <c r="J172" s="32">
        <v>53523.5</v>
      </c>
      <c r="K172" s="29">
        <v>4971.1000000000004</v>
      </c>
      <c r="L172" s="37">
        <f>SUM(B172:K172)</f>
        <v>61647.7</v>
      </c>
      <c r="O172" s="36"/>
      <c r="P172" s="36"/>
    </row>
    <row r="173" spans="1:16" ht="12" hidden="1" customHeight="1" x14ac:dyDescent="0.2">
      <c r="A173" s="35" t="s">
        <v>10</v>
      </c>
      <c r="B173" s="31" t="s">
        <v>2</v>
      </c>
      <c r="C173" s="28">
        <v>1096.5</v>
      </c>
      <c r="D173" s="31" t="s">
        <v>2</v>
      </c>
      <c r="E173" s="31">
        <v>11</v>
      </c>
      <c r="F173" s="28">
        <v>862.69999999999982</v>
      </c>
      <c r="G173" s="28" t="s">
        <v>2</v>
      </c>
      <c r="H173" s="28">
        <v>432</v>
      </c>
      <c r="I173" s="28">
        <v>1006.0999999999999</v>
      </c>
      <c r="J173" s="32">
        <v>53636.9</v>
      </c>
      <c r="K173" s="29">
        <v>5780.5000000000009</v>
      </c>
      <c r="L173" s="37">
        <f>SUM(B173:K173)</f>
        <v>62825.700000000004</v>
      </c>
      <c r="O173" s="36"/>
      <c r="P173" s="36"/>
    </row>
    <row r="174" spans="1:16" ht="12" hidden="1" customHeight="1" x14ac:dyDescent="0.2">
      <c r="A174" s="35" t="s">
        <v>9</v>
      </c>
      <c r="B174" s="31" t="s">
        <v>2</v>
      </c>
      <c r="C174" s="28">
        <v>1327.7999999999997</v>
      </c>
      <c r="D174" s="32">
        <v>150</v>
      </c>
      <c r="E174" s="31">
        <v>11</v>
      </c>
      <c r="F174" s="28">
        <v>857.8</v>
      </c>
      <c r="G174" s="28" t="s">
        <v>2</v>
      </c>
      <c r="H174" s="28">
        <v>420.2</v>
      </c>
      <c r="I174" s="28">
        <v>996.59999999999991</v>
      </c>
      <c r="J174" s="32">
        <v>54875.100000000006</v>
      </c>
      <c r="K174" s="29">
        <v>4451.7000000000007</v>
      </c>
      <c r="L174" s="37">
        <f>SUM(B174:K174)</f>
        <v>63090.200000000012</v>
      </c>
      <c r="O174" s="36"/>
      <c r="P174" s="36"/>
    </row>
    <row r="175" spans="1:16" ht="12" hidden="1" customHeight="1" x14ac:dyDescent="0.2">
      <c r="A175" s="35" t="s">
        <v>8</v>
      </c>
      <c r="B175" s="31" t="s">
        <v>2</v>
      </c>
      <c r="C175" s="28">
        <v>1349</v>
      </c>
      <c r="D175" s="31" t="s">
        <v>2</v>
      </c>
      <c r="E175" s="31">
        <v>11</v>
      </c>
      <c r="F175" s="28">
        <v>857.8</v>
      </c>
      <c r="G175" s="28" t="s">
        <v>2</v>
      </c>
      <c r="H175" s="28">
        <v>611</v>
      </c>
      <c r="I175" s="28">
        <v>986.99999999999989</v>
      </c>
      <c r="J175" s="32">
        <v>55623.4</v>
      </c>
      <c r="K175" s="29">
        <v>4969.3</v>
      </c>
      <c r="L175" s="37">
        <f>SUM(B175:K175)</f>
        <v>64408.500000000007</v>
      </c>
      <c r="O175" s="36"/>
      <c r="P175" s="36"/>
    </row>
    <row r="176" spans="1:16" ht="12" hidden="1" customHeight="1" x14ac:dyDescent="0.2">
      <c r="A176" s="35" t="s">
        <v>7</v>
      </c>
      <c r="B176" s="31" t="s">
        <v>2</v>
      </c>
      <c r="C176" s="28">
        <v>908</v>
      </c>
      <c r="D176" s="31" t="s">
        <v>2</v>
      </c>
      <c r="E176" s="31">
        <v>11</v>
      </c>
      <c r="F176" s="28">
        <v>852.69999999999982</v>
      </c>
      <c r="G176" s="28" t="s">
        <v>2</v>
      </c>
      <c r="H176" s="28">
        <v>289</v>
      </c>
      <c r="I176" s="28">
        <v>977.4</v>
      </c>
      <c r="J176" s="32">
        <v>56018.599999999991</v>
      </c>
      <c r="K176" s="29">
        <v>5437.4</v>
      </c>
      <c r="L176" s="37">
        <f>SUM(B176:K176)</f>
        <v>64494.099999999991</v>
      </c>
      <c r="O176" s="36"/>
      <c r="P176" s="36"/>
    </row>
    <row r="177" spans="1:16" ht="12" hidden="1" customHeight="1" x14ac:dyDescent="0.2">
      <c r="A177" s="35" t="s">
        <v>6</v>
      </c>
      <c r="B177" s="31" t="s">
        <v>2</v>
      </c>
      <c r="C177" s="28">
        <v>1069.2</v>
      </c>
      <c r="D177" s="31" t="s">
        <v>2</v>
      </c>
      <c r="E177" s="31">
        <v>11</v>
      </c>
      <c r="F177" s="28">
        <v>850.2</v>
      </c>
      <c r="G177" s="28" t="s">
        <v>2</v>
      </c>
      <c r="H177" s="28">
        <v>261.8</v>
      </c>
      <c r="I177" s="28">
        <v>967.59999999999991</v>
      </c>
      <c r="J177" s="32">
        <v>56451.100000000006</v>
      </c>
      <c r="K177" s="29">
        <v>5218.8</v>
      </c>
      <c r="L177" s="37">
        <f>SUM(B177:K177)</f>
        <v>64829.700000000012</v>
      </c>
      <c r="O177" s="36"/>
      <c r="P177" s="36"/>
    </row>
    <row r="178" spans="1:16" ht="12" hidden="1" customHeight="1" x14ac:dyDescent="0.2">
      <c r="A178" s="35"/>
      <c r="B178" s="31"/>
      <c r="C178" s="28"/>
      <c r="D178" s="31"/>
      <c r="E178" s="31"/>
      <c r="F178" s="28"/>
      <c r="G178" s="28"/>
      <c r="H178" s="28"/>
      <c r="I178" s="28"/>
      <c r="J178" s="32"/>
      <c r="K178" s="29"/>
      <c r="L178" s="37"/>
      <c r="O178" s="36"/>
      <c r="P178" s="36"/>
    </row>
    <row r="179" spans="1:16" ht="12" hidden="1" customHeight="1" x14ac:dyDescent="0.2">
      <c r="A179" s="35" t="s">
        <v>23</v>
      </c>
      <c r="B179" s="31" t="s">
        <v>2</v>
      </c>
      <c r="C179" s="28">
        <v>1305.5</v>
      </c>
      <c r="D179" s="31" t="s">
        <v>2</v>
      </c>
      <c r="E179" s="31">
        <v>11</v>
      </c>
      <c r="F179" s="28">
        <v>847.5</v>
      </c>
      <c r="G179" s="28" t="s">
        <v>2</v>
      </c>
      <c r="H179" s="28">
        <v>261.8</v>
      </c>
      <c r="I179" s="28">
        <v>954.8</v>
      </c>
      <c r="J179" s="32">
        <v>56246.700000000004</v>
      </c>
      <c r="K179" s="29">
        <v>5560.5</v>
      </c>
      <c r="L179" s="37">
        <f>SUM(B179:K179)</f>
        <v>65187.8</v>
      </c>
      <c r="O179" s="36"/>
      <c r="P179" s="36"/>
    </row>
    <row r="180" spans="1:16" ht="12" hidden="1" customHeight="1" x14ac:dyDescent="0.2">
      <c r="A180" s="35" t="s">
        <v>16</v>
      </c>
      <c r="B180" s="31" t="s">
        <v>2</v>
      </c>
      <c r="C180" s="28">
        <v>2364.8999999999996</v>
      </c>
      <c r="D180" s="31" t="s">
        <v>2</v>
      </c>
      <c r="E180" s="31">
        <v>11</v>
      </c>
      <c r="F180" s="28">
        <v>847.49999999999989</v>
      </c>
      <c r="G180" s="28" t="s">
        <v>2</v>
      </c>
      <c r="H180" s="28">
        <v>185.9</v>
      </c>
      <c r="I180" s="28">
        <v>944.89999999999986</v>
      </c>
      <c r="J180" s="32">
        <v>55638.200000000004</v>
      </c>
      <c r="K180" s="29">
        <v>5514.5999999999995</v>
      </c>
      <c r="L180" s="37">
        <f>SUM(B180:K180)</f>
        <v>65507</v>
      </c>
      <c r="O180" s="36"/>
      <c r="P180" s="36"/>
    </row>
    <row r="181" spans="1:16" ht="12" hidden="1" customHeight="1" x14ac:dyDescent="0.2">
      <c r="A181" s="35" t="s">
        <v>15</v>
      </c>
      <c r="B181" s="31" t="s">
        <v>2</v>
      </c>
      <c r="C181" s="28">
        <v>1348.7</v>
      </c>
      <c r="D181" s="31" t="s">
        <v>2</v>
      </c>
      <c r="E181" s="31">
        <v>11</v>
      </c>
      <c r="F181" s="28">
        <v>844.89999999999986</v>
      </c>
      <c r="G181" s="28" t="s">
        <v>2</v>
      </c>
      <c r="H181" s="28">
        <v>617.20000000000005</v>
      </c>
      <c r="I181" s="28">
        <v>946.8</v>
      </c>
      <c r="J181" s="32">
        <v>55968.2</v>
      </c>
      <c r="K181" s="29">
        <v>6412.8000000000011</v>
      </c>
      <c r="L181" s="37">
        <f>SUM(B181:K181)</f>
        <v>66149.599999999991</v>
      </c>
      <c r="O181" s="36"/>
      <c r="P181" s="36"/>
    </row>
    <row r="182" spans="1:16" ht="12" hidden="1" customHeight="1" x14ac:dyDescent="0.2">
      <c r="A182" s="35" t="s">
        <v>14</v>
      </c>
      <c r="B182" s="31" t="s">
        <v>2</v>
      </c>
      <c r="C182" s="28">
        <v>2294.3999999999996</v>
      </c>
      <c r="D182" s="28">
        <v>300</v>
      </c>
      <c r="E182" s="31">
        <v>11</v>
      </c>
      <c r="F182" s="28">
        <v>842.2</v>
      </c>
      <c r="G182" s="28" t="s">
        <v>2</v>
      </c>
      <c r="H182" s="28">
        <v>670.7</v>
      </c>
      <c r="I182" s="28">
        <v>924.59999999999991</v>
      </c>
      <c r="J182" s="32">
        <v>55764.799999999996</v>
      </c>
      <c r="K182" s="29">
        <v>5901</v>
      </c>
      <c r="L182" s="37">
        <f>SUM(B182:K182)</f>
        <v>66708.7</v>
      </c>
      <c r="O182" s="36"/>
      <c r="P182" s="36"/>
    </row>
    <row r="183" spans="1:16" ht="12" hidden="1" customHeight="1" x14ac:dyDescent="0.2">
      <c r="A183" s="35" t="s">
        <v>13</v>
      </c>
      <c r="B183" s="31" t="s">
        <v>2</v>
      </c>
      <c r="C183" s="28">
        <v>1582.8000000000002</v>
      </c>
      <c r="D183" s="28">
        <v>1000</v>
      </c>
      <c r="E183" s="31">
        <v>11</v>
      </c>
      <c r="F183" s="28">
        <v>842.19999999999993</v>
      </c>
      <c r="G183" s="28" t="s">
        <v>2</v>
      </c>
      <c r="H183" s="28">
        <v>856.1</v>
      </c>
      <c r="I183" s="28">
        <v>925.8</v>
      </c>
      <c r="J183" s="32">
        <v>56145.099999999991</v>
      </c>
      <c r="K183" s="29">
        <v>6513.6</v>
      </c>
      <c r="L183" s="37">
        <f>SUM(B183:K183)</f>
        <v>67876.599999999991</v>
      </c>
      <c r="O183" s="36"/>
      <c r="P183" s="36"/>
    </row>
    <row r="184" spans="1:16" ht="12" hidden="1" customHeight="1" x14ac:dyDescent="0.2">
      <c r="A184" s="35" t="s">
        <v>12</v>
      </c>
      <c r="B184" s="31" t="s">
        <v>2</v>
      </c>
      <c r="C184" s="28">
        <v>1892</v>
      </c>
      <c r="D184" s="28">
        <v>500</v>
      </c>
      <c r="E184" s="31">
        <v>11</v>
      </c>
      <c r="F184" s="28">
        <v>836.6</v>
      </c>
      <c r="G184" s="28" t="s">
        <v>2</v>
      </c>
      <c r="H184" s="28">
        <v>882.9</v>
      </c>
      <c r="I184" s="28">
        <v>915.39999999999986</v>
      </c>
      <c r="J184" s="32">
        <v>57089.3</v>
      </c>
      <c r="K184" s="29">
        <v>6110.6</v>
      </c>
      <c r="L184" s="37">
        <f>SUM(B184:K184)</f>
        <v>68237.8</v>
      </c>
      <c r="O184" s="36"/>
      <c r="P184" s="36"/>
    </row>
    <row r="185" spans="1:16" hidden="1" x14ac:dyDescent="0.2">
      <c r="A185" s="35" t="s">
        <v>11</v>
      </c>
      <c r="B185" s="31" t="s">
        <v>2</v>
      </c>
      <c r="C185" s="28">
        <v>2190.5</v>
      </c>
      <c r="D185" s="32">
        <v>500</v>
      </c>
      <c r="E185" s="31">
        <v>11</v>
      </c>
      <c r="F185" s="31">
        <v>836.59999999999991</v>
      </c>
      <c r="G185" s="31"/>
      <c r="H185" s="31">
        <v>934.5</v>
      </c>
      <c r="I185" s="30">
        <v>904.49999999999989</v>
      </c>
      <c r="J185" s="4">
        <v>58394.500000000007</v>
      </c>
      <c r="K185" s="29">
        <v>5400.8</v>
      </c>
      <c r="L185" s="37">
        <f>SUM(B185:K185)</f>
        <v>69172.400000000009</v>
      </c>
      <c r="O185" s="36"/>
      <c r="P185" s="36"/>
    </row>
    <row r="186" spans="1:16" ht="12" hidden="1" customHeight="1" x14ac:dyDescent="0.2">
      <c r="A186" s="35" t="s">
        <v>10</v>
      </c>
      <c r="B186" s="31" t="s">
        <v>2</v>
      </c>
      <c r="C186" s="28">
        <v>760.59999999999991</v>
      </c>
      <c r="D186" s="28">
        <v>500</v>
      </c>
      <c r="E186" s="31">
        <v>11</v>
      </c>
      <c r="F186" s="28">
        <v>836.60000000000014</v>
      </c>
      <c r="G186" s="28" t="s">
        <v>2</v>
      </c>
      <c r="H186" s="28">
        <v>317.3</v>
      </c>
      <c r="I186" s="28">
        <v>893.59999999999991</v>
      </c>
      <c r="J186" s="32">
        <v>60316.100000000006</v>
      </c>
      <c r="K186" s="29">
        <v>5879</v>
      </c>
      <c r="L186" s="37">
        <f>SUM(B186:K186)</f>
        <v>69514.200000000012</v>
      </c>
      <c r="O186" s="36"/>
      <c r="P186" s="36"/>
    </row>
    <row r="187" spans="1:16" ht="12" hidden="1" customHeight="1" x14ac:dyDescent="0.2">
      <c r="A187" s="35" t="s">
        <v>9</v>
      </c>
      <c r="B187" s="31" t="s">
        <v>2</v>
      </c>
      <c r="C187" s="28">
        <v>661.8</v>
      </c>
      <c r="D187" s="28">
        <v>500</v>
      </c>
      <c r="E187" s="31">
        <v>11</v>
      </c>
      <c r="F187" s="28">
        <v>836.6</v>
      </c>
      <c r="G187" s="28" t="s">
        <v>2</v>
      </c>
      <c r="H187" s="28">
        <v>779.4</v>
      </c>
      <c r="I187" s="28">
        <v>882.89999999999986</v>
      </c>
      <c r="J187" s="32">
        <v>60186.3</v>
      </c>
      <c r="K187" s="29">
        <v>6362.3</v>
      </c>
      <c r="L187" s="37">
        <f>SUM(B187:K187)</f>
        <v>70220.3</v>
      </c>
      <c r="O187" s="36"/>
      <c r="P187" s="36"/>
    </row>
    <row r="188" spans="1:16" ht="12" hidden="1" customHeight="1" x14ac:dyDescent="0.2">
      <c r="A188" s="35" t="s">
        <v>8</v>
      </c>
      <c r="B188" s="31" t="s">
        <v>2</v>
      </c>
      <c r="C188" s="28">
        <v>2440.3000000000002</v>
      </c>
      <c r="D188" s="28">
        <v>500</v>
      </c>
      <c r="E188" s="31">
        <v>11</v>
      </c>
      <c r="F188" s="28">
        <v>836.59999999999991</v>
      </c>
      <c r="G188" s="28" t="s">
        <v>2</v>
      </c>
      <c r="H188" s="28">
        <v>933.3</v>
      </c>
      <c r="I188" s="28">
        <v>871.59999999999991</v>
      </c>
      <c r="J188" s="32">
        <v>59575.4</v>
      </c>
      <c r="K188" s="29">
        <v>6155</v>
      </c>
      <c r="L188" s="37">
        <f>SUM(B188:K188)</f>
        <v>71323.199999999997</v>
      </c>
      <c r="O188" s="36"/>
      <c r="P188" s="36"/>
    </row>
    <row r="189" spans="1:16" ht="12" hidden="1" customHeight="1" x14ac:dyDescent="0.2">
      <c r="A189" s="35" t="s">
        <v>7</v>
      </c>
      <c r="B189" s="31" t="s">
        <v>2</v>
      </c>
      <c r="C189" s="28">
        <v>3429.6</v>
      </c>
      <c r="D189" s="28">
        <v>200</v>
      </c>
      <c r="E189" s="31">
        <v>11</v>
      </c>
      <c r="F189" s="28">
        <v>836.6</v>
      </c>
      <c r="G189" s="28" t="s">
        <v>2</v>
      </c>
      <c r="H189" s="28">
        <v>374.6</v>
      </c>
      <c r="I189" s="28">
        <v>860.59999999999991</v>
      </c>
      <c r="J189" s="32">
        <v>60284.600000000006</v>
      </c>
      <c r="K189" s="29">
        <v>6308.7</v>
      </c>
      <c r="L189" s="37">
        <f>SUM(B189:K189)</f>
        <v>72305.7</v>
      </c>
      <c r="O189" s="36"/>
      <c r="P189" s="36"/>
    </row>
    <row r="190" spans="1:16" ht="12" hidden="1" customHeight="1" x14ac:dyDescent="0.2">
      <c r="A190" s="35" t="s">
        <v>6</v>
      </c>
      <c r="B190" s="31" t="s">
        <v>2</v>
      </c>
      <c r="C190" s="28">
        <v>3984.8</v>
      </c>
      <c r="D190" s="32">
        <v>1200</v>
      </c>
      <c r="E190" s="31">
        <v>11</v>
      </c>
      <c r="F190" s="31">
        <v>836.59999999999991</v>
      </c>
      <c r="G190" s="28" t="s">
        <v>2</v>
      </c>
      <c r="H190" s="28">
        <v>693.3</v>
      </c>
      <c r="I190" s="28">
        <v>839.19999999999982</v>
      </c>
      <c r="J190" s="32">
        <v>59250.000000000007</v>
      </c>
      <c r="K190" s="29">
        <v>5417.5</v>
      </c>
      <c r="L190" s="37">
        <f>SUM(B190:K190)</f>
        <v>72232.400000000009</v>
      </c>
      <c r="O190" s="36"/>
      <c r="P190" s="36"/>
    </row>
    <row r="191" spans="1:16" ht="12" hidden="1" customHeight="1" x14ac:dyDescent="0.2">
      <c r="A191" s="35"/>
      <c r="B191" s="31"/>
      <c r="C191" s="28"/>
      <c r="D191" s="32"/>
      <c r="E191" s="31"/>
      <c r="F191" s="31"/>
      <c r="G191" s="28"/>
      <c r="H191" s="28"/>
      <c r="I191" s="28"/>
      <c r="J191" s="32"/>
      <c r="K191" s="29"/>
      <c r="L191" s="37"/>
      <c r="O191" s="36"/>
      <c r="P191" s="36"/>
    </row>
    <row r="192" spans="1:16" ht="12" hidden="1" customHeight="1" x14ac:dyDescent="0.2">
      <c r="A192" s="35" t="s">
        <v>22</v>
      </c>
      <c r="B192" s="31" t="s">
        <v>2</v>
      </c>
      <c r="C192" s="28">
        <v>3676.1000000000004</v>
      </c>
      <c r="D192" s="32">
        <v>1200</v>
      </c>
      <c r="E192" s="31">
        <v>11</v>
      </c>
      <c r="F192" s="31">
        <v>329.79999999999995</v>
      </c>
      <c r="G192" s="28" t="s">
        <v>2</v>
      </c>
      <c r="H192" s="28">
        <v>690</v>
      </c>
      <c r="I192" s="28">
        <v>827.69999999999993</v>
      </c>
      <c r="J192" s="32">
        <v>59740</v>
      </c>
      <c r="K192" s="29">
        <v>5320.7</v>
      </c>
      <c r="L192" s="37">
        <f>SUM(B192:K192)</f>
        <v>71795.3</v>
      </c>
      <c r="O192" s="36"/>
      <c r="P192" s="36"/>
    </row>
    <row r="193" spans="1:16" ht="12" hidden="1" customHeight="1" x14ac:dyDescent="0.2">
      <c r="A193" s="35" t="s">
        <v>16</v>
      </c>
      <c r="B193" s="31" t="s">
        <v>2</v>
      </c>
      <c r="C193" s="28">
        <v>2966.1000000000004</v>
      </c>
      <c r="D193" s="32">
        <v>1200</v>
      </c>
      <c r="E193" s="31">
        <v>11</v>
      </c>
      <c r="F193" s="31">
        <v>329.80000000000007</v>
      </c>
      <c r="G193" s="28" t="s">
        <v>2</v>
      </c>
      <c r="H193" s="28">
        <v>696.1</v>
      </c>
      <c r="I193" s="28">
        <v>816.5</v>
      </c>
      <c r="J193" s="32">
        <v>59923.900000000009</v>
      </c>
      <c r="K193" s="29">
        <v>5930.7000000000007</v>
      </c>
      <c r="L193" s="37">
        <f>SUM(B193:K193)</f>
        <v>71874.100000000006</v>
      </c>
      <c r="O193" s="36"/>
      <c r="P193" s="36"/>
    </row>
    <row r="194" spans="1:16" ht="12" hidden="1" customHeight="1" x14ac:dyDescent="0.2">
      <c r="A194" s="35" t="s">
        <v>15</v>
      </c>
      <c r="B194" s="31" t="s">
        <v>2</v>
      </c>
      <c r="C194" s="28">
        <v>2437.2999999999997</v>
      </c>
      <c r="D194" s="32">
        <v>1200</v>
      </c>
      <c r="E194" s="31">
        <v>11</v>
      </c>
      <c r="F194" s="31">
        <v>329.79999999999995</v>
      </c>
      <c r="G194" s="28" t="s">
        <v>2</v>
      </c>
      <c r="H194" s="28">
        <v>659.3</v>
      </c>
      <c r="I194" s="28">
        <v>804.49999999999989</v>
      </c>
      <c r="J194" s="32">
        <v>61556.200000000012</v>
      </c>
      <c r="K194" s="29">
        <v>5974.5</v>
      </c>
      <c r="L194" s="37">
        <f>SUM(B194:K194)</f>
        <v>72972.600000000006</v>
      </c>
      <c r="O194" s="36"/>
      <c r="P194" s="36"/>
    </row>
    <row r="195" spans="1:16" ht="12" hidden="1" customHeight="1" x14ac:dyDescent="0.2">
      <c r="A195" s="35" t="s">
        <v>14</v>
      </c>
      <c r="B195" s="31" t="s">
        <v>2</v>
      </c>
      <c r="C195" s="28">
        <v>2552.3000000000002</v>
      </c>
      <c r="D195" s="32">
        <v>200</v>
      </c>
      <c r="E195" s="31">
        <v>11</v>
      </c>
      <c r="F195" s="31">
        <v>329.80000000000007</v>
      </c>
      <c r="G195" s="28" t="s">
        <v>2</v>
      </c>
      <c r="H195" s="28">
        <v>889.6</v>
      </c>
      <c r="I195" s="28">
        <v>792.99999999999989</v>
      </c>
      <c r="J195" s="32">
        <v>62499.7</v>
      </c>
      <c r="K195" s="29">
        <v>6220.6</v>
      </c>
      <c r="L195" s="37">
        <f>SUM(B195:K195)</f>
        <v>73496</v>
      </c>
      <c r="O195" s="36"/>
      <c r="P195" s="36"/>
    </row>
    <row r="196" spans="1:16" ht="12" hidden="1" customHeight="1" x14ac:dyDescent="0.2">
      <c r="A196" s="35" t="s">
        <v>13</v>
      </c>
      <c r="B196" s="31" t="s">
        <v>2</v>
      </c>
      <c r="C196" s="28">
        <v>2603.7000000000003</v>
      </c>
      <c r="D196" s="32">
        <v>200</v>
      </c>
      <c r="E196" s="31">
        <v>11</v>
      </c>
      <c r="F196" s="31">
        <v>329.79999999999995</v>
      </c>
      <c r="G196" s="28" t="s">
        <v>2</v>
      </c>
      <c r="H196" s="28">
        <v>866.2</v>
      </c>
      <c r="I196" s="28">
        <v>780.99999999999989</v>
      </c>
      <c r="J196" s="32">
        <v>63391.9</v>
      </c>
      <c r="K196" s="29">
        <v>6340</v>
      </c>
      <c r="L196" s="37">
        <f>SUM(B196:K196)</f>
        <v>74523.600000000006</v>
      </c>
      <c r="O196" s="36"/>
      <c r="P196" s="36"/>
    </row>
    <row r="197" spans="1:16" ht="12" hidden="1" customHeight="1" x14ac:dyDescent="0.2">
      <c r="A197" s="35" t="s">
        <v>12</v>
      </c>
      <c r="B197" s="31" t="s">
        <v>2</v>
      </c>
      <c r="C197" s="28">
        <v>3149.5</v>
      </c>
      <c r="D197" s="32">
        <v>200</v>
      </c>
      <c r="E197" s="31">
        <v>11</v>
      </c>
      <c r="F197" s="31">
        <v>2.7999999999999545</v>
      </c>
      <c r="G197" s="28" t="s">
        <v>2</v>
      </c>
      <c r="H197" s="28">
        <v>1041.2</v>
      </c>
      <c r="I197" s="28">
        <v>769.29999999999984</v>
      </c>
      <c r="J197" s="32">
        <v>63817.599999999999</v>
      </c>
      <c r="K197" s="29">
        <v>6176</v>
      </c>
      <c r="L197" s="37">
        <f>SUM(B197:K197)</f>
        <v>75167.399999999994</v>
      </c>
      <c r="O197" s="36"/>
      <c r="P197" s="36"/>
    </row>
    <row r="198" spans="1:16" ht="12" hidden="1" customHeight="1" x14ac:dyDescent="0.2">
      <c r="A198" s="35" t="s">
        <v>11</v>
      </c>
      <c r="B198" s="31" t="s">
        <v>2</v>
      </c>
      <c r="C198" s="28">
        <v>2638.5000000000005</v>
      </c>
      <c r="D198" s="32">
        <v>200</v>
      </c>
      <c r="E198" s="31">
        <v>11</v>
      </c>
      <c r="F198" s="31">
        <v>2.7999999999999545</v>
      </c>
      <c r="G198" s="28" t="s">
        <v>2</v>
      </c>
      <c r="H198" s="28">
        <v>803.3</v>
      </c>
      <c r="I198" s="28">
        <v>606.09999999999991</v>
      </c>
      <c r="J198" s="32">
        <v>66088.400000000009</v>
      </c>
      <c r="K198" s="29">
        <v>6685.5999999999995</v>
      </c>
      <c r="L198" s="37">
        <f>SUM(B198:K198)</f>
        <v>77035.700000000012</v>
      </c>
      <c r="O198" s="36"/>
      <c r="P198" s="36"/>
    </row>
    <row r="199" spans="1:16" ht="12" hidden="1" customHeight="1" x14ac:dyDescent="0.2">
      <c r="A199" s="35" t="s">
        <v>10</v>
      </c>
      <c r="B199" s="31" t="s">
        <v>2</v>
      </c>
      <c r="C199" s="28">
        <v>1476.8</v>
      </c>
      <c r="D199" s="32">
        <v>200</v>
      </c>
      <c r="E199" s="31">
        <v>11</v>
      </c>
      <c r="F199" s="31">
        <v>2.7999999999999545</v>
      </c>
      <c r="G199" s="28" t="s">
        <v>2</v>
      </c>
      <c r="H199" s="28">
        <v>829.2</v>
      </c>
      <c r="I199" s="28">
        <v>605.4</v>
      </c>
      <c r="J199" s="32">
        <v>67490.700000000012</v>
      </c>
      <c r="K199" s="29">
        <v>7354.7</v>
      </c>
      <c r="L199" s="37">
        <f>SUM(B199:K199)</f>
        <v>77970.600000000006</v>
      </c>
      <c r="O199" s="36"/>
      <c r="P199" s="36"/>
    </row>
    <row r="200" spans="1:16" ht="12" hidden="1" customHeight="1" x14ac:dyDescent="0.2">
      <c r="A200" s="35" t="s">
        <v>9</v>
      </c>
      <c r="B200" s="31" t="s">
        <v>2</v>
      </c>
      <c r="C200" s="28">
        <v>1005.3</v>
      </c>
      <c r="D200" s="32">
        <v>200</v>
      </c>
      <c r="E200" s="31">
        <v>11</v>
      </c>
      <c r="F200" s="31">
        <v>0</v>
      </c>
      <c r="G200" s="28" t="s">
        <v>2</v>
      </c>
      <c r="H200" s="28">
        <v>550.70000000000005</v>
      </c>
      <c r="I200" s="28">
        <v>605.4</v>
      </c>
      <c r="J200" s="32">
        <v>69742.100000000006</v>
      </c>
      <c r="K200" s="29">
        <v>6601.1</v>
      </c>
      <c r="L200" s="37">
        <f>SUM(B200:K200)</f>
        <v>78715.600000000006</v>
      </c>
      <c r="O200" s="36"/>
      <c r="P200" s="36"/>
    </row>
    <row r="201" spans="1:16" ht="12" hidden="1" customHeight="1" x14ac:dyDescent="0.2">
      <c r="A201" s="35" t="s">
        <v>8</v>
      </c>
      <c r="B201" s="31" t="s">
        <v>2</v>
      </c>
      <c r="C201" s="28">
        <v>1679.1999999999998</v>
      </c>
      <c r="D201" s="32">
        <v>200</v>
      </c>
      <c r="E201" s="31">
        <v>11</v>
      </c>
      <c r="F201" s="28">
        <v>0</v>
      </c>
      <c r="G201" s="28" t="s">
        <v>2</v>
      </c>
      <c r="H201" s="28">
        <v>698.4</v>
      </c>
      <c r="I201" s="28">
        <v>604.99999999999989</v>
      </c>
      <c r="J201" s="32">
        <v>71180.100000000006</v>
      </c>
      <c r="K201" s="29">
        <v>7066.9</v>
      </c>
      <c r="L201" s="37">
        <f>SUM(B201:K201)</f>
        <v>81440.600000000006</v>
      </c>
      <c r="O201" s="36"/>
      <c r="P201" s="36"/>
    </row>
    <row r="202" spans="1:16" ht="12" hidden="1" customHeight="1" x14ac:dyDescent="0.2">
      <c r="A202" s="35" t="s">
        <v>7</v>
      </c>
      <c r="B202" s="31" t="s">
        <v>2</v>
      </c>
      <c r="C202" s="28">
        <v>1006.3</v>
      </c>
      <c r="D202" s="32">
        <v>200</v>
      </c>
      <c r="E202" s="31">
        <v>11</v>
      </c>
      <c r="F202" s="31">
        <v>0</v>
      </c>
      <c r="G202" s="28" t="s">
        <v>2</v>
      </c>
      <c r="H202" s="28">
        <v>372.6</v>
      </c>
      <c r="I202" s="28">
        <v>604.99999999999989</v>
      </c>
      <c r="J202" s="32">
        <v>72581.100000000006</v>
      </c>
      <c r="K202" s="29">
        <v>7601.2999999999993</v>
      </c>
      <c r="L202" s="37">
        <f>SUM(B202:K202)</f>
        <v>82377.3</v>
      </c>
      <c r="O202" s="36"/>
      <c r="P202" s="36"/>
    </row>
    <row r="203" spans="1:16" ht="12" hidden="1" customHeight="1" x14ac:dyDescent="0.2">
      <c r="A203" s="35" t="s">
        <v>6</v>
      </c>
      <c r="B203" s="31" t="s">
        <v>2</v>
      </c>
      <c r="C203" s="28">
        <v>1535.5</v>
      </c>
      <c r="D203" s="32">
        <v>200</v>
      </c>
      <c r="E203" s="31">
        <v>11</v>
      </c>
      <c r="F203" s="31">
        <v>0</v>
      </c>
      <c r="G203" s="28" t="s">
        <v>2</v>
      </c>
      <c r="H203" s="28">
        <v>609.79999999999995</v>
      </c>
      <c r="I203" s="28">
        <v>604.59999999999991</v>
      </c>
      <c r="J203" s="32">
        <v>73439.199999999997</v>
      </c>
      <c r="K203" s="29">
        <v>6708.5</v>
      </c>
      <c r="L203" s="37">
        <f>SUM(B203:K203)</f>
        <v>83108.599999999991</v>
      </c>
      <c r="O203" s="36"/>
      <c r="P203" s="36"/>
    </row>
    <row r="204" spans="1:16" ht="12" hidden="1" customHeight="1" x14ac:dyDescent="0.2">
      <c r="A204" s="40"/>
      <c r="B204" s="31"/>
      <c r="C204" s="28"/>
      <c r="D204" s="32"/>
      <c r="E204" s="31"/>
      <c r="F204" s="31"/>
      <c r="G204" s="28"/>
      <c r="H204" s="28"/>
      <c r="I204" s="28"/>
      <c r="J204" s="32"/>
      <c r="K204" s="29"/>
      <c r="L204" s="37"/>
      <c r="O204" s="36"/>
      <c r="P204" s="36"/>
    </row>
    <row r="205" spans="1:16" ht="12" hidden="1" customHeight="1" x14ac:dyDescent="0.2">
      <c r="A205" s="35" t="s">
        <v>21</v>
      </c>
      <c r="B205" s="31" t="s">
        <v>2</v>
      </c>
      <c r="C205" s="28">
        <v>970.8</v>
      </c>
      <c r="D205" s="32">
        <v>200</v>
      </c>
      <c r="E205" s="31">
        <v>11</v>
      </c>
      <c r="F205" s="31">
        <v>0</v>
      </c>
      <c r="G205" s="28" t="s">
        <v>2</v>
      </c>
      <c r="H205" s="28">
        <v>433.2</v>
      </c>
      <c r="I205" s="28">
        <v>604.19999999999993</v>
      </c>
      <c r="J205" s="39">
        <v>74690.200000000012</v>
      </c>
      <c r="K205" s="29">
        <v>6804.6</v>
      </c>
      <c r="L205" s="37">
        <f>SUM(B205:K205)</f>
        <v>83714.000000000015</v>
      </c>
      <c r="O205" s="36"/>
      <c r="P205" s="36"/>
    </row>
    <row r="206" spans="1:16" ht="12" hidden="1" customHeight="1" x14ac:dyDescent="0.2">
      <c r="A206" s="35" t="s">
        <v>16</v>
      </c>
      <c r="B206" s="31" t="s">
        <v>2</v>
      </c>
      <c r="C206" s="28">
        <v>1189.1999999999998</v>
      </c>
      <c r="D206" s="32">
        <v>200</v>
      </c>
      <c r="E206" s="31">
        <v>11</v>
      </c>
      <c r="F206" s="31">
        <v>0</v>
      </c>
      <c r="G206" s="28" t="s">
        <v>2</v>
      </c>
      <c r="H206" s="28">
        <v>65.900000000000006</v>
      </c>
      <c r="I206" s="30">
        <v>603.79999999999995</v>
      </c>
      <c r="J206" s="4">
        <v>76361.8</v>
      </c>
      <c r="K206" s="29">
        <v>7146.8</v>
      </c>
      <c r="L206" s="37">
        <f>SUM(B206:K206)</f>
        <v>85578.5</v>
      </c>
      <c r="O206" s="36"/>
      <c r="P206" s="36"/>
    </row>
    <row r="207" spans="1:16" ht="12" hidden="1" customHeight="1" x14ac:dyDescent="0.2">
      <c r="A207" s="35" t="s">
        <v>15</v>
      </c>
      <c r="B207" s="31" t="s">
        <v>2</v>
      </c>
      <c r="C207" s="28">
        <v>1175.9000000000001</v>
      </c>
      <c r="D207" s="32">
        <v>200</v>
      </c>
      <c r="E207" s="31">
        <v>11</v>
      </c>
      <c r="F207" s="31">
        <v>0</v>
      </c>
      <c r="G207" s="28" t="s">
        <v>2</v>
      </c>
      <c r="H207" s="28">
        <v>461.5</v>
      </c>
      <c r="I207" s="30">
        <v>602.99999999999989</v>
      </c>
      <c r="J207" s="4">
        <v>75716.200000000012</v>
      </c>
      <c r="K207" s="29">
        <v>7587.5</v>
      </c>
      <c r="L207" s="37">
        <f>SUM(B207:K207)</f>
        <v>85755.1</v>
      </c>
      <c r="O207" s="36"/>
      <c r="P207" s="36"/>
    </row>
    <row r="208" spans="1:16" ht="12" hidden="1" customHeight="1" x14ac:dyDescent="0.2">
      <c r="A208" s="35" t="s">
        <v>14</v>
      </c>
      <c r="B208" s="31" t="s">
        <v>2</v>
      </c>
      <c r="C208" s="28">
        <v>2070</v>
      </c>
      <c r="D208" s="32">
        <v>200</v>
      </c>
      <c r="E208" s="31">
        <v>311</v>
      </c>
      <c r="F208" s="31">
        <v>0</v>
      </c>
      <c r="G208" s="28" t="s">
        <v>2</v>
      </c>
      <c r="H208" s="28">
        <v>382.1</v>
      </c>
      <c r="I208" s="30">
        <v>602.99999999999989</v>
      </c>
      <c r="J208" s="4">
        <v>76553.2</v>
      </c>
      <c r="K208" s="29">
        <v>7581.9000000000005</v>
      </c>
      <c r="L208" s="37">
        <f>SUM(B208:K208)</f>
        <v>87701.2</v>
      </c>
      <c r="O208" s="36"/>
      <c r="P208" s="36"/>
    </row>
    <row r="209" spans="1:16" ht="12" hidden="1" customHeight="1" x14ac:dyDescent="0.2">
      <c r="A209" s="35" t="s">
        <v>13</v>
      </c>
      <c r="B209" s="31" t="s">
        <v>2</v>
      </c>
      <c r="C209" s="28">
        <v>1580.9</v>
      </c>
      <c r="D209" s="32">
        <v>250</v>
      </c>
      <c r="E209" s="31">
        <v>11</v>
      </c>
      <c r="F209" s="31">
        <v>0</v>
      </c>
      <c r="G209" s="28" t="s">
        <v>2</v>
      </c>
      <c r="H209" s="28">
        <v>55.4</v>
      </c>
      <c r="I209" s="30">
        <v>602.19999999999993</v>
      </c>
      <c r="J209" s="4">
        <v>78787.899999999994</v>
      </c>
      <c r="K209" s="29">
        <v>7542.2000000000007</v>
      </c>
      <c r="L209" s="37">
        <f>SUM(B209:K209)</f>
        <v>88829.599999999991</v>
      </c>
      <c r="O209" s="36"/>
      <c r="P209" s="36"/>
    </row>
    <row r="210" spans="1:16" ht="12" hidden="1" customHeight="1" x14ac:dyDescent="0.2">
      <c r="A210" s="35" t="s">
        <v>12</v>
      </c>
      <c r="B210" s="31" t="s">
        <v>2</v>
      </c>
      <c r="C210" s="28">
        <v>1781.1</v>
      </c>
      <c r="D210" s="32">
        <v>250</v>
      </c>
      <c r="E210" s="31">
        <v>11</v>
      </c>
      <c r="F210" s="31">
        <v>73.199999999999989</v>
      </c>
      <c r="G210" s="28" t="s">
        <v>2</v>
      </c>
      <c r="H210" s="28">
        <v>444.8</v>
      </c>
      <c r="I210" s="30">
        <v>601.79999999999995</v>
      </c>
      <c r="J210" s="4">
        <v>79629.900000000009</v>
      </c>
      <c r="K210" s="29">
        <v>8264.6000000000022</v>
      </c>
      <c r="L210" s="37">
        <f>SUM(B210:K210)</f>
        <v>91056.400000000009</v>
      </c>
      <c r="O210" s="36"/>
      <c r="P210" s="36"/>
    </row>
    <row r="211" spans="1:16" ht="12" hidden="1" customHeight="1" x14ac:dyDescent="0.2">
      <c r="A211" s="35" t="s">
        <v>11</v>
      </c>
      <c r="B211" s="31" t="s">
        <v>2</v>
      </c>
      <c r="C211" s="28">
        <v>2029.1</v>
      </c>
      <c r="D211" s="32">
        <v>50</v>
      </c>
      <c r="E211" s="31">
        <v>11</v>
      </c>
      <c r="F211" s="31">
        <v>0</v>
      </c>
      <c r="G211" s="28" t="s">
        <v>2</v>
      </c>
      <c r="H211" s="28">
        <v>341</v>
      </c>
      <c r="I211" s="30">
        <v>601.79999999999995</v>
      </c>
      <c r="J211" s="4">
        <v>81857.3</v>
      </c>
      <c r="K211" s="29">
        <v>7603.8</v>
      </c>
      <c r="L211" s="37">
        <f>SUM(B211:K211)</f>
        <v>92494</v>
      </c>
      <c r="O211" s="36"/>
      <c r="P211" s="36"/>
    </row>
    <row r="212" spans="1:16" ht="12" hidden="1" customHeight="1" x14ac:dyDescent="0.2">
      <c r="A212" s="35" t="s">
        <v>10</v>
      </c>
      <c r="B212" s="38">
        <v>67.2</v>
      </c>
      <c r="C212" s="28">
        <v>1947.1</v>
      </c>
      <c r="D212" s="32">
        <v>50</v>
      </c>
      <c r="E212" s="31">
        <v>11</v>
      </c>
      <c r="F212" s="31">
        <v>0</v>
      </c>
      <c r="G212" s="28" t="s">
        <v>2</v>
      </c>
      <c r="H212" s="28">
        <v>384.4</v>
      </c>
      <c r="I212" s="30">
        <v>601.4</v>
      </c>
      <c r="J212" s="4">
        <v>83304.700000000012</v>
      </c>
      <c r="K212" s="29">
        <v>7674</v>
      </c>
      <c r="L212" s="37">
        <f>SUM(B212:K212)</f>
        <v>94039.800000000017</v>
      </c>
      <c r="O212" s="36"/>
      <c r="P212" s="36"/>
    </row>
    <row r="213" spans="1:16" ht="12" hidden="1" customHeight="1" x14ac:dyDescent="0.2">
      <c r="A213" s="35" t="s">
        <v>9</v>
      </c>
      <c r="B213" s="38">
        <v>67.2</v>
      </c>
      <c r="C213" s="28">
        <v>2418</v>
      </c>
      <c r="D213" s="31" t="s">
        <v>2</v>
      </c>
      <c r="E213" s="31">
        <v>11</v>
      </c>
      <c r="F213" s="31">
        <v>0</v>
      </c>
      <c r="G213" s="28" t="s">
        <v>2</v>
      </c>
      <c r="H213" s="28">
        <v>401.1</v>
      </c>
      <c r="I213" s="30">
        <v>600.9</v>
      </c>
      <c r="J213" s="4">
        <v>84091.8</v>
      </c>
      <c r="K213" s="29">
        <v>8356.5</v>
      </c>
      <c r="L213" s="37">
        <f>SUM(B213:K213)</f>
        <v>95946.5</v>
      </c>
      <c r="O213" s="36"/>
      <c r="P213" s="36"/>
    </row>
    <row r="214" spans="1:16" ht="12" hidden="1" customHeight="1" x14ac:dyDescent="0.2">
      <c r="A214" s="35" t="s">
        <v>8</v>
      </c>
      <c r="B214" s="38">
        <v>67.2</v>
      </c>
      <c r="C214" s="28">
        <v>2656.5</v>
      </c>
      <c r="D214" s="31" t="s">
        <v>2</v>
      </c>
      <c r="E214" s="31">
        <v>512.4</v>
      </c>
      <c r="F214" s="31">
        <v>0</v>
      </c>
      <c r="G214" s="28" t="s">
        <v>2</v>
      </c>
      <c r="H214" s="28">
        <v>383.1</v>
      </c>
      <c r="I214" s="30">
        <v>597.69999999999993</v>
      </c>
      <c r="J214" s="4">
        <v>85658.4</v>
      </c>
      <c r="K214" s="29">
        <v>7792.2</v>
      </c>
      <c r="L214" s="37">
        <f>SUM(B214:K214)</f>
        <v>97667.499999999985</v>
      </c>
      <c r="O214" s="36"/>
      <c r="P214" s="36"/>
    </row>
    <row r="215" spans="1:16" hidden="1" x14ac:dyDescent="0.2">
      <c r="A215" s="35" t="s">
        <v>7</v>
      </c>
      <c r="B215" s="38">
        <v>67.2</v>
      </c>
      <c r="C215" s="28">
        <v>2498.6999999999998</v>
      </c>
      <c r="D215" s="32">
        <v>500</v>
      </c>
      <c r="E215" s="31">
        <v>511</v>
      </c>
      <c r="F215" s="31">
        <v>0</v>
      </c>
      <c r="G215" s="31" t="s">
        <v>2</v>
      </c>
      <c r="H215" s="31" t="s">
        <v>2</v>
      </c>
      <c r="I215" s="30">
        <v>597.69999999999993</v>
      </c>
      <c r="J215" s="4">
        <v>86819.9</v>
      </c>
      <c r="K215" s="29">
        <v>9008.9</v>
      </c>
      <c r="L215" s="37">
        <f>SUM(B215:K215)</f>
        <v>100003.4</v>
      </c>
      <c r="O215" s="36"/>
      <c r="P215" s="36"/>
    </row>
    <row r="216" spans="1:16" ht="12" hidden="1" customHeight="1" x14ac:dyDescent="0.2">
      <c r="A216" s="35" t="s">
        <v>6</v>
      </c>
      <c r="B216" s="38">
        <v>67.2</v>
      </c>
      <c r="C216" s="28">
        <v>2724.3</v>
      </c>
      <c r="D216" s="32">
        <v>1500</v>
      </c>
      <c r="E216" s="31">
        <v>511</v>
      </c>
      <c r="F216" s="31">
        <v>0</v>
      </c>
      <c r="G216" s="31" t="s">
        <v>2</v>
      </c>
      <c r="H216" s="31" t="s">
        <v>2</v>
      </c>
      <c r="I216" s="30">
        <v>597.69999999999993</v>
      </c>
      <c r="J216" s="4">
        <v>87468.6</v>
      </c>
      <c r="K216" s="29">
        <v>9064.2000000000007</v>
      </c>
      <c r="L216" s="37">
        <f>SUM(B216:K216)</f>
        <v>101933</v>
      </c>
      <c r="O216" s="36"/>
      <c r="P216" s="36"/>
    </row>
    <row r="217" spans="1:16" ht="12" hidden="1" customHeight="1" x14ac:dyDescent="0.2">
      <c r="A217" s="35"/>
      <c r="B217" s="38"/>
      <c r="C217" s="28"/>
      <c r="D217" s="32"/>
      <c r="E217" s="31"/>
      <c r="F217" s="31"/>
      <c r="G217" s="31"/>
      <c r="H217" s="31"/>
      <c r="I217" s="30"/>
      <c r="J217" s="4"/>
      <c r="K217" s="29"/>
      <c r="L217" s="37"/>
      <c r="O217" s="36"/>
      <c r="P217" s="36"/>
    </row>
    <row r="218" spans="1:16" ht="12" hidden="1" customHeight="1" x14ac:dyDescent="0.2">
      <c r="A218" s="35" t="s">
        <v>20</v>
      </c>
      <c r="B218" s="38">
        <v>67.2</v>
      </c>
      <c r="C218" s="28">
        <v>1351.1999999999998</v>
      </c>
      <c r="D218" s="32">
        <v>1903.9</v>
      </c>
      <c r="E218" s="31">
        <v>511</v>
      </c>
      <c r="F218" s="31">
        <v>0</v>
      </c>
      <c r="G218" s="31" t="s">
        <v>2</v>
      </c>
      <c r="H218" s="31" t="s">
        <v>2</v>
      </c>
      <c r="I218" s="30">
        <v>597.69999999999993</v>
      </c>
      <c r="J218" s="4">
        <v>88722.099999999991</v>
      </c>
      <c r="K218" s="29">
        <v>9347.9000000000015</v>
      </c>
      <c r="L218" s="37">
        <f>SUM(B218:K218)</f>
        <v>102501</v>
      </c>
      <c r="O218" s="36"/>
      <c r="P218" s="36"/>
    </row>
    <row r="219" spans="1:16" ht="12" hidden="1" customHeight="1" x14ac:dyDescent="0.2">
      <c r="A219" s="35" t="s">
        <v>19</v>
      </c>
      <c r="B219" s="38">
        <v>67.2</v>
      </c>
      <c r="C219" s="28">
        <v>2396.9</v>
      </c>
      <c r="D219" s="32">
        <v>1403.9</v>
      </c>
      <c r="E219" s="31">
        <v>511</v>
      </c>
      <c r="F219" s="31">
        <v>0</v>
      </c>
      <c r="G219" s="31" t="s">
        <v>2</v>
      </c>
      <c r="H219" s="31" t="s">
        <v>2</v>
      </c>
      <c r="I219" s="30">
        <v>597.69999999999993</v>
      </c>
      <c r="J219" s="4">
        <v>87626.1</v>
      </c>
      <c r="K219" s="29">
        <v>9506.7000000000007</v>
      </c>
      <c r="L219" s="37">
        <f>SUM(B219:K219)</f>
        <v>102109.5</v>
      </c>
      <c r="O219" s="36"/>
      <c r="P219" s="36"/>
    </row>
    <row r="220" spans="1:16" ht="12" customHeight="1" x14ac:dyDescent="0.2">
      <c r="A220" s="35" t="s">
        <v>18</v>
      </c>
      <c r="B220" s="38">
        <v>67.2</v>
      </c>
      <c r="C220" s="28">
        <v>1745.7</v>
      </c>
      <c r="D220" s="32">
        <v>2265.8000000000002</v>
      </c>
      <c r="E220" s="31">
        <v>511</v>
      </c>
      <c r="F220" s="31">
        <v>0</v>
      </c>
      <c r="G220" s="31" t="s">
        <v>2</v>
      </c>
      <c r="H220" s="31" t="s">
        <v>2</v>
      </c>
      <c r="I220" s="30">
        <v>597.69999999999993</v>
      </c>
      <c r="J220" s="4">
        <v>87282.8</v>
      </c>
      <c r="K220" s="29">
        <v>10418.700000000001</v>
      </c>
      <c r="L220" s="37">
        <f>SUM(B220:K220)</f>
        <v>102888.9</v>
      </c>
      <c r="O220" s="36"/>
      <c r="P220" s="36"/>
    </row>
    <row r="221" spans="1:16" ht="12" customHeight="1" x14ac:dyDescent="0.2">
      <c r="A221" s="35" t="s">
        <v>14</v>
      </c>
      <c r="B221" s="38">
        <v>67.2</v>
      </c>
      <c r="C221" s="28">
        <v>2744</v>
      </c>
      <c r="D221" s="32">
        <v>3715.8</v>
      </c>
      <c r="E221" s="31">
        <v>11</v>
      </c>
      <c r="F221" s="31">
        <v>0</v>
      </c>
      <c r="G221" s="31" t="s">
        <v>2</v>
      </c>
      <c r="H221" s="31" t="s">
        <v>2</v>
      </c>
      <c r="I221" s="30">
        <v>597.69999999999993</v>
      </c>
      <c r="J221" s="4">
        <v>88061.7</v>
      </c>
      <c r="K221" s="29">
        <v>10481.299999999999</v>
      </c>
      <c r="L221" s="37">
        <f>SUM(B221:K221)</f>
        <v>105678.7</v>
      </c>
      <c r="O221" s="36"/>
      <c r="P221" s="36"/>
    </row>
    <row r="222" spans="1:16" ht="12" customHeight="1" x14ac:dyDescent="0.2">
      <c r="A222" s="35" t="s">
        <v>13</v>
      </c>
      <c r="B222" s="38">
        <v>67.2</v>
      </c>
      <c r="C222" s="28">
        <v>4321.6000000000004</v>
      </c>
      <c r="D222" s="32">
        <v>3715.8</v>
      </c>
      <c r="E222" s="31">
        <v>11</v>
      </c>
      <c r="F222" s="31">
        <v>0</v>
      </c>
      <c r="G222" s="31" t="s">
        <v>2</v>
      </c>
      <c r="H222" s="31" t="s">
        <v>2</v>
      </c>
      <c r="I222" s="30">
        <v>597.69999999999993</v>
      </c>
      <c r="J222" s="4">
        <v>86891.700000000012</v>
      </c>
      <c r="K222" s="29">
        <v>10916.1</v>
      </c>
      <c r="L222" s="37">
        <f>SUM(B222:K222)</f>
        <v>106521.10000000002</v>
      </c>
      <c r="O222" s="36"/>
      <c r="P222" s="36"/>
    </row>
    <row r="223" spans="1:16" ht="12" customHeight="1" x14ac:dyDescent="0.2">
      <c r="A223" s="35" t="s">
        <v>12</v>
      </c>
      <c r="B223" s="38">
        <v>67.2</v>
      </c>
      <c r="C223" s="28">
        <v>3429.1000000000004</v>
      </c>
      <c r="D223" s="32">
        <v>5715.8</v>
      </c>
      <c r="E223" s="31">
        <v>11</v>
      </c>
      <c r="F223" s="31">
        <v>0</v>
      </c>
      <c r="G223" s="31" t="s">
        <v>2</v>
      </c>
      <c r="H223" s="31" t="s">
        <v>2</v>
      </c>
      <c r="I223" s="30">
        <v>597.69999999999993</v>
      </c>
      <c r="J223" s="4">
        <v>86842</v>
      </c>
      <c r="K223" s="29">
        <v>10593.5</v>
      </c>
      <c r="L223" s="37">
        <f>SUM(B223:K223)</f>
        <v>107256.3</v>
      </c>
      <c r="O223" s="36"/>
      <c r="P223" s="36"/>
    </row>
    <row r="224" spans="1:16" ht="12" customHeight="1" x14ac:dyDescent="0.2">
      <c r="A224" s="35" t="s">
        <v>11</v>
      </c>
      <c r="B224" s="38">
        <v>67.2</v>
      </c>
      <c r="C224" s="28">
        <v>3685.1</v>
      </c>
      <c r="D224" s="32">
        <v>7215.8</v>
      </c>
      <c r="E224" s="31">
        <v>11</v>
      </c>
      <c r="F224" s="31">
        <v>0</v>
      </c>
      <c r="G224" s="31" t="s">
        <v>2</v>
      </c>
      <c r="H224" s="31" t="s">
        <v>2</v>
      </c>
      <c r="I224" s="30">
        <v>597.69999999999993</v>
      </c>
      <c r="J224" s="4">
        <v>86222.7</v>
      </c>
      <c r="K224" s="29">
        <v>11069.8</v>
      </c>
      <c r="L224" s="37">
        <f>SUM(B224:K224)</f>
        <v>108869.3</v>
      </c>
      <c r="O224" s="36"/>
      <c r="P224" s="36"/>
    </row>
    <row r="225" spans="1:16" ht="12" customHeight="1" x14ac:dyDescent="0.2">
      <c r="A225" s="35" t="s">
        <v>10</v>
      </c>
      <c r="B225" s="38">
        <v>67.2</v>
      </c>
      <c r="C225" s="28">
        <v>6119.6</v>
      </c>
      <c r="D225" s="32">
        <v>7215.8</v>
      </c>
      <c r="E225" s="31">
        <v>11</v>
      </c>
      <c r="F225" s="31">
        <v>0</v>
      </c>
      <c r="G225" s="31" t="s">
        <v>2</v>
      </c>
      <c r="H225" s="31" t="s">
        <v>2</v>
      </c>
      <c r="I225" s="30">
        <v>597.69999999999993</v>
      </c>
      <c r="J225" s="4">
        <v>86475.7</v>
      </c>
      <c r="K225" s="29">
        <v>11082.099999999999</v>
      </c>
      <c r="L225" s="37">
        <f>SUM(B225:K225)</f>
        <v>111569.1</v>
      </c>
      <c r="O225" s="36"/>
      <c r="P225" s="36"/>
    </row>
    <row r="226" spans="1:16" ht="12" customHeight="1" x14ac:dyDescent="0.2">
      <c r="A226" s="35" t="s">
        <v>9</v>
      </c>
      <c r="B226" s="38">
        <v>67.2</v>
      </c>
      <c r="C226" s="28">
        <v>4414.1000000000004</v>
      </c>
      <c r="D226" s="32">
        <v>9215.7999999999993</v>
      </c>
      <c r="E226" s="31">
        <v>11</v>
      </c>
      <c r="F226" s="31">
        <v>0</v>
      </c>
      <c r="G226" s="31" t="s">
        <v>2</v>
      </c>
      <c r="H226" s="31" t="s">
        <v>2</v>
      </c>
      <c r="I226" s="30">
        <v>597.69999999999993</v>
      </c>
      <c r="J226" s="4">
        <v>87471.799999999988</v>
      </c>
      <c r="K226" s="29">
        <v>10771.5</v>
      </c>
      <c r="L226" s="37">
        <f>SUM(B226:K226)</f>
        <v>112549.09999999999</v>
      </c>
      <c r="O226" s="36"/>
      <c r="P226" s="36"/>
    </row>
    <row r="227" spans="1:16" ht="12" customHeight="1" x14ac:dyDescent="0.2">
      <c r="A227" s="35" t="s">
        <v>8</v>
      </c>
      <c r="B227" s="38">
        <v>67.2</v>
      </c>
      <c r="C227" s="28">
        <v>4440.1000000000004</v>
      </c>
      <c r="D227" s="32">
        <v>9215.7999999999993</v>
      </c>
      <c r="E227" s="31">
        <v>11</v>
      </c>
      <c r="F227" s="31">
        <v>0</v>
      </c>
      <c r="G227" s="31" t="s">
        <v>2</v>
      </c>
      <c r="H227" s="31" t="s">
        <v>2</v>
      </c>
      <c r="I227" s="30">
        <v>597.69999999999993</v>
      </c>
      <c r="J227" s="4">
        <v>88217.600000000006</v>
      </c>
      <c r="K227" s="29">
        <v>10941.9</v>
      </c>
      <c r="L227" s="37">
        <f>SUM(B227:K227)</f>
        <v>113491.3</v>
      </c>
      <c r="O227" s="36"/>
      <c r="P227" s="36"/>
    </row>
    <row r="228" spans="1:16" ht="12" customHeight="1" x14ac:dyDescent="0.2">
      <c r="A228" s="35" t="s">
        <v>7</v>
      </c>
      <c r="B228" s="31" t="s">
        <v>2</v>
      </c>
      <c r="C228" s="28">
        <v>6180.9</v>
      </c>
      <c r="D228" s="32">
        <v>9497.1</v>
      </c>
      <c r="E228" s="31">
        <v>11</v>
      </c>
      <c r="F228" s="31">
        <v>16.2</v>
      </c>
      <c r="G228" s="31" t="s">
        <v>2</v>
      </c>
      <c r="H228" s="31" t="s">
        <v>2</v>
      </c>
      <c r="I228" s="30">
        <v>668.49999999999989</v>
      </c>
      <c r="J228" s="4">
        <v>86271.200000000012</v>
      </c>
      <c r="K228" s="29">
        <v>14687.5</v>
      </c>
      <c r="L228" s="37">
        <f>SUM(B228:K228)</f>
        <v>117332.40000000001</v>
      </c>
      <c r="O228" s="36"/>
      <c r="P228" s="36"/>
    </row>
    <row r="229" spans="1:16" ht="12" customHeight="1" x14ac:dyDescent="0.2">
      <c r="A229" s="35" t="s">
        <v>6</v>
      </c>
      <c r="B229" s="31" t="s">
        <v>2</v>
      </c>
      <c r="C229" s="28">
        <v>8555</v>
      </c>
      <c r="D229" s="32">
        <v>9496.7000000000007</v>
      </c>
      <c r="E229" s="31">
        <v>11</v>
      </c>
      <c r="F229" s="31">
        <v>23.2</v>
      </c>
      <c r="G229" s="31" t="s">
        <v>2</v>
      </c>
      <c r="H229" s="31" t="s">
        <v>2</v>
      </c>
      <c r="I229" s="30">
        <v>529</v>
      </c>
      <c r="J229" s="4">
        <v>86640.700000000012</v>
      </c>
      <c r="K229" s="29">
        <v>14206.4</v>
      </c>
      <c r="L229" s="37">
        <f>SUM(B229:K229)</f>
        <v>119462</v>
      </c>
      <c r="O229" s="36"/>
      <c r="P229" s="36"/>
    </row>
    <row r="230" spans="1:16" ht="12" customHeight="1" x14ac:dyDescent="0.2">
      <c r="A230" s="35"/>
      <c r="B230" s="31"/>
      <c r="C230" s="28"/>
      <c r="D230" s="32"/>
      <c r="E230" s="31"/>
      <c r="F230" s="31"/>
      <c r="G230" s="31"/>
      <c r="H230" s="31"/>
      <c r="I230" s="30"/>
      <c r="J230" s="4"/>
      <c r="K230" s="29"/>
      <c r="L230" s="37"/>
      <c r="O230" s="36"/>
      <c r="P230" s="36"/>
    </row>
    <row r="231" spans="1:16" ht="12" customHeight="1" x14ac:dyDescent="0.2">
      <c r="A231" s="35" t="s">
        <v>17</v>
      </c>
      <c r="B231" s="31" t="s">
        <v>2</v>
      </c>
      <c r="C231" s="28">
        <v>6419.8</v>
      </c>
      <c r="D231" s="32">
        <v>9543.1</v>
      </c>
      <c r="E231" s="31">
        <v>11</v>
      </c>
      <c r="F231" s="31">
        <v>59.9</v>
      </c>
      <c r="G231" s="31" t="s">
        <v>2</v>
      </c>
      <c r="H231" s="31" t="s">
        <v>2</v>
      </c>
      <c r="I231" s="30">
        <v>529</v>
      </c>
      <c r="J231" s="4">
        <v>86875.5</v>
      </c>
      <c r="K231" s="29">
        <v>16647.199999999997</v>
      </c>
      <c r="L231" s="37">
        <f>SUM(B231:K231)</f>
        <v>120085.5</v>
      </c>
      <c r="O231" s="36"/>
      <c r="P231" s="36"/>
    </row>
    <row r="232" spans="1:16" ht="12" customHeight="1" x14ac:dyDescent="0.2">
      <c r="A232" s="35" t="s">
        <v>16</v>
      </c>
      <c r="B232" s="31" t="s">
        <v>2</v>
      </c>
      <c r="C232" s="28">
        <v>7764.2000000000007</v>
      </c>
      <c r="D232" s="32">
        <v>9580.2000000000007</v>
      </c>
      <c r="E232" s="31">
        <v>11</v>
      </c>
      <c r="F232" s="31">
        <v>24.4</v>
      </c>
      <c r="G232" s="31" t="s">
        <v>2</v>
      </c>
      <c r="H232" s="31" t="s">
        <v>2</v>
      </c>
      <c r="I232" s="30">
        <v>529</v>
      </c>
      <c r="J232" s="4">
        <v>88010.900000000009</v>
      </c>
      <c r="K232" s="29">
        <v>17623.300000000003</v>
      </c>
      <c r="L232" s="37">
        <f>SUM(B232:K232)</f>
        <v>123543.00000000001</v>
      </c>
      <c r="O232" s="36"/>
      <c r="P232" s="36"/>
    </row>
    <row r="233" spans="1:16" ht="12" customHeight="1" x14ac:dyDescent="0.2">
      <c r="A233" s="35" t="s">
        <v>15</v>
      </c>
      <c r="B233" s="31" t="s">
        <v>2</v>
      </c>
      <c r="C233" s="28">
        <v>9209.5</v>
      </c>
      <c r="D233" s="32">
        <v>9626.5</v>
      </c>
      <c r="E233" s="31">
        <v>11</v>
      </c>
      <c r="F233" s="31">
        <v>24.4</v>
      </c>
      <c r="G233" s="31" t="s">
        <v>2</v>
      </c>
      <c r="H233" s="31" t="s">
        <v>2</v>
      </c>
      <c r="I233" s="30">
        <v>528.20000000000005</v>
      </c>
      <c r="J233" s="4">
        <v>90185.5</v>
      </c>
      <c r="K233" s="29">
        <v>17286</v>
      </c>
      <c r="L233" s="37">
        <f>SUM(B233:K233)</f>
        <v>126871.1</v>
      </c>
      <c r="O233" s="36"/>
      <c r="P233" s="36"/>
    </row>
    <row r="234" spans="1:16" ht="12" customHeight="1" x14ac:dyDescent="0.2">
      <c r="A234" s="35" t="s">
        <v>14</v>
      </c>
      <c r="B234" s="31" t="s">
        <v>2</v>
      </c>
      <c r="C234" s="28">
        <v>6756.3</v>
      </c>
      <c r="D234" s="32">
        <v>9667.2000000000007</v>
      </c>
      <c r="E234" s="31">
        <v>11</v>
      </c>
      <c r="F234" s="31">
        <v>24.4</v>
      </c>
      <c r="G234" s="31" t="s">
        <v>2</v>
      </c>
      <c r="H234" s="31" t="s">
        <v>2</v>
      </c>
      <c r="I234" s="30">
        <v>528.20000000000005</v>
      </c>
      <c r="J234" s="4">
        <v>92994.4</v>
      </c>
      <c r="K234" s="29">
        <v>17590.5</v>
      </c>
      <c r="L234" s="37">
        <f>SUM(B234:K234)</f>
        <v>127572</v>
      </c>
      <c r="O234" s="36"/>
      <c r="P234" s="36"/>
    </row>
    <row r="235" spans="1:16" ht="12" customHeight="1" x14ac:dyDescent="0.2">
      <c r="A235" s="35" t="s">
        <v>13</v>
      </c>
      <c r="B235" s="31" t="s">
        <v>2</v>
      </c>
      <c r="C235" s="28">
        <v>5647.6</v>
      </c>
      <c r="D235" s="32">
        <v>9710</v>
      </c>
      <c r="E235" s="31">
        <v>11</v>
      </c>
      <c r="F235" s="31">
        <v>24.5</v>
      </c>
      <c r="G235" s="31" t="s">
        <v>2</v>
      </c>
      <c r="H235" s="31" t="s">
        <v>2</v>
      </c>
      <c r="I235" s="30">
        <v>507.1</v>
      </c>
      <c r="J235" s="4">
        <v>95232.5</v>
      </c>
      <c r="K235" s="29">
        <v>17153.399999999998</v>
      </c>
      <c r="L235" s="37">
        <f>SUM(B235:K235)</f>
        <v>128286.09999999999</v>
      </c>
      <c r="O235" s="36"/>
      <c r="P235" s="36"/>
    </row>
    <row r="236" spans="1:16" ht="12" customHeight="1" x14ac:dyDescent="0.2">
      <c r="A236" s="35" t="s">
        <v>12</v>
      </c>
      <c r="B236" s="31" t="s">
        <v>2</v>
      </c>
      <c r="C236" s="28">
        <v>4975.3</v>
      </c>
      <c r="D236" s="32">
        <v>8060.6</v>
      </c>
      <c r="E236" s="31">
        <v>311</v>
      </c>
      <c r="F236" s="31">
        <v>33.299999999999997</v>
      </c>
      <c r="G236" s="31"/>
      <c r="H236" s="31" t="s">
        <v>2</v>
      </c>
      <c r="I236" s="30">
        <v>507.1</v>
      </c>
      <c r="J236" s="4">
        <v>96470.1</v>
      </c>
      <c r="K236" s="29">
        <v>17272.400000000001</v>
      </c>
      <c r="L236" s="37">
        <f>SUM(B236:K236)</f>
        <v>127629.80000000002</v>
      </c>
      <c r="O236" s="36"/>
      <c r="P236" s="36"/>
    </row>
    <row r="237" spans="1:16" ht="12" customHeight="1" x14ac:dyDescent="0.2">
      <c r="A237" s="35" t="s">
        <v>11</v>
      </c>
      <c r="B237" s="31" t="s">
        <v>2</v>
      </c>
      <c r="C237" s="28">
        <v>5089.7</v>
      </c>
      <c r="D237" s="32">
        <v>9618.2999999999993</v>
      </c>
      <c r="E237" s="31">
        <v>315.3</v>
      </c>
      <c r="F237" s="31">
        <v>33.299999999999997</v>
      </c>
      <c r="G237" s="31"/>
      <c r="H237" s="31" t="s">
        <v>2</v>
      </c>
      <c r="I237" s="30">
        <v>507.1</v>
      </c>
      <c r="J237" s="4">
        <v>97434.2</v>
      </c>
      <c r="K237" s="29">
        <v>17481.699999999997</v>
      </c>
      <c r="L237" s="37">
        <f>SUM(B237:K237)</f>
        <v>130479.59999999999</v>
      </c>
      <c r="O237" s="36"/>
      <c r="P237" s="36"/>
    </row>
    <row r="238" spans="1:16" ht="12" customHeight="1" x14ac:dyDescent="0.2">
      <c r="A238" s="35" t="s">
        <v>10</v>
      </c>
      <c r="B238" s="31" t="s">
        <v>2</v>
      </c>
      <c r="C238" s="28">
        <v>6895.5</v>
      </c>
      <c r="D238" s="32">
        <v>9068.7999999999993</v>
      </c>
      <c r="E238" s="31">
        <v>317.10000000000002</v>
      </c>
      <c r="F238" s="31">
        <v>33.299999999999997</v>
      </c>
      <c r="G238" s="31"/>
      <c r="H238" s="31" t="s">
        <v>2</v>
      </c>
      <c r="I238" s="30">
        <v>507.1</v>
      </c>
      <c r="J238" s="4">
        <v>97450.7</v>
      </c>
      <c r="K238" s="29">
        <v>18564.7</v>
      </c>
      <c r="L238" s="37">
        <f>SUM(B238:K238)</f>
        <v>132837.20000000001</v>
      </c>
      <c r="O238" s="36"/>
      <c r="P238" s="36"/>
    </row>
    <row r="239" spans="1:16" ht="12" customHeight="1" x14ac:dyDescent="0.2">
      <c r="A239" s="35" t="s">
        <v>9</v>
      </c>
      <c r="B239" s="31" t="s">
        <v>2</v>
      </c>
      <c r="C239" s="28">
        <v>8292.6999999999989</v>
      </c>
      <c r="D239" s="32">
        <v>8078.5000000000009</v>
      </c>
      <c r="E239" s="31">
        <v>312.7</v>
      </c>
      <c r="F239" s="31">
        <v>42.2</v>
      </c>
      <c r="G239" s="31"/>
      <c r="H239" s="31" t="s">
        <v>2</v>
      </c>
      <c r="I239" s="30">
        <v>507.1</v>
      </c>
      <c r="J239" s="4">
        <v>98409.9</v>
      </c>
      <c r="K239" s="29">
        <v>18620.599999999999</v>
      </c>
      <c r="L239" s="37">
        <f>SUM(B239:K239)</f>
        <v>134263.69999999998</v>
      </c>
      <c r="O239" s="36"/>
      <c r="P239" s="36"/>
    </row>
    <row r="240" spans="1:16" ht="12" customHeight="1" x14ac:dyDescent="0.2">
      <c r="A240" s="35" t="s">
        <v>8</v>
      </c>
      <c r="B240" s="31" t="s">
        <v>2</v>
      </c>
      <c r="C240" s="28">
        <v>6964.3</v>
      </c>
      <c r="D240" s="32">
        <v>8032.8</v>
      </c>
      <c r="E240" s="31">
        <v>314.5</v>
      </c>
      <c r="F240" s="31">
        <v>42.2</v>
      </c>
      <c r="G240" s="31"/>
      <c r="H240" s="31" t="s">
        <v>2</v>
      </c>
      <c r="I240" s="30">
        <v>507.1</v>
      </c>
      <c r="J240" s="4">
        <v>100933</v>
      </c>
      <c r="K240" s="29">
        <v>19054</v>
      </c>
      <c r="L240" s="37">
        <f>SUM(B240:K240)</f>
        <v>135847.9</v>
      </c>
      <c r="O240" s="36"/>
      <c r="P240" s="36"/>
    </row>
    <row r="241" spans="1:16" ht="12" customHeight="1" x14ac:dyDescent="0.2">
      <c r="A241" s="35" t="s">
        <v>7</v>
      </c>
      <c r="B241" s="31" t="s">
        <v>2</v>
      </c>
      <c r="C241" s="28">
        <v>5627.0999999999995</v>
      </c>
      <c r="D241" s="32">
        <v>8750</v>
      </c>
      <c r="E241" s="31">
        <v>316.3</v>
      </c>
      <c r="F241" s="31">
        <v>42.2</v>
      </c>
      <c r="G241" s="31"/>
      <c r="H241" s="31" t="s">
        <v>2</v>
      </c>
      <c r="I241" s="30">
        <v>507.1</v>
      </c>
      <c r="J241" s="4">
        <v>102240.59999999999</v>
      </c>
      <c r="K241" s="29">
        <v>19770.900000000001</v>
      </c>
      <c r="L241" s="37">
        <f>SUM(B241:K241)</f>
        <v>137254.19999999998</v>
      </c>
      <c r="O241" s="36"/>
      <c r="P241" s="36"/>
    </row>
    <row r="242" spans="1:16" ht="12" customHeight="1" x14ac:dyDescent="0.2">
      <c r="A242" s="35" t="s">
        <v>6</v>
      </c>
      <c r="B242" s="31" t="s">
        <v>2</v>
      </c>
      <c r="C242" s="28">
        <v>7159.2</v>
      </c>
      <c r="D242" s="32">
        <v>8792.4</v>
      </c>
      <c r="E242" s="31">
        <v>312.8</v>
      </c>
      <c r="F242" s="31">
        <v>51.1</v>
      </c>
      <c r="G242" s="31"/>
      <c r="H242" s="31" t="s">
        <v>2</v>
      </c>
      <c r="I242" s="30">
        <v>507.1</v>
      </c>
      <c r="J242" s="4">
        <v>102322.1</v>
      </c>
      <c r="K242" s="29">
        <v>19061.099999999999</v>
      </c>
      <c r="L242" s="37">
        <f>SUM(B242:K242)</f>
        <v>138205.80000000002</v>
      </c>
      <c r="O242" s="36"/>
      <c r="P242" s="36"/>
    </row>
    <row r="243" spans="1:16" ht="12" customHeight="1" x14ac:dyDescent="0.2">
      <c r="A243" s="35"/>
      <c r="B243" s="31"/>
      <c r="C243" s="28"/>
      <c r="D243" s="32"/>
      <c r="E243" s="31"/>
      <c r="F243" s="31"/>
      <c r="G243" s="31"/>
      <c r="H243" s="31"/>
      <c r="I243" s="30"/>
      <c r="J243" s="4"/>
      <c r="K243" s="29"/>
      <c r="L243" s="37"/>
      <c r="O243" s="36"/>
      <c r="P243" s="36"/>
    </row>
    <row r="244" spans="1:16" ht="12" customHeight="1" x14ac:dyDescent="0.2">
      <c r="A244" s="35" t="s">
        <v>5</v>
      </c>
      <c r="B244" s="31" t="s">
        <v>2</v>
      </c>
      <c r="C244" s="28">
        <v>5636.5</v>
      </c>
      <c r="D244" s="32">
        <v>8834.0999999999985</v>
      </c>
      <c r="E244" s="31">
        <v>314.5</v>
      </c>
      <c r="F244" s="31">
        <v>51.1</v>
      </c>
      <c r="G244" s="31"/>
      <c r="H244" s="31" t="s">
        <v>2</v>
      </c>
      <c r="I244" s="30">
        <v>507.1</v>
      </c>
      <c r="J244" s="4">
        <v>102883.09999999999</v>
      </c>
      <c r="K244" s="29">
        <v>20375</v>
      </c>
      <c r="L244" s="37">
        <f>SUM(B244:K244)</f>
        <v>138601.4</v>
      </c>
      <c r="O244" s="36"/>
      <c r="P244" s="36"/>
    </row>
    <row r="245" spans="1:16" ht="12" customHeight="1" x14ac:dyDescent="0.2">
      <c r="A245" s="35" t="s">
        <v>4</v>
      </c>
      <c r="B245" s="31" t="s">
        <v>2</v>
      </c>
      <c r="C245" s="28">
        <v>5915</v>
      </c>
      <c r="D245" s="32">
        <v>8882.7999999999993</v>
      </c>
      <c r="E245" s="31">
        <v>316.10000000000002</v>
      </c>
      <c r="F245" s="31">
        <v>51.1</v>
      </c>
      <c r="G245" s="31"/>
      <c r="H245" s="31" t="s">
        <v>2</v>
      </c>
      <c r="I245" s="30">
        <v>447.7</v>
      </c>
      <c r="J245" s="4">
        <v>100818</v>
      </c>
      <c r="K245" s="29">
        <v>20167.2</v>
      </c>
      <c r="L245" s="37">
        <f>SUM(B245:K245)</f>
        <v>136597.9</v>
      </c>
      <c r="O245" s="36"/>
      <c r="P245" s="36"/>
    </row>
    <row r="246" spans="1:16" ht="12" customHeight="1" x14ac:dyDescent="0.2">
      <c r="A246" s="35" t="s">
        <v>3</v>
      </c>
      <c r="B246" s="31" t="s">
        <v>2</v>
      </c>
      <c r="C246" s="28">
        <v>6991.1</v>
      </c>
      <c r="D246" s="32">
        <v>8936.6</v>
      </c>
      <c r="E246" s="31">
        <v>312.8</v>
      </c>
      <c r="F246" s="31">
        <v>2.2000000000000002</v>
      </c>
      <c r="G246" s="31"/>
      <c r="H246" s="31" t="s">
        <v>2</v>
      </c>
      <c r="I246" s="30">
        <v>447.7</v>
      </c>
      <c r="J246" s="4">
        <v>100995.79999999999</v>
      </c>
      <c r="K246" s="29">
        <v>20915.400000000001</v>
      </c>
      <c r="L246" s="37">
        <f>SUM(B246:K246)</f>
        <v>138601.59999999998</v>
      </c>
      <c r="O246" s="36"/>
      <c r="P246" s="36"/>
    </row>
    <row r="247" spans="1:16" ht="12" customHeight="1" x14ac:dyDescent="0.2">
      <c r="A247" s="35"/>
      <c r="B247" s="34"/>
      <c r="C247" s="33"/>
      <c r="D247" s="32"/>
      <c r="E247" s="31"/>
      <c r="F247" s="31"/>
      <c r="G247" s="31"/>
      <c r="H247" s="31"/>
      <c r="I247" s="30"/>
      <c r="J247" s="4"/>
      <c r="K247" s="29"/>
      <c r="L247" s="28"/>
    </row>
    <row r="248" spans="1:16" ht="15.75" hidden="1" customHeight="1" x14ac:dyDescent="0.2">
      <c r="A248" s="27"/>
      <c r="B248" s="26"/>
      <c r="C248" s="25"/>
      <c r="D248" s="8"/>
      <c r="E248" s="23"/>
      <c r="F248" s="24"/>
      <c r="G248" s="23"/>
      <c r="H248" s="22"/>
      <c r="I248" s="22"/>
      <c r="J248" s="22"/>
      <c r="K248" s="23"/>
      <c r="L248" s="22"/>
      <c r="M248" s="21"/>
    </row>
    <row r="249" spans="1:16" hidden="1" x14ac:dyDescent="0.2">
      <c r="A249" s="20" t="s">
        <v>1</v>
      </c>
      <c r="B249" s="19"/>
      <c r="C249" s="13"/>
      <c r="D249" s="13"/>
      <c r="E249" s="17"/>
      <c r="F249" s="18"/>
      <c r="G249" s="17"/>
      <c r="H249" s="17"/>
      <c r="I249" s="17"/>
      <c r="J249" s="17"/>
      <c r="K249" s="17"/>
      <c r="L249" s="16"/>
    </row>
    <row r="250" spans="1:16" x14ac:dyDescent="0.2">
      <c r="A250" s="15"/>
      <c r="B250" s="14"/>
      <c r="C250" s="13"/>
      <c r="D250" s="13"/>
      <c r="E250" s="12"/>
      <c r="F250" s="13"/>
      <c r="G250" s="12"/>
      <c r="H250" s="12"/>
      <c r="I250" s="12"/>
      <c r="J250" s="12"/>
      <c r="K250" s="12"/>
      <c r="L250" s="11"/>
    </row>
    <row r="251" spans="1:16" s="5" customFormat="1" ht="12" customHeight="1" x14ac:dyDescent="0.2">
      <c r="A251" s="10" t="s">
        <v>0</v>
      </c>
      <c r="B251" s="9"/>
      <c r="C251" s="8"/>
      <c r="D251" s="8"/>
      <c r="E251" s="8"/>
      <c r="F251" s="8"/>
      <c r="G251" s="7"/>
      <c r="H251" s="8"/>
      <c r="I251" s="8"/>
      <c r="J251" s="8"/>
      <c r="K251" s="7"/>
      <c r="L251" s="6"/>
      <c r="N251" s="1"/>
    </row>
  </sheetData>
  <mergeCells count="2">
    <mergeCell ref="B2:K2"/>
    <mergeCell ref="B3:K3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  <colBreaks count="1" manualBreakCount="1">
    <brk id="12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II_7_1 Assets Fcial intermediar</vt:lpstr>
      <vt:lpstr>'II_7_1 Assets Fcial intermediar'!Print_Area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MUGABEKAZI Stella</dc:creator>
  <cp:lastModifiedBy>MUGABEKAZI Stella</cp:lastModifiedBy>
  <dcterms:created xsi:type="dcterms:W3CDTF">2017-06-30T07:23:37Z</dcterms:created>
  <dcterms:modified xsi:type="dcterms:W3CDTF">2017-06-30T07:23:56Z</dcterms:modified>
</cp:coreProperties>
</file>