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995" windowWidth="7185" windowHeight="2535" tabRatio="601" activeTab="0"/>
  </bookViews>
  <sheets>
    <sheet name="ii3-1sitbanqueactif" sheetId="1" r:id="rId1"/>
  </sheets>
  <definedNames>
    <definedName name="_xlnm.Print_Area" localSheetId="0">'ii3-1sitbanqueactif'!$A$1:$U$163</definedName>
    <definedName name="Zone_impres_MI">'ii3-1sitbanqueactif'!$A$1:$U$160</definedName>
  </definedNames>
  <calcPr fullCalcOnLoad="1"/>
</workbook>
</file>

<file path=xl/sharedStrings.xml><?xml version="1.0" encoding="utf-8"?>
<sst xmlns="http://schemas.openxmlformats.org/spreadsheetml/2006/main" count="680" uniqueCount="164">
  <si>
    <t xml:space="preserve"> </t>
  </si>
  <si>
    <t xml:space="preserve">   II.3.1</t>
  </si>
  <si>
    <t>ACTIF</t>
  </si>
  <si>
    <t>Réserves</t>
  </si>
  <si>
    <t xml:space="preserve">     Avoirs</t>
  </si>
  <si>
    <t xml:space="preserve">  Créances</t>
  </si>
  <si>
    <t xml:space="preserve"> Créances</t>
  </si>
  <si>
    <t xml:space="preserve">    Créances</t>
  </si>
  <si>
    <t>Créances</t>
  </si>
  <si>
    <t>Autres</t>
  </si>
  <si>
    <t>TOTAL</t>
  </si>
  <si>
    <t xml:space="preserve">      exté-</t>
  </si>
  <si>
    <t xml:space="preserve">  sur</t>
  </si>
  <si>
    <t xml:space="preserve"> sur les</t>
  </si>
  <si>
    <t xml:space="preserve">  sur les</t>
  </si>
  <si>
    <t xml:space="preserve">    sur les</t>
  </si>
  <si>
    <t xml:space="preserve">   sur le</t>
  </si>
  <si>
    <t>actifs</t>
  </si>
  <si>
    <t xml:space="preserve">     rieurs</t>
  </si>
  <si>
    <t xml:space="preserve">Avance </t>
  </si>
  <si>
    <t>Avoirs</t>
  </si>
  <si>
    <t>l'admini-</t>
  </si>
  <si>
    <t xml:space="preserve"> admini-</t>
  </si>
  <si>
    <t>établissements</t>
  </si>
  <si>
    <t xml:space="preserve">    sociétés</t>
  </si>
  <si>
    <t xml:space="preserve">   secteur</t>
  </si>
  <si>
    <t>Certificats</t>
  </si>
  <si>
    <t xml:space="preserve">  Bons</t>
  </si>
  <si>
    <t>consor-</t>
  </si>
  <si>
    <t>stration</t>
  </si>
  <si>
    <t xml:space="preserve"> strations</t>
  </si>
  <si>
    <t>financiers</t>
  </si>
  <si>
    <t xml:space="preserve">  à participation</t>
  </si>
  <si>
    <t xml:space="preserve">    privé</t>
  </si>
  <si>
    <t>du Trésor</t>
  </si>
  <si>
    <t>tiale</t>
  </si>
  <si>
    <t>C.C.P.</t>
  </si>
  <si>
    <t>Total</t>
  </si>
  <si>
    <t>Centrale</t>
  </si>
  <si>
    <t xml:space="preserve">  locales</t>
  </si>
  <si>
    <t xml:space="preserve">     publique</t>
  </si>
  <si>
    <t>-</t>
  </si>
  <si>
    <t xml:space="preserve">  </t>
  </si>
  <si>
    <t xml:space="preserve">       aux</t>
  </si>
  <si>
    <t xml:space="preserve">                 Rubriques</t>
  </si>
  <si>
    <t>Période</t>
  </si>
  <si>
    <t xml:space="preserve">          septembre</t>
  </si>
  <si>
    <t xml:space="preserve">          décembre</t>
  </si>
  <si>
    <t>SITUATION CONSOLIDEE DES BANQUES COMMERCIALES</t>
  </si>
  <si>
    <t xml:space="preserve">          juin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</si>
  <si>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</si>
  <si>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</si>
  <si>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</si>
  <si>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</si>
  <si>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</si>
  <si>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</si>
  <si>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Résultat</t>
  </si>
  <si>
    <t>Reprise de</t>
  </si>
  <si>
    <t>liquidité</t>
  </si>
  <si>
    <t xml:space="preserve">  Obligations</t>
  </si>
  <si>
    <t>2008 janvier</t>
  </si>
  <si>
    <t>2008</t>
  </si>
  <si>
    <t>2009 janvier</t>
  </si>
  <si>
    <t>2010 janvier</t>
  </si>
  <si>
    <t>2009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</si>
  <si>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</si>
  <si>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</si>
  <si>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</si>
  <si>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</si>
  <si>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</si>
  <si>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</si>
  <si>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</si>
  <si>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septembre</t>
  </si>
  <si>
    <t>2008 octobre</t>
  </si>
  <si>
    <t>2008 novembre</t>
  </si>
  <si>
    <t>2008 décembre</t>
  </si>
  <si>
    <t>2010</t>
  </si>
  <si>
    <t>(en millions de BIF)</t>
  </si>
  <si>
    <t>2011 janvier</t>
  </si>
  <si>
    <t>2009 février</t>
  </si>
  <si>
    <t>2009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</si>
  <si>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</si>
  <si>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</si>
  <si>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</si>
  <si>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</si>
  <si>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</si>
  <si>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</si>
  <si>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</si>
  <si>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</si>
  <si>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</si>
  <si>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</si>
  <si>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2011</t>
  </si>
  <si>
    <t>2010 février</t>
  </si>
  <si>
    <t>2010 mars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</si>
  <si>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</si>
  <si>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</si>
  <si>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</si>
  <si>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</si>
  <si>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</si>
  <si>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</si>
  <si>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</si>
  <si>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</si>
  <si>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</si>
  <si>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</si>
  <si>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2012</t>
  </si>
  <si>
    <t>2011 février</t>
  </si>
  <si>
    <t>2011 mars</t>
  </si>
  <si>
    <t>2013</t>
  </si>
  <si>
    <t xml:space="preserve">                           Créances sur le Trésor</t>
  </si>
  <si>
    <t>2012 février</t>
  </si>
  <si>
    <t>2012 mars</t>
  </si>
  <si>
    <t>2012 avril</t>
  </si>
  <si>
    <t>2012 mai</t>
  </si>
  <si>
    <t>2012 juin</t>
  </si>
  <si>
    <t>2012 juillet</t>
  </si>
  <si>
    <t>2012 août</t>
  </si>
  <si>
    <t>2012 septembre</t>
  </si>
  <si>
    <t>Source : Compilé sur base des données des banques commerciales</t>
  </si>
  <si>
    <t>2012 novembre</t>
  </si>
  <si>
    <t>2012 décembre</t>
  </si>
  <si>
    <t>2014</t>
  </si>
  <si>
    <t>2013 février</t>
  </si>
  <si>
    <t>2013 mars</t>
  </si>
  <si>
    <t xml:space="preserve">          Juin</t>
  </si>
  <si>
    <t xml:space="preserve">         Septembre</t>
  </si>
  <si>
    <t xml:space="preserve">         Décembre</t>
  </si>
  <si>
    <t xml:space="preserve">2015 Mars </t>
  </si>
  <si>
    <t>2013 Avril</t>
  </si>
  <si>
    <t xml:space="preserve">          Mai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</si>
  <si>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</si>
  <si>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</si>
  <si>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</si>
  <si>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</si>
  <si>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</si>
  <si>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</si>
  <si>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>2014 Janvier</t>
  </si>
  <si>
    <t xml:space="preserve">          Février </t>
  </si>
  <si>
    <t xml:space="preserve">          Mars</t>
  </si>
  <si>
    <t xml:space="preserve">          Avril</t>
  </si>
  <si>
    <t>2015 Janvier</t>
  </si>
  <si>
    <t xml:space="preserve">2014 Mars </t>
  </si>
  <si>
    <t>2013 Mai</t>
  </si>
  <si>
    <t>2013 Juin</t>
  </si>
  <si>
    <t>2013 Juillet</t>
  </si>
  <si>
    <t>2013 Août</t>
  </si>
  <si>
    <t>2012 Septembre</t>
  </si>
  <si>
    <t>2013 Septembre</t>
  </si>
  <si>
    <t>2013 Octobre</t>
  </si>
  <si>
    <t>2013 Novembre</t>
  </si>
  <si>
    <t>microfinances</t>
  </si>
  <si>
    <t>2013 Décembre</t>
  </si>
  <si>
    <t>2012 Décembre</t>
  </si>
  <si>
    <t>2016 Janvier</t>
  </si>
  <si>
    <t>2015</t>
  </si>
  <si>
    <t>2014 Février</t>
  </si>
  <si>
    <t>2014 Mars</t>
  </si>
  <si>
    <t xml:space="preserve">2016 Mars </t>
  </si>
  <si>
    <t xml:space="preserve">2013 Mars </t>
  </si>
  <si>
    <t>2014 Avril</t>
  </si>
  <si>
    <t>2014 Mai</t>
  </si>
  <si>
    <t>2014  Juin</t>
  </si>
  <si>
    <t>SITUATION AGREGEE DES BANQUES COMMERCIALES</t>
  </si>
  <si>
    <t>2014 Août</t>
  </si>
  <si>
    <t>Juillet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</si>
</sst>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.0_)"/>
    <numFmt numFmtId="182" formatCode="0_)"/>
    <numFmt numFmtId="183" formatCode="0.0"/>
    <numFmt numFmtId="184" formatCode="#,##0.0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30" borderId="0" applyNumberFormat="0" applyBorder="0" applyAlignment="0" applyProtection="0"/>
    <xf numFmtId="9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3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4" xfId="0" applyFont="1" applyBorder="1" applyAlignment="1">
      <alignment/>
    </xf>
    <xf numFmtId="180" fontId="7" fillId="0" borderId="0" xfId="0" applyFont="1" applyBorder="1" applyAlignment="1">
      <alignment horizontal="centerContinuous"/>
    </xf>
    <xf numFmtId="180" fontId="8" fillId="0" borderId="14" xfId="0" applyNumberFormat="1" applyFont="1" applyBorder="1" applyAlignment="1" applyProtection="1">
      <alignment horizontal="centerContinuous"/>
      <protection/>
    </xf>
    <xf numFmtId="180" fontId="7" fillId="0" borderId="13" xfId="0" applyNumberFormat="1" applyFont="1" applyBorder="1" applyAlignment="1" applyProtection="1">
      <alignment horizontal="left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7" fillId="0" borderId="0" xfId="0" applyFont="1" applyBorder="1" applyAlignment="1">
      <alignment horizontal="left"/>
    </xf>
    <xf numFmtId="180" fontId="7" fillId="0" borderId="14" xfId="0" applyFont="1" applyBorder="1" applyAlignment="1">
      <alignment horizontal="left"/>
    </xf>
    <xf numFmtId="180" fontId="7" fillId="0" borderId="0" xfId="0" applyNumberFormat="1" applyFont="1" applyBorder="1" applyAlignment="1" applyProtection="1">
      <alignment horizontal="center"/>
      <protection/>
    </xf>
    <xf numFmtId="180" fontId="8" fillId="0" borderId="0" xfId="0" applyFont="1" applyBorder="1" applyAlignment="1">
      <alignment/>
    </xf>
    <xf numFmtId="180" fontId="7" fillId="0" borderId="13" xfId="0" applyNumberFormat="1" applyFont="1" applyBorder="1" applyAlignment="1" applyProtection="1">
      <alignment/>
      <protection/>
    </xf>
    <xf numFmtId="180" fontId="7" fillId="0" borderId="15" xfId="0" applyNumberFormat="1" applyFont="1" applyBorder="1" applyAlignment="1" applyProtection="1">
      <alignment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0" xfId="0" applyNumberFormat="1" applyFont="1" applyAlignment="1" applyProtection="1">
      <alignment horizontal="center"/>
      <protection/>
    </xf>
    <xf numFmtId="180" fontId="7" fillId="0" borderId="18" xfId="0" applyFont="1" applyBorder="1" applyAlignment="1">
      <alignment/>
    </xf>
    <xf numFmtId="181" fontId="7" fillId="0" borderId="18" xfId="0" applyNumberFormat="1" applyFont="1" applyBorder="1" applyAlignment="1" applyProtection="1">
      <alignment horizontal="right"/>
      <protection/>
    </xf>
    <xf numFmtId="181" fontId="7" fillId="0" borderId="18" xfId="0" applyNumberFormat="1" applyFont="1" applyBorder="1" applyAlignment="1" applyProtection="1">
      <alignment horizontal="left"/>
      <protection/>
    </xf>
    <xf numFmtId="180" fontId="7" fillId="0" borderId="0" xfId="0" applyFont="1" applyBorder="1" applyAlignment="1">
      <alignment horizontal="center"/>
    </xf>
    <xf numFmtId="180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0" fontId="7" fillId="0" borderId="13" xfId="0" applyNumberFormat="1" applyFont="1" applyBorder="1" applyAlignment="1" applyProtection="1">
      <alignment horizontal="center"/>
      <protection/>
    </xf>
    <xf numFmtId="181" fontId="7" fillId="0" borderId="18" xfId="0" applyNumberFormat="1" applyFont="1" applyBorder="1" applyAlignment="1" applyProtection="1">
      <alignment/>
      <protection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9" xfId="0" applyFont="1" applyBorder="1" applyAlignment="1">
      <alignment/>
    </xf>
    <xf numFmtId="181" fontId="7" fillId="0" borderId="19" xfId="0" applyNumberFormat="1" applyFont="1" applyBorder="1" applyAlignment="1" applyProtection="1">
      <alignment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1" fontId="7" fillId="0" borderId="0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fill"/>
      <protection/>
    </xf>
    <xf numFmtId="180" fontId="7" fillId="0" borderId="20" xfId="0" applyNumberFormat="1" applyFont="1" applyBorder="1" applyAlignment="1" applyProtection="1">
      <alignment horizontal="fill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2" fontId="7" fillId="0" borderId="19" xfId="0" applyNumberFormat="1" applyFont="1" applyBorder="1" applyAlignment="1" applyProtection="1">
      <alignment/>
      <protection/>
    </xf>
    <xf numFmtId="180" fontId="7" fillId="0" borderId="12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 horizontal="centerContinuous"/>
    </xf>
    <xf numFmtId="180" fontId="7" fillId="0" borderId="10" xfId="0" applyFont="1" applyBorder="1" applyAlignment="1">
      <alignment/>
    </xf>
    <xf numFmtId="180" fontId="7" fillId="0" borderId="14" xfId="0" applyFont="1" applyBorder="1" applyAlignment="1">
      <alignment horizontal="right"/>
    </xf>
    <xf numFmtId="180" fontId="7" fillId="0" borderId="0" xfId="0" applyFont="1" applyBorder="1" applyAlignment="1">
      <alignment horizontal="right"/>
    </xf>
    <xf numFmtId="180" fontId="7" fillId="0" borderId="18" xfId="0" applyFont="1" applyBorder="1" applyAlignment="1">
      <alignment horizontal="right"/>
    </xf>
    <xf numFmtId="180" fontId="7" fillId="0" borderId="13" xfId="0" applyFont="1" applyBorder="1" applyAlignment="1">
      <alignment horizontal="right"/>
    </xf>
    <xf numFmtId="180" fontId="7" fillId="0" borderId="18" xfId="0" applyNumberFormat="1" applyFont="1" applyBorder="1" applyAlignment="1" applyProtection="1">
      <alignment horizontal="right"/>
      <protection/>
    </xf>
    <xf numFmtId="180" fontId="7" fillId="0" borderId="0" xfId="0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0" fontId="7" fillId="0" borderId="18" xfId="0" applyFont="1" applyBorder="1" applyAlignment="1">
      <alignment horizontal="left"/>
    </xf>
    <xf numFmtId="180" fontId="7" fillId="0" borderId="13" xfId="0" applyNumberFormat="1" applyFont="1" applyBorder="1" applyAlignment="1" applyProtection="1">
      <alignment horizontal="right"/>
      <protection/>
    </xf>
    <xf numFmtId="180" fontId="7" fillId="33" borderId="18" xfId="0" applyFont="1" applyFill="1" applyBorder="1" applyAlignment="1">
      <alignment horizontal="left"/>
    </xf>
    <xf numFmtId="180" fontId="7" fillId="33" borderId="14" xfId="0" applyFont="1" applyFill="1" applyBorder="1" applyAlignment="1">
      <alignment horizontal="right"/>
    </xf>
    <xf numFmtId="180" fontId="7" fillId="33" borderId="0" xfId="0" applyFont="1" applyFill="1" applyBorder="1" applyAlignment="1">
      <alignment horizontal="right"/>
    </xf>
    <xf numFmtId="180" fontId="7" fillId="33" borderId="18" xfId="0" applyFont="1" applyFill="1" applyBorder="1" applyAlignment="1">
      <alignment horizontal="right"/>
    </xf>
    <xf numFmtId="180" fontId="7" fillId="33" borderId="13" xfId="0" applyFont="1" applyFill="1" applyBorder="1" applyAlignment="1">
      <alignment horizontal="right"/>
    </xf>
    <xf numFmtId="180" fontId="7" fillId="33" borderId="0" xfId="0" applyFont="1" applyFill="1" applyAlignment="1">
      <alignment/>
    </xf>
    <xf numFmtId="180" fontId="7" fillId="0" borderId="0" xfId="0" applyFont="1" applyAlignment="1">
      <alignment horizontal="fill"/>
    </xf>
    <xf numFmtId="184" fontId="7" fillId="0" borderId="0" xfId="0" applyNumberFormat="1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7" fillId="33" borderId="0" xfId="0" applyFont="1" applyFill="1" applyBorder="1" applyAlignment="1">
      <alignment/>
    </xf>
    <xf numFmtId="180" fontId="7" fillId="33" borderId="18" xfId="0" applyFont="1" applyFill="1" applyBorder="1" applyAlignment="1" quotePrefix="1">
      <alignment horizontal="right"/>
    </xf>
    <xf numFmtId="180" fontId="7" fillId="33" borderId="18" xfId="0" applyFont="1" applyFill="1" applyBorder="1" applyAlignment="1" quotePrefix="1">
      <alignment horizontal="left"/>
    </xf>
    <xf numFmtId="180" fontId="7" fillId="0" borderId="0" xfId="0" applyNumberFormat="1" applyFont="1" applyBorder="1" applyAlignment="1" applyProtection="1">
      <alignment/>
      <protection/>
    </xf>
    <xf numFmtId="180" fontId="7" fillId="0" borderId="0" xfId="0" applyFont="1" applyBorder="1" applyAlignment="1">
      <alignment/>
    </xf>
    <xf numFmtId="180" fontId="7" fillId="0" borderId="14" xfId="0" applyNumberFormat="1" applyFont="1" applyBorder="1" applyAlignment="1" applyProtection="1">
      <alignment/>
      <protection/>
    </xf>
    <xf numFmtId="180" fontId="7" fillId="33" borderId="18" xfId="0" applyFont="1" applyFill="1" applyBorder="1" applyAlignment="1">
      <alignment/>
    </xf>
    <xf numFmtId="180" fontId="7" fillId="33" borderId="18" xfId="0" applyFont="1" applyFill="1" applyBorder="1" applyAlignment="1" quotePrefix="1">
      <alignment horizontal="right"/>
    </xf>
    <xf numFmtId="180" fontId="7" fillId="0" borderId="15" xfId="0" applyFont="1" applyBorder="1" applyAlignment="1">
      <alignment/>
    </xf>
    <xf numFmtId="180" fontId="7" fillId="0" borderId="16" xfId="0" applyFont="1" applyBorder="1" applyAlignment="1">
      <alignment/>
    </xf>
    <xf numFmtId="180" fontId="7" fillId="0" borderId="17" xfId="0" applyFont="1" applyBorder="1" applyAlignment="1">
      <alignment/>
    </xf>
    <xf numFmtId="180" fontId="7" fillId="0" borderId="19" xfId="0" applyFont="1" applyBorder="1" applyAlignment="1">
      <alignment horizontal="centerContinuous"/>
    </xf>
    <xf numFmtId="180" fontId="7" fillId="33" borderId="18" xfId="0" applyFont="1" applyFill="1" applyBorder="1" applyAlignment="1" quotePrefix="1">
      <alignment horizontal="right"/>
    </xf>
    <xf numFmtId="180" fontId="43" fillId="0" borderId="0" xfId="0" applyFont="1" applyAlignment="1">
      <alignment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28575</xdr:rowOff>
    </xdr:from>
    <xdr:to>
      <xdr:col>1</xdr:col>
      <xdr:colOff>0</xdr:colOff>
      <xdr:row>17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050" y="1857375"/>
          <a:ext cx="166687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163"/>
  <sheetViews>
    <sheetView showGridLines="0" tabSelected="1" view="pageBreakPreview" zoomScale="60" zoomScalePageLayoutView="0" workbookViewId="0" topLeftCell="A4">
      <pane xSplit="1" ySplit="15" topLeftCell="N24" activePane="bottomRight" state="frozen"/>
      <selection pane="topLeft" activeCell="A4" sqref="A4"/>
      <selection pane="topRight" activeCell="B4" sqref="B4"/>
      <selection pane="bottomLeft" activeCell="A19" sqref="A19"/>
      <selection pane="bottomRight" activeCell="W157" sqref="W157"/>
    </sheetView>
  </sheetViews>
  <sheetFormatPr defaultColWidth="8.88671875" defaultRowHeight="15.75"/>
  <cols>
    <col min="1" max="1" width="19.6640625" style="4" customWidth="1"/>
    <col min="2" max="2" width="8.77734375" style="4" customWidth="1"/>
    <col min="3" max="3" width="10.4453125" style="4" customWidth="1"/>
    <col min="4" max="4" width="12.77734375" style="4" hidden="1" customWidth="1"/>
    <col min="5" max="5" width="9.77734375" style="4" customWidth="1"/>
    <col min="6" max="6" width="10.77734375" style="4" hidden="1" customWidth="1"/>
    <col min="7" max="7" width="10.77734375" style="4" customWidth="1"/>
    <col min="8" max="8" width="7.77734375" style="4" hidden="1" customWidth="1"/>
    <col min="9" max="9" width="10.77734375" style="4" customWidth="1"/>
    <col min="10" max="10" width="11.88671875" style="4" customWidth="1"/>
    <col min="11" max="12" width="10.77734375" style="4" hidden="1" customWidth="1"/>
    <col min="13" max="13" width="10.77734375" style="4" customWidth="1"/>
    <col min="14" max="15" width="12.5546875" style="4" customWidth="1"/>
    <col min="16" max="16" width="14.10546875" style="4" customWidth="1"/>
    <col min="17" max="22" width="10.77734375" style="4" customWidth="1"/>
    <col min="23" max="23" width="22.99609375" style="4" customWidth="1"/>
    <col min="24" max="16384" width="8.88671875" style="4" customWidth="1"/>
  </cols>
  <sheetData>
    <row r="1" spans="1:21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21" ht="12.75">
      <c r="A2" s="5"/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21" ht="19.5" customHeight="1">
      <c r="A3" s="5"/>
      <c r="B3" s="6"/>
      <c r="C3" s="6"/>
      <c r="D3" s="6"/>
      <c r="E3" s="7"/>
      <c r="F3" s="6"/>
      <c r="G3" s="6"/>
      <c r="H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10" t="s">
        <v>1</v>
      </c>
    </row>
    <row r="4" spans="1:21" ht="19.5" customHeight="1">
      <c r="A4" s="5"/>
      <c r="B4" s="6"/>
      <c r="C4" s="6"/>
      <c r="D4" s="6"/>
      <c r="E4" s="7"/>
      <c r="F4" s="6"/>
      <c r="G4" s="6"/>
      <c r="H4" s="6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/>
    </row>
    <row r="5" spans="1:21" ht="12.75">
      <c r="A5" s="11" t="s">
        <v>0</v>
      </c>
      <c r="B5" s="12" t="s">
        <v>2</v>
      </c>
      <c r="C5" s="7"/>
      <c r="D5" s="6"/>
      <c r="E5" s="6"/>
      <c r="F5" s="7" t="s">
        <v>48</v>
      </c>
      <c r="G5" s="7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</row>
    <row r="6" spans="1:21" ht="15.75" customHeight="1">
      <c r="A6" s="77" t="s">
        <v>161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9"/>
    </row>
    <row r="7" spans="1:21" ht="12.75">
      <c r="A7" s="80" t="s">
        <v>77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2"/>
    </row>
    <row r="8" spans="1:21" ht="12.75">
      <c r="A8" s="5"/>
      <c r="B8" s="15"/>
      <c r="C8" s="6"/>
      <c r="D8" s="1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8"/>
    </row>
    <row r="9" spans="1:21" ht="12.75">
      <c r="A9" s="17"/>
      <c r="B9" s="15" t="s"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8"/>
    </row>
    <row r="10" spans="1:23" ht="12.75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1"/>
      <c r="V10" s="22"/>
      <c r="W10" s="22"/>
    </row>
    <row r="11" spans="1:21" ht="12.75">
      <c r="A11" s="5"/>
      <c r="B11" s="23"/>
      <c r="C11" s="23"/>
      <c r="D11" s="6"/>
      <c r="E11" s="6"/>
      <c r="F11" s="6"/>
      <c r="G11" s="6"/>
      <c r="H11" s="6"/>
      <c r="I11" s="8"/>
      <c r="J11" s="32"/>
      <c r="K11" s="23"/>
      <c r="L11" s="6"/>
      <c r="M11" s="6"/>
      <c r="N11" s="23"/>
      <c r="O11" s="6"/>
      <c r="P11" s="74"/>
      <c r="Q11" s="5"/>
      <c r="R11" s="5"/>
      <c r="S11" s="23"/>
      <c r="T11" s="6"/>
      <c r="U11" s="23"/>
    </row>
    <row r="12" spans="1:21" ht="15.75" customHeight="1">
      <c r="A12" s="5" t="s">
        <v>44</v>
      </c>
      <c r="B12" s="24" t="s">
        <v>3</v>
      </c>
      <c r="C12" s="25" t="s">
        <v>4</v>
      </c>
      <c r="D12" s="26"/>
      <c r="E12" s="66" t="s">
        <v>108</v>
      </c>
      <c r="F12" s="67"/>
      <c r="G12" s="67"/>
      <c r="H12" s="67"/>
      <c r="I12" s="68"/>
      <c r="J12" s="27" t="s">
        <v>5</v>
      </c>
      <c r="K12" s="27" t="s">
        <v>5</v>
      </c>
      <c r="L12" s="27" t="s">
        <v>5</v>
      </c>
      <c r="M12" s="15" t="s">
        <v>57</v>
      </c>
      <c r="N12" s="28" t="s">
        <v>5</v>
      </c>
      <c r="O12" s="28" t="s">
        <v>5</v>
      </c>
      <c r="P12" s="27" t="s">
        <v>7</v>
      </c>
      <c r="Q12" s="29" t="s">
        <v>8</v>
      </c>
      <c r="R12" s="27" t="s">
        <v>6</v>
      </c>
      <c r="S12" s="28"/>
      <c r="T12" s="15" t="s">
        <v>9</v>
      </c>
      <c r="U12" s="28" t="s">
        <v>10</v>
      </c>
    </row>
    <row r="13" spans="1:21" ht="12.75">
      <c r="A13" s="5"/>
      <c r="B13" s="23"/>
      <c r="C13" s="25" t="s">
        <v>11</v>
      </c>
      <c r="D13" s="20"/>
      <c r="E13" s="20"/>
      <c r="F13" s="20"/>
      <c r="G13" s="20"/>
      <c r="H13" s="20"/>
      <c r="I13" s="21"/>
      <c r="J13" s="27" t="s">
        <v>12</v>
      </c>
      <c r="K13" s="27" t="s">
        <v>12</v>
      </c>
      <c r="L13" s="27" t="s">
        <v>12</v>
      </c>
      <c r="M13" s="15" t="s">
        <v>58</v>
      </c>
      <c r="N13" s="28" t="s">
        <v>14</v>
      </c>
      <c r="O13" s="28" t="s">
        <v>14</v>
      </c>
      <c r="P13" s="27" t="s">
        <v>15</v>
      </c>
      <c r="Q13" s="29" t="s">
        <v>16</v>
      </c>
      <c r="R13" s="27" t="s">
        <v>13</v>
      </c>
      <c r="S13" s="28" t="s">
        <v>56</v>
      </c>
      <c r="T13" s="15" t="s">
        <v>17</v>
      </c>
      <c r="U13" s="28" t="s">
        <v>2</v>
      </c>
    </row>
    <row r="14" spans="1:22" ht="12.75">
      <c r="A14" s="5"/>
      <c r="B14" s="30"/>
      <c r="C14" s="31" t="s">
        <v>18</v>
      </c>
      <c r="D14" s="32"/>
      <c r="E14" s="33"/>
      <c r="F14" s="34" t="s">
        <v>19</v>
      </c>
      <c r="G14" s="34"/>
      <c r="H14" s="35" t="s">
        <v>20</v>
      </c>
      <c r="I14" s="34"/>
      <c r="J14" s="27" t="s">
        <v>21</v>
      </c>
      <c r="K14" s="27" t="s">
        <v>21</v>
      </c>
      <c r="L14" s="27" t="s">
        <v>21</v>
      </c>
      <c r="M14" s="7"/>
      <c r="N14" s="28" t="s">
        <v>23</v>
      </c>
      <c r="O14" s="28" t="s">
        <v>149</v>
      </c>
      <c r="P14" s="27" t="s">
        <v>24</v>
      </c>
      <c r="Q14" s="29" t="s">
        <v>25</v>
      </c>
      <c r="R14" s="27" t="s">
        <v>22</v>
      </c>
      <c r="S14" s="31"/>
      <c r="T14" s="6"/>
      <c r="U14" s="23"/>
      <c r="V14" s="36"/>
    </row>
    <row r="15" spans="1:22" ht="12.75">
      <c r="A15" s="5"/>
      <c r="B15" s="23"/>
      <c r="C15" s="23"/>
      <c r="D15" s="28" t="s">
        <v>26</v>
      </c>
      <c r="E15" s="25" t="s">
        <v>27</v>
      </c>
      <c r="F15" s="28" t="s">
        <v>28</v>
      </c>
      <c r="G15" s="25" t="s">
        <v>59</v>
      </c>
      <c r="H15" s="7" t="s">
        <v>43</v>
      </c>
      <c r="I15" s="28" t="s">
        <v>37</v>
      </c>
      <c r="J15" s="27" t="s">
        <v>29</v>
      </c>
      <c r="K15" s="27" t="s">
        <v>29</v>
      </c>
      <c r="L15" s="27" t="s">
        <v>29</v>
      </c>
      <c r="M15" s="7"/>
      <c r="N15" s="28" t="s">
        <v>31</v>
      </c>
      <c r="O15" s="28"/>
      <c r="P15" s="27" t="s">
        <v>32</v>
      </c>
      <c r="Q15" s="29" t="s">
        <v>33</v>
      </c>
      <c r="R15" s="27" t="s">
        <v>30</v>
      </c>
      <c r="S15" s="31"/>
      <c r="T15" s="6"/>
      <c r="U15" s="23"/>
      <c r="V15" s="36"/>
    </row>
    <row r="16" spans="1:21" ht="12.75">
      <c r="A16" s="5"/>
      <c r="B16" s="30"/>
      <c r="C16" s="30"/>
      <c r="D16" s="28" t="s">
        <v>34</v>
      </c>
      <c r="E16" s="31" t="s">
        <v>34</v>
      </c>
      <c r="F16" s="28" t="s">
        <v>35</v>
      </c>
      <c r="G16" s="28" t="s">
        <v>34</v>
      </c>
      <c r="H16" s="15" t="s">
        <v>36</v>
      </c>
      <c r="I16" s="23"/>
      <c r="J16" s="27" t="s">
        <v>38</v>
      </c>
      <c r="K16" s="27" t="s">
        <v>38</v>
      </c>
      <c r="L16" s="27" t="s">
        <v>38</v>
      </c>
      <c r="M16" s="7"/>
      <c r="N16" s="23"/>
      <c r="O16" s="6"/>
      <c r="P16" s="27" t="s">
        <v>40</v>
      </c>
      <c r="Q16" s="5"/>
      <c r="R16" s="27" t="s">
        <v>39</v>
      </c>
      <c r="S16" s="23"/>
      <c r="T16" s="6"/>
      <c r="U16" s="23"/>
    </row>
    <row r="17" spans="1:21" ht="12.75">
      <c r="A17" s="5" t="s">
        <v>45</v>
      </c>
      <c r="B17" s="23"/>
      <c r="C17" s="23"/>
      <c r="D17" s="23"/>
      <c r="E17" s="23"/>
      <c r="F17" s="28" t="s">
        <v>0</v>
      </c>
      <c r="G17" s="28"/>
      <c r="H17" s="6"/>
      <c r="I17" s="23"/>
      <c r="J17" s="23"/>
      <c r="K17" s="23"/>
      <c r="L17" s="6"/>
      <c r="M17" s="6"/>
      <c r="N17" s="23"/>
      <c r="O17" s="6"/>
      <c r="P17" s="23"/>
      <c r="Q17" s="5"/>
      <c r="R17" s="5"/>
      <c r="S17" s="23"/>
      <c r="T17" s="6"/>
      <c r="U17" s="23"/>
    </row>
    <row r="18" spans="1:22" ht="12.75">
      <c r="A18" s="37"/>
      <c r="B18" s="38"/>
      <c r="C18" s="38"/>
      <c r="D18" s="38"/>
      <c r="E18" s="38"/>
      <c r="F18" s="38"/>
      <c r="G18" s="38"/>
      <c r="H18" s="20"/>
      <c r="I18" s="38"/>
      <c r="J18" s="38"/>
      <c r="K18" s="38"/>
      <c r="L18" s="20"/>
      <c r="M18" s="20"/>
      <c r="N18" s="38"/>
      <c r="O18" s="20"/>
      <c r="P18" s="38"/>
      <c r="Q18" s="39"/>
      <c r="R18" s="39"/>
      <c r="S18" s="38"/>
      <c r="T18" s="20"/>
      <c r="U18" s="38"/>
      <c r="V18" s="22"/>
    </row>
    <row r="19" spans="1:22" ht="12.75">
      <c r="A19" s="40"/>
      <c r="B19" s="41"/>
      <c r="C19" s="32"/>
      <c r="D19" s="32"/>
      <c r="E19" s="43"/>
      <c r="F19" s="44"/>
      <c r="G19" s="32"/>
      <c r="H19" s="42"/>
      <c r="I19" s="32"/>
      <c r="J19" s="42"/>
      <c r="K19" s="32"/>
      <c r="L19" s="32"/>
      <c r="M19" s="32"/>
      <c r="N19" s="32"/>
      <c r="O19" s="32"/>
      <c r="P19" s="32"/>
      <c r="Q19" s="42"/>
      <c r="R19" s="32"/>
      <c r="S19" s="32"/>
      <c r="T19" s="41"/>
      <c r="U19" s="32"/>
      <c r="V19" s="36"/>
    </row>
    <row r="20" spans="1:21" ht="12.75" hidden="1">
      <c r="A20" s="51" t="s">
        <v>61</v>
      </c>
      <c r="B20" s="45">
        <v>38257.899999999994</v>
      </c>
      <c r="C20" s="47">
        <v>125768.90000000001</v>
      </c>
      <c r="D20" s="47" t="s">
        <v>41</v>
      </c>
      <c r="E20" s="45">
        <v>51000</v>
      </c>
      <c r="F20" s="48"/>
      <c r="G20" s="47">
        <v>7561.000000000001</v>
      </c>
      <c r="H20" s="46" t="s">
        <v>41</v>
      </c>
      <c r="I20" s="49">
        <v>58561</v>
      </c>
      <c r="J20" s="46">
        <v>1707.3000000000002</v>
      </c>
      <c r="K20" s="47" t="s">
        <v>41</v>
      </c>
      <c r="L20" s="47" t="s">
        <v>41</v>
      </c>
      <c r="M20" s="47">
        <v>12000</v>
      </c>
      <c r="N20" s="23">
        <v>143.8</v>
      </c>
      <c r="O20" s="23"/>
      <c r="P20" s="47">
        <v>21902.199999999997</v>
      </c>
      <c r="Q20" s="46">
        <v>245161.1</v>
      </c>
      <c r="R20" s="47">
        <v>120.8</v>
      </c>
      <c r="S20" s="47">
        <v>98.2</v>
      </c>
      <c r="T20" s="45">
        <v>58408.4</v>
      </c>
      <c r="U20" s="49">
        <v>562129.6</v>
      </c>
    </row>
    <row r="21" spans="1:21" ht="12.75" hidden="1">
      <c r="A21" s="51" t="s">
        <v>64</v>
      </c>
      <c r="B21" s="45">
        <v>68591.90000000001</v>
      </c>
      <c r="C21" s="47">
        <v>155769.00000000003</v>
      </c>
      <c r="D21" s="47" t="s">
        <v>41</v>
      </c>
      <c r="E21" s="45">
        <v>58200</v>
      </c>
      <c r="F21" s="48"/>
      <c r="G21" s="47">
        <v>7161.000000000001</v>
      </c>
      <c r="H21" s="46" t="s">
        <v>41</v>
      </c>
      <c r="I21" s="49">
        <v>65361</v>
      </c>
      <c r="J21" s="46">
        <v>757.4</v>
      </c>
      <c r="K21" s="47" t="s">
        <v>41</v>
      </c>
      <c r="L21" s="47" t="s">
        <v>41</v>
      </c>
      <c r="M21" s="47">
        <v>10000</v>
      </c>
      <c r="N21" s="23">
        <v>143.8</v>
      </c>
      <c r="O21" s="23"/>
      <c r="P21" s="47">
        <v>8420.7</v>
      </c>
      <c r="Q21" s="46">
        <v>303472.6</v>
      </c>
      <c r="R21" s="47">
        <v>497.1</v>
      </c>
      <c r="S21" s="47">
        <v>2391.7</v>
      </c>
      <c r="T21" s="45">
        <v>73905.5</v>
      </c>
      <c r="U21" s="49">
        <v>689310.7</v>
      </c>
    </row>
    <row r="22" spans="1:21" ht="12.75" hidden="1">
      <c r="A22" s="51" t="s">
        <v>76</v>
      </c>
      <c r="B22" s="45">
        <v>64325.80000000001</v>
      </c>
      <c r="C22" s="47">
        <v>162923</v>
      </c>
      <c r="D22" s="47" t="s">
        <v>41</v>
      </c>
      <c r="E22" s="45">
        <v>92120.1</v>
      </c>
      <c r="F22" s="48"/>
      <c r="G22" s="47">
        <v>16984.399999999998</v>
      </c>
      <c r="H22" s="46" t="s">
        <v>41</v>
      </c>
      <c r="I22" s="49">
        <v>109104.5</v>
      </c>
      <c r="J22" s="46">
        <v>278.5</v>
      </c>
      <c r="K22" s="47" t="s">
        <v>41</v>
      </c>
      <c r="L22" s="47" t="s">
        <v>41</v>
      </c>
      <c r="M22" s="47">
        <v>6000</v>
      </c>
      <c r="N22" s="23">
        <v>143.8</v>
      </c>
      <c r="O22" s="47" t="s">
        <v>41</v>
      </c>
      <c r="P22" s="47">
        <v>8662.2</v>
      </c>
      <c r="Q22" s="46">
        <v>394556.39999999997</v>
      </c>
      <c r="R22" s="47">
        <v>599.4</v>
      </c>
      <c r="S22" s="47">
        <v>2295.6</v>
      </c>
      <c r="T22" s="45">
        <v>91657.7</v>
      </c>
      <c r="U22" s="49">
        <v>840546.8999999999</v>
      </c>
    </row>
    <row r="23" spans="1:23" ht="12.75">
      <c r="A23" s="51" t="s">
        <v>91</v>
      </c>
      <c r="B23" s="55">
        <v>42442.4</v>
      </c>
      <c r="C23" s="57">
        <v>173267.6</v>
      </c>
      <c r="D23" s="57" t="s">
        <v>41</v>
      </c>
      <c r="E23" s="55">
        <v>67500</v>
      </c>
      <c r="F23" s="58"/>
      <c r="G23" s="57">
        <v>16984.399999999998</v>
      </c>
      <c r="H23" s="56" t="s">
        <v>41</v>
      </c>
      <c r="I23" s="62">
        <v>84484.4</v>
      </c>
      <c r="J23" s="56">
        <v>703.9</v>
      </c>
      <c r="K23" s="57" t="s">
        <v>41</v>
      </c>
      <c r="L23" s="57"/>
      <c r="M23" s="64" t="s">
        <v>41</v>
      </c>
      <c r="N23" s="69">
        <v>149.60000000000002</v>
      </c>
      <c r="O23" s="47" t="s">
        <v>41</v>
      </c>
      <c r="P23" s="57">
        <v>3989.9000000000005</v>
      </c>
      <c r="Q23" s="56">
        <v>535251.2000000001</v>
      </c>
      <c r="R23" s="57">
        <v>1021.9</v>
      </c>
      <c r="S23" s="57">
        <v>1772.2</v>
      </c>
      <c r="T23" s="55">
        <v>93665.1</v>
      </c>
      <c r="U23" s="49">
        <v>936748.2000000001</v>
      </c>
      <c r="V23" s="50"/>
      <c r="W23" s="6"/>
    </row>
    <row r="24" spans="1:23" ht="12.75">
      <c r="A24" s="51" t="s">
        <v>104</v>
      </c>
      <c r="B24" s="55">
        <v>70772.4</v>
      </c>
      <c r="C24" s="57">
        <v>192680.5</v>
      </c>
      <c r="D24" s="57"/>
      <c r="E24" s="55">
        <v>40889.1</v>
      </c>
      <c r="F24" s="58"/>
      <c r="G24" s="57">
        <v>8135.200000000001</v>
      </c>
      <c r="H24" s="56"/>
      <c r="I24" s="62">
        <v>49024.3</v>
      </c>
      <c r="J24" s="56">
        <v>2705.2</v>
      </c>
      <c r="K24" s="57"/>
      <c r="L24" s="57"/>
      <c r="M24" s="57">
        <v>6800</v>
      </c>
      <c r="N24" s="69">
        <v>143.8</v>
      </c>
      <c r="O24" s="47" t="s">
        <v>41</v>
      </c>
      <c r="P24" s="57">
        <v>6830.799999999999</v>
      </c>
      <c r="Q24" s="56">
        <v>607741.7</v>
      </c>
      <c r="R24" s="57">
        <v>1057.8999999999999</v>
      </c>
      <c r="S24" s="57">
        <v>2595.5</v>
      </c>
      <c r="T24" s="55">
        <v>104332</v>
      </c>
      <c r="U24" s="49">
        <v>1044684.1</v>
      </c>
      <c r="V24" s="50"/>
      <c r="W24" s="6"/>
    </row>
    <row r="25" spans="1:23" ht="12.75">
      <c r="A25" s="65" t="s">
        <v>107</v>
      </c>
      <c r="B25" s="45">
        <v>107189</v>
      </c>
      <c r="C25" s="47">
        <v>201411.19999999998</v>
      </c>
      <c r="D25" s="47"/>
      <c r="E25" s="45">
        <v>77019.90000000001</v>
      </c>
      <c r="F25" s="48"/>
      <c r="G25" s="47">
        <v>32000</v>
      </c>
      <c r="H25" s="46"/>
      <c r="I25" s="49">
        <f>SUM(D25:H25)</f>
        <v>109019.90000000001</v>
      </c>
      <c r="J25" s="46">
        <v>539.1</v>
      </c>
      <c r="K25" s="47"/>
      <c r="L25" s="47"/>
      <c r="M25" s="64" t="s">
        <v>41</v>
      </c>
      <c r="N25" s="23">
        <v>143.8</v>
      </c>
      <c r="O25" s="47" t="s">
        <v>41</v>
      </c>
      <c r="P25" s="47">
        <v>8510.400000000001</v>
      </c>
      <c r="Q25" s="46">
        <v>645360.8999999998</v>
      </c>
      <c r="R25" s="47">
        <v>2469.2</v>
      </c>
      <c r="S25" s="47">
        <v>6264.200000000001</v>
      </c>
      <c r="T25" s="45">
        <v>137109.09999999998</v>
      </c>
      <c r="U25" s="49">
        <f>SUM(B25:C25,I25:T25)</f>
        <v>1218016.7999999998</v>
      </c>
      <c r="V25" s="50"/>
      <c r="W25" s="6"/>
    </row>
    <row r="26" spans="1:23" ht="12.75">
      <c r="A26" s="65" t="s">
        <v>120</v>
      </c>
      <c r="B26" s="45">
        <v>146489.8</v>
      </c>
      <c r="C26" s="47">
        <f>199504.4+96.8</f>
        <v>199601.19999999998</v>
      </c>
      <c r="D26" s="47"/>
      <c r="E26" s="45">
        <v>87718.9</v>
      </c>
      <c r="F26" s="48"/>
      <c r="G26" s="47">
        <v>59983.8</v>
      </c>
      <c r="H26" s="46"/>
      <c r="I26" s="49">
        <f>SUM(D26:H26)</f>
        <v>147702.7</v>
      </c>
      <c r="J26" s="46">
        <v>34633.2</v>
      </c>
      <c r="K26" s="47"/>
      <c r="L26" s="47"/>
      <c r="M26" s="70" t="s">
        <v>41</v>
      </c>
      <c r="N26" s="23">
        <f>143.8</f>
        <v>143.8</v>
      </c>
      <c r="O26" s="47" t="s">
        <v>41</v>
      </c>
      <c r="P26" s="23">
        <f>10504.7+47.9+267.9</f>
        <v>10820.5</v>
      </c>
      <c r="Q26" s="46">
        <f>668889.5+31419.4+570.5+35.2+74.3+558.9+1092.8</f>
        <v>702640.6000000001</v>
      </c>
      <c r="R26" s="47">
        <f>3360.8+88.5</f>
        <v>3449.3</v>
      </c>
      <c r="S26" s="47">
        <v>12380.1</v>
      </c>
      <c r="T26" s="45">
        <f>144894.8-2117.6</f>
        <v>142777.19999999998</v>
      </c>
      <c r="U26" s="49">
        <f>SUM(B26:C26,I26:T26)</f>
        <v>1400638.4000000004</v>
      </c>
      <c r="W26" s="6"/>
    </row>
    <row r="27" spans="1:23" ht="12.75">
      <c r="A27" s="65" t="s">
        <v>153</v>
      </c>
      <c r="B27" s="45">
        <v>109484.1</v>
      </c>
      <c r="C27" s="47">
        <f>206772.7+96.8</f>
        <v>206869.5</v>
      </c>
      <c r="D27" s="47"/>
      <c r="E27" s="45">
        <v>175202.1</v>
      </c>
      <c r="F27" s="48"/>
      <c r="G27" s="47">
        <v>78586</v>
      </c>
      <c r="H27" s="46"/>
      <c r="I27" s="49">
        <f>SUM(D27:H27)</f>
        <v>253788.1</v>
      </c>
      <c r="J27" s="46">
        <f>35308+11.3</f>
        <v>35319.3</v>
      </c>
      <c r="K27" s="47"/>
      <c r="L27" s="47"/>
      <c r="M27" s="70" t="s">
        <v>41</v>
      </c>
      <c r="N27" s="23">
        <v>143.9</v>
      </c>
      <c r="O27" s="47">
        <v>15884.7</v>
      </c>
      <c r="P27" s="23">
        <f>6399+112+0.8</f>
        <v>6511.8</v>
      </c>
      <c r="Q27" s="46">
        <f>672341.6+402.2+259.7+183.7+559.4</f>
        <v>673746.5999999999</v>
      </c>
      <c r="R27" s="47">
        <f>25.6+1.5</f>
        <v>27.1</v>
      </c>
      <c r="S27" s="47" t="s">
        <v>41</v>
      </c>
      <c r="T27" s="45">
        <f>140784-1016.7</f>
        <v>139767.3</v>
      </c>
      <c r="U27" s="49">
        <f>SUM(B27:C27,I27:T27)</f>
        <v>1441542.4000000001</v>
      </c>
      <c r="W27" s="6"/>
    </row>
    <row r="28" spans="1:21" ht="12.75" hidden="1">
      <c r="A28" s="52"/>
      <c r="B28" s="45"/>
      <c r="C28" s="47"/>
      <c r="D28" s="47"/>
      <c r="E28" s="45"/>
      <c r="F28" s="48"/>
      <c r="G28" s="47"/>
      <c r="H28" s="46"/>
      <c r="I28" s="70"/>
      <c r="J28" s="46"/>
      <c r="K28" s="47"/>
      <c r="L28" s="47"/>
      <c r="M28" s="47"/>
      <c r="N28" s="23"/>
      <c r="O28" s="47"/>
      <c r="P28" s="47"/>
      <c r="Q28" s="46"/>
      <c r="R28" s="47"/>
      <c r="S28" s="47"/>
      <c r="T28" s="45"/>
      <c r="U28" s="49"/>
    </row>
    <row r="29" spans="1:21" ht="12.75">
      <c r="A29" s="52"/>
      <c r="B29" s="45"/>
      <c r="C29" s="47"/>
      <c r="D29" s="47"/>
      <c r="E29" s="45"/>
      <c r="F29" s="48"/>
      <c r="G29" s="47"/>
      <c r="H29" s="46"/>
      <c r="I29" s="70"/>
      <c r="J29" s="46"/>
      <c r="K29" s="47"/>
      <c r="L29" s="47"/>
      <c r="M29" s="47"/>
      <c r="N29" s="23"/>
      <c r="O29" s="47"/>
      <c r="P29" s="47"/>
      <c r="Q29" s="46"/>
      <c r="R29" s="47"/>
      <c r="S29" s="47"/>
      <c r="T29" s="45"/>
      <c r="U29" s="49"/>
    </row>
    <row r="30" spans="1:21" ht="12.75">
      <c r="A30" s="52"/>
      <c r="B30" s="45"/>
      <c r="C30" s="47"/>
      <c r="D30" s="47"/>
      <c r="E30" s="45"/>
      <c r="F30" s="48"/>
      <c r="G30" s="47"/>
      <c r="H30" s="46"/>
      <c r="I30" s="75"/>
      <c r="J30" s="46"/>
      <c r="K30" s="47"/>
      <c r="L30" s="47"/>
      <c r="M30" s="47"/>
      <c r="N30" s="23"/>
      <c r="O30" s="47"/>
      <c r="P30" s="47"/>
      <c r="Q30" s="46"/>
      <c r="R30" s="47"/>
      <c r="S30" s="47"/>
      <c r="T30" s="45"/>
      <c r="U30" s="49"/>
    </row>
    <row r="31" spans="1:23" ht="12.75">
      <c r="A31" s="52"/>
      <c r="B31" s="45"/>
      <c r="C31" s="47"/>
      <c r="D31" s="47"/>
      <c r="E31" s="45"/>
      <c r="F31" s="48"/>
      <c r="G31" s="47"/>
      <c r="H31" s="46"/>
      <c r="I31" s="49"/>
      <c r="J31" s="46"/>
      <c r="K31" s="47"/>
      <c r="L31" s="47"/>
      <c r="M31" s="47"/>
      <c r="N31" s="23"/>
      <c r="O31" s="47"/>
      <c r="P31" s="47"/>
      <c r="Q31" s="46"/>
      <c r="R31" s="47"/>
      <c r="S31" s="47"/>
      <c r="T31" s="45"/>
      <c r="U31" s="49"/>
      <c r="V31" s="50"/>
      <c r="W31" s="6"/>
    </row>
    <row r="32" spans="1:23" ht="12.75" hidden="1">
      <c r="A32" s="52" t="s">
        <v>145</v>
      </c>
      <c r="B32" s="55">
        <v>53964.8</v>
      </c>
      <c r="C32" s="57">
        <v>166098.7</v>
      </c>
      <c r="D32" s="57" t="s">
        <v>41</v>
      </c>
      <c r="E32" s="55">
        <v>30031.6</v>
      </c>
      <c r="F32" s="58"/>
      <c r="G32" s="57">
        <v>8135.200000000001</v>
      </c>
      <c r="H32" s="56" t="s">
        <v>41</v>
      </c>
      <c r="I32" s="62">
        <v>38166.8</v>
      </c>
      <c r="J32" s="56">
        <v>1624.9</v>
      </c>
      <c r="K32" s="57" t="s">
        <v>41</v>
      </c>
      <c r="L32" s="57" t="s">
        <v>41</v>
      </c>
      <c r="M32" s="64" t="s">
        <v>41</v>
      </c>
      <c r="N32" s="69">
        <v>143.8</v>
      </c>
      <c r="O32" s="47" t="s">
        <v>41</v>
      </c>
      <c r="P32" s="57">
        <v>11946.1</v>
      </c>
      <c r="Q32" s="56">
        <v>609515.3</v>
      </c>
      <c r="R32" s="57">
        <v>1059.5</v>
      </c>
      <c r="S32" s="57">
        <v>1351.6000000000001</v>
      </c>
      <c r="T32" s="55">
        <v>104052.1</v>
      </c>
      <c r="U32" s="49">
        <v>987923.6</v>
      </c>
      <c r="V32" s="50"/>
      <c r="W32" s="6"/>
    </row>
    <row r="33" spans="1:23" ht="12.75" hidden="1">
      <c r="A33" s="52" t="s">
        <v>151</v>
      </c>
      <c r="B33" s="55">
        <v>70772.4</v>
      </c>
      <c r="C33" s="57">
        <v>192680.5</v>
      </c>
      <c r="D33" s="57"/>
      <c r="E33" s="55">
        <v>40889.1</v>
      </c>
      <c r="F33" s="58"/>
      <c r="G33" s="57">
        <v>8135.200000000001</v>
      </c>
      <c r="H33" s="56"/>
      <c r="I33" s="62">
        <v>49024.3</v>
      </c>
      <c r="J33" s="56">
        <v>2705.2</v>
      </c>
      <c r="K33" s="57"/>
      <c r="L33" s="57"/>
      <c r="M33" s="57">
        <v>6800</v>
      </c>
      <c r="N33" s="69">
        <v>143.8</v>
      </c>
      <c r="O33" s="47" t="s">
        <v>41</v>
      </c>
      <c r="P33" s="57">
        <v>6830.799999999999</v>
      </c>
      <c r="Q33" s="56">
        <v>607741.7</v>
      </c>
      <c r="R33" s="57">
        <v>1057.8999999999999</v>
      </c>
      <c r="S33" s="57">
        <v>2595.5</v>
      </c>
      <c r="T33" s="55">
        <v>104332</v>
      </c>
      <c r="U33" s="49">
        <v>1044684.1</v>
      </c>
      <c r="V33" s="50"/>
      <c r="W33" s="6"/>
    </row>
    <row r="34" spans="1:23" ht="12.75" hidden="1">
      <c r="A34" s="52" t="s">
        <v>157</v>
      </c>
      <c r="B34" s="45">
        <v>70940.20000000001</v>
      </c>
      <c r="C34" s="47">
        <v>213236.8</v>
      </c>
      <c r="D34" s="47"/>
      <c r="E34" s="45">
        <v>45604.7</v>
      </c>
      <c r="F34" s="48"/>
      <c r="G34" s="47">
        <v>1729.7</v>
      </c>
      <c r="H34" s="46"/>
      <c r="I34" s="49">
        <v>47334.399999999994</v>
      </c>
      <c r="J34" s="46">
        <v>3984.4</v>
      </c>
      <c r="K34" s="47"/>
      <c r="L34" s="47"/>
      <c r="M34" s="75" t="s">
        <v>41</v>
      </c>
      <c r="N34" s="23">
        <v>143.8</v>
      </c>
      <c r="O34" s="47" t="s">
        <v>41</v>
      </c>
      <c r="P34" s="47">
        <v>6437.599999999999</v>
      </c>
      <c r="Q34" s="46">
        <v>635361.4</v>
      </c>
      <c r="R34" s="47">
        <v>1398.2</v>
      </c>
      <c r="S34" s="47">
        <v>3568.7999999999993</v>
      </c>
      <c r="T34" s="45">
        <v>116712.2</v>
      </c>
      <c r="U34" s="49">
        <v>1099117.8</v>
      </c>
      <c r="V34" s="50"/>
      <c r="W34" s="6"/>
    </row>
    <row r="35" spans="1:23" ht="12.75">
      <c r="A35" s="52" t="s">
        <v>142</v>
      </c>
      <c r="B35" s="45">
        <v>82287.1</v>
      </c>
      <c r="C35" s="47">
        <v>165969.40000000002</v>
      </c>
      <c r="D35" s="47"/>
      <c r="E35" s="45">
        <v>70934.6</v>
      </c>
      <c r="F35" s="48"/>
      <c r="G35" s="64" t="s">
        <v>41</v>
      </c>
      <c r="H35" s="46"/>
      <c r="I35" s="49">
        <f>SUM(D35:H35)</f>
        <v>70934.6</v>
      </c>
      <c r="J35" s="46">
        <v>1294.8</v>
      </c>
      <c r="K35" s="47"/>
      <c r="L35" s="47"/>
      <c r="M35" s="64" t="s">
        <v>41</v>
      </c>
      <c r="N35" s="47">
        <v>143.8</v>
      </c>
      <c r="O35" s="47" t="s">
        <v>41</v>
      </c>
      <c r="P35" s="47">
        <v>6575.4</v>
      </c>
      <c r="Q35" s="46">
        <v>642841.2</v>
      </c>
      <c r="R35" s="47">
        <v>1401.7</v>
      </c>
      <c r="S35" s="47">
        <v>4188.999999999999</v>
      </c>
      <c r="T35" s="45">
        <v>117658.59999999998</v>
      </c>
      <c r="U35" s="49">
        <f>SUM(B35:C35,I35:T35)</f>
        <v>1093295.6</v>
      </c>
      <c r="V35" s="50"/>
      <c r="W35" s="6"/>
    </row>
    <row r="36" spans="1:23" ht="12.75">
      <c r="A36" s="52" t="s">
        <v>124</v>
      </c>
      <c r="B36" s="45">
        <v>89608.2</v>
      </c>
      <c r="C36" s="47">
        <v>183463.6</v>
      </c>
      <c r="D36" s="47"/>
      <c r="E36" s="45">
        <v>72499.4</v>
      </c>
      <c r="F36" s="48"/>
      <c r="G36" s="47">
        <v>32000</v>
      </c>
      <c r="H36" s="46"/>
      <c r="I36" s="49">
        <f>SUM(D36:H36)</f>
        <v>104499.4</v>
      </c>
      <c r="J36" s="46">
        <v>582.5000000000001</v>
      </c>
      <c r="K36" s="47"/>
      <c r="L36" s="47"/>
      <c r="M36" s="64" t="s">
        <v>41</v>
      </c>
      <c r="N36" s="47">
        <v>143.8</v>
      </c>
      <c r="O36" s="47" t="s">
        <v>41</v>
      </c>
      <c r="P36" s="47">
        <v>10400.499999999998</v>
      </c>
      <c r="Q36" s="46">
        <v>664336.1000000001</v>
      </c>
      <c r="R36" s="47">
        <v>2197.5</v>
      </c>
      <c r="S36" s="47">
        <v>5211.5</v>
      </c>
      <c r="T36" s="45">
        <v>122868.89999999998</v>
      </c>
      <c r="U36" s="49">
        <f>SUM(B36:C36,I36:T36)</f>
        <v>1183312</v>
      </c>
      <c r="V36" s="50"/>
      <c r="W36" s="6"/>
    </row>
    <row r="37" spans="1:23" ht="12.75">
      <c r="A37" s="52" t="s">
        <v>125</v>
      </c>
      <c r="B37" s="45">
        <v>107189</v>
      </c>
      <c r="C37" s="47">
        <v>201411.19999999998</v>
      </c>
      <c r="D37" s="47"/>
      <c r="E37" s="45">
        <v>77019.90000000001</v>
      </c>
      <c r="F37" s="48"/>
      <c r="G37" s="47">
        <v>32000</v>
      </c>
      <c r="H37" s="46"/>
      <c r="I37" s="49">
        <f>SUM(D37:H37)</f>
        <v>109019.90000000001</v>
      </c>
      <c r="J37" s="46">
        <v>539.1</v>
      </c>
      <c r="K37" s="47"/>
      <c r="L37" s="47"/>
      <c r="M37" s="70" t="s">
        <v>41</v>
      </c>
      <c r="N37" s="23">
        <v>143.8</v>
      </c>
      <c r="O37" s="47" t="s">
        <v>41</v>
      </c>
      <c r="P37" s="47">
        <v>8510.400000000001</v>
      </c>
      <c r="Q37" s="46">
        <v>645360.8999999998</v>
      </c>
      <c r="R37" s="47">
        <v>2469.2</v>
      </c>
      <c r="S37" s="47">
        <v>6264.200000000001</v>
      </c>
      <c r="T37" s="45">
        <v>137109.09999999998</v>
      </c>
      <c r="U37" s="49">
        <f>SUM(B37:C37,I37:T37)</f>
        <v>1218016.7999999998</v>
      </c>
      <c r="W37" s="6"/>
    </row>
    <row r="38" spans="1:23" ht="12.75">
      <c r="A38" s="54"/>
      <c r="B38" s="45"/>
      <c r="C38" s="47"/>
      <c r="D38" s="47"/>
      <c r="E38" s="45"/>
      <c r="F38" s="48"/>
      <c r="G38" s="47"/>
      <c r="H38" s="46"/>
      <c r="I38" s="49"/>
      <c r="J38" s="46"/>
      <c r="K38" s="47"/>
      <c r="L38" s="47"/>
      <c r="M38" s="64"/>
      <c r="N38" s="47"/>
      <c r="O38" s="47"/>
      <c r="P38" s="47"/>
      <c r="Q38" s="46"/>
      <c r="R38" s="47"/>
      <c r="S38" s="47"/>
      <c r="T38" s="45"/>
      <c r="U38" s="49"/>
      <c r="V38" s="50"/>
      <c r="W38" s="6"/>
    </row>
    <row r="39" spans="1:23" ht="12.75">
      <c r="A39" s="52" t="s">
        <v>140</v>
      </c>
      <c r="B39" s="45">
        <v>123889.6</v>
      </c>
      <c r="C39" s="47">
        <f>216665.2+33.1</f>
        <v>216698.30000000002</v>
      </c>
      <c r="D39" s="47"/>
      <c r="E39" s="45">
        <v>76771.9</v>
      </c>
      <c r="F39" s="48"/>
      <c r="G39" s="47">
        <v>32000</v>
      </c>
      <c r="H39" s="46"/>
      <c r="I39" s="49">
        <f>SUM(D39:H39)</f>
        <v>108771.9</v>
      </c>
      <c r="J39" s="46">
        <f>1314.8</f>
        <v>1314.8</v>
      </c>
      <c r="K39" s="47"/>
      <c r="L39" s="47"/>
      <c r="M39" s="64" t="s">
        <v>41</v>
      </c>
      <c r="N39" s="23">
        <v>143.8</v>
      </c>
      <c r="O39" s="47" t="s">
        <v>41</v>
      </c>
      <c r="P39" s="23">
        <f>6593.1+41.8+566.1</f>
        <v>7201.000000000001</v>
      </c>
      <c r="Q39" s="46">
        <f>619423.3+27688.4+24.8+103.7+399.1+1006.7+576.7</f>
        <v>649222.7</v>
      </c>
      <c r="R39" s="47">
        <f>3059.9+68.8</f>
        <v>3128.7000000000003</v>
      </c>
      <c r="S39" s="47">
        <v>7084.7</v>
      </c>
      <c r="T39" s="45">
        <f>129356.8-2169.2</f>
        <v>127187.6</v>
      </c>
      <c r="U39" s="49">
        <f>SUM(B39:C39,I39:T39)</f>
        <v>1244643.1</v>
      </c>
      <c r="W39" s="6"/>
    </row>
    <row r="40" spans="1:23" ht="12.75">
      <c r="A40" s="52" t="s">
        <v>123</v>
      </c>
      <c r="B40" s="45">
        <v>124507.9</v>
      </c>
      <c r="C40" s="47">
        <v>198408.8</v>
      </c>
      <c r="D40" s="47"/>
      <c r="E40" s="45">
        <v>86709.1</v>
      </c>
      <c r="F40" s="48"/>
      <c r="G40" s="47">
        <v>47500</v>
      </c>
      <c r="H40" s="46"/>
      <c r="I40" s="49">
        <v>134209.1</v>
      </c>
      <c r="J40" s="46">
        <v>1296.6</v>
      </c>
      <c r="K40" s="47"/>
      <c r="L40" s="47"/>
      <c r="M40" s="70" t="s">
        <v>41</v>
      </c>
      <c r="N40" s="23">
        <v>143.8</v>
      </c>
      <c r="O40" s="47" t="s">
        <v>41</v>
      </c>
      <c r="P40" s="23">
        <v>12659.7</v>
      </c>
      <c r="Q40" s="46">
        <v>668881.2</v>
      </c>
      <c r="R40" s="47">
        <v>3154.2000000000003</v>
      </c>
      <c r="S40" s="47">
        <v>8706.6</v>
      </c>
      <c r="T40" s="45">
        <v>130308.7</v>
      </c>
      <c r="U40" s="49">
        <v>1282276.5999999999</v>
      </c>
      <c r="W40" s="6"/>
    </row>
    <row r="41" spans="1:23" ht="12.75">
      <c r="A41" s="52" t="s">
        <v>124</v>
      </c>
      <c r="B41" s="45">
        <v>121296.9</v>
      </c>
      <c r="C41" s="47">
        <f>193828.2+96.8</f>
        <v>193925</v>
      </c>
      <c r="D41" s="47"/>
      <c r="E41" s="45">
        <v>84044.4</v>
      </c>
      <c r="F41" s="48"/>
      <c r="G41" s="47">
        <v>67472</v>
      </c>
      <c r="H41" s="46"/>
      <c r="I41" s="49">
        <f>SUM(D41:H41)</f>
        <v>151516.4</v>
      </c>
      <c r="J41" s="46">
        <v>1373.1</v>
      </c>
      <c r="K41" s="47"/>
      <c r="L41" s="47"/>
      <c r="M41" s="70" t="s">
        <v>41</v>
      </c>
      <c r="N41" s="23">
        <f>143.8+600</f>
        <v>743.8</v>
      </c>
      <c r="O41" s="47" t="s">
        <v>41</v>
      </c>
      <c r="P41" s="23">
        <f>14001.7+47.9+336.5</f>
        <v>14386.1</v>
      </c>
      <c r="Q41" s="46">
        <f>649768.4+29590.1+570.5+26.6+58.9+476.5+897.8</f>
        <v>681388.8</v>
      </c>
      <c r="R41" s="47">
        <f>3565.5+77.4</f>
        <v>3642.9</v>
      </c>
      <c r="S41" s="47">
        <v>10737</v>
      </c>
      <c r="T41" s="45">
        <f>133315.5-1873.7</f>
        <v>131441.8</v>
      </c>
      <c r="U41" s="49">
        <f>SUM(B41:C41,I41:T41)</f>
        <v>1310451.8</v>
      </c>
      <c r="W41" s="6"/>
    </row>
    <row r="42" spans="1:23" ht="12.75">
      <c r="A42" s="52" t="s">
        <v>134</v>
      </c>
      <c r="B42" s="45">
        <v>146489.8</v>
      </c>
      <c r="C42" s="47">
        <f>199504.4+96.8</f>
        <v>199601.19999999998</v>
      </c>
      <c r="D42" s="47"/>
      <c r="E42" s="45">
        <v>87718.9</v>
      </c>
      <c r="F42" s="48"/>
      <c r="G42" s="47">
        <v>59983.8</v>
      </c>
      <c r="H42" s="46"/>
      <c r="I42" s="49">
        <f>SUM(D42:H42)</f>
        <v>147702.7</v>
      </c>
      <c r="J42" s="46">
        <v>34633.2</v>
      </c>
      <c r="K42" s="47"/>
      <c r="L42" s="47"/>
      <c r="M42" s="70" t="s">
        <v>41</v>
      </c>
      <c r="N42" s="23">
        <f>143.8</f>
        <v>143.8</v>
      </c>
      <c r="O42" s="47" t="s">
        <v>41</v>
      </c>
      <c r="P42" s="23">
        <f>10504.7+47.9+267.9</f>
        <v>10820.5</v>
      </c>
      <c r="Q42" s="46">
        <f>668889.5+31419.4+570.5+35.2+74.3+558.9+1092.8</f>
        <v>702640.6000000001</v>
      </c>
      <c r="R42" s="47">
        <f>3360.8+88.5</f>
        <v>3449.3</v>
      </c>
      <c r="S42" s="47">
        <v>12380.1</v>
      </c>
      <c r="T42" s="45">
        <f>144894.8-2117.6</f>
        <v>142777.19999999998</v>
      </c>
      <c r="U42" s="49">
        <f>SUM(B42:C42,I42:T42)</f>
        <v>1400638.4000000004</v>
      </c>
      <c r="W42" s="6"/>
    </row>
    <row r="43" spans="1:23" ht="12.75">
      <c r="A43" s="52"/>
      <c r="B43" s="45"/>
      <c r="C43" s="47"/>
      <c r="D43" s="47"/>
      <c r="E43" s="45"/>
      <c r="F43" s="48"/>
      <c r="G43" s="47"/>
      <c r="H43" s="46"/>
      <c r="I43" s="49"/>
      <c r="J43" s="46"/>
      <c r="K43" s="47"/>
      <c r="L43" s="47"/>
      <c r="M43" s="70"/>
      <c r="N43" s="23"/>
      <c r="O43" s="47"/>
      <c r="P43" s="23"/>
      <c r="Q43" s="46"/>
      <c r="R43" s="47"/>
      <c r="S43" s="47"/>
      <c r="T43" s="45"/>
      <c r="U43" s="49"/>
      <c r="W43" s="6"/>
    </row>
    <row r="44" spans="1:23" ht="12.75">
      <c r="A44" s="52" t="s">
        <v>126</v>
      </c>
      <c r="B44" s="45">
        <v>100504.6</v>
      </c>
      <c r="C44" s="47">
        <f>191513.2+96.8</f>
        <v>191610</v>
      </c>
      <c r="D44" s="47"/>
      <c r="E44" s="45">
        <v>96138</v>
      </c>
      <c r="F44" s="48"/>
      <c r="G44" s="47">
        <v>60514.5</v>
      </c>
      <c r="H44" s="46"/>
      <c r="I44" s="49">
        <f>SUM(D44:H44)</f>
        <v>156652.5</v>
      </c>
      <c r="J44" s="46">
        <v>37342.1</v>
      </c>
      <c r="K44" s="47"/>
      <c r="L44" s="47"/>
      <c r="M44" s="70" t="s">
        <v>41</v>
      </c>
      <c r="N44" s="23">
        <v>143.9</v>
      </c>
      <c r="O44" s="47" t="s">
        <v>41</v>
      </c>
      <c r="P44" s="23">
        <f>7349.9+47.9+475.1</f>
        <v>7872.9</v>
      </c>
      <c r="Q44" s="46">
        <f>665409.6+32903.7+697.3+24.2+62.4+531.4+1869.8</f>
        <v>701498.4</v>
      </c>
      <c r="R44" s="47">
        <f>3834.5+76.4</f>
        <v>3910.9</v>
      </c>
      <c r="S44" s="47">
        <v>11531.7</v>
      </c>
      <c r="T44" s="45">
        <f>151010-3039.3</f>
        <v>147970.7</v>
      </c>
      <c r="U44" s="49">
        <f>SUM(B44:C44,I44:T44)</f>
        <v>1359037.6999999997</v>
      </c>
      <c r="W44" s="6"/>
    </row>
    <row r="45" spans="1:23" ht="12.75">
      <c r="A45" s="52" t="s">
        <v>123</v>
      </c>
      <c r="B45" s="45">
        <v>94242.5</v>
      </c>
      <c r="C45" s="47">
        <f>192676.8+96.8</f>
        <v>192773.59999999998</v>
      </c>
      <c r="D45" s="47"/>
      <c r="E45" s="45">
        <v>108680.9</v>
      </c>
      <c r="F45" s="48"/>
      <c r="G45" s="47">
        <v>58075.3</v>
      </c>
      <c r="H45" s="46"/>
      <c r="I45" s="49">
        <f>SUM(D45:H45)</f>
        <v>166756.2</v>
      </c>
      <c r="J45" s="46">
        <v>32993.1</v>
      </c>
      <c r="K45" s="47"/>
      <c r="L45" s="47"/>
      <c r="M45" s="70" t="s">
        <v>41</v>
      </c>
      <c r="N45" s="23">
        <v>143.9</v>
      </c>
      <c r="O45" s="47" t="s">
        <v>41</v>
      </c>
      <c r="P45" s="23">
        <f>9188.7+47.9+371.8</f>
        <v>9608.4</v>
      </c>
      <c r="Q45" s="46">
        <f>689601.9+33329.8+697.3+33.6+334.9+963.9+1264.3</f>
        <v>726225.7000000002</v>
      </c>
      <c r="R45" s="47">
        <f>3753.6+68.6</f>
        <v>3822.2</v>
      </c>
      <c r="S45" s="47">
        <v>11508.3</v>
      </c>
      <c r="T45" s="45">
        <f>148265.2-3037.1</f>
        <v>145228.1</v>
      </c>
      <c r="U45" s="49">
        <f>SUM(B45:C45,I45:T45)</f>
        <v>1383302.0000000002</v>
      </c>
      <c r="W45" s="6"/>
    </row>
    <row r="46" spans="1:23" ht="12.75">
      <c r="A46" s="52" t="s">
        <v>131</v>
      </c>
      <c r="B46" s="45">
        <v>105927</v>
      </c>
      <c r="C46" s="47">
        <f>178975.3+96.8</f>
        <v>179072.09999999998</v>
      </c>
      <c r="D46" s="47"/>
      <c r="E46" s="45">
        <v>118944.2</v>
      </c>
      <c r="F46" s="48"/>
      <c r="G46" s="47">
        <v>58157.4</v>
      </c>
      <c r="H46" s="46"/>
      <c r="I46" s="49">
        <f>SUM(D46:H46)</f>
        <v>177101.6</v>
      </c>
      <c r="J46" s="46">
        <f>33270.1+59.8</f>
        <v>33329.9</v>
      </c>
      <c r="K46" s="47"/>
      <c r="L46" s="47"/>
      <c r="M46" s="70" t="s">
        <v>41</v>
      </c>
      <c r="N46" s="23">
        <v>143.9</v>
      </c>
      <c r="O46" s="47" t="s">
        <v>41</v>
      </c>
      <c r="P46" s="23">
        <f>14833.4+112</f>
        <v>14945.4</v>
      </c>
      <c r="Q46" s="46">
        <f>684507+33191.1+629+159.6+1001.7+1974.9</f>
        <v>721463.2999999999</v>
      </c>
      <c r="R46" s="47">
        <f>3755.9</f>
        <v>3755.9</v>
      </c>
      <c r="S46" s="47">
        <v>11334.8</v>
      </c>
      <c r="T46" s="45">
        <f>156167.7-3196</f>
        <v>152971.7</v>
      </c>
      <c r="U46" s="49">
        <f>SUM(B46:C46,I46:T46)</f>
        <v>1400045.5999999999</v>
      </c>
      <c r="W46" s="6"/>
    </row>
    <row r="47" spans="1:23" ht="12.75">
      <c r="A47" s="52" t="s">
        <v>134</v>
      </c>
      <c r="B47" s="45">
        <v>109484.1</v>
      </c>
      <c r="C47" s="47">
        <f>206772.7+96.8</f>
        <v>206869.5</v>
      </c>
      <c r="D47" s="47"/>
      <c r="E47" s="45">
        <v>175202.1</v>
      </c>
      <c r="F47" s="48"/>
      <c r="G47" s="47">
        <v>78586</v>
      </c>
      <c r="H47" s="46"/>
      <c r="I47" s="49">
        <f>SUM(D47:H47)</f>
        <v>253788.1</v>
      </c>
      <c r="J47" s="46">
        <f>35308+11.3</f>
        <v>35319.3</v>
      </c>
      <c r="K47" s="47"/>
      <c r="L47" s="47"/>
      <c r="M47" s="70" t="s">
        <v>41</v>
      </c>
      <c r="N47" s="23">
        <v>143.9</v>
      </c>
      <c r="O47" s="47">
        <v>15884.7</v>
      </c>
      <c r="P47" s="23">
        <f>6399+112+0.8</f>
        <v>6511.8</v>
      </c>
      <c r="Q47" s="46">
        <f>672341.6+402.2+259.7+183.7+559.4</f>
        <v>673746.5999999999</v>
      </c>
      <c r="R47" s="47">
        <f>25.6+1.5</f>
        <v>27.1</v>
      </c>
      <c r="S47" s="47" t="s">
        <v>41</v>
      </c>
      <c r="T47" s="45">
        <f>140784-1016.7</f>
        <v>139767.3</v>
      </c>
      <c r="U47" s="49">
        <f>SUM(B47:C47,I47:T47)</f>
        <v>1441542.4000000001</v>
      </c>
      <c r="W47" s="6"/>
    </row>
    <row r="48" spans="1:23" ht="12.75">
      <c r="A48" s="52"/>
      <c r="B48" s="45"/>
      <c r="C48" s="47"/>
      <c r="D48" s="47"/>
      <c r="E48" s="45"/>
      <c r="F48" s="48"/>
      <c r="G48" s="47"/>
      <c r="H48" s="46"/>
      <c r="I48" s="49"/>
      <c r="J48" s="46"/>
      <c r="K48" s="47"/>
      <c r="L48" s="47"/>
      <c r="M48" s="70"/>
      <c r="N48" s="23"/>
      <c r="O48" s="47"/>
      <c r="P48" s="23"/>
      <c r="Q48" s="46"/>
      <c r="R48" s="47"/>
      <c r="S48" s="47"/>
      <c r="T48" s="45"/>
      <c r="U48" s="49"/>
      <c r="W48" s="6"/>
    </row>
    <row r="49" spans="1:23" ht="12.75">
      <c r="A49" s="52" t="s">
        <v>156</v>
      </c>
      <c r="B49" s="45">
        <v>126625.1</v>
      </c>
      <c r="C49" s="47">
        <f>182656.9+96.8+56</f>
        <v>182809.69999999998</v>
      </c>
      <c r="D49" s="47"/>
      <c r="E49" s="45">
        <v>216514.6</v>
      </c>
      <c r="F49" s="48"/>
      <c r="G49" s="47">
        <v>80380.2</v>
      </c>
      <c r="H49" s="46"/>
      <c r="I49" s="49">
        <f>SUM(D49:H49)</f>
        <v>296894.8</v>
      </c>
      <c r="J49" s="46">
        <f>34871.3+0.6</f>
        <v>34871.9</v>
      </c>
      <c r="K49" s="47"/>
      <c r="L49" s="47"/>
      <c r="M49" s="75" t="s">
        <v>41</v>
      </c>
      <c r="N49" s="23">
        <v>143.9</v>
      </c>
      <c r="O49" s="47">
        <v>15375.7</v>
      </c>
      <c r="P49" s="23">
        <f>2635.5+112</f>
        <v>2747.5</v>
      </c>
      <c r="Q49" s="46">
        <f>679052.3+629+257.1+252+1350.6+56</f>
        <v>681597</v>
      </c>
      <c r="R49" s="47">
        <f>20.8+1.4</f>
        <v>22.2</v>
      </c>
      <c r="S49" s="47" t="s">
        <v>41</v>
      </c>
      <c r="T49" s="45">
        <f>148214-1917.7-56</f>
        <v>146240.3</v>
      </c>
      <c r="U49" s="49">
        <f>SUM(B49:C49,I49:T49)</f>
        <v>1487328.1</v>
      </c>
      <c r="W49" s="6"/>
    </row>
    <row r="50" spans="1:23" ht="12.75">
      <c r="A50" s="52" t="s">
        <v>123</v>
      </c>
      <c r="B50" s="45">
        <v>129379.9</v>
      </c>
      <c r="C50" s="47">
        <f>162884.6+96.8+242.3</f>
        <v>163223.69999999998</v>
      </c>
      <c r="D50" s="47"/>
      <c r="E50" s="45">
        <v>267467.3</v>
      </c>
      <c r="F50" s="48"/>
      <c r="G50" s="47">
        <v>81275.6</v>
      </c>
      <c r="H50" s="46"/>
      <c r="I50" s="49">
        <f>SUM(D50:H50)</f>
        <v>348742.9</v>
      </c>
      <c r="J50" s="46">
        <f>36045.8+59.2</f>
        <v>36105</v>
      </c>
      <c r="K50" s="47"/>
      <c r="L50" s="47"/>
      <c r="M50" s="75" t="s">
        <v>41</v>
      </c>
      <c r="N50" s="23">
        <v>143.9</v>
      </c>
      <c r="O50" s="47">
        <v>14150.3</v>
      </c>
      <c r="P50" s="23">
        <f>6295+112+0</f>
        <v>6407</v>
      </c>
      <c r="Q50" s="46">
        <f>689840+629+16+853.8+339.9</f>
        <v>691678.7000000001</v>
      </c>
      <c r="R50" s="47">
        <v>59.2</v>
      </c>
      <c r="S50" s="47" t="s">
        <v>41</v>
      </c>
      <c r="T50" s="45">
        <f>151542.7-1511.2</f>
        <v>150031.5</v>
      </c>
      <c r="U50" s="49">
        <f>SUM(B50:C50,I50:T50)</f>
        <v>1539922.1</v>
      </c>
      <c r="W50" s="6"/>
    </row>
    <row r="51" spans="1:21" ht="12.75" hidden="1">
      <c r="A51" s="52"/>
      <c r="B51" s="45"/>
      <c r="C51" s="47"/>
      <c r="D51" s="47"/>
      <c r="E51" s="45"/>
      <c r="F51" s="48"/>
      <c r="G51" s="47"/>
      <c r="H51" s="46"/>
      <c r="I51" s="49"/>
      <c r="J51" s="46"/>
      <c r="K51" s="47"/>
      <c r="L51" s="47"/>
      <c r="M51" s="47"/>
      <c r="N51" s="23"/>
      <c r="O51" s="47" t="s">
        <v>41</v>
      </c>
      <c r="P51" s="47"/>
      <c r="Q51" s="46"/>
      <c r="R51" s="47"/>
      <c r="S51" s="47"/>
      <c r="T51" s="45"/>
      <c r="U51" s="49"/>
    </row>
    <row r="52" spans="1:21" ht="12.75" hidden="1">
      <c r="A52" s="52" t="s">
        <v>60</v>
      </c>
      <c r="B52" s="45">
        <v>29458.6</v>
      </c>
      <c r="C52" s="47">
        <v>95638.2</v>
      </c>
      <c r="D52" s="47" t="s">
        <v>41</v>
      </c>
      <c r="E52" s="45">
        <v>38700</v>
      </c>
      <c r="F52" s="48"/>
      <c r="G52" s="47">
        <v>1722.3000000000002</v>
      </c>
      <c r="H52" s="46" t="s">
        <v>41</v>
      </c>
      <c r="I52" s="49">
        <f aca="true" t="shared" si="0" ref="I52:I76">SUM(D52:H52)</f>
        <v>40422.3</v>
      </c>
      <c r="J52" s="46">
        <v>1361.2000000000003</v>
      </c>
      <c r="K52" s="47" t="s">
        <v>41</v>
      </c>
      <c r="L52" s="47" t="s">
        <v>41</v>
      </c>
      <c r="M52" s="64" t="s">
        <v>41</v>
      </c>
      <c r="N52" s="23">
        <v>93.80000000000001</v>
      </c>
      <c r="O52" s="47" t="s">
        <v>41</v>
      </c>
      <c r="P52" s="47">
        <v>9478.2</v>
      </c>
      <c r="Q52" s="46">
        <v>203604.30000000002</v>
      </c>
      <c r="R52" s="47">
        <v>77.9</v>
      </c>
      <c r="S52" s="47">
        <v>2744.5</v>
      </c>
      <c r="T52" s="45">
        <v>52891.7</v>
      </c>
      <c r="U52" s="49">
        <f aca="true" t="shared" si="1" ref="U52:U83">SUM(B52:C52,I52:T52)</f>
        <v>435770.7</v>
      </c>
    </row>
    <row r="53" spans="1:21" ht="12.75" hidden="1">
      <c r="A53" s="52" t="s">
        <v>65</v>
      </c>
      <c r="B53" s="45">
        <v>27942.8</v>
      </c>
      <c r="C53" s="47">
        <v>103195.6</v>
      </c>
      <c r="D53" s="47" t="s">
        <v>41</v>
      </c>
      <c r="E53" s="45">
        <v>40809.6</v>
      </c>
      <c r="F53" s="48"/>
      <c r="G53" s="47">
        <v>4587.3</v>
      </c>
      <c r="H53" s="46" t="s">
        <v>41</v>
      </c>
      <c r="I53" s="49">
        <f t="shared" si="0"/>
        <v>45396.9</v>
      </c>
      <c r="J53" s="46">
        <v>2594.4</v>
      </c>
      <c r="K53" s="47" t="s">
        <v>41</v>
      </c>
      <c r="L53" s="47" t="s">
        <v>41</v>
      </c>
      <c r="M53" s="64" t="s">
        <v>41</v>
      </c>
      <c r="N53" s="23">
        <v>93.80000000000001</v>
      </c>
      <c r="O53" s="47" t="s">
        <v>41</v>
      </c>
      <c r="P53" s="47">
        <v>9086.2</v>
      </c>
      <c r="Q53" s="46">
        <v>201806.80000000002</v>
      </c>
      <c r="R53" s="47">
        <v>106.1</v>
      </c>
      <c r="S53" s="47">
        <v>2744.5</v>
      </c>
      <c r="T53" s="45">
        <v>53495.299999999996</v>
      </c>
      <c r="U53" s="49">
        <f t="shared" si="1"/>
        <v>446462.39999999997</v>
      </c>
    </row>
    <row r="54" spans="1:21" ht="12.75" hidden="1">
      <c r="A54" s="52" t="s">
        <v>66</v>
      </c>
      <c r="B54" s="45">
        <v>32231.1</v>
      </c>
      <c r="C54" s="47">
        <v>116002.2</v>
      </c>
      <c r="D54" s="47" t="s">
        <v>41</v>
      </c>
      <c r="E54" s="45">
        <v>40309.6</v>
      </c>
      <c r="F54" s="48"/>
      <c r="G54" s="47">
        <v>5016.8</v>
      </c>
      <c r="H54" s="46" t="s">
        <v>41</v>
      </c>
      <c r="I54" s="49">
        <f t="shared" si="0"/>
        <v>45326.4</v>
      </c>
      <c r="J54" s="46">
        <v>2484.6</v>
      </c>
      <c r="K54" s="47" t="s">
        <v>41</v>
      </c>
      <c r="L54" s="47" t="s">
        <v>41</v>
      </c>
      <c r="M54" s="47">
        <v>3000</v>
      </c>
      <c r="N54" s="23">
        <v>93.80000000000001</v>
      </c>
      <c r="O54" s="47" t="s">
        <v>41</v>
      </c>
      <c r="P54" s="47">
        <v>9777.699999999999</v>
      </c>
      <c r="Q54" s="46">
        <v>207158.69999999998</v>
      </c>
      <c r="R54" s="47">
        <v>105.1</v>
      </c>
      <c r="S54" s="47">
        <v>2744.5</v>
      </c>
      <c r="T54" s="45">
        <v>51541.7</v>
      </c>
      <c r="U54" s="49">
        <f t="shared" si="1"/>
        <v>470465.8</v>
      </c>
    </row>
    <row r="55" spans="1:21" ht="12.75" hidden="1">
      <c r="A55" s="52" t="s">
        <v>67</v>
      </c>
      <c r="B55" s="45">
        <v>30843.999999999996</v>
      </c>
      <c r="C55" s="47">
        <v>109956.69999999998</v>
      </c>
      <c r="D55" s="47" t="s">
        <v>41</v>
      </c>
      <c r="E55" s="45">
        <v>39609.6</v>
      </c>
      <c r="F55" s="48"/>
      <c r="G55" s="47">
        <v>5016.8</v>
      </c>
      <c r="H55" s="46" t="s">
        <v>41</v>
      </c>
      <c r="I55" s="49">
        <f t="shared" si="0"/>
        <v>44626.4</v>
      </c>
      <c r="J55" s="46">
        <v>2405.1</v>
      </c>
      <c r="K55" s="47" t="s">
        <v>41</v>
      </c>
      <c r="L55" s="47" t="s">
        <v>41</v>
      </c>
      <c r="M55" s="64" t="s">
        <v>41</v>
      </c>
      <c r="N55" s="23">
        <v>93.80000000000001</v>
      </c>
      <c r="O55" s="47" t="s">
        <v>41</v>
      </c>
      <c r="P55" s="47">
        <v>9205.999999999998</v>
      </c>
      <c r="Q55" s="46">
        <v>210154.59999999998</v>
      </c>
      <c r="R55" s="47">
        <v>104.3</v>
      </c>
      <c r="S55" s="47">
        <v>2611.6</v>
      </c>
      <c r="T55" s="45">
        <v>51934.4</v>
      </c>
      <c r="U55" s="49">
        <f t="shared" si="1"/>
        <v>461936.89999999997</v>
      </c>
    </row>
    <row r="56" spans="1:21" ht="12.75" hidden="1">
      <c r="A56" s="52" t="s">
        <v>68</v>
      </c>
      <c r="B56" s="45">
        <v>31834.199999999997</v>
      </c>
      <c r="C56" s="47">
        <v>103309.4</v>
      </c>
      <c r="D56" s="47" t="s">
        <v>41</v>
      </c>
      <c r="E56" s="45">
        <v>35805.4</v>
      </c>
      <c r="F56" s="48"/>
      <c r="G56" s="47">
        <v>5016.8</v>
      </c>
      <c r="H56" s="46" t="s">
        <v>41</v>
      </c>
      <c r="I56" s="49">
        <f t="shared" si="0"/>
        <v>40822.200000000004</v>
      </c>
      <c r="J56" s="46">
        <v>2293.7</v>
      </c>
      <c r="K56" s="47" t="s">
        <v>41</v>
      </c>
      <c r="L56" s="47" t="s">
        <v>41</v>
      </c>
      <c r="M56" s="47">
        <v>5000</v>
      </c>
      <c r="N56" s="23">
        <v>93.80000000000001</v>
      </c>
      <c r="O56" s="47" t="s">
        <v>41</v>
      </c>
      <c r="P56" s="47">
        <v>9617.4</v>
      </c>
      <c r="Q56" s="46">
        <v>212551.30000000002</v>
      </c>
      <c r="R56" s="47">
        <v>104.4</v>
      </c>
      <c r="S56" s="47">
        <v>63</v>
      </c>
      <c r="T56" s="45">
        <v>52136.4</v>
      </c>
      <c r="U56" s="49">
        <f t="shared" si="1"/>
        <v>457825.80000000005</v>
      </c>
    </row>
    <row r="57" spans="1:21" ht="12.75" hidden="1">
      <c r="A57" s="52" t="s">
        <v>69</v>
      </c>
      <c r="B57" s="45">
        <v>30304.6</v>
      </c>
      <c r="C57" s="47">
        <v>111373.8</v>
      </c>
      <c r="D57" s="47" t="s">
        <v>41</v>
      </c>
      <c r="E57" s="45">
        <v>36005.4</v>
      </c>
      <c r="F57" s="48"/>
      <c r="G57" s="47">
        <v>5016.8</v>
      </c>
      <c r="H57" s="46" t="s">
        <v>41</v>
      </c>
      <c r="I57" s="49">
        <f t="shared" si="0"/>
        <v>41022.200000000004</v>
      </c>
      <c r="J57" s="46">
        <v>2277.2</v>
      </c>
      <c r="K57" s="47" t="s">
        <v>41</v>
      </c>
      <c r="L57" s="47" t="s">
        <v>41</v>
      </c>
      <c r="M57" s="64" t="s">
        <v>41</v>
      </c>
      <c r="N57" s="23">
        <v>93.80000000000001</v>
      </c>
      <c r="O57" s="47" t="s">
        <v>41</v>
      </c>
      <c r="P57" s="47">
        <v>12825.8</v>
      </c>
      <c r="Q57" s="46">
        <v>224473.10000000003</v>
      </c>
      <c r="R57" s="47">
        <v>101.8</v>
      </c>
      <c r="S57" s="47">
        <v>67.8</v>
      </c>
      <c r="T57" s="45">
        <v>53126.90000000001</v>
      </c>
      <c r="U57" s="49">
        <f t="shared" si="1"/>
        <v>475667</v>
      </c>
    </row>
    <row r="58" spans="1:21" ht="12.75" hidden="1">
      <c r="A58" s="52" t="s">
        <v>70</v>
      </c>
      <c r="B58" s="45">
        <v>32386.9</v>
      </c>
      <c r="C58" s="47">
        <v>103087.9</v>
      </c>
      <c r="D58" s="47" t="s">
        <v>41</v>
      </c>
      <c r="E58" s="45">
        <v>29689.5</v>
      </c>
      <c r="F58" s="48"/>
      <c r="G58" s="47">
        <v>6465.300000000001</v>
      </c>
      <c r="H58" s="46" t="s">
        <v>41</v>
      </c>
      <c r="I58" s="49">
        <f t="shared" si="0"/>
        <v>36154.8</v>
      </c>
      <c r="J58" s="46">
        <v>2215.1</v>
      </c>
      <c r="K58" s="47" t="s">
        <v>41</v>
      </c>
      <c r="L58" s="47" t="s">
        <v>41</v>
      </c>
      <c r="M58" s="64" t="s">
        <v>41</v>
      </c>
      <c r="N58" s="23">
        <v>93.80000000000001</v>
      </c>
      <c r="O58" s="47" t="s">
        <v>41</v>
      </c>
      <c r="P58" s="47">
        <v>23886.999999999996</v>
      </c>
      <c r="Q58" s="46">
        <v>232509.5</v>
      </c>
      <c r="R58" s="47">
        <v>102.39999999999999</v>
      </c>
      <c r="S58" s="47">
        <v>67.4</v>
      </c>
      <c r="T58" s="45">
        <v>55619</v>
      </c>
      <c r="U58" s="49">
        <f t="shared" si="1"/>
        <v>486123.80000000005</v>
      </c>
    </row>
    <row r="59" spans="1:21" ht="12.75" hidden="1">
      <c r="A59" s="52" t="s">
        <v>71</v>
      </c>
      <c r="B59" s="45">
        <v>28845</v>
      </c>
      <c r="C59" s="47">
        <v>113713.59999999999</v>
      </c>
      <c r="D59" s="47" t="s">
        <v>41</v>
      </c>
      <c r="E59" s="45">
        <v>29200</v>
      </c>
      <c r="F59" s="48"/>
      <c r="G59" s="47">
        <v>6751.500000000001</v>
      </c>
      <c r="H59" s="46" t="s">
        <v>41</v>
      </c>
      <c r="I59" s="49">
        <f t="shared" si="0"/>
        <v>35951.5</v>
      </c>
      <c r="J59" s="46">
        <v>2128.9</v>
      </c>
      <c r="K59" s="47" t="s">
        <v>41</v>
      </c>
      <c r="L59" s="47" t="s">
        <v>41</v>
      </c>
      <c r="M59" s="64" t="s">
        <v>41</v>
      </c>
      <c r="N59" s="23">
        <v>124.30000000000001</v>
      </c>
      <c r="O59" s="47" t="s">
        <v>41</v>
      </c>
      <c r="P59" s="47">
        <v>30258.5</v>
      </c>
      <c r="Q59" s="46">
        <v>236193.3</v>
      </c>
      <c r="R59" s="47">
        <v>90.89999999999999</v>
      </c>
      <c r="S59" s="47">
        <v>0</v>
      </c>
      <c r="T59" s="45">
        <v>58532.799999999996</v>
      </c>
      <c r="U59" s="49">
        <f t="shared" si="1"/>
        <v>505838.8</v>
      </c>
    </row>
    <row r="60" spans="1:21" ht="12.75" hidden="1">
      <c r="A60" s="52" t="s">
        <v>72</v>
      </c>
      <c r="B60" s="45">
        <v>30396.6</v>
      </c>
      <c r="C60" s="47">
        <v>134420.80000000002</v>
      </c>
      <c r="D60" s="47" t="s">
        <v>41</v>
      </c>
      <c r="E60" s="45">
        <v>36500</v>
      </c>
      <c r="F60" s="48"/>
      <c r="G60" s="47">
        <v>7561.000000000001</v>
      </c>
      <c r="H60" s="46" t="s">
        <v>41</v>
      </c>
      <c r="I60" s="49">
        <f t="shared" si="0"/>
        <v>44061</v>
      </c>
      <c r="J60" s="46">
        <v>1842</v>
      </c>
      <c r="K60" s="47" t="s">
        <v>41</v>
      </c>
      <c r="L60" s="47" t="s">
        <v>41</v>
      </c>
      <c r="M60" s="64" t="s">
        <v>41</v>
      </c>
      <c r="N60" s="23">
        <v>143.8</v>
      </c>
      <c r="O60" s="47" t="s">
        <v>41</v>
      </c>
      <c r="P60" s="47">
        <v>31527.8</v>
      </c>
      <c r="Q60" s="46">
        <v>240293.89999999997</v>
      </c>
      <c r="R60" s="47">
        <v>93</v>
      </c>
      <c r="S60" s="47">
        <v>273</v>
      </c>
      <c r="T60" s="45">
        <v>59577.4</v>
      </c>
      <c r="U60" s="49">
        <f t="shared" si="1"/>
        <v>542629.2999999999</v>
      </c>
    </row>
    <row r="61" spans="1:21" ht="12.75" hidden="1">
      <c r="A61" s="52" t="s">
        <v>73</v>
      </c>
      <c r="B61" s="45">
        <v>32910.1</v>
      </c>
      <c r="C61" s="47">
        <v>124242.09999999999</v>
      </c>
      <c r="D61" s="47" t="s">
        <v>41</v>
      </c>
      <c r="E61" s="45">
        <v>35500</v>
      </c>
      <c r="F61" s="48"/>
      <c r="G61" s="47">
        <v>7561.000000000001</v>
      </c>
      <c r="H61" s="46" t="s">
        <v>41</v>
      </c>
      <c r="I61" s="49">
        <f t="shared" si="0"/>
        <v>43061</v>
      </c>
      <c r="J61" s="46">
        <v>1854.3000000000002</v>
      </c>
      <c r="K61" s="47" t="s">
        <v>41</v>
      </c>
      <c r="L61" s="47" t="s">
        <v>41</v>
      </c>
      <c r="M61" s="64" t="s">
        <v>41</v>
      </c>
      <c r="N61" s="23">
        <v>143.8</v>
      </c>
      <c r="O61" s="47" t="s">
        <v>41</v>
      </c>
      <c r="P61" s="47">
        <v>27692.1</v>
      </c>
      <c r="Q61" s="46">
        <v>251835.69999999998</v>
      </c>
      <c r="R61" s="47">
        <v>129.9</v>
      </c>
      <c r="S61" s="47">
        <v>311.2</v>
      </c>
      <c r="T61" s="45">
        <v>62132.59999999999</v>
      </c>
      <c r="U61" s="49">
        <f t="shared" si="1"/>
        <v>544312.8</v>
      </c>
    </row>
    <row r="62" spans="1:21" ht="12.75" hidden="1">
      <c r="A62" s="52" t="s">
        <v>74</v>
      </c>
      <c r="B62" s="45">
        <v>30964.199999999997</v>
      </c>
      <c r="C62" s="47">
        <v>129104.30000000002</v>
      </c>
      <c r="D62" s="47" t="s">
        <v>41</v>
      </c>
      <c r="E62" s="45">
        <v>42000</v>
      </c>
      <c r="F62" s="48"/>
      <c r="G62" s="47">
        <v>7561.000000000001</v>
      </c>
      <c r="H62" s="46" t="s">
        <v>41</v>
      </c>
      <c r="I62" s="49">
        <f t="shared" si="0"/>
        <v>49561</v>
      </c>
      <c r="J62" s="46">
        <v>1805.8000000000002</v>
      </c>
      <c r="K62" s="47" t="s">
        <v>41</v>
      </c>
      <c r="L62" s="47" t="s">
        <v>41</v>
      </c>
      <c r="M62" s="47">
        <v>1000</v>
      </c>
      <c r="N62" s="23">
        <v>143.8</v>
      </c>
      <c r="O62" s="47" t="s">
        <v>41</v>
      </c>
      <c r="P62" s="47">
        <v>24637.6</v>
      </c>
      <c r="Q62" s="46">
        <v>250369.30000000002</v>
      </c>
      <c r="R62" s="47">
        <v>126.60000000000001</v>
      </c>
      <c r="S62" s="47">
        <v>352.9</v>
      </c>
      <c r="T62" s="45">
        <v>61264.40000000001</v>
      </c>
      <c r="U62" s="49">
        <f t="shared" si="1"/>
        <v>549329.9</v>
      </c>
    </row>
    <row r="63" spans="1:21" ht="12.75" hidden="1">
      <c r="A63" s="52" t="s">
        <v>75</v>
      </c>
      <c r="B63" s="45">
        <v>38257.899999999994</v>
      </c>
      <c r="C63" s="47">
        <v>125768.90000000001</v>
      </c>
      <c r="D63" s="47" t="s">
        <v>41</v>
      </c>
      <c r="E63" s="45">
        <v>51000</v>
      </c>
      <c r="F63" s="48"/>
      <c r="G63" s="47">
        <v>7561.000000000001</v>
      </c>
      <c r="H63" s="46" t="s">
        <v>41</v>
      </c>
      <c r="I63" s="49">
        <f t="shared" si="0"/>
        <v>58561</v>
      </c>
      <c r="J63" s="46">
        <v>1707.3000000000002</v>
      </c>
      <c r="K63" s="47" t="s">
        <v>41</v>
      </c>
      <c r="L63" s="47" t="s">
        <v>41</v>
      </c>
      <c r="M63" s="47">
        <v>12000</v>
      </c>
      <c r="N63" s="23">
        <v>143.8</v>
      </c>
      <c r="O63" s="47" t="s">
        <v>41</v>
      </c>
      <c r="P63" s="47">
        <v>21902.199999999997</v>
      </c>
      <c r="Q63" s="46">
        <v>245161.1</v>
      </c>
      <c r="R63" s="47">
        <v>120.8</v>
      </c>
      <c r="S63" s="47">
        <v>98.2</v>
      </c>
      <c r="T63" s="45">
        <v>58408.4</v>
      </c>
      <c r="U63" s="49">
        <f t="shared" si="1"/>
        <v>562129.6</v>
      </c>
    </row>
    <row r="64" spans="1:21" ht="12.75" hidden="1">
      <c r="A64" s="52" t="s">
        <v>62</v>
      </c>
      <c r="B64" s="45">
        <v>42070.7</v>
      </c>
      <c r="C64" s="47">
        <v>116140.49999999999</v>
      </c>
      <c r="D64" s="47" t="s">
        <v>41</v>
      </c>
      <c r="E64" s="45">
        <v>47900</v>
      </c>
      <c r="F64" s="48"/>
      <c r="G64" s="47">
        <v>7161.000000000001</v>
      </c>
      <c r="H64" s="46" t="s">
        <v>41</v>
      </c>
      <c r="I64" s="49">
        <f t="shared" si="0"/>
        <v>55061</v>
      </c>
      <c r="J64" s="46">
        <v>1638.8999999999999</v>
      </c>
      <c r="K64" s="47" t="s">
        <v>41</v>
      </c>
      <c r="L64" s="47" t="s">
        <v>41</v>
      </c>
      <c r="M64" s="47">
        <v>15000</v>
      </c>
      <c r="N64" s="23">
        <v>143.8</v>
      </c>
      <c r="O64" s="47" t="s">
        <v>41</v>
      </c>
      <c r="P64" s="47">
        <v>19756.399999999998</v>
      </c>
      <c r="Q64" s="46">
        <v>242298.69999999998</v>
      </c>
      <c r="R64" s="47">
        <v>116.7</v>
      </c>
      <c r="S64" s="47">
        <v>282.7</v>
      </c>
      <c r="T64" s="45">
        <v>62630.200000000004</v>
      </c>
      <c r="U64" s="49">
        <f t="shared" si="1"/>
        <v>555139.6</v>
      </c>
    </row>
    <row r="65" spans="1:21" ht="12.75" hidden="1">
      <c r="A65" s="52" t="s">
        <v>79</v>
      </c>
      <c r="B65" s="45">
        <v>39810.3</v>
      </c>
      <c r="C65" s="47">
        <v>117864.69999999998</v>
      </c>
      <c r="D65" s="47" t="s">
        <v>41</v>
      </c>
      <c r="E65" s="45">
        <v>54900</v>
      </c>
      <c r="F65" s="48"/>
      <c r="G65" s="47">
        <v>7161.000000000001</v>
      </c>
      <c r="H65" s="46" t="s">
        <v>41</v>
      </c>
      <c r="I65" s="49">
        <f t="shared" si="0"/>
        <v>62061</v>
      </c>
      <c r="J65" s="46">
        <v>1538.3</v>
      </c>
      <c r="K65" s="47" t="s">
        <v>41</v>
      </c>
      <c r="L65" s="47" t="s">
        <v>41</v>
      </c>
      <c r="M65" s="47">
        <v>10000</v>
      </c>
      <c r="N65" s="23">
        <v>143.8</v>
      </c>
      <c r="O65" s="47" t="s">
        <v>41</v>
      </c>
      <c r="P65" s="47">
        <v>15966.599999999999</v>
      </c>
      <c r="Q65" s="46">
        <v>245776.80000000002</v>
      </c>
      <c r="R65" s="47">
        <v>130.70000000000002</v>
      </c>
      <c r="S65" s="47">
        <v>235.39999999999998</v>
      </c>
      <c r="T65" s="45">
        <v>64085.1</v>
      </c>
      <c r="U65" s="49">
        <f t="shared" si="1"/>
        <v>557612.7000000001</v>
      </c>
    </row>
    <row r="66" spans="1:21" ht="12.75" hidden="1">
      <c r="A66" s="52" t="s">
        <v>80</v>
      </c>
      <c r="B66" s="45">
        <v>33561.4</v>
      </c>
      <c r="C66" s="47">
        <v>120440.8</v>
      </c>
      <c r="D66" s="47" t="s">
        <v>41</v>
      </c>
      <c r="E66" s="45">
        <v>59092.7</v>
      </c>
      <c r="F66" s="48"/>
      <c r="G66" s="47">
        <v>7161.000000000001</v>
      </c>
      <c r="H66" s="46" t="s">
        <v>41</v>
      </c>
      <c r="I66" s="49">
        <f t="shared" si="0"/>
        <v>66253.7</v>
      </c>
      <c r="J66" s="46">
        <v>1427.8999999999999</v>
      </c>
      <c r="K66" s="47" t="s">
        <v>41</v>
      </c>
      <c r="L66" s="47" t="s">
        <v>41</v>
      </c>
      <c r="M66" s="47">
        <v>8300</v>
      </c>
      <c r="N66" s="23">
        <v>143.8</v>
      </c>
      <c r="O66" s="47" t="s">
        <v>41</v>
      </c>
      <c r="P66" s="47">
        <v>12670.300000000001</v>
      </c>
      <c r="Q66" s="46">
        <v>255547.6</v>
      </c>
      <c r="R66" s="47">
        <v>126.7</v>
      </c>
      <c r="S66" s="47">
        <v>87.1</v>
      </c>
      <c r="T66" s="45">
        <v>62039.89999999999</v>
      </c>
      <c r="U66" s="49">
        <f t="shared" si="1"/>
        <v>560599.2</v>
      </c>
    </row>
    <row r="67" spans="1:21" ht="12.75" hidden="1">
      <c r="A67" s="52" t="s">
        <v>81</v>
      </c>
      <c r="B67" s="45">
        <v>38063.1</v>
      </c>
      <c r="C67" s="47">
        <v>126001.6</v>
      </c>
      <c r="D67" s="47" t="s">
        <v>41</v>
      </c>
      <c r="E67" s="45">
        <v>59192.7</v>
      </c>
      <c r="F67" s="48"/>
      <c r="G67" s="47">
        <v>7161.000000000001</v>
      </c>
      <c r="H67" s="46" t="s">
        <v>41</v>
      </c>
      <c r="I67" s="49">
        <f t="shared" si="0"/>
        <v>66353.7</v>
      </c>
      <c r="J67" s="46">
        <v>1368.9</v>
      </c>
      <c r="K67" s="47" t="s">
        <v>41</v>
      </c>
      <c r="L67" s="47" t="s">
        <v>41</v>
      </c>
      <c r="M67" s="47">
        <v>1800</v>
      </c>
      <c r="N67" s="23">
        <v>143.8</v>
      </c>
      <c r="O67" s="47" t="s">
        <v>41</v>
      </c>
      <c r="P67" s="47">
        <v>11233.4</v>
      </c>
      <c r="Q67" s="46">
        <v>257451.09999999998</v>
      </c>
      <c r="R67" s="47">
        <v>152.1</v>
      </c>
      <c r="S67" s="47">
        <v>306</v>
      </c>
      <c r="T67" s="45">
        <v>64693.30000000001</v>
      </c>
      <c r="U67" s="49">
        <f t="shared" si="1"/>
        <v>567567</v>
      </c>
    </row>
    <row r="68" spans="1:21" ht="12.75" hidden="1">
      <c r="A68" s="52" t="s">
        <v>82</v>
      </c>
      <c r="B68" s="45">
        <v>38901.7</v>
      </c>
      <c r="C68" s="47">
        <v>123079.29999999999</v>
      </c>
      <c r="D68" s="47" t="s">
        <v>41</v>
      </c>
      <c r="E68" s="45">
        <v>63192.7</v>
      </c>
      <c r="F68" s="48"/>
      <c r="G68" s="47">
        <v>7161.000000000001</v>
      </c>
      <c r="H68" s="46" t="s">
        <v>41</v>
      </c>
      <c r="I68" s="49">
        <f t="shared" si="0"/>
        <v>70353.7</v>
      </c>
      <c r="J68" s="46">
        <v>1262.3999999999999</v>
      </c>
      <c r="K68" s="47" t="s">
        <v>41</v>
      </c>
      <c r="L68" s="47" t="s">
        <v>41</v>
      </c>
      <c r="M68" s="64" t="s">
        <v>41</v>
      </c>
      <c r="N68" s="23">
        <v>143.8</v>
      </c>
      <c r="O68" s="47" t="s">
        <v>41</v>
      </c>
      <c r="P68" s="47">
        <v>9977.6</v>
      </c>
      <c r="Q68" s="46">
        <v>263722.7</v>
      </c>
      <c r="R68" s="47">
        <v>146.3</v>
      </c>
      <c r="S68" s="47">
        <v>626.5</v>
      </c>
      <c r="T68" s="45">
        <v>65782.20000000001</v>
      </c>
      <c r="U68" s="49">
        <f t="shared" si="1"/>
        <v>573996.2</v>
      </c>
    </row>
    <row r="69" spans="1:21" ht="12.75" hidden="1">
      <c r="A69" s="52" t="s">
        <v>83</v>
      </c>
      <c r="B69" s="45">
        <v>51105.600000000006</v>
      </c>
      <c r="C69" s="47">
        <v>125767.2</v>
      </c>
      <c r="D69" s="47" t="s">
        <v>41</v>
      </c>
      <c r="E69" s="45">
        <v>60667.8</v>
      </c>
      <c r="F69" s="48"/>
      <c r="G69" s="47">
        <v>7161.000000000001</v>
      </c>
      <c r="H69" s="46" t="s">
        <v>41</v>
      </c>
      <c r="I69" s="49">
        <f t="shared" si="0"/>
        <v>67828.8</v>
      </c>
      <c r="J69" s="46">
        <v>2038.4999999999995</v>
      </c>
      <c r="K69" s="47" t="s">
        <v>41</v>
      </c>
      <c r="L69" s="47" t="s">
        <v>41</v>
      </c>
      <c r="M69" s="64" t="s">
        <v>41</v>
      </c>
      <c r="N69" s="23">
        <v>143.8</v>
      </c>
      <c r="O69" s="47" t="s">
        <v>41</v>
      </c>
      <c r="P69" s="47">
        <v>10418.4</v>
      </c>
      <c r="Q69" s="46">
        <v>268644.39999999997</v>
      </c>
      <c r="R69" s="47">
        <v>142.10000000000002</v>
      </c>
      <c r="S69" s="47">
        <v>827.7</v>
      </c>
      <c r="T69" s="45">
        <v>65041.5</v>
      </c>
      <c r="U69" s="49">
        <f t="shared" si="1"/>
        <v>591957.9999999999</v>
      </c>
    </row>
    <row r="70" spans="1:22" s="59" customFormat="1" ht="12.75" hidden="1">
      <c r="A70" s="54" t="s">
        <v>84</v>
      </c>
      <c r="B70" s="55">
        <v>37025.5</v>
      </c>
      <c r="C70" s="57">
        <v>119354.19999999998</v>
      </c>
      <c r="D70" s="57" t="s">
        <v>41</v>
      </c>
      <c r="E70" s="55">
        <v>66000</v>
      </c>
      <c r="F70" s="58"/>
      <c r="G70" s="57">
        <v>7161.000000000001</v>
      </c>
      <c r="H70" s="56" t="s">
        <v>41</v>
      </c>
      <c r="I70" s="49">
        <f t="shared" si="0"/>
        <v>73161</v>
      </c>
      <c r="J70" s="56">
        <v>1065.8000000000002</v>
      </c>
      <c r="K70" s="57" t="s">
        <v>41</v>
      </c>
      <c r="L70" s="57" t="s">
        <v>41</v>
      </c>
      <c r="M70" s="64" t="s">
        <v>41</v>
      </c>
      <c r="N70" s="69">
        <v>143.8</v>
      </c>
      <c r="O70" s="47" t="s">
        <v>41</v>
      </c>
      <c r="P70" s="57">
        <v>14158.899999999998</v>
      </c>
      <c r="Q70" s="56">
        <v>272667.1</v>
      </c>
      <c r="R70" s="57">
        <v>429.20000000000005</v>
      </c>
      <c r="S70" s="57">
        <v>838.3000000000001</v>
      </c>
      <c r="T70" s="55">
        <v>66477.4</v>
      </c>
      <c r="U70" s="49">
        <f t="shared" si="1"/>
        <v>585321.2</v>
      </c>
      <c r="V70" s="4"/>
    </row>
    <row r="71" spans="1:22" s="59" customFormat="1" ht="12.75" hidden="1">
      <c r="A71" s="54" t="s">
        <v>85</v>
      </c>
      <c r="B71" s="55">
        <v>40222.799999999996</v>
      </c>
      <c r="C71" s="57">
        <v>126943.29999999999</v>
      </c>
      <c r="D71" s="57" t="s">
        <v>41</v>
      </c>
      <c r="E71" s="55">
        <v>64700</v>
      </c>
      <c r="F71" s="58"/>
      <c r="G71" s="57">
        <v>7161.000000000001</v>
      </c>
      <c r="H71" s="56" t="s">
        <v>41</v>
      </c>
      <c r="I71" s="49">
        <f t="shared" si="0"/>
        <v>71861</v>
      </c>
      <c r="J71" s="56">
        <v>1005.8</v>
      </c>
      <c r="K71" s="57" t="s">
        <v>41</v>
      </c>
      <c r="L71" s="57" t="s">
        <v>41</v>
      </c>
      <c r="M71" s="64" t="s">
        <v>41</v>
      </c>
      <c r="N71" s="69">
        <v>143.8</v>
      </c>
      <c r="O71" s="47" t="s">
        <v>41</v>
      </c>
      <c r="P71" s="57">
        <v>16330.099999999999</v>
      </c>
      <c r="Q71" s="56">
        <v>275045.7</v>
      </c>
      <c r="R71" s="57">
        <v>405.20000000000005</v>
      </c>
      <c r="S71" s="57">
        <v>1129.6999999999998</v>
      </c>
      <c r="T71" s="55">
        <v>66356.1</v>
      </c>
      <c r="U71" s="49">
        <f t="shared" si="1"/>
        <v>599443.4999999999</v>
      </c>
      <c r="V71" s="4"/>
    </row>
    <row r="72" spans="1:21" ht="12.75" hidden="1">
      <c r="A72" s="54" t="s">
        <v>86</v>
      </c>
      <c r="B72" s="45">
        <v>49397.799999999996</v>
      </c>
      <c r="C72" s="47">
        <v>125532.20000000001</v>
      </c>
      <c r="D72" s="47" t="s">
        <v>41</v>
      </c>
      <c r="E72" s="45">
        <v>70575.1</v>
      </c>
      <c r="F72" s="48"/>
      <c r="G72" s="47">
        <v>7161.000000000001</v>
      </c>
      <c r="H72" s="46" t="s">
        <v>41</v>
      </c>
      <c r="I72" s="49">
        <f t="shared" si="0"/>
        <v>77736.1</v>
      </c>
      <c r="J72" s="46">
        <v>987.1</v>
      </c>
      <c r="K72" s="47" t="s">
        <v>41</v>
      </c>
      <c r="L72" s="47" t="s">
        <v>41</v>
      </c>
      <c r="M72" s="64" t="s">
        <v>41</v>
      </c>
      <c r="N72" s="23">
        <v>143.8</v>
      </c>
      <c r="O72" s="47" t="s">
        <v>41</v>
      </c>
      <c r="P72" s="47">
        <v>13687.800000000001</v>
      </c>
      <c r="Q72" s="46">
        <v>286416.1</v>
      </c>
      <c r="R72" s="47">
        <v>396.70000000000005</v>
      </c>
      <c r="S72" s="47">
        <v>1665.4999999999998</v>
      </c>
      <c r="T72" s="45">
        <v>67884.50000000001</v>
      </c>
      <c r="U72" s="49">
        <f t="shared" si="1"/>
        <v>623847.5999999999</v>
      </c>
    </row>
    <row r="73" spans="1:21" ht="12.75" hidden="1">
      <c r="A73" s="54" t="s">
        <v>87</v>
      </c>
      <c r="B73" s="45">
        <v>45854.5</v>
      </c>
      <c r="C73" s="47">
        <v>124128.7</v>
      </c>
      <c r="D73" s="47" t="s">
        <v>41</v>
      </c>
      <c r="E73" s="45">
        <v>71989.8</v>
      </c>
      <c r="F73" s="48"/>
      <c r="G73" s="47">
        <v>7161.000000000001</v>
      </c>
      <c r="H73" s="46" t="s">
        <v>41</v>
      </c>
      <c r="I73" s="49">
        <f t="shared" si="0"/>
        <v>79150.8</v>
      </c>
      <c r="J73" s="46">
        <v>926.2</v>
      </c>
      <c r="K73" s="47" t="s">
        <v>41</v>
      </c>
      <c r="L73" s="47" t="s">
        <v>41</v>
      </c>
      <c r="M73" s="64" t="s">
        <v>41</v>
      </c>
      <c r="N73" s="23">
        <v>143.8</v>
      </c>
      <c r="O73" s="47" t="s">
        <v>41</v>
      </c>
      <c r="P73" s="47">
        <v>12217.300000000001</v>
      </c>
      <c r="Q73" s="46">
        <v>294320.7</v>
      </c>
      <c r="R73" s="47">
        <v>295.3</v>
      </c>
      <c r="S73" s="47">
        <v>1750.3999999999999</v>
      </c>
      <c r="T73" s="45">
        <v>69995.5</v>
      </c>
      <c r="U73" s="49">
        <f t="shared" si="1"/>
        <v>628783.2000000001</v>
      </c>
    </row>
    <row r="74" spans="1:21" ht="12.75" hidden="1">
      <c r="A74" s="54" t="s">
        <v>88</v>
      </c>
      <c r="B74" s="45">
        <v>50102.299999999996</v>
      </c>
      <c r="C74" s="47">
        <v>130034.9</v>
      </c>
      <c r="D74" s="47" t="s">
        <v>41</v>
      </c>
      <c r="E74" s="45">
        <v>60028.5</v>
      </c>
      <c r="F74" s="48"/>
      <c r="G74" s="47">
        <v>7161.000000000001</v>
      </c>
      <c r="H74" s="46" t="s">
        <v>41</v>
      </c>
      <c r="I74" s="49">
        <f t="shared" si="0"/>
        <v>67189.5</v>
      </c>
      <c r="J74" s="46">
        <v>846.5</v>
      </c>
      <c r="K74" s="47" t="s">
        <v>41</v>
      </c>
      <c r="L74" s="47" t="s">
        <v>41</v>
      </c>
      <c r="M74" s="47">
        <v>5500</v>
      </c>
      <c r="N74" s="23">
        <v>143.8</v>
      </c>
      <c r="O74" s="47" t="s">
        <v>41</v>
      </c>
      <c r="P74" s="47">
        <v>9735.899999999998</v>
      </c>
      <c r="Q74" s="46">
        <v>305076.30000000005</v>
      </c>
      <c r="R74" s="47">
        <v>277</v>
      </c>
      <c r="S74" s="47">
        <v>2165.7999999999997</v>
      </c>
      <c r="T74" s="45">
        <v>71142</v>
      </c>
      <c r="U74" s="49">
        <f t="shared" si="1"/>
        <v>642214</v>
      </c>
    </row>
    <row r="75" spans="1:21" ht="12.75" hidden="1">
      <c r="A75" s="54" t="s">
        <v>89</v>
      </c>
      <c r="B75" s="45">
        <v>68591.90000000001</v>
      </c>
      <c r="C75" s="47">
        <v>155769.00000000003</v>
      </c>
      <c r="D75" s="47" t="s">
        <v>41</v>
      </c>
      <c r="E75" s="45">
        <v>58200</v>
      </c>
      <c r="F75" s="48"/>
      <c r="G75" s="47">
        <v>7161.000000000001</v>
      </c>
      <c r="H75" s="46" t="s">
        <v>41</v>
      </c>
      <c r="I75" s="49">
        <f t="shared" si="0"/>
        <v>65361</v>
      </c>
      <c r="J75" s="46">
        <v>757.4</v>
      </c>
      <c r="K75" s="47" t="s">
        <v>41</v>
      </c>
      <c r="L75" s="47" t="s">
        <v>41</v>
      </c>
      <c r="M75" s="47">
        <v>10000</v>
      </c>
      <c r="N75" s="23">
        <v>143.8</v>
      </c>
      <c r="O75" s="47" t="s">
        <v>41</v>
      </c>
      <c r="P75" s="47">
        <v>8420.7</v>
      </c>
      <c r="Q75" s="46">
        <v>303472.6</v>
      </c>
      <c r="R75" s="47">
        <v>497.1</v>
      </c>
      <c r="S75" s="47">
        <v>2391.7</v>
      </c>
      <c r="T75" s="45">
        <v>73905.5</v>
      </c>
      <c r="U75" s="49">
        <f t="shared" si="1"/>
        <v>689310.7</v>
      </c>
    </row>
    <row r="76" spans="1:21" ht="12.75" hidden="1">
      <c r="A76" s="52" t="s">
        <v>63</v>
      </c>
      <c r="B76" s="45">
        <v>59023.4</v>
      </c>
      <c r="C76" s="47">
        <v>153536.5</v>
      </c>
      <c r="D76" s="47" t="s">
        <v>41</v>
      </c>
      <c r="E76" s="45">
        <v>57000</v>
      </c>
      <c r="F76" s="48"/>
      <c r="G76" s="47">
        <v>7161.000000000001</v>
      </c>
      <c r="H76" s="46" t="s">
        <v>41</v>
      </c>
      <c r="I76" s="49">
        <f t="shared" si="0"/>
        <v>64161</v>
      </c>
      <c r="J76" s="46">
        <v>797.8</v>
      </c>
      <c r="K76" s="47" t="s">
        <v>41</v>
      </c>
      <c r="L76" s="47" t="s">
        <v>41</v>
      </c>
      <c r="M76" s="47">
        <v>21364</v>
      </c>
      <c r="N76" s="23">
        <v>143.8</v>
      </c>
      <c r="O76" s="47" t="s">
        <v>41</v>
      </c>
      <c r="P76" s="47">
        <v>6748.099999999999</v>
      </c>
      <c r="Q76" s="46">
        <v>301198.9</v>
      </c>
      <c r="R76" s="47">
        <v>363.6</v>
      </c>
      <c r="S76" s="47">
        <v>1341.7</v>
      </c>
      <c r="T76" s="45">
        <v>79819.1</v>
      </c>
      <c r="U76" s="49">
        <f t="shared" si="1"/>
        <v>688497.8999999999</v>
      </c>
    </row>
    <row r="77" spans="1:21" ht="12.75" hidden="1">
      <c r="A77" s="52" t="s">
        <v>92</v>
      </c>
      <c r="B77" s="45">
        <v>58807.9</v>
      </c>
      <c r="C77" s="47">
        <v>157687.9</v>
      </c>
      <c r="D77" s="47" t="s">
        <v>41</v>
      </c>
      <c r="E77" s="45">
        <v>57000</v>
      </c>
      <c r="F77" s="48"/>
      <c r="G77" s="47">
        <v>7161.000000000001</v>
      </c>
      <c r="H77" s="46" t="s">
        <v>41</v>
      </c>
      <c r="I77" s="49">
        <f aca="true" t="shared" si="2" ref="I77:I126">SUM(D77:H77)</f>
        <v>64161</v>
      </c>
      <c r="J77" s="46">
        <v>726.1</v>
      </c>
      <c r="K77" s="47" t="s">
        <v>41</v>
      </c>
      <c r="L77" s="47" t="s">
        <v>41</v>
      </c>
      <c r="M77" s="47">
        <v>14000</v>
      </c>
      <c r="N77" s="23">
        <v>143.8</v>
      </c>
      <c r="O77" s="47" t="s">
        <v>41</v>
      </c>
      <c r="P77" s="47">
        <v>6518.1</v>
      </c>
      <c r="Q77" s="46">
        <v>312038.00000000006</v>
      </c>
      <c r="R77" s="47">
        <v>457.29999999999995</v>
      </c>
      <c r="S77" s="47">
        <v>1449.1</v>
      </c>
      <c r="T77" s="45">
        <v>79395.3</v>
      </c>
      <c r="U77" s="49">
        <f t="shared" si="1"/>
        <v>695384.5000000001</v>
      </c>
    </row>
    <row r="78" spans="1:21" ht="12.75" hidden="1">
      <c r="A78" s="52" t="s">
        <v>93</v>
      </c>
      <c r="B78" s="45">
        <v>41604.9</v>
      </c>
      <c r="C78" s="47">
        <v>155722.80000000005</v>
      </c>
      <c r="D78" s="47" t="s">
        <v>41</v>
      </c>
      <c r="E78" s="45">
        <v>72183.7</v>
      </c>
      <c r="F78" s="48"/>
      <c r="G78" s="47">
        <v>7161.000000000001</v>
      </c>
      <c r="H78" s="46" t="s">
        <v>41</v>
      </c>
      <c r="I78" s="49">
        <f t="shared" si="2"/>
        <v>79344.7</v>
      </c>
      <c r="J78" s="46">
        <v>616.6999999999999</v>
      </c>
      <c r="K78" s="47" t="s">
        <v>41</v>
      </c>
      <c r="L78" s="47" t="s">
        <v>41</v>
      </c>
      <c r="M78" s="47">
        <v>22100.6</v>
      </c>
      <c r="N78" s="23">
        <v>143.8</v>
      </c>
      <c r="O78" s="47" t="s">
        <v>41</v>
      </c>
      <c r="P78" s="47">
        <v>6398.500000000001</v>
      </c>
      <c r="Q78" s="46">
        <v>322743.2</v>
      </c>
      <c r="R78" s="47">
        <v>462.8</v>
      </c>
      <c r="S78" s="47">
        <v>1619.6000000000001</v>
      </c>
      <c r="T78" s="45">
        <v>78099.69999999998</v>
      </c>
      <c r="U78" s="49">
        <f t="shared" si="1"/>
        <v>708857.2999999999</v>
      </c>
    </row>
    <row r="79" spans="1:21" ht="12.75" hidden="1">
      <c r="A79" s="52" t="s">
        <v>94</v>
      </c>
      <c r="B79" s="45">
        <v>57956.399999999994</v>
      </c>
      <c r="C79" s="47">
        <v>148851.90000000002</v>
      </c>
      <c r="D79" s="47" t="s">
        <v>41</v>
      </c>
      <c r="E79" s="45">
        <v>65991.9</v>
      </c>
      <c r="F79" s="48"/>
      <c r="G79" s="47">
        <v>7161.000000000001</v>
      </c>
      <c r="H79" s="46" t="s">
        <v>41</v>
      </c>
      <c r="I79" s="49">
        <f t="shared" si="2"/>
        <v>73152.9</v>
      </c>
      <c r="J79" s="46">
        <v>533.5</v>
      </c>
      <c r="K79" s="47" t="s">
        <v>41</v>
      </c>
      <c r="L79" s="47" t="s">
        <v>41</v>
      </c>
      <c r="M79" s="47">
        <v>8800.3</v>
      </c>
      <c r="N79" s="23">
        <v>143.8</v>
      </c>
      <c r="O79" s="47" t="s">
        <v>41</v>
      </c>
      <c r="P79" s="47">
        <v>6248.5</v>
      </c>
      <c r="Q79" s="46">
        <v>331088.7</v>
      </c>
      <c r="R79" s="47">
        <v>429.1</v>
      </c>
      <c r="S79" s="47">
        <v>1527.5</v>
      </c>
      <c r="T79" s="45">
        <v>77830.20000000001</v>
      </c>
      <c r="U79" s="49">
        <f t="shared" si="1"/>
        <v>706562.8</v>
      </c>
    </row>
    <row r="80" spans="1:21" ht="12.75" hidden="1">
      <c r="A80" s="52" t="s">
        <v>95</v>
      </c>
      <c r="B80" s="45">
        <v>34285.6</v>
      </c>
      <c r="C80" s="47">
        <v>136564.19999999998</v>
      </c>
      <c r="D80" s="47" t="s">
        <v>41</v>
      </c>
      <c r="E80" s="45">
        <v>70497.5</v>
      </c>
      <c r="F80" s="48"/>
      <c r="G80" s="47">
        <v>16160.999999999998</v>
      </c>
      <c r="H80" s="46" t="s">
        <v>41</v>
      </c>
      <c r="I80" s="49">
        <f t="shared" si="2"/>
        <v>86658.5</v>
      </c>
      <c r="J80" s="46">
        <v>506.4</v>
      </c>
      <c r="K80" s="47" t="s">
        <v>41</v>
      </c>
      <c r="L80" s="47" t="s">
        <v>41</v>
      </c>
      <c r="M80" s="64" t="s">
        <v>41</v>
      </c>
      <c r="N80" s="23">
        <v>143.8</v>
      </c>
      <c r="O80" s="47" t="s">
        <v>41</v>
      </c>
      <c r="P80" s="47">
        <v>8239.9</v>
      </c>
      <c r="Q80" s="46">
        <v>336254</v>
      </c>
      <c r="R80" s="47">
        <v>595.8</v>
      </c>
      <c r="S80" s="47">
        <v>1637.3</v>
      </c>
      <c r="T80" s="45">
        <v>78673.19999999998</v>
      </c>
      <c r="U80" s="49">
        <f t="shared" si="1"/>
        <v>683558.7</v>
      </c>
    </row>
    <row r="81" spans="1:21" ht="12.75" hidden="1">
      <c r="A81" s="52" t="s">
        <v>96</v>
      </c>
      <c r="B81" s="45">
        <v>40914.600000000006</v>
      </c>
      <c r="C81" s="47">
        <v>139243.59999999998</v>
      </c>
      <c r="D81" s="47" t="s">
        <v>41</v>
      </c>
      <c r="E81" s="45">
        <v>62840.5</v>
      </c>
      <c r="F81" s="48"/>
      <c r="G81" s="47">
        <v>16160.999999999998</v>
      </c>
      <c r="H81" s="46" t="s">
        <v>41</v>
      </c>
      <c r="I81" s="49">
        <f t="shared" si="2"/>
        <v>79001.5</v>
      </c>
      <c r="J81" s="46">
        <v>451.90000000000003</v>
      </c>
      <c r="K81" s="47" t="s">
        <v>41</v>
      </c>
      <c r="L81" s="47" t="s">
        <v>41</v>
      </c>
      <c r="M81" s="64" t="s">
        <v>41</v>
      </c>
      <c r="N81" s="23">
        <v>143.8</v>
      </c>
      <c r="O81" s="47" t="s">
        <v>41</v>
      </c>
      <c r="P81" s="47">
        <v>9769</v>
      </c>
      <c r="Q81" s="46">
        <v>358165.3</v>
      </c>
      <c r="R81" s="47">
        <v>512.0999999999999</v>
      </c>
      <c r="S81" s="47">
        <v>1954.1</v>
      </c>
      <c r="T81" s="45">
        <v>82945.7</v>
      </c>
      <c r="U81" s="49">
        <f t="shared" si="1"/>
        <v>713101.5999999999</v>
      </c>
    </row>
    <row r="82" spans="1:21" ht="12.75" hidden="1">
      <c r="A82" s="52" t="s">
        <v>97</v>
      </c>
      <c r="B82" s="45">
        <v>41064.700000000004</v>
      </c>
      <c r="C82" s="47">
        <v>148565.8</v>
      </c>
      <c r="D82" s="47" t="s">
        <v>41</v>
      </c>
      <c r="E82" s="45">
        <v>60717.5</v>
      </c>
      <c r="F82" s="48"/>
      <c r="G82" s="47">
        <v>16160.999999999998</v>
      </c>
      <c r="H82" s="46" t="s">
        <v>41</v>
      </c>
      <c r="I82" s="49">
        <f t="shared" si="2"/>
        <v>76878.5</v>
      </c>
      <c r="J82" s="46">
        <v>424</v>
      </c>
      <c r="K82" s="47" t="s">
        <v>41</v>
      </c>
      <c r="L82" s="47" t="s">
        <v>41</v>
      </c>
      <c r="M82" s="64" t="s">
        <v>41</v>
      </c>
      <c r="N82" s="23">
        <v>143.8</v>
      </c>
      <c r="O82" s="47" t="s">
        <v>41</v>
      </c>
      <c r="P82" s="47">
        <v>24217.7</v>
      </c>
      <c r="Q82" s="46">
        <v>359737.30000000005</v>
      </c>
      <c r="R82" s="47">
        <v>677.2</v>
      </c>
      <c r="S82" s="47">
        <v>1928.9</v>
      </c>
      <c r="T82" s="45">
        <v>80987.3</v>
      </c>
      <c r="U82" s="49">
        <f t="shared" si="1"/>
        <v>734625.2000000001</v>
      </c>
    </row>
    <row r="83" spans="1:21" ht="12.75" hidden="1">
      <c r="A83" s="52" t="s">
        <v>98</v>
      </c>
      <c r="B83" s="45">
        <v>48266.3</v>
      </c>
      <c r="C83" s="47">
        <v>137763</v>
      </c>
      <c r="D83" s="47" t="s">
        <v>41</v>
      </c>
      <c r="E83" s="45">
        <v>71082</v>
      </c>
      <c r="F83" s="48"/>
      <c r="G83" s="47">
        <v>16160.999999999998</v>
      </c>
      <c r="H83" s="46" t="s">
        <v>41</v>
      </c>
      <c r="I83" s="49">
        <f t="shared" si="2"/>
        <v>87243</v>
      </c>
      <c r="J83" s="46">
        <v>404.8</v>
      </c>
      <c r="K83" s="47" t="s">
        <v>41</v>
      </c>
      <c r="L83" s="47" t="s">
        <v>41</v>
      </c>
      <c r="M83" s="64" t="s">
        <v>41</v>
      </c>
      <c r="N83" s="23">
        <v>143.8</v>
      </c>
      <c r="O83" s="47" t="s">
        <v>41</v>
      </c>
      <c r="P83" s="47">
        <v>24152.2</v>
      </c>
      <c r="Q83" s="46">
        <v>371931.5999999999</v>
      </c>
      <c r="R83" s="47">
        <v>678.5999999999999</v>
      </c>
      <c r="S83" s="47">
        <v>1955.9</v>
      </c>
      <c r="T83" s="45">
        <v>80627.29999999999</v>
      </c>
      <c r="U83" s="49">
        <f t="shared" si="1"/>
        <v>753166.5</v>
      </c>
    </row>
    <row r="84" spans="1:21" ht="12.75" hidden="1">
      <c r="A84" s="52" t="s">
        <v>99</v>
      </c>
      <c r="B84" s="45">
        <v>46143</v>
      </c>
      <c r="C84" s="47">
        <v>135528.9</v>
      </c>
      <c r="D84" s="47" t="s">
        <v>41</v>
      </c>
      <c r="E84" s="45">
        <v>81448.1</v>
      </c>
      <c r="F84" s="48"/>
      <c r="G84" s="47">
        <v>16160.999999999998</v>
      </c>
      <c r="H84" s="46" t="s">
        <v>41</v>
      </c>
      <c r="I84" s="49">
        <f t="shared" si="2"/>
        <v>97609.1</v>
      </c>
      <c r="J84" s="46">
        <v>357.49999999999994</v>
      </c>
      <c r="K84" s="47" t="s">
        <v>41</v>
      </c>
      <c r="L84" s="47" t="s">
        <v>41</v>
      </c>
      <c r="M84" s="47">
        <v>2000</v>
      </c>
      <c r="N84" s="23">
        <v>143.8</v>
      </c>
      <c r="O84" s="47" t="s">
        <v>41</v>
      </c>
      <c r="P84" s="47">
        <v>21134.6</v>
      </c>
      <c r="Q84" s="46">
        <v>380490.19999999995</v>
      </c>
      <c r="R84" s="47">
        <v>647.8</v>
      </c>
      <c r="S84" s="47">
        <v>2067.8</v>
      </c>
      <c r="T84" s="45">
        <v>80095.80000000002</v>
      </c>
      <c r="U84" s="49">
        <f aca="true" t="shared" si="3" ref="U84:U111">SUM(B84:C84,I84:T84)</f>
        <v>766218.5</v>
      </c>
    </row>
    <row r="85" spans="1:21" ht="12.75" hidden="1">
      <c r="A85" s="52" t="s">
        <v>100</v>
      </c>
      <c r="B85" s="45">
        <v>32112.5</v>
      </c>
      <c r="C85" s="47">
        <v>148423.1</v>
      </c>
      <c r="D85" s="47" t="s">
        <v>41</v>
      </c>
      <c r="E85" s="45">
        <v>92104.2</v>
      </c>
      <c r="F85" s="48"/>
      <c r="G85" s="47">
        <v>16160.999999999998</v>
      </c>
      <c r="H85" s="46" t="s">
        <v>41</v>
      </c>
      <c r="I85" s="49">
        <f t="shared" si="2"/>
        <v>108265.2</v>
      </c>
      <c r="J85" s="46">
        <v>293.59999999999997</v>
      </c>
      <c r="K85" s="47" t="s">
        <v>41</v>
      </c>
      <c r="L85" s="47" t="s">
        <v>41</v>
      </c>
      <c r="M85" s="64" t="s">
        <v>41</v>
      </c>
      <c r="N85" s="23">
        <v>143.8</v>
      </c>
      <c r="O85" s="47" t="s">
        <v>41</v>
      </c>
      <c r="P85" s="47">
        <v>17126</v>
      </c>
      <c r="Q85" s="46">
        <v>387153.49999999994</v>
      </c>
      <c r="R85" s="47">
        <v>656.2</v>
      </c>
      <c r="S85" s="47">
        <v>1983.4</v>
      </c>
      <c r="T85" s="45">
        <v>82538.90000000001</v>
      </c>
      <c r="U85" s="49">
        <f t="shared" si="3"/>
        <v>778696.2</v>
      </c>
    </row>
    <row r="86" spans="1:21" ht="12.75" hidden="1">
      <c r="A86" s="52" t="s">
        <v>101</v>
      </c>
      <c r="B86" s="45">
        <v>47866.7</v>
      </c>
      <c r="C86" s="47">
        <v>150072.59999999998</v>
      </c>
      <c r="D86" s="47" t="s">
        <v>41</v>
      </c>
      <c r="E86" s="45">
        <v>90996.2</v>
      </c>
      <c r="F86" s="48"/>
      <c r="G86" s="47">
        <v>16160.999999999998</v>
      </c>
      <c r="H86" s="46" t="s">
        <v>41</v>
      </c>
      <c r="I86" s="49">
        <f t="shared" si="2"/>
        <v>107157.2</v>
      </c>
      <c r="J86" s="46">
        <v>266.90000000000003</v>
      </c>
      <c r="K86" s="47" t="s">
        <v>41</v>
      </c>
      <c r="L86" s="47" t="s">
        <v>41</v>
      </c>
      <c r="M86" s="64" t="s">
        <v>41</v>
      </c>
      <c r="N86" s="23">
        <v>143.8</v>
      </c>
      <c r="O86" s="47" t="s">
        <v>41</v>
      </c>
      <c r="P86" s="47">
        <v>12767.9</v>
      </c>
      <c r="Q86" s="46">
        <v>389884.4</v>
      </c>
      <c r="R86" s="47">
        <v>620.8</v>
      </c>
      <c r="S86" s="47">
        <v>2119.7</v>
      </c>
      <c r="T86" s="45">
        <v>82958.49999999999</v>
      </c>
      <c r="U86" s="49">
        <f t="shared" si="3"/>
        <v>793858.5</v>
      </c>
    </row>
    <row r="87" spans="1:21" ht="12.75" hidden="1">
      <c r="A87" s="52" t="s">
        <v>102</v>
      </c>
      <c r="B87" s="45">
        <v>64325.80000000001</v>
      </c>
      <c r="C87" s="47">
        <v>162923</v>
      </c>
      <c r="D87" s="47" t="s">
        <v>41</v>
      </c>
      <c r="E87" s="45">
        <v>92120.1</v>
      </c>
      <c r="F87" s="48"/>
      <c r="G87" s="47">
        <v>16984.399999999998</v>
      </c>
      <c r="H87" s="46" t="s">
        <v>41</v>
      </c>
      <c r="I87" s="49">
        <f t="shared" si="2"/>
        <v>109104.5</v>
      </c>
      <c r="J87" s="46">
        <v>278.5</v>
      </c>
      <c r="K87" s="47" t="s">
        <v>41</v>
      </c>
      <c r="L87" s="47" t="s">
        <v>41</v>
      </c>
      <c r="M87" s="47">
        <v>6000</v>
      </c>
      <c r="N87" s="23">
        <v>143.8</v>
      </c>
      <c r="O87" s="47" t="s">
        <v>41</v>
      </c>
      <c r="P87" s="47">
        <v>8662.2</v>
      </c>
      <c r="Q87" s="46">
        <v>394556.39999999997</v>
      </c>
      <c r="R87" s="47">
        <v>599.4</v>
      </c>
      <c r="S87" s="47">
        <v>2295.6</v>
      </c>
      <c r="T87" s="45">
        <v>91657.7</v>
      </c>
      <c r="U87" s="49">
        <f t="shared" si="3"/>
        <v>840546.8999999999</v>
      </c>
    </row>
    <row r="88" spans="1:23" s="59" customFormat="1" ht="12.75" hidden="1">
      <c r="A88" s="54" t="s">
        <v>78</v>
      </c>
      <c r="B88" s="55">
        <v>59951.9</v>
      </c>
      <c r="C88" s="57">
        <v>152646.00000000003</v>
      </c>
      <c r="D88" s="57" t="s">
        <v>41</v>
      </c>
      <c r="E88" s="55">
        <v>103137.6</v>
      </c>
      <c r="F88" s="58"/>
      <c r="G88" s="57">
        <v>16984.399999999998</v>
      </c>
      <c r="H88" s="56" t="s">
        <v>41</v>
      </c>
      <c r="I88" s="62">
        <f t="shared" si="2"/>
        <v>120122</v>
      </c>
      <c r="J88" s="56">
        <v>815.1</v>
      </c>
      <c r="K88" s="57" t="s">
        <v>41</v>
      </c>
      <c r="L88" s="57" t="s">
        <v>41</v>
      </c>
      <c r="M88" s="57">
        <v>4500</v>
      </c>
      <c r="N88" s="69">
        <v>143.8</v>
      </c>
      <c r="O88" s="47" t="s">
        <v>41</v>
      </c>
      <c r="P88" s="57">
        <v>7586.4</v>
      </c>
      <c r="Q88" s="56">
        <v>396132.5</v>
      </c>
      <c r="R88" s="57">
        <v>588.8</v>
      </c>
      <c r="S88" s="57">
        <v>2330.3</v>
      </c>
      <c r="T88" s="55">
        <v>91202.5</v>
      </c>
      <c r="U88" s="49">
        <f t="shared" si="3"/>
        <v>836019.3</v>
      </c>
      <c r="V88" s="4"/>
      <c r="W88" s="63"/>
    </row>
    <row r="89" spans="1:23" s="59" customFormat="1" ht="12.75" hidden="1">
      <c r="A89" s="54" t="s">
        <v>105</v>
      </c>
      <c r="B89" s="55">
        <v>43718.9</v>
      </c>
      <c r="C89" s="57">
        <v>149996.80000000002</v>
      </c>
      <c r="D89" s="57" t="s">
        <v>41</v>
      </c>
      <c r="E89" s="55">
        <v>113042.3</v>
      </c>
      <c r="F89" s="58"/>
      <c r="G89" s="57">
        <v>16984.399999999998</v>
      </c>
      <c r="H89" s="56" t="s">
        <v>41</v>
      </c>
      <c r="I89" s="62">
        <f t="shared" si="2"/>
        <v>130026.7</v>
      </c>
      <c r="J89" s="56">
        <v>757.4</v>
      </c>
      <c r="K89" s="57" t="s">
        <v>41</v>
      </c>
      <c r="L89" s="57" t="s">
        <v>41</v>
      </c>
      <c r="M89" s="57">
        <v>2923</v>
      </c>
      <c r="N89" s="69">
        <v>143.8</v>
      </c>
      <c r="O89" s="47" t="s">
        <v>41</v>
      </c>
      <c r="P89" s="57">
        <v>7224.900000000001</v>
      </c>
      <c r="Q89" s="56">
        <v>409113.0999999999</v>
      </c>
      <c r="R89" s="57">
        <v>508.4</v>
      </c>
      <c r="S89" s="57">
        <v>2408</v>
      </c>
      <c r="T89" s="55">
        <v>94963</v>
      </c>
      <c r="U89" s="49">
        <f t="shared" si="3"/>
        <v>841784</v>
      </c>
      <c r="V89" s="4"/>
      <c r="W89" s="63"/>
    </row>
    <row r="90" spans="1:23" s="59" customFormat="1" ht="12.75" hidden="1">
      <c r="A90" s="54" t="s">
        <v>106</v>
      </c>
      <c r="B90" s="55">
        <v>53520.8</v>
      </c>
      <c r="C90" s="57">
        <v>143485.69999999995</v>
      </c>
      <c r="D90" s="57" t="s">
        <v>41</v>
      </c>
      <c r="E90" s="55">
        <v>102581.9</v>
      </c>
      <c r="F90" s="58"/>
      <c r="G90" s="57">
        <v>16984.399999999998</v>
      </c>
      <c r="H90" s="56" t="s">
        <v>41</v>
      </c>
      <c r="I90" s="62">
        <f t="shared" si="2"/>
        <v>119566.29999999999</v>
      </c>
      <c r="J90" s="56">
        <v>975.1</v>
      </c>
      <c r="K90" s="57" t="s">
        <v>41</v>
      </c>
      <c r="L90" s="57" t="s">
        <v>41</v>
      </c>
      <c r="M90" s="57">
        <v>5491.5</v>
      </c>
      <c r="N90" s="69">
        <v>143.8</v>
      </c>
      <c r="O90" s="47" t="s">
        <v>41</v>
      </c>
      <c r="P90" s="57">
        <v>6451</v>
      </c>
      <c r="Q90" s="56">
        <v>423693.89999999997</v>
      </c>
      <c r="R90" s="57">
        <v>599</v>
      </c>
      <c r="S90" s="57">
        <v>1881.4</v>
      </c>
      <c r="T90" s="55">
        <v>89764.20000000001</v>
      </c>
      <c r="U90" s="49">
        <f t="shared" si="3"/>
        <v>845572.7</v>
      </c>
      <c r="V90" s="4"/>
      <c r="W90" s="63"/>
    </row>
    <row r="91" spans="1:23" s="59" customFormat="1" ht="12.75" hidden="1">
      <c r="A91" s="54" t="s">
        <v>50</v>
      </c>
      <c r="B91" s="55">
        <v>47387.9</v>
      </c>
      <c r="C91" s="57">
        <v>142072.69999999998</v>
      </c>
      <c r="D91" s="57" t="s">
        <v>41</v>
      </c>
      <c r="E91" s="55">
        <v>104981.70000000001</v>
      </c>
      <c r="F91" s="58"/>
      <c r="G91" s="57">
        <v>16984.399999999998</v>
      </c>
      <c r="H91" s="56" t="s">
        <v>41</v>
      </c>
      <c r="I91" s="62">
        <f t="shared" si="2"/>
        <v>121966.1</v>
      </c>
      <c r="J91" s="56">
        <v>825.1999999999999</v>
      </c>
      <c r="K91" s="57" t="s">
        <v>41</v>
      </c>
      <c r="L91" s="57" t="s">
        <v>41</v>
      </c>
      <c r="M91" s="64" t="s">
        <v>41</v>
      </c>
      <c r="N91" s="69">
        <v>143.8</v>
      </c>
      <c r="O91" s="47" t="s">
        <v>41</v>
      </c>
      <c r="P91" s="57">
        <v>5040.100000000001</v>
      </c>
      <c r="Q91" s="56">
        <v>432601.19999999995</v>
      </c>
      <c r="R91" s="57">
        <v>583.5999999999999</v>
      </c>
      <c r="S91" s="57">
        <v>1897</v>
      </c>
      <c r="T91" s="55">
        <v>87475.7</v>
      </c>
      <c r="U91" s="49">
        <f t="shared" si="3"/>
        <v>839993.2999999998</v>
      </c>
      <c r="V91" s="4"/>
      <c r="W91" s="63"/>
    </row>
    <row r="92" spans="1:23" s="59" customFormat="1" ht="12.75" hidden="1">
      <c r="A92" s="54" t="s">
        <v>51</v>
      </c>
      <c r="B92" s="55">
        <v>43445.600000000006</v>
      </c>
      <c r="C92" s="57">
        <v>136429.60000000003</v>
      </c>
      <c r="D92" s="57" t="s">
        <v>41</v>
      </c>
      <c r="E92" s="55">
        <v>107255.79999999999</v>
      </c>
      <c r="F92" s="58"/>
      <c r="G92" s="57">
        <v>16984.399999999998</v>
      </c>
      <c r="H92" s="56" t="s">
        <v>41</v>
      </c>
      <c r="I92" s="62">
        <f t="shared" si="2"/>
        <v>124240.19999999998</v>
      </c>
      <c r="J92" s="56">
        <v>2888.5</v>
      </c>
      <c r="K92" s="57" t="s">
        <v>41</v>
      </c>
      <c r="L92" s="57" t="s">
        <v>41</v>
      </c>
      <c r="M92" s="64" t="s">
        <v>41</v>
      </c>
      <c r="N92" s="69">
        <v>143.8</v>
      </c>
      <c r="O92" s="47" t="s">
        <v>41</v>
      </c>
      <c r="P92" s="57">
        <v>4953.600000000001</v>
      </c>
      <c r="Q92" s="56">
        <v>451161.8</v>
      </c>
      <c r="R92" s="57">
        <v>631.5</v>
      </c>
      <c r="S92" s="57">
        <v>1878.1000000000001</v>
      </c>
      <c r="T92" s="55">
        <v>89516.2</v>
      </c>
      <c r="U92" s="49">
        <f t="shared" si="3"/>
        <v>855288.8999999999</v>
      </c>
      <c r="V92" s="4"/>
      <c r="W92" s="63"/>
    </row>
    <row r="93" spans="1:23" s="59" customFormat="1" ht="12.75" hidden="1">
      <c r="A93" s="54" t="s">
        <v>49</v>
      </c>
      <c r="B93" s="55">
        <v>45520.2</v>
      </c>
      <c r="C93" s="57">
        <v>129712.2</v>
      </c>
      <c r="D93" s="57" t="s">
        <v>41</v>
      </c>
      <c r="E93" s="55">
        <v>100456.5</v>
      </c>
      <c r="F93" s="58"/>
      <c r="G93" s="57">
        <v>16984.399999999998</v>
      </c>
      <c r="H93" s="56" t="s">
        <v>41</v>
      </c>
      <c r="I93" s="62">
        <f t="shared" si="2"/>
        <v>117440.9</v>
      </c>
      <c r="J93" s="56">
        <v>2808.8</v>
      </c>
      <c r="K93" s="57" t="s">
        <v>41</v>
      </c>
      <c r="L93" s="57" t="s">
        <v>41</v>
      </c>
      <c r="M93" s="64" t="s">
        <v>41</v>
      </c>
      <c r="N93" s="69">
        <v>182.10000000000002</v>
      </c>
      <c r="O93" s="47" t="s">
        <v>41</v>
      </c>
      <c r="P93" s="57">
        <v>5128.500000000001</v>
      </c>
      <c r="Q93" s="56">
        <v>479838.10000000003</v>
      </c>
      <c r="R93" s="57">
        <v>597.5</v>
      </c>
      <c r="S93" s="57">
        <v>1906.3</v>
      </c>
      <c r="T93" s="55">
        <v>88915.09999999999</v>
      </c>
      <c r="U93" s="49">
        <f t="shared" si="3"/>
        <v>872049.7000000001</v>
      </c>
      <c r="V93" s="4"/>
      <c r="W93" s="63"/>
    </row>
    <row r="94" spans="1:23" s="59" customFormat="1" ht="12.75" hidden="1">
      <c r="A94" s="54" t="s">
        <v>52</v>
      </c>
      <c r="B94" s="55">
        <v>44413</v>
      </c>
      <c r="C94" s="57">
        <v>136658.50000000003</v>
      </c>
      <c r="D94" s="57" t="s">
        <v>41</v>
      </c>
      <c r="E94" s="55">
        <v>102556.5</v>
      </c>
      <c r="F94" s="58"/>
      <c r="G94" s="57">
        <v>16984.399999999998</v>
      </c>
      <c r="H94" s="56" t="s">
        <v>41</v>
      </c>
      <c r="I94" s="62">
        <f t="shared" si="2"/>
        <v>119540.9</v>
      </c>
      <c r="J94" s="56">
        <v>2847.5</v>
      </c>
      <c r="K94" s="57" t="s">
        <v>41</v>
      </c>
      <c r="L94" s="57" t="s">
        <v>41</v>
      </c>
      <c r="M94" s="64" t="s">
        <v>41</v>
      </c>
      <c r="N94" s="69">
        <v>176.8</v>
      </c>
      <c r="O94" s="47" t="s">
        <v>41</v>
      </c>
      <c r="P94" s="57">
        <v>8143.5</v>
      </c>
      <c r="Q94" s="56">
        <v>494390.3</v>
      </c>
      <c r="R94" s="57">
        <v>599.9999999999999</v>
      </c>
      <c r="S94" s="57">
        <v>1772.2</v>
      </c>
      <c r="T94" s="55">
        <v>90493.50000000001</v>
      </c>
      <c r="U94" s="49">
        <f t="shared" si="3"/>
        <v>899036.2</v>
      </c>
      <c r="V94" s="4"/>
      <c r="W94" s="63"/>
    </row>
    <row r="95" spans="1:23" s="59" customFormat="1" ht="12.75" hidden="1">
      <c r="A95" s="54" t="s">
        <v>53</v>
      </c>
      <c r="B95" s="55">
        <v>55812.700000000004</v>
      </c>
      <c r="C95" s="57">
        <v>137401.50000000003</v>
      </c>
      <c r="D95" s="57" t="s">
        <v>41</v>
      </c>
      <c r="E95" s="55">
        <v>87200</v>
      </c>
      <c r="F95" s="58"/>
      <c r="G95" s="57">
        <v>16984.399999999998</v>
      </c>
      <c r="H95" s="56" t="s">
        <v>41</v>
      </c>
      <c r="I95" s="62">
        <f t="shared" si="2"/>
        <v>104184.4</v>
      </c>
      <c r="J95" s="56">
        <v>2747.4</v>
      </c>
      <c r="K95" s="57" t="s">
        <v>41</v>
      </c>
      <c r="L95" s="57" t="s">
        <v>41</v>
      </c>
      <c r="M95" s="64" t="s">
        <v>41</v>
      </c>
      <c r="N95" s="69">
        <v>143.8</v>
      </c>
      <c r="O95" s="47" t="s">
        <v>41</v>
      </c>
      <c r="P95" s="57">
        <v>10437.800000000001</v>
      </c>
      <c r="Q95" s="56">
        <v>510245.60000000003</v>
      </c>
      <c r="R95" s="57">
        <v>573.4</v>
      </c>
      <c r="S95" s="57">
        <v>1772.2</v>
      </c>
      <c r="T95" s="55">
        <v>92092.59999999999</v>
      </c>
      <c r="U95" s="49">
        <f t="shared" si="3"/>
        <v>915411.4</v>
      </c>
      <c r="V95" s="4"/>
      <c r="W95" s="63"/>
    </row>
    <row r="96" spans="1:23" s="59" customFormat="1" ht="12.75" hidden="1">
      <c r="A96" s="54" t="s">
        <v>46</v>
      </c>
      <c r="B96" s="55">
        <v>50929.899999999994</v>
      </c>
      <c r="C96" s="57">
        <v>129686.30000000002</v>
      </c>
      <c r="D96" s="57" t="s">
        <v>41</v>
      </c>
      <c r="E96" s="55">
        <v>90000</v>
      </c>
      <c r="F96" s="58"/>
      <c r="G96" s="57">
        <v>16984.399999999998</v>
      </c>
      <c r="H96" s="56" t="s">
        <v>41</v>
      </c>
      <c r="I96" s="62">
        <f t="shared" si="2"/>
        <v>106984.4</v>
      </c>
      <c r="J96" s="56">
        <v>2724.8</v>
      </c>
      <c r="K96" s="57" t="s">
        <v>41</v>
      </c>
      <c r="L96" s="57" t="s">
        <v>41</v>
      </c>
      <c r="M96" s="64" t="s">
        <v>41</v>
      </c>
      <c r="N96" s="69">
        <v>143.8</v>
      </c>
      <c r="O96" s="47" t="s">
        <v>41</v>
      </c>
      <c r="P96" s="57">
        <v>8462.1</v>
      </c>
      <c r="Q96" s="56">
        <v>518751.39999999997</v>
      </c>
      <c r="R96" s="57">
        <v>1019.5999999999999</v>
      </c>
      <c r="S96" s="57">
        <v>1772.2</v>
      </c>
      <c r="T96" s="55">
        <v>89726.5</v>
      </c>
      <c r="U96" s="49">
        <f t="shared" si="3"/>
        <v>910200.9999999999</v>
      </c>
      <c r="V96" s="4"/>
      <c r="W96" s="63"/>
    </row>
    <row r="97" spans="1:23" s="59" customFormat="1" ht="12.75" hidden="1">
      <c r="A97" s="54" t="s">
        <v>54</v>
      </c>
      <c r="B97" s="55">
        <v>41834.4</v>
      </c>
      <c r="C97" s="57">
        <v>138503.9</v>
      </c>
      <c r="D97" s="57" t="s">
        <v>41</v>
      </c>
      <c r="E97" s="55">
        <v>88400</v>
      </c>
      <c r="F97" s="58"/>
      <c r="G97" s="57">
        <v>16984.399999999998</v>
      </c>
      <c r="H97" s="56" t="s">
        <v>41</v>
      </c>
      <c r="I97" s="62">
        <f t="shared" si="2"/>
        <v>105384.4</v>
      </c>
      <c r="J97" s="56">
        <v>2606.7000000000003</v>
      </c>
      <c r="K97" s="57" t="s">
        <v>41</v>
      </c>
      <c r="L97" s="57"/>
      <c r="M97" s="64" t="s">
        <v>41</v>
      </c>
      <c r="N97" s="69">
        <v>143.8</v>
      </c>
      <c r="O97" s="47" t="s">
        <v>41</v>
      </c>
      <c r="P97" s="57">
        <v>4955.6</v>
      </c>
      <c r="Q97" s="56">
        <v>536472.8</v>
      </c>
      <c r="R97" s="57">
        <v>994.0999999999999</v>
      </c>
      <c r="S97" s="57">
        <v>1772.2</v>
      </c>
      <c r="T97" s="55">
        <v>93636.5</v>
      </c>
      <c r="U97" s="49">
        <f t="shared" si="3"/>
        <v>926304.3999999999</v>
      </c>
      <c r="V97" s="4"/>
      <c r="W97" s="63"/>
    </row>
    <row r="98" spans="1:23" s="59" customFormat="1" ht="12.75" hidden="1">
      <c r="A98" s="54" t="s">
        <v>55</v>
      </c>
      <c r="B98" s="55">
        <v>37170.9</v>
      </c>
      <c r="C98" s="57">
        <v>156380.9</v>
      </c>
      <c r="D98" s="57" t="s">
        <v>41</v>
      </c>
      <c r="E98" s="55">
        <v>77900</v>
      </c>
      <c r="F98" s="58"/>
      <c r="G98" s="57">
        <v>16984.399999999998</v>
      </c>
      <c r="H98" s="56" t="s">
        <v>41</v>
      </c>
      <c r="I98" s="62">
        <f t="shared" si="2"/>
        <v>94884.4</v>
      </c>
      <c r="J98" s="56">
        <v>2405</v>
      </c>
      <c r="K98" s="57" t="s">
        <v>41</v>
      </c>
      <c r="L98" s="57"/>
      <c r="M98" s="64" t="s">
        <v>41</v>
      </c>
      <c r="N98" s="69">
        <v>155.10000000000002</v>
      </c>
      <c r="O98" s="47" t="s">
        <v>41</v>
      </c>
      <c r="P98" s="57">
        <v>6904.000000000001</v>
      </c>
      <c r="Q98" s="56">
        <v>542412.6</v>
      </c>
      <c r="R98" s="57">
        <v>1003.0999999999999</v>
      </c>
      <c r="S98" s="57">
        <v>1772.2</v>
      </c>
      <c r="T98" s="55">
        <v>96851.9</v>
      </c>
      <c r="U98" s="49">
        <f t="shared" si="3"/>
        <v>939940.0999999999</v>
      </c>
      <c r="V98" s="4"/>
      <c r="W98" s="63"/>
    </row>
    <row r="99" spans="1:23" s="59" customFormat="1" ht="12.75" hidden="1">
      <c r="A99" s="54" t="s">
        <v>47</v>
      </c>
      <c r="B99" s="55">
        <v>42442.4</v>
      </c>
      <c r="C99" s="57">
        <v>173267.6</v>
      </c>
      <c r="D99" s="57" t="s">
        <v>41</v>
      </c>
      <c r="E99" s="55">
        <v>67500</v>
      </c>
      <c r="F99" s="58"/>
      <c r="G99" s="57">
        <v>16984.399999999998</v>
      </c>
      <c r="H99" s="56" t="s">
        <v>41</v>
      </c>
      <c r="I99" s="62">
        <f t="shared" si="2"/>
        <v>84484.4</v>
      </c>
      <c r="J99" s="56">
        <v>703.9</v>
      </c>
      <c r="K99" s="57" t="s">
        <v>41</v>
      </c>
      <c r="L99" s="57"/>
      <c r="M99" s="64" t="s">
        <v>41</v>
      </c>
      <c r="N99" s="69">
        <v>149.60000000000002</v>
      </c>
      <c r="O99" s="47" t="s">
        <v>41</v>
      </c>
      <c r="P99" s="57">
        <v>3989.9000000000005</v>
      </c>
      <c r="Q99" s="56">
        <v>535251.2000000001</v>
      </c>
      <c r="R99" s="57">
        <v>1021.9</v>
      </c>
      <c r="S99" s="57">
        <v>1772.2</v>
      </c>
      <c r="T99" s="55">
        <v>93665.1</v>
      </c>
      <c r="U99" s="49">
        <f t="shared" si="3"/>
        <v>936748.2000000001</v>
      </c>
      <c r="V99" s="4"/>
      <c r="W99" s="63"/>
    </row>
    <row r="100" spans="1:23" s="59" customFormat="1" ht="12.75">
      <c r="A100" s="54"/>
      <c r="B100" s="55"/>
      <c r="C100" s="57"/>
      <c r="D100" s="57"/>
      <c r="E100" s="55"/>
      <c r="F100" s="58"/>
      <c r="G100" s="57"/>
      <c r="H100" s="56"/>
      <c r="I100" s="62"/>
      <c r="J100" s="56"/>
      <c r="K100" s="57"/>
      <c r="L100" s="57"/>
      <c r="M100" s="64"/>
      <c r="N100" s="69"/>
      <c r="O100" s="47"/>
      <c r="P100" s="57"/>
      <c r="Q100" s="56"/>
      <c r="R100" s="57"/>
      <c r="S100" s="57"/>
      <c r="T100" s="55"/>
      <c r="U100" s="49"/>
      <c r="V100" s="4"/>
      <c r="W100" s="63"/>
    </row>
    <row r="101" spans="1:23" s="59" customFormat="1" ht="12.75" hidden="1">
      <c r="A101" s="54" t="s">
        <v>90</v>
      </c>
      <c r="B101" s="55">
        <v>37203.2</v>
      </c>
      <c r="C101" s="57">
        <v>179393.09999999998</v>
      </c>
      <c r="D101" s="57" t="s">
        <v>41</v>
      </c>
      <c r="E101" s="55">
        <v>68423</v>
      </c>
      <c r="F101" s="58"/>
      <c r="G101" s="57">
        <v>16984.399999999998</v>
      </c>
      <c r="H101" s="56" t="s">
        <v>41</v>
      </c>
      <c r="I101" s="62">
        <f t="shared" si="2"/>
        <v>85407.4</v>
      </c>
      <c r="J101" s="56">
        <v>2799.5</v>
      </c>
      <c r="K101" s="57" t="s">
        <v>41</v>
      </c>
      <c r="L101" s="57"/>
      <c r="M101" s="57">
        <v>1000</v>
      </c>
      <c r="N101" s="69">
        <v>144</v>
      </c>
      <c r="O101" s="47" t="s">
        <v>41</v>
      </c>
      <c r="P101" s="57">
        <v>3853</v>
      </c>
      <c r="Q101" s="56">
        <v>535283.4</v>
      </c>
      <c r="R101" s="57">
        <v>1011.8</v>
      </c>
      <c r="S101" s="57">
        <v>1338.6</v>
      </c>
      <c r="T101" s="55">
        <v>101777.1</v>
      </c>
      <c r="U101" s="49">
        <f t="shared" si="3"/>
        <v>949211.1</v>
      </c>
      <c r="V101" s="4"/>
      <c r="W101" s="63"/>
    </row>
    <row r="102" spans="1:23" s="59" customFormat="1" ht="12.75" hidden="1">
      <c r="A102" s="54" t="s">
        <v>109</v>
      </c>
      <c r="B102" s="55">
        <v>49656.6</v>
      </c>
      <c r="C102" s="57">
        <v>179987.70000000004</v>
      </c>
      <c r="D102" s="57" t="s">
        <v>41</v>
      </c>
      <c r="E102" s="55">
        <v>64566.7</v>
      </c>
      <c r="F102" s="58"/>
      <c r="G102" s="57">
        <v>16984.399999999998</v>
      </c>
      <c r="H102" s="56" t="s">
        <v>41</v>
      </c>
      <c r="I102" s="62">
        <f t="shared" si="2"/>
        <v>81551.09999999999</v>
      </c>
      <c r="J102" s="56">
        <v>2703.8999999999996</v>
      </c>
      <c r="K102" s="57" t="s">
        <v>41</v>
      </c>
      <c r="L102" s="57" t="s">
        <v>41</v>
      </c>
      <c r="M102" s="64" t="s">
        <v>41</v>
      </c>
      <c r="N102" s="69">
        <v>143.8</v>
      </c>
      <c r="O102" s="47" t="s">
        <v>41</v>
      </c>
      <c r="P102" s="57">
        <v>8092.700000000001</v>
      </c>
      <c r="Q102" s="56">
        <v>533379.9</v>
      </c>
      <c r="R102" s="57">
        <v>953.5999999999999</v>
      </c>
      <c r="S102" s="57">
        <v>1338.6</v>
      </c>
      <c r="T102" s="55">
        <v>102098.80000000002</v>
      </c>
      <c r="U102" s="49">
        <f t="shared" si="3"/>
        <v>959906.7000000001</v>
      </c>
      <c r="V102" s="4"/>
      <c r="W102" s="63"/>
    </row>
    <row r="103" spans="1:23" s="59" customFormat="1" ht="12.75" hidden="1">
      <c r="A103" s="54" t="s">
        <v>110</v>
      </c>
      <c r="B103" s="55">
        <v>40488</v>
      </c>
      <c r="C103" s="57">
        <v>180705.5</v>
      </c>
      <c r="D103" s="57" t="s">
        <v>41</v>
      </c>
      <c r="E103" s="55">
        <v>55766.7</v>
      </c>
      <c r="F103" s="58"/>
      <c r="G103" s="57">
        <v>16984.399999999998</v>
      </c>
      <c r="H103" s="56" t="s">
        <v>41</v>
      </c>
      <c r="I103" s="62">
        <f t="shared" si="2"/>
        <v>72751.09999999999</v>
      </c>
      <c r="J103" s="56">
        <v>4440</v>
      </c>
      <c r="K103" s="57" t="s">
        <v>41</v>
      </c>
      <c r="L103" s="57" t="s">
        <v>41</v>
      </c>
      <c r="M103" s="64" t="s">
        <v>41</v>
      </c>
      <c r="N103" s="69">
        <v>143.8</v>
      </c>
      <c r="O103" s="47" t="s">
        <v>41</v>
      </c>
      <c r="P103" s="57">
        <v>7050.4</v>
      </c>
      <c r="Q103" s="56">
        <v>548581.4</v>
      </c>
      <c r="R103" s="57">
        <v>943.3999999999999</v>
      </c>
      <c r="S103" s="57">
        <v>1013.7</v>
      </c>
      <c r="T103" s="55">
        <v>102893.5</v>
      </c>
      <c r="U103" s="49">
        <f t="shared" si="3"/>
        <v>959010.7999999999</v>
      </c>
      <c r="V103" s="4"/>
      <c r="W103" s="63"/>
    </row>
    <row r="104" spans="1:23" s="59" customFormat="1" ht="12.75" hidden="1">
      <c r="A104" s="54" t="s">
        <v>111</v>
      </c>
      <c r="B104" s="55">
        <v>42844.5</v>
      </c>
      <c r="C104" s="57">
        <v>176724.7</v>
      </c>
      <c r="D104" s="57" t="s">
        <v>41</v>
      </c>
      <c r="E104" s="55">
        <v>51260.5</v>
      </c>
      <c r="F104" s="58"/>
      <c r="G104" s="57">
        <v>16984.399999999998</v>
      </c>
      <c r="H104" s="56" t="s">
        <v>41</v>
      </c>
      <c r="I104" s="62">
        <f t="shared" si="2"/>
        <v>68244.9</v>
      </c>
      <c r="J104" s="56">
        <v>3389.2</v>
      </c>
      <c r="K104" s="57" t="s">
        <v>41</v>
      </c>
      <c r="L104" s="57" t="s">
        <v>41</v>
      </c>
      <c r="M104" s="64" t="s">
        <v>41</v>
      </c>
      <c r="N104" s="69">
        <v>143.8</v>
      </c>
      <c r="O104" s="47" t="s">
        <v>41</v>
      </c>
      <c r="P104" s="57">
        <v>7608.4</v>
      </c>
      <c r="Q104" s="56">
        <v>555013.2</v>
      </c>
      <c r="R104" s="57">
        <v>916.8</v>
      </c>
      <c r="S104" s="57">
        <v>707.2</v>
      </c>
      <c r="T104" s="55">
        <v>97361.7</v>
      </c>
      <c r="U104" s="49">
        <f t="shared" si="3"/>
        <v>952954.3999999999</v>
      </c>
      <c r="V104" s="4"/>
      <c r="W104" s="63"/>
    </row>
    <row r="105" spans="1:23" s="59" customFormat="1" ht="12.75" hidden="1">
      <c r="A105" s="54" t="s">
        <v>112</v>
      </c>
      <c r="B105" s="55">
        <v>47326.100000000006</v>
      </c>
      <c r="C105" s="57">
        <v>151792.7</v>
      </c>
      <c r="D105" s="57" t="s">
        <v>41</v>
      </c>
      <c r="E105" s="55">
        <v>58816.7</v>
      </c>
      <c r="F105" s="58"/>
      <c r="G105" s="57">
        <v>7984.4000000000015</v>
      </c>
      <c r="H105" s="56" t="s">
        <v>41</v>
      </c>
      <c r="I105" s="62">
        <f t="shared" si="2"/>
        <v>66801.1</v>
      </c>
      <c r="J105" s="56">
        <v>3532.8</v>
      </c>
      <c r="K105" s="57" t="s">
        <v>41</v>
      </c>
      <c r="L105" s="57" t="s">
        <v>41</v>
      </c>
      <c r="M105" s="64" t="s">
        <v>41</v>
      </c>
      <c r="N105" s="69">
        <v>143.8</v>
      </c>
      <c r="O105" s="47" t="s">
        <v>41</v>
      </c>
      <c r="P105" s="57">
        <v>7326</v>
      </c>
      <c r="Q105" s="56">
        <v>582018</v>
      </c>
      <c r="R105" s="57">
        <v>992.1</v>
      </c>
      <c r="S105" s="57">
        <v>707.2</v>
      </c>
      <c r="T105" s="55">
        <v>98204.3</v>
      </c>
      <c r="U105" s="49">
        <f t="shared" si="3"/>
        <v>958844.1</v>
      </c>
      <c r="V105" s="4"/>
      <c r="W105" s="63"/>
    </row>
    <row r="106" spans="1:23" s="59" customFormat="1" ht="12.75" hidden="1">
      <c r="A106" s="54" t="s">
        <v>113</v>
      </c>
      <c r="B106" s="55">
        <v>47629.5</v>
      </c>
      <c r="C106" s="57">
        <v>156569.30000000002</v>
      </c>
      <c r="D106" s="57" t="s">
        <v>41</v>
      </c>
      <c r="E106" s="55">
        <v>55116.7</v>
      </c>
      <c r="F106" s="58"/>
      <c r="G106" s="57">
        <v>7984.4000000000015</v>
      </c>
      <c r="H106" s="56" t="s">
        <v>41</v>
      </c>
      <c r="I106" s="62">
        <f t="shared" si="2"/>
        <v>63101.1</v>
      </c>
      <c r="J106" s="56">
        <v>1893.2999999999997</v>
      </c>
      <c r="K106" s="57" t="s">
        <v>41</v>
      </c>
      <c r="L106" s="57" t="s">
        <v>41</v>
      </c>
      <c r="M106" s="64" t="s">
        <v>41</v>
      </c>
      <c r="N106" s="69">
        <v>143.8</v>
      </c>
      <c r="O106" s="47" t="s">
        <v>41</v>
      </c>
      <c r="P106" s="57">
        <v>7559.2</v>
      </c>
      <c r="Q106" s="56">
        <v>604996.7</v>
      </c>
      <c r="R106" s="57">
        <v>1005.8</v>
      </c>
      <c r="S106" s="57">
        <v>720.4000000000001</v>
      </c>
      <c r="T106" s="55">
        <v>98897.70000000001</v>
      </c>
      <c r="U106" s="49">
        <f t="shared" si="3"/>
        <v>982516.8</v>
      </c>
      <c r="V106" s="4"/>
      <c r="W106" s="63"/>
    </row>
    <row r="107" spans="1:23" s="59" customFormat="1" ht="12.75" hidden="1">
      <c r="A107" s="54" t="s">
        <v>114</v>
      </c>
      <c r="B107" s="55">
        <v>54157.700000000004</v>
      </c>
      <c r="C107" s="57">
        <v>164800.7</v>
      </c>
      <c r="D107" s="57" t="s">
        <v>41</v>
      </c>
      <c r="E107" s="55">
        <v>44500</v>
      </c>
      <c r="F107" s="58"/>
      <c r="G107" s="57">
        <v>7984.4000000000015</v>
      </c>
      <c r="H107" s="56" t="s">
        <v>41</v>
      </c>
      <c r="I107" s="62">
        <f t="shared" si="2"/>
        <v>52484.4</v>
      </c>
      <c r="J107" s="56">
        <v>1808.3</v>
      </c>
      <c r="K107" s="57" t="s">
        <v>41</v>
      </c>
      <c r="L107" s="57" t="s">
        <v>41</v>
      </c>
      <c r="M107" s="64" t="s">
        <v>41</v>
      </c>
      <c r="N107" s="69">
        <v>143.8</v>
      </c>
      <c r="O107" s="47" t="s">
        <v>41</v>
      </c>
      <c r="P107" s="57">
        <v>7626.800000000001</v>
      </c>
      <c r="Q107" s="56">
        <v>604339.8999999999</v>
      </c>
      <c r="R107" s="57">
        <v>993.4</v>
      </c>
      <c r="S107" s="57">
        <v>1436</v>
      </c>
      <c r="T107" s="55">
        <v>105901.29999999999</v>
      </c>
      <c r="U107" s="49">
        <f t="shared" si="3"/>
        <v>993692.2999999998</v>
      </c>
      <c r="V107" s="4"/>
      <c r="W107" s="63"/>
    </row>
    <row r="108" spans="1:23" s="59" customFormat="1" ht="12.75" hidden="1">
      <c r="A108" s="54" t="s">
        <v>115</v>
      </c>
      <c r="B108" s="55">
        <v>48398</v>
      </c>
      <c r="C108" s="57">
        <v>173543.9</v>
      </c>
      <c r="D108" s="57" t="s">
        <v>41</v>
      </c>
      <c r="E108" s="55">
        <v>36600</v>
      </c>
      <c r="F108" s="58"/>
      <c r="G108" s="57">
        <v>8135.200000000001</v>
      </c>
      <c r="H108" s="56" t="s">
        <v>41</v>
      </c>
      <c r="I108" s="62">
        <f t="shared" si="2"/>
        <v>44735.2</v>
      </c>
      <c r="J108" s="56">
        <v>1745.0000000000002</v>
      </c>
      <c r="K108" s="57" t="s">
        <v>41</v>
      </c>
      <c r="L108" s="57" t="s">
        <v>41</v>
      </c>
      <c r="M108" s="64" t="s">
        <v>41</v>
      </c>
      <c r="N108" s="69">
        <v>143.8</v>
      </c>
      <c r="O108" s="47" t="s">
        <v>41</v>
      </c>
      <c r="P108" s="57">
        <v>14765.100000000002</v>
      </c>
      <c r="Q108" s="56">
        <v>612138.7999999999</v>
      </c>
      <c r="R108" s="57">
        <v>1013</v>
      </c>
      <c r="S108" s="57">
        <v>1209.8</v>
      </c>
      <c r="T108" s="55">
        <v>109545.90000000002</v>
      </c>
      <c r="U108" s="49">
        <f t="shared" si="3"/>
        <v>1007238.4999999999</v>
      </c>
      <c r="V108" s="4"/>
      <c r="W108" s="63"/>
    </row>
    <row r="109" spans="1:23" s="59" customFormat="1" ht="12.75" hidden="1">
      <c r="A109" s="54" t="s">
        <v>116</v>
      </c>
      <c r="B109" s="55">
        <v>53964.8</v>
      </c>
      <c r="C109" s="57">
        <v>166098.7</v>
      </c>
      <c r="D109" s="57" t="s">
        <v>41</v>
      </c>
      <c r="E109" s="55">
        <v>30031.6</v>
      </c>
      <c r="F109" s="58"/>
      <c r="G109" s="57">
        <v>8135.200000000001</v>
      </c>
      <c r="H109" s="56" t="s">
        <v>41</v>
      </c>
      <c r="I109" s="62">
        <f t="shared" si="2"/>
        <v>38166.8</v>
      </c>
      <c r="J109" s="56">
        <v>1624.9</v>
      </c>
      <c r="K109" s="57" t="s">
        <v>41</v>
      </c>
      <c r="L109" s="57" t="s">
        <v>41</v>
      </c>
      <c r="M109" s="64" t="s">
        <v>41</v>
      </c>
      <c r="N109" s="69">
        <v>143.8</v>
      </c>
      <c r="O109" s="47" t="s">
        <v>41</v>
      </c>
      <c r="P109" s="57">
        <v>11946.1</v>
      </c>
      <c r="Q109" s="56">
        <v>609515.3</v>
      </c>
      <c r="R109" s="57">
        <v>1059.5</v>
      </c>
      <c r="S109" s="57">
        <v>1351.6000000000001</v>
      </c>
      <c r="T109" s="55">
        <v>104052.1</v>
      </c>
      <c r="U109" s="49">
        <f t="shared" si="3"/>
        <v>987923.6</v>
      </c>
      <c r="V109" s="4"/>
      <c r="W109" s="63"/>
    </row>
    <row r="110" spans="1:23" s="59" customFormat="1" ht="12.75" hidden="1">
      <c r="A110" s="54" t="s">
        <v>116</v>
      </c>
      <c r="B110" s="55">
        <v>61350.6</v>
      </c>
      <c r="C110" s="57">
        <v>164341.09999999998</v>
      </c>
      <c r="D110" s="57" t="s">
        <v>41</v>
      </c>
      <c r="E110" s="55">
        <v>26100</v>
      </c>
      <c r="F110" s="58"/>
      <c r="G110" s="57">
        <v>8135.200000000001</v>
      </c>
      <c r="H110" s="56" t="s">
        <v>41</v>
      </c>
      <c r="I110" s="62">
        <f t="shared" si="2"/>
        <v>34235.2</v>
      </c>
      <c r="J110" s="56">
        <v>1560.3000000000002</v>
      </c>
      <c r="K110" s="57" t="s">
        <v>41</v>
      </c>
      <c r="L110" s="57" t="s">
        <v>41</v>
      </c>
      <c r="M110" s="64" t="s">
        <v>41</v>
      </c>
      <c r="N110" s="69">
        <v>143.8</v>
      </c>
      <c r="O110" s="47" t="s">
        <v>41</v>
      </c>
      <c r="P110" s="57">
        <v>8718.300000000003</v>
      </c>
      <c r="Q110" s="56">
        <v>619879.4</v>
      </c>
      <c r="R110" s="57">
        <v>1087.2</v>
      </c>
      <c r="S110" s="57">
        <v>1399.5</v>
      </c>
      <c r="T110" s="55">
        <v>108219.30000000003</v>
      </c>
      <c r="U110" s="49">
        <f t="shared" si="3"/>
        <v>1000934.7</v>
      </c>
      <c r="V110" s="4"/>
      <c r="W110" s="63"/>
    </row>
    <row r="111" spans="1:23" s="59" customFormat="1" ht="12.75" hidden="1">
      <c r="A111" s="54" t="s">
        <v>118</v>
      </c>
      <c r="B111" s="55">
        <v>59708.5</v>
      </c>
      <c r="C111" s="57">
        <v>176416</v>
      </c>
      <c r="D111" s="57"/>
      <c r="E111" s="55">
        <v>27729.7</v>
      </c>
      <c r="F111" s="58"/>
      <c r="G111" s="57">
        <v>8135.200000000001</v>
      </c>
      <c r="H111" s="56"/>
      <c r="I111" s="62">
        <f t="shared" si="2"/>
        <v>35864.9</v>
      </c>
      <c r="J111" s="56">
        <v>2708.2000000000003</v>
      </c>
      <c r="K111" s="57"/>
      <c r="L111" s="57"/>
      <c r="M111" s="64" t="s">
        <v>41</v>
      </c>
      <c r="N111" s="69">
        <v>143.8</v>
      </c>
      <c r="O111" s="47" t="s">
        <v>41</v>
      </c>
      <c r="P111" s="57">
        <v>7511.3</v>
      </c>
      <c r="Q111" s="56">
        <v>620920.7000000001</v>
      </c>
      <c r="R111" s="57">
        <v>1050.6000000000001</v>
      </c>
      <c r="S111" s="57">
        <v>2250.8999999999996</v>
      </c>
      <c r="T111" s="55">
        <v>102848.40000000001</v>
      </c>
      <c r="U111" s="49">
        <f t="shared" si="3"/>
        <v>1009423.3000000002</v>
      </c>
      <c r="V111" s="4"/>
      <c r="W111" s="63"/>
    </row>
    <row r="112" spans="1:23" s="59" customFormat="1" ht="12.75" hidden="1">
      <c r="A112" s="54" t="s">
        <v>119</v>
      </c>
      <c r="B112" s="55">
        <v>70772.4</v>
      </c>
      <c r="C112" s="57">
        <v>192680.5</v>
      </c>
      <c r="D112" s="57"/>
      <c r="E112" s="55">
        <v>40889.1</v>
      </c>
      <c r="F112" s="58"/>
      <c r="G112" s="57">
        <v>8135.200000000001</v>
      </c>
      <c r="H112" s="56"/>
      <c r="I112" s="62">
        <f t="shared" si="2"/>
        <v>49024.3</v>
      </c>
      <c r="J112" s="56">
        <v>2705.2</v>
      </c>
      <c r="K112" s="57"/>
      <c r="L112" s="57"/>
      <c r="M112" s="57">
        <v>6800</v>
      </c>
      <c r="N112" s="69">
        <v>143.8</v>
      </c>
      <c r="O112" s="47" t="s">
        <v>41</v>
      </c>
      <c r="P112" s="57">
        <v>6830.799999999999</v>
      </c>
      <c r="Q112" s="56">
        <v>607741.7</v>
      </c>
      <c r="R112" s="57">
        <v>1057.8999999999999</v>
      </c>
      <c r="S112" s="57">
        <v>2595.5</v>
      </c>
      <c r="T112" s="55">
        <v>104332</v>
      </c>
      <c r="U112" s="49">
        <f aca="true" t="shared" si="4" ref="U112:U126">SUM(B112:C112,I112:T112)</f>
        <v>1044684.1</v>
      </c>
      <c r="V112" s="4"/>
      <c r="W112" s="63"/>
    </row>
    <row r="113" spans="1:23" s="59" customFormat="1" ht="12.75" hidden="1">
      <c r="A113" s="54"/>
      <c r="B113" s="55"/>
      <c r="C113" s="57"/>
      <c r="D113" s="57"/>
      <c r="E113" s="55"/>
      <c r="F113" s="58"/>
      <c r="G113" s="57"/>
      <c r="H113" s="56"/>
      <c r="I113" s="62"/>
      <c r="J113" s="56"/>
      <c r="K113" s="57"/>
      <c r="L113" s="57"/>
      <c r="M113" s="57"/>
      <c r="N113" s="69"/>
      <c r="O113" s="47" t="s">
        <v>41</v>
      </c>
      <c r="P113" s="57"/>
      <c r="Q113" s="56"/>
      <c r="R113" s="57"/>
      <c r="S113" s="57"/>
      <c r="T113" s="55"/>
      <c r="U113" s="49"/>
      <c r="V113" s="4"/>
      <c r="W113" s="63"/>
    </row>
    <row r="114" spans="1:23" ht="12.75" hidden="1">
      <c r="A114" s="52" t="s">
        <v>103</v>
      </c>
      <c r="B114" s="45">
        <v>59768</v>
      </c>
      <c r="C114" s="47">
        <v>209039.9</v>
      </c>
      <c r="D114" s="47"/>
      <c r="E114" s="45">
        <v>51678.3</v>
      </c>
      <c r="F114" s="48"/>
      <c r="G114" s="47">
        <v>1824.3000000000002</v>
      </c>
      <c r="H114" s="46"/>
      <c r="I114" s="49">
        <f t="shared" si="2"/>
        <v>53502.600000000006</v>
      </c>
      <c r="J114" s="46">
        <v>2402.6000000000004</v>
      </c>
      <c r="K114" s="47"/>
      <c r="L114" s="47"/>
      <c r="M114" s="64" t="s">
        <v>41</v>
      </c>
      <c r="N114" s="23">
        <v>143.8</v>
      </c>
      <c r="O114" s="47" t="s">
        <v>41</v>
      </c>
      <c r="P114" s="47">
        <v>6110</v>
      </c>
      <c r="Q114" s="46">
        <v>617850</v>
      </c>
      <c r="R114" s="47">
        <v>1099.6</v>
      </c>
      <c r="S114" s="47">
        <v>1555.1000000000001</v>
      </c>
      <c r="T114" s="45">
        <v>117737.80000000002</v>
      </c>
      <c r="U114" s="49">
        <f t="shared" si="4"/>
        <v>1069209.4</v>
      </c>
      <c r="W114" s="6"/>
    </row>
    <row r="115" spans="1:23" ht="12.75" hidden="1">
      <c r="A115" s="52" t="s">
        <v>121</v>
      </c>
      <c r="B115" s="45">
        <v>69316.90000000002</v>
      </c>
      <c r="C115" s="47">
        <v>227852.4</v>
      </c>
      <c r="D115" s="47"/>
      <c r="E115" s="45">
        <v>49039.7</v>
      </c>
      <c r="F115" s="48"/>
      <c r="G115" s="47">
        <v>1824.3000000000002</v>
      </c>
      <c r="H115" s="46"/>
      <c r="I115" s="49">
        <f t="shared" si="2"/>
        <v>50864</v>
      </c>
      <c r="J115" s="46">
        <v>4047.7</v>
      </c>
      <c r="K115" s="47"/>
      <c r="L115" s="47"/>
      <c r="M115" s="64" t="s">
        <v>41</v>
      </c>
      <c r="N115" s="23">
        <v>143.8</v>
      </c>
      <c r="O115" s="47" t="s">
        <v>41</v>
      </c>
      <c r="P115" s="47">
        <v>5840.6</v>
      </c>
      <c r="Q115" s="46">
        <v>620206.3</v>
      </c>
      <c r="R115" s="47">
        <v>1413.7</v>
      </c>
      <c r="S115" s="47">
        <v>2719</v>
      </c>
      <c r="T115" s="45">
        <v>122278.4</v>
      </c>
      <c r="U115" s="49">
        <f t="shared" si="4"/>
        <v>1104682.8</v>
      </c>
      <c r="W115" s="6"/>
    </row>
    <row r="116" spans="1:23" ht="12.75" hidden="1">
      <c r="A116" s="52" t="s">
        <v>122</v>
      </c>
      <c r="B116" s="45">
        <v>70940.20000000001</v>
      </c>
      <c r="C116" s="47">
        <v>213236.8</v>
      </c>
      <c r="D116" s="47"/>
      <c r="E116" s="45">
        <v>45604.7</v>
      </c>
      <c r="F116" s="48"/>
      <c r="G116" s="47">
        <v>1729.7</v>
      </c>
      <c r="H116" s="46"/>
      <c r="I116" s="49">
        <f t="shared" si="2"/>
        <v>47334.399999999994</v>
      </c>
      <c r="J116" s="46">
        <v>3984.4</v>
      </c>
      <c r="K116" s="47"/>
      <c r="L116" s="47"/>
      <c r="M116" s="64" t="s">
        <v>41</v>
      </c>
      <c r="N116" s="23">
        <v>143.8</v>
      </c>
      <c r="O116" s="47" t="s">
        <v>41</v>
      </c>
      <c r="P116" s="47">
        <v>6437.599999999999</v>
      </c>
      <c r="Q116" s="46">
        <v>635361.4</v>
      </c>
      <c r="R116" s="47">
        <v>1398.2</v>
      </c>
      <c r="S116" s="47">
        <v>3568.7999999999993</v>
      </c>
      <c r="T116" s="45">
        <v>116712.2</v>
      </c>
      <c r="U116" s="49">
        <f t="shared" si="4"/>
        <v>1099117.8</v>
      </c>
      <c r="W116" s="6"/>
    </row>
    <row r="117" spans="1:23" ht="12.75" hidden="1">
      <c r="A117" s="52" t="s">
        <v>127</v>
      </c>
      <c r="B117" s="45">
        <v>69833.6</v>
      </c>
      <c r="C117" s="47">
        <v>209200.40000000002</v>
      </c>
      <c r="D117" s="47"/>
      <c r="E117" s="45">
        <v>40828.7</v>
      </c>
      <c r="F117" s="48"/>
      <c r="G117" s="47">
        <v>1729.7</v>
      </c>
      <c r="H117" s="46"/>
      <c r="I117" s="49">
        <f t="shared" si="2"/>
        <v>42558.399999999994</v>
      </c>
      <c r="J117" s="46">
        <v>3837.2999999999997</v>
      </c>
      <c r="K117" s="47"/>
      <c r="L117" s="47"/>
      <c r="M117" s="64" t="s">
        <v>41</v>
      </c>
      <c r="N117" s="47">
        <v>143.8</v>
      </c>
      <c r="O117" s="47" t="s">
        <v>41</v>
      </c>
      <c r="P117" s="47">
        <v>5931.9</v>
      </c>
      <c r="Q117" s="46">
        <v>634407.2999999999</v>
      </c>
      <c r="R117" s="47">
        <v>1390.7999999999997</v>
      </c>
      <c r="S117" s="47">
        <v>3808.8999999999996</v>
      </c>
      <c r="T117" s="45">
        <v>109225.3</v>
      </c>
      <c r="U117" s="49">
        <f t="shared" si="4"/>
        <v>1080337.7</v>
      </c>
      <c r="W117" s="6"/>
    </row>
    <row r="118" spans="1:23" ht="12.75" hidden="1">
      <c r="A118" s="52" t="s">
        <v>141</v>
      </c>
      <c r="B118" s="45">
        <v>71624.4</v>
      </c>
      <c r="C118" s="47">
        <v>185038.30000000002</v>
      </c>
      <c r="D118" s="47"/>
      <c r="E118" s="45">
        <v>66612.3</v>
      </c>
      <c r="F118" s="48"/>
      <c r="G118" s="47">
        <v>1729.7</v>
      </c>
      <c r="H118" s="46"/>
      <c r="I118" s="49">
        <f t="shared" si="2"/>
        <v>68342</v>
      </c>
      <c r="J118" s="46">
        <v>1350.2</v>
      </c>
      <c r="K118" s="47"/>
      <c r="L118" s="47"/>
      <c r="M118" s="64" t="s">
        <v>41</v>
      </c>
      <c r="N118" s="47">
        <v>143.8</v>
      </c>
      <c r="O118" s="47" t="s">
        <v>41</v>
      </c>
      <c r="P118" s="47">
        <v>6208.8</v>
      </c>
      <c r="Q118" s="46">
        <v>637217.2000000001</v>
      </c>
      <c r="R118" s="47">
        <v>1390.6999999999998</v>
      </c>
      <c r="S118" s="47">
        <v>3956.1000000000004</v>
      </c>
      <c r="T118" s="45">
        <v>115090.29999999997</v>
      </c>
      <c r="U118" s="49">
        <f t="shared" si="4"/>
        <v>1090361.8</v>
      </c>
      <c r="W118" s="6"/>
    </row>
    <row r="119" spans="1:23" ht="12.75" hidden="1">
      <c r="A119" s="52" t="s">
        <v>142</v>
      </c>
      <c r="B119" s="45">
        <v>82287.1</v>
      </c>
      <c r="C119" s="47">
        <v>165969.40000000002</v>
      </c>
      <c r="D119" s="47"/>
      <c r="E119" s="45">
        <v>70934.6</v>
      </c>
      <c r="F119" s="48"/>
      <c r="G119" s="64" t="s">
        <v>41</v>
      </c>
      <c r="H119" s="46"/>
      <c r="I119" s="49">
        <f t="shared" si="2"/>
        <v>70934.6</v>
      </c>
      <c r="J119" s="46">
        <v>1294.8</v>
      </c>
      <c r="K119" s="47"/>
      <c r="L119" s="47"/>
      <c r="M119" s="64" t="s">
        <v>41</v>
      </c>
      <c r="N119" s="47">
        <v>143.8</v>
      </c>
      <c r="O119" s="47" t="s">
        <v>41</v>
      </c>
      <c r="P119" s="47">
        <v>6575.4</v>
      </c>
      <c r="Q119" s="46">
        <v>642841.2</v>
      </c>
      <c r="R119" s="47">
        <v>1401.7</v>
      </c>
      <c r="S119" s="47">
        <v>4188.999999999999</v>
      </c>
      <c r="T119" s="45">
        <v>117658.59999999998</v>
      </c>
      <c r="U119" s="49">
        <f t="shared" si="4"/>
        <v>1093295.6</v>
      </c>
      <c r="W119" s="6"/>
    </row>
    <row r="120" spans="1:23" ht="12.75" hidden="1">
      <c r="A120" s="52" t="s">
        <v>143</v>
      </c>
      <c r="B120" s="45">
        <v>66009.4</v>
      </c>
      <c r="C120" s="47">
        <v>190726</v>
      </c>
      <c r="D120" s="47"/>
      <c r="E120" s="45">
        <v>68965.3</v>
      </c>
      <c r="F120" s="48"/>
      <c r="G120" s="47">
        <v>32000</v>
      </c>
      <c r="H120" s="46"/>
      <c r="I120" s="49">
        <f t="shared" si="2"/>
        <v>100965.3</v>
      </c>
      <c r="J120" s="46">
        <v>581.5</v>
      </c>
      <c r="K120" s="47"/>
      <c r="L120" s="47"/>
      <c r="M120" s="64" t="s">
        <v>41</v>
      </c>
      <c r="N120" s="47">
        <v>143.8</v>
      </c>
      <c r="O120" s="47" t="s">
        <v>41</v>
      </c>
      <c r="P120" s="47">
        <v>5439.799999999999</v>
      </c>
      <c r="Q120" s="46">
        <v>653311.6</v>
      </c>
      <c r="R120" s="47">
        <v>1754.2</v>
      </c>
      <c r="S120" s="47">
        <v>4389.9</v>
      </c>
      <c r="T120" s="45">
        <v>124818.29999999999</v>
      </c>
      <c r="U120" s="49">
        <f t="shared" si="4"/>
        <v>1148139.7999999998</v>
      </c>
      <c r="W120" s="6"/>
    </row>
    <row r="121" spans="1:23" ht="12.75" hidden="1">
      <c r="A121" s="52" t="s">
        <v>144</v>
      </c>
      <c r="B121" s="45">
        <v>90164.49999999999</v>
      </c>
      <c r="C121" s="47">
        <v>185728.7</v>
      </c>
      <c r="D121" s="47"/>
      <c r="E121" s="45">
        <v>64477.70000000001</v>
      </c>
      <c r="F121" s="48"/>
      <c r="G121" s="47">
        <v>32000</v>
      </c>
      <c r="H121" s="46"/>
      <c r="I121" s="49">
        <f t="shared" si="2"/>
        <v>96477.70000000001</v>
      </c>
      <c r="J121" s="46">
        <v>608.6</v>
      </c>
      <c r="K121" s="47"/>
      <c r="L121" s="47"/>
      <c r="M121" s="64" t="s">
        <v>41</v>
      </c>
      <c r="N121" s="47">
        <v>143.8</v>
      </c>
      <c r="O121" s="47" t="s">
        <v>41</v>
      </c>
      <c r="P121" s="47">
        <v>6425.8</v>
      </c>
      <c r="Q121" s="46">
        <v>653711.9000000001</v>
      </c>
      <c r="R121" s="47">
        <v>1758.2</v>
      </c>
      <c r="S121" s="47">
        <v>4691.6</v>
      </c>
      <c r="T121" s="45">
        <v>122671.39999999998</v>
      </c>
      <c r="U121" s="49">
        <f t="shared" si="4"/>
        <v>1162382.2</v>
      </c>
      <c r="W121" s="6"/>
    </row>
    <row r="122" spans="1:23" ht="12.75" hidden="1">
      <c r="A122" s="52" t="s">
        <v>146</v>
      </c>
      <c r="B122" s="45">
        <v>89608.2</v>
      </c>
      <c r="C122" s="47">
        <v>183463.6</v>
      </c>
      <c r="D122" s="47"/>
      <c r="E122" s="45">
        <v>72499.4</v>
      </c>
      <c r="F122" s="48"/>
      <c r="G122" s="47">
        <v>32000</v>
      </c>
      <c r="H122" s="46"/>
      <c r="I122" s="49">
        <f t="shared" si="2"/>
        <v>104499.4</v>
      </c>
      <c r="J122" s="46">
        <v>582.5000000000001</v>
      </c>
      <c r="K122" s="47"/>
      <c r="L122" s="47"/>
      <c r="M122" s="64" t="s">
        <v>41</v>
      </c>
      <c r="N122" s="47">
        <v>143.8</v>
      </c>
      <c r="O122" s="47" t="s">
        <v>41</v>
      </c>
      <c r="P122" s="47">
        <v>10400.499999999998</v>
      </c>
      <c r="Q122" s="46">
        <v>664336.1000000001</v>
      </c>
      <c r="R122" s="47">
        <v>2197.5</v>
      </c>
      <c r="S122" s="47">
        <v>5211.5</v>
      </c>
      <c r="T122" s="45">
        <v>122868.89999999998</v>
      </c>
      <c r="U122" s="49">
        <f t="shared" si="4"/>
        <v>1183312</v>
      </c>
      <c r="W122" s="6"/>
    </row>
    <row r="123" spans="1:23" ht="12.75" hidden="1">
      <c r="A123" s="52" t="s">
        <v>147</v>
      </c>
      <c r="B123" s="45">
        <v>88154.3</v>
      </c>
      <c r="C123" s="47">
        <v>183935.00000000006</v>
      </c>
      <c r="D123" s="47"/>
      <c r="E123" s="45">
        <v>76413.2</v>
      </c>
      <c r="F123" s="48"/>
      <c r="G123" s="47">
        <v>32000</v>
      </c>
      <c r="H123" s="46"/>
      <c r="I123" s="49">
        <f t="shared" si="2"/>
        <v>108413.2</v>
      </c>
      <c r="J123" s="46">
        <v>620.8000000000002</v>
      </c>
      <c r="K123" s="47"/>
      <c r="L123" s="47"/>
      <c r="M123" s="64" t="s">
        <v>41</v>
      </c>
      <c r="N123" s="23">
        <v>143.8</v>
      </c>
      <c r="O123" s="47" t="s">
        <v>41</v>
      </c>
      <c r="P123" s="47">
        <v>9512.8</v>
      </c>
      <c r="Q123" s="46">
        <v>657024.9999999999</v>
      </c>
      <c r="R123" s="47">
        <v>2357.2</v>
      </c>
      <c r="S123" s="47">
        <v>5438.3</v>
      </c>
      <c r="T123" s="45">
        <v>123466.2</v>
      </c>
      <c r="U123" s="49">
        <f t="shared" si="4"/>
        <v>1179066.5999999999</v>
      </c>
      <c r="W123" s="6"/>
    </row>
    <row r="124" spans="1:23" ht="12.75" hidden="1">
      <c r="A124" s="52" t="s">
        <v>148</v>
      </c>
      <c r="B124" s="45">
        <v>95868.20000000001</v>
      </c>
      <c r="C124" s="47">
        <v>190482.5</v>
      </c>
      <c r="D124" s="47"/>
      <c r="E124" s="45">
        <v>75312.8</v>
      </c>
      <c r="F124" s="48"/>
      <c r="G124" s="47">
        <v>32000</v>
      </c>
      <c r="H124" s="46"/>
      <c r="I124" s="49">
        <f t="shared" si="2"/>
        <v>107312.8</v>
      </c>
      <c r="J124" s="46">
        <v>606.1</v>
      </c>
      <c r="K124" s="47"/>
      <c r="L124" s="47"/>
      <c r="M124" s="64" t="s">
        <v>41</v>
      </c>
      <c r="N124" s="23">
        <v>143.8</v>
      </c>
      <c r="O124" s="47" t="s">
        <v>41</v>
      </c>
      <c r="P124" s="47">
        <v>8979.499999999998</v>
      </c>
      <c r="Q124" s="46">
        <v>652523.4999999998</v>
      </c>
      <c r="R124" s="47">
        <v>2366.6</v>
      </c>
      <c r="S124" s="47">
        <v>5739.6</v>
      </c>
      <c r="T124" s="45">
        <v>124340.40000000001</v>
      </c>
      <c r="U124" s="49">
        <f t="shared" si="4"/>
        <v>1188362.9999999998</v>
      </c>
      <c r="W124" s="6"/>
    </row>
    <row r="125" spans="1:23" ht="12.75" hidden="1">
      <c r="A125" s="52" t="s">
        <v>150</v>
      </c>
      <c r="B125" s="45">
        <v>107189</v>
      </c>
      <c r="C125" s="47">
        <v>201411.19999999998</v>
      </c>
      <c r="D125" s="47"/>
      <c r="E125" s="45">
        <v>77019.90000000001</v>
      </c>
      <c r="F125" s="48"/>
      <c r="G125" s="47">
        <v>32000</v>
      </c>
      <c r="H125" s="46"/>
      <c r="I125" s="49">
        <f t="shared" si="2"/>
        <v>109019.90000000001</v>
      </c>
      <c r="J125" s="46">
        <v>539.1</v>
      </c>
      <c r="K125" s="47"/>
      <c r="L125" s="47"/>
      <c r="M125" s="64" t="s">
        <v>41</v>
      </c>
      <c r="N125" s="23">
        <v>143.8</v>
      </c>
      <c r="O125" s="47" t="s">
        <v>41</v>
      </c>
      <c r="P125" s="47">
        <v>8510.400000000001</v>
      </c>
      <c r="Q125" s="46">
        <v>645360.8999999998</v>
      </c>
      <c r="R125" s="47">
        <v>2469.2</v>
      </c>
      <c r="S125" s="47">
        <v>6264.200000000001</v>
      </c>
      <c r="T125" s="45">
        <v>137109.09999999998</v>
      </c>
      <c r="U125" s="49">
        <f t="shared" si="4"/>
        <v>1218016.7999999998</v>
      </c>
      <c r="W125" s="6"/>
    </row>
    <row r="126" spans="1:23" ht="12.75" hidden="1">
      <c r="A126" s="52" t="s">
        <v>135</v>
      </c>
      <c r="B126" s="45">
        <v>88530.19999999998</v>
      </c>
      <c r="C126" s="47">
        <v>212478.3</v>
      </c>
      <c r="D126" s="47"/>
      <c r="E126" s="45">
        <v>76779.50000000001</v>
      </c>
      <c r="F126" s="48"/>
      <c r="G126" s="47">
        <v>32000</v>
      </c>
      <c r="H126" s="46"/>
      <c r="I126" s="49">
        <f t="shared" si="2"/>
        <v>108779.50000000001</v>
      </c>
      <c r="J126" s="46">
        <v>541.4</v>
      </c>
      <c r="K126" s="47"/>
      <c r="L126" s="47"/>
      <c r="M126" s="64" t="s">
        <v>41</v>
      </c>
      <c r="N126" s="23">
        <v>143.8</v>
      </c>
      <c r="O126" s="47" t="s">
        <v>41</v>
      </c>
      <c r="P126" s="47">
        <v>8185.9</v>
      </c>
      <c r="Q126" s="46">
        <v>649711</v>
      </c>
      <c r="R126" s="47">
        <v>2774.6</v>
      </c>
      <c r="S126" s="47">
        <v>6876.299999999999</v>
      </c>
      <c r="T126" s="45">
        <v>136175.19999999998</v>
      </c>
      <c r="U126" s="49">
        <f t="shared" si="4"/>
        <v>1214196.2000000002</v>
      </c>
      <c r="W126" s="6"/>
    </row>
    <row r="127" spans="1:23" ht="12.75" hidden="1">
      <c r="A127" s="52" t="s">
        <v>154</v>
      </c>
      <c r="B127" s="45">
        <v>87493.3</v>
      </c>
      <c r="C127" s="47">
        <f>231156+33.1</f>
        <v>231189.1</v>
      </c>
      <c r="D127" s="47"/>
      <c r="E127" s="45">
        <v>80164</v>
      </c>
      <c r="F127" s="48"/>
      <c r="G127" s="47">
        <v>32000</v>
      </c>
      <c r="H127" s="46"/>
      <c r="I127" s="49">
        <f aca="true" t="shared" si="5" ref="I127:I132">SUM(D127:H127)</f>
        <v>112164</v>
      </c>
      <c r="J127" s="46">
        <f>506.6+36.6</f>
        <v>543.2</v>
      </c>
      <c r="K127" s="47"/>
      <c r="L127" s="47"/>
      <c r="M127" s="64" t="s">
        <v>41</v>
      </c>
      <c r="N127" s="23">
        <v>143.8</v>
      </c>
      <c r="O127" s="47" t="s">
        <v>41</v>
      </c>
      <c r="P127" s="23">
        <f>7231.6+41.8+543.9</f>
        <v>7817.3</v>
      </c>
      <c r="Q127" s="46">
        <f>620076.1+27568.8+21.9+85.5+369.1+871.4+576.7</f>
        <v>649569.5</v>
      </c>
      <c r="R127" s="47">
        <f>2964.7+62.6</f>
        <v>3027.2999999999997</v>
      </c>
      <c r="S127" s="47">
        <v>6812.1</v>
      </c>
      <c r="T127" s="45">
        <f>140881.2-1991</f>
        <v>138890.2</v>
      </c>
      <c r="U127" s="49">
        <f aca="true" t="shared" si="6" ref="U127:U132">SUM(B127:C127,I127:T127)</f>
        <v>1237649.8</v>
      </c>
      <c r="W127" s="6"/>
    </row>
    <row r="128" spans="1:23" ht="12.75" hidden="1">
      <c r="A128" s="52" t="s">
        <v>155</v>
      </c>
      <c r="B128" s="45">
        <v>123889.6</v>
      </c>
      <c r="C128" s="47">
        <f>216665.2+33.1</f>
        <v>216698.30000000002</v>
      </c>
      <c r="D128" s="47"/>
      <c r="E128" s="45">
        <v>76771.9</v>
      </c>
      <c r="F128" s="48"/>
      <c r="G128" s="47">
        <v>32000</v>
      </c>
      <c r="H128" s="46"/>
      <c r="I128" s="49">
        <f t="shared" si="5"/>
        <v>108771.9</v>
      </c>
      <c r="J128" s="46">
        <f>1314.8</f>
        <v>1314.8</v>
      </c>
      <c r="K128" s="47"/>
      <c r="L128" s="47"/>
      <c r="M128" s="64" t="s">
        <v>41</v>
      </c>
      <c r="N128" s="23">
        <v>143.8</v>
      </c>
      <c r="O128" s="47" t="s">
        <v>41</v>
      </c>
      <c r="P128" s="23">
        <f>6593.1+41.8+566.1</f>
        <v>7201.000000000001</v>
      </c>
      <c r="Q128" s="46">
        <f>619423.3+27688.4+24.8+103.7+399.1+1006.7+576.7</f>
        <v>649222.7</v>
      </c>
      <c r="R128" s="47">
        <f>3059.9+68.8</f>
        <v>3128.7000000000003</v>
      </c>
      <c r="S128" s="47">
        <v>7084.7</v>
      </c>
      <c r="T128" s="45">
        <f>129356.8-2169.2</f>
        <v>127187.6</v>
      </c>
      <c r="U128" s="49">
        <f t="shared" si="6"/>
        <v>1244643.1</v>
      </c>
      <c r="W128" s="6"/>
    </row>
    <row r="129" spans="1:23" ht="12.75" hidden="1">
      <c r="A129" s="52" t="s">
        <v>158</v>
      </c>
      <c r="B129" s="45">
        <v>111667</v>
      </c>
      <c r="C129" s="47">
        <f>226481.1+33.1</f>
        <v>226514.2</v>
      </c>
      <c r="D129" s="47"/>
      <c r="E129" s="45">
        <v>90431.1</v>
      </c>
      <c r="F129" s="48"/>
      <c r="G129" s="47">
        <v>47500</v>
      </c>
      <c r="H129" s="46"/>
      <c r="I129" s="49">
        <f t="shared" si="5"/>
        <v>137931.1</v>
      </c>
      <c r="J129" s="46">
        <v>2342.1</v>
      </c>
      <c r="K129" s="47"/>
      <c r="L129" s="47"/>
      <c r="M129" s="64" t="s">
        <v>41</v>
      </c>
      <c r="N129" s="23">
        <v>143.8</v>
      </c>
      <c r="O129" s="47" t="s">
        <v>41</v>
      </c>
      <c r="P129" s="23">
        <f>6474.7+41.8+600.9</f>
        <v>7117.4</v>
      </c>
      <c r="Q129" s="46">
        <f>618689.3+27577.3+27.8+113.7+322.1+826.6+576.7</f>
        <v>648133.5</v>
      </c>
      <c r="R129" s="47">
        <f>2994.8+62.3</f>
        <v>3057.1000000000004</v>
      </c>
      <c r="S129" s="47">
        <v>7365.1</v>
      </c>
      <c r="T129" s="45">
        <f>131556.8-1953.4</f>
        <v>129603.4</v>
      </c>
      <c r="U129" s="49">
        <f t="shared" si="6"/>
        <v>1273874.7000000002</v>
      </c>
      <c r="W129" s="6"/>
    </row>
    <row r="130" spans="1:23" ht="15.75" hidden="1">
      <c r="A130" s="52" t="s">
        <v>159</v>
      </c>
      <c r="B130" s="45">
        <v>123191.3</v>
      </c>
      <c r="C130" s="47">
        <v>199401.80000000002</v>
      </c>
      <c r="D130" s="47"/>
      <c r="E130" s="45">
        <v>83583.8</v>
      </c>
      <c r="F130" s="48"/>
      <c r="G130" s="47">
        <v>47500</v>
      </c>
      <c r="H130" s="46"/>
      <c r="I130" s="49">
        <f t="shared" si="5"/>
        <v>131083.8</v>
      </c>
      <c r="J130" s="46">
        <v>1330.6</v>
      </c>
      <c r="K130" s="47"/>
      <c r="L130" s="47"/>
      <c r="M130" s="70" t="s">
        <v>41</v>
      </c>
      <c r="N130" s="23">
        <v>143.8</v>
      </c>
      <c r="O130" s="47" t="s">
        <v>41</v>
      </c>
      <c r="P130" s="23">
        <v>9306.699999999999</v>
      </c>
      <c r="Q130" s="46">
        <v>649603.0999999999</v>
      </c>
      <c r="R130" s="47">
        <v>3066.6</v>
      </c>
      <c r="S130" s="47">
        <v>8125.1</v>
      </c>
      <c r="T130" s="45">
        <v>130693.20000000001</v>
      </c>
      <c r="U130" s="49">
        <f t="shared" si="6"/>
        <v>1255946</v>
      </c>
      <c r="V130"/>
      <c r="W130" s="6"/>
    </row>
    <row r="131" spans="1:23" ht="12.75" hidden="1">
      <c r="A131" s="52" t="s">
        <v>160</v>
      </c>
      <c r="B131" s="45">
        <v>124507.9</v>
      </c>
      <c r="C131" s="47">
        <v>198408.8</v>
      </c>
      <c r="D131" s="47"/>
      <c r="E131" s="45">
        <v>86709.1</v>
      </c>
      <c r="F131" s="48"/>
      <c r="G131" s="47">
        <v>47500</v>
      </c>
      <c r="H131" s="46"/>
      <c r="I131" s="49">
        <f t="shared" si="5"/>
        <v>134209.1</v>
      </c>
      <c r="J131" s="46">
        <v>1296.6</v>
      </c>
      <c r="K131" s="47"/>
      <c r="L131" s="47"/>
      <c r="M131" s="70" t="s">
        <v>41</v>
      </c>
      <c r="N131" s="23">
        <v>143.8</v>
      </c>
      <c r="O131" s="47" t="s">
        <v>41</v>
      </c>
      <c r="P131" s="23">
        <v>12659.7</v>
      </c>
      <c r="Q131" s="46">
        <v>668881.2</v>
      </c>
      <c r="R131" s="47">
        <v>3154.2000000000003</v>
      </c>
      <c r="S131" s="47">
        <v>8706.6</v>
      </c>
      <c r="T131" s="45">
        <v>130308.7</v>
      </c>
      <c r="U131" s="49">
        <f t="shared" si="6"/>
        <v>1282276.5999999999</v>
      </c>
      <c r="W131" s="6"/>
    </row>
    <row r="132" spans="1:23" ht="12.75" hidden="1">
      <c r="A132" s="52" t="s">
        <v>163</v>
      </c>
      <c r="B132" s="45">
        <v>118758.7</v>
      </c>
      <c r="C132" s="47">
        <f>230470.1+90.9</f>
        <v>230561</v>
      </c>
      <c r="D132" s="47"/>
      <c r="E132" s="45">
        <v>89256.6</v>
      </c>
      <c r="F132" s="48"/>
      <c r="G132" s="47">
        <v>47500</v>
      </c>
      <c r="H132" s="46"/>
      <c r="I132" s="49">
        <f t="shared" si="5"/>
        <v>136756.6</v>
      </c>
      <c r="J132" s="46">
        <v>3306.9</v>
      </c>
      <c r="K132" s="47"/>
      <c r="L132" s="47"/>
      <c r="M132" s="70" t="s">
        <v>41</v>
      </c>
      <c r="N132" s="23">
        <v>143.8</v>
      </c>
      <c r="O132" s="47" t="s">
        <v>41</v>
      </c>
      <c r="P132" s="23">
        <f>16614.4+47.9+284.6</f>
        <v>16946.9</v>
      </c>
      <c r="Q132" s="46">
        <f>642375.9+28949.9+570.5+21.3+80.5+410.2+922.9</f>
        <v>673331.2000000001</v>
      </c>
      <c r="R132" s="47">
        <f>3056.3+76.5</f>
        <v>3132.8</v>
      </c>
      <c r="S132" s="47">
        <v>8981.9</v>
      </c>
      <c r="T132" s="45">
        <f>131408.2-1796</f>
        <v>129612.20000000001</v>
      </c>
      <c r="U132" s="49">
        <f t="shared" si="6"/>
        <v>1321532</v>
      </c>
      <c r="W132" s="6"/>
    </row>
    <row r="133" spans="1:23" ht="12.75">
      <c r="A133" s="52" t="s">
        <v>162</v>
      </c>
      <c r="B133" s="45">
        <v>125182.2</v>
      </c>
      <c r="C133" s="47">
        <f>193796.1+96.8</f>
        <v>193892.9</v>
      </c>
      <c r="D133" s="47"/>
      <c r="E133" s="45">
        <v>90001</v>
      </c>
      <c r="F133" s="48"/>
      <c r="G133" s="47">
        <v>67163.6</v>
      </c>
      <c r="H133" s="46"/>
      <c r="I133" s="49">
        <f>SUM(D133:H133)</f>
        <v>157164.6</v>
      </c>
      <c r="J133" s="46">
        <v>1421.8</v>
      </c>
      <c r="K133" s="47"/>
      <c r="L133" s="47"/>
      <c r="M133" s="70" t="s">
        <v>41</v>
      </c>
      <c r="N133" s="23">
        <f>143.8+600</f>
        <v>743.8</v>
      </c>
      <c r="O133" s="47" t="s">
        <v>41</v>
      </c>
      <c r="P133" s="23">
        <f>16483.6+47.9+332.1</f>
        <v>16863.6</v>
      </c>
      <c r="Q133" s="46">
        <f>655707.3+29545+570.5+28.3+47.3+494.6+1316.3</f>
        <v>687709.3000000002</v>
      </c>
      <c r="R133" s="47">
        <f>3059.3+91</f>
        <v>3150.3</v>
      </c>
      <c r="S133" s="47">
        <v>9665.6</v>
      </c>
      <c r="T133" s="45">
        <f>135020.8-2309.6</f>
        <v>132711.19999999998</v>
      </c>
      <c r="U133" s="49">
        <f>SUM(B133:C133,I133:T133)</f>
        <v>1328505.3000000003</v>
      </c>
      <c r="V133" s="53"/>
      <c r="W133" s="6"/>
    </row>
    <row r="134" spans="1:23" ht="12.75">
      <c r="A134" s="52" t="s">
        <v>131</v>
      </c>
      <c r="B134" s="45">
        <v>121296.9</v>
      </c>
      <c r="C134" s="47">
        <f>193828.2+96.8</f>
        <v>193925</v>
      </c>
      <c r="D134" s="47"/>
      <c r="E134" s="45">
        <v>84044.4</v>
      </c>
      <c r="F134" s="48"/>
      <c r="G134" s="47">
        <v>67472</v>
      </c>
      <c r="H134" s="46"/>
      <c r="I134" s="49">
        <f>SUM(D134:H134)</f>
        <v>151516.4</v>
      </c>
      <c r="J134" s="46">
        <v>1373.1</v>
      </c>
      <c r="K134" s="47"/>
      <c r="L134" s="47"/>
      <c r="M134" s="70" t="s">
        <v>41</v>
      </c>
      <c r="N134" s="23">
        <f>143.8+600</f>
        <v>743.8</v>
      </c>
      <c r="O134" s="47" t="s">
        <v>41</v>
      </c>
      <c r="P134" s="23">
        <f>14001.7+47.9+336.5</f>
        <v>14386.1</v>
      </c>
      <c r="Q134" s="46">
        <f>649768.4+29590.1+570.5+26.6+58.9+476.5+897.8</f>
        <v>681388.8</v>
      </c>
      <c r="R134" s="47">
        <f>3565.5+77.4</f>
        <v>3642.9</v>
      </c>
      <c r="S134" s="47">
        <v>10737</v>
      </c>
      <c r="T134" s="45">
        <f>133315.5-1873.7</f>
        <v>131441.8</v>
      </c>
      <c r="U134" s="49">
        <f>SUM(B134:C134,I134:T134)</f>
        <v>1310451.8</v>
      </c>
      <c r="W134" s="6"/>
    </row>
    <row r="135" spans="1:23" ht="12.75">
      <c r="A135" s="52" t="s">
        <v>132</v>
      </c>
      <c r="B135" s="45">
        <v>163764.8</v>
      </c>
      <c r="C135" s="47">
        <f>190368.4+96.8</f>
        <v>190465.19999999998</v>
      </c>
      <c r="D135" s="47"/>
      <c r="E135" s="45">
        <v>87147.5</v>
      </c>
      <c r="F135" s="48"/>
      <c r="G135" s="47">
        <v>59641.1</v>
      </c>
      <c r="H135" s="46"/>
      <c r="I135" s="49">
        <f>SUM(D135:H135)</f>
        <v>146788.6</v>
      </c>
      <c r="J135" s="46">
        <v>1223.7</v>
      </c>
      <c r="K135" s="47"/>
      <c r="L135" s="47"/>
      <c r="M135" s="70" t="s">
        <v>41</v>
      </c>
      <c r="N135" s="23">
        <f>143.8</f>
        <v>143.8</v>
      </c>
      <c r="O135" s="47" t="s">
        <v>41</v>
      </c>
      <c r="P135" s="23">
        <f>11479.7+47.9+329.2</f>
        <v>11856.800000000001</v>
      </c>
      <c r="Q135" s="46">
        <f>653195.1+30133+570.5+24.4+75.5+439.8+928.4</f>
        <v>685366.7000000001</v>
      </c>
      <c r="R135" s="47">
        <f>3608.3+82.7</f>
        <v>3691</v>
      </c>
      <c r="S135" s="47">
        <v>11343.5</v>
      </c>
      <c r="T135" s="45">
        <f>135589.9-1880</f>
        <v>133709.9</v>
      </c>
      <c r="U135" s="49">
        <f>SUM(B135:C135,I135:T135)</f>
        <v>1348354</v>
      </c>
      <c r="W135" s="6"/>
    </row>
    <row r="136" spans="1:23" ht="12.75">
      <c r="A136" s="52" t="s">
        <v>133</v>
      </c>
      <c r="B136" s="45">
        <v>136299.4</v>
      </c>
      <c r="C136" s="47">
        <f>176990.9+96.8</f>
        <v>177087.69999999998</v>
      </c>
      <c r="D136" s="47"/>
      <c r="E136" s="45">
        <v>94268.7</v>
      </c>
      <c r="F136" s="48"/>
      <c r="G136" s="47">
        <v>59813.8</v>
      </c>
      <c r="H136" s="46"/>
      <c r="I136" s="49">
        <f>SUM(D136:H136)</f>
        <v>154082.5</v>
      </c>
      <c r="J136" s="46">
        <v>948.8</v>
      </c>
      <c r="K136" s="47"/>
      <c r="L136" s="47"/>
      <c r="M136" s="70" t="s">
        <v>41</v>
      </c>
      <c r="N136" s="23">
        <f>143.8</f>
        <v>143.8</v>
      </c>
      <c r="O136" s="47" t="s">
        <v>41</v>
      </c>
      <c r="P136" s="23">
        <f>10245+47.9+377.4</f>
        <v>10670.3</v>
      </c>
      <c r="Q136" s="46">
        <f>660006.8+30617.6+570.5+28+91.4+535.7+875.3</f>
        <v>692725.3</v>
      </c>
      <c r="R136" s="47">
        <f>3518.6+88.5</f>
        <v>3607.1</v>
      </c>
      <c r="S136" s="47">
        <v>11432.1</v>
      </c>
      <c r="T136" s="45">
        <f>140454.3-1996.3</f>
        <v>138458</v>
      </c>
      <c r="U136" s="49">
        <f>SUM(B136:C136,I136:T136)</f>
        <v>1325455.0000000002</v>
      </c>
      <c r="W136" s="6"/>
    </row>
    <row r="137" spans="1:23" ht="12.75">
      <c r="A137" s="52" t="s">
        <v>134</v>
      </c>
      <c r="B137" s="45">
        <v>146489.8</v>
      </c>
      <c r="C137" s="47">
        <f>199504.4+96.8</f>
        <v>199601.19999999998</v>
      </c>
      <c r="D137" s="47"/>
      <c r="E137" s="45">
        <v>87718.9</v>
      </c>
      <c r="F137" s="48"/>
      <c r="G137" s="47">
        <v>59983.8</v>
      </c>
      <c r="H137" s="46"/>
      <c r="I137" s="49">
        <f>SUM(D137:H137)</f>
        <v>147702.7</v>
      </c>
      <c r="J137" s="46">
        <v>34633.2</v>
      </c>
      <c r="K137" s="47"/>
      <c r="L137" s="47"/>
      <c r="M137" s="70" t="s">
        <v>41</v>
      </c>
      <c r="N137" s="23">
        <f>143.8</f>
        <v>143.8</v>
      </c>
      <c r="O137" s="47" t="s">
        <v>41</v>
      </c>
      <c r="P137" s="23">
        <f>10504.7+47.9+267.9</f>
        <v>10820.5</v>
      </c>
      <c r="Q137" s="46">
        <f>668889.5+31419.4+570.5+35.2+74.3+558.9+1092.8</f>
        <v>702640.6000000001</v>
      </c>
      <c r="R137" s="47">
        <f>3360.8+88.5</f>
        <v>3449.3</v>
      </c>
      <c r="S137" s="47">
        <v>12380.1</v>
      </c>
      <c r="T137" s="45">
        <f>144894.8-2117.6</f>
        <v>142777.19999999998</v>
      </c>
      <c r="U137" s="49">
        <f>SUM(B137:C137,I137:T137)</f>
        <v>1400638.4000000004</v>
      </c>
      <c r="W137" s="6"/>
    </row>
    <row r="138" spans="1:23" ht="12.75">
      <c r="A138" s="52"/>
      <c r="B138" s="45"/>
      <c r="C138" s="47"/>
      <c r="D138" s="47"/>
      <c r="E138" s="45"/>
      <c r="F138" s="48"/>
      <c r="G138" s="47"/>
      <c r="H138" s="46"/>
      <c r="I138" s="49"/>
      <c r="J138" s="46"/>
      <c r="K138" s="47"/>
      <c r="L138" s="47"/>
      <c r="M138" s="70"/>
      <c r="N138" s="23"/>
      <c r="O138" s="47"/>
      <c r="P138" s="23"/>
      <c r="Q138" s="46"/>
      <c r="R138" s="47"/>
      <c r="S138" s="47"/>
      <c r="T138" s="45"/>
      <c r="U138" s="49"/>
      <c r="W138" s="6"/>
    </row>
    <row r="139" spans="1:23" ht="12.75">
      <c r="A139" s="52" t="s">
        <v>139</v>
      </c>
      <c r="B139" s="45">
        <v>110540.2</v>
      </c>
      <c r="C139" s="47">
        <f>189174.3+96.8</f>
        <v>189271.09999999998</v>
      </c>
      <c r="D139" s="47"/>
      <c r="E139" s="45">
        <v>89081.9</v>
      </c>
      <c r="F139" s="48"/>
      <c r="G139" s="47">
        <v>68163.2</v>
      </c>
      <c r="H139" s="46"/>
      <c r="I139" s="49">
        <f aca="true" t="shared" si="7" ref="I139:I144">SUM(D139:H139)</f>
        <v>157245.09999999998</v>
      </c>
      <c r="J139" s="46">
        <v>35319</v>
      </c>
      <c r="K139" s="47"/>
      <c r="L139" s="47"/>
      <c r="M139" s="70" t="s">
        <v>41</v>
      </c>
      <c r="N139" s="23">
        <f>143.8</f>
        <v>143.8</v>
      </c>
      <c r="O139" s="47" t="s">
        <v>41</v>
      </c>
      <c r="P139" s="23">
        <f>9501.2+47.9+314.1</f>
        <v>9863.2</v>
      </c>
      <c r="Q139" s="46">
        <f>661652.6+32358.7+697.3+25.3+87.4+463+1420.8</f>
        <v>696705.1000000001</v>
      </c>
      <c r="R139" s="47">
        <f>3207.1+84.1</f>
        <v>3291.2</v>
      </c>
      <c r="S139" s="47">
        <v>13288.6</v>
      </c>
      <c r="T139" s="45">
        <f>146936.3-2394.7</f>
        <v>144541.59999999998</v>
      </c>
      <c r="U139" s="49">
        <f aca="true" t="shared" si="8" ref="U139:U144">SUM(B139:C139,I139:T139)</f>
        <v>1360208.9</v>
      </c>
      <c r="W139" s="6"/>
    </row>
    <row r="140" spans="1:23" ht="12.75">
      <c r="A140" s="52" t="s">
        <v>136</v>
      </c>
      <c r="B140" s="45">
        <v>154012.4</v>
      </c>
      <c r="C140" s="47">
        <f>177635.2+96.8</f>
        <v>177732</v>
      </c>
      <c r="D140" s="47"/>
      <c r="E140" s="45">
        <v>80498.8</v>
      </c>
      <c r="F140" s="48"/>
      <c r="G140" s="47">
        <v>60328.4</v>
      </c>
      <c r="H140" s="46"/>
      <c r="I140" s="49">
        <f t="shared" si="7"/>
        <v>140827.2</v>
      </c>
      <c r="J140" s="46">
        <v>37033.8</v>
      </c>
      <c r="K140" s="47"/>
      <c r="L140" s="47"/>
      <c r="M140" s="70" t="s">
        <v>41</v>
      </c>
      <c r="N140" s="23">
        <f>143.8</f>
        <v>143.8</v>
      </c>
      <c r="O140" s="47" t="s">
        <v>41</v>
      </c>
      <c r="P140" s="23">
        <f>7092.2+47.9+417.4</f>
        <v>7557.499999999999</v>
      </c>
      <c r="Q140" s="46">
        <f>657379.9+33094.1+697.3+27.3+38.6+546.3+1537.1</f>
        <v>693320.6000000001</v>
      </c>
      <c r="R140" s="47">
        <f>3132.1+87.9</f>
        <v>3220</v>
      </c>
      <c r="S140" s="47">
        <v>12871.9</v>
      </c>
      <c r="T140" s="45">
        <f>150545.3-2654.6</f>
        <v>147890.69999999998</v>
      </c>
      <c r="U140" s="49">
        <f t="shared" si="8"/>
        <v>1374609.9</v>
      </c>
      <c r="W140" s="6"/>
    </row>
    <row r="141" spans="1:23" ht="12.75">
      <c r="A141" s="52" t="s">
        <v>137</v>
      </c>
      <c r="B141" s="45">
        <v>100504.6</v>
      </c>
      <c r="C141" s="47">
        <f>191513.2+96.8</f>
        <v>191610</v>
      </c>
      <c r="D141" s="47"/>
      <c r="E141" s="45">
        <v>96138</v>
      </c>
      <c r="F141" s="48"/>
      <c r="G141" s="47">
        <v>60514.5</v>
      </c>
      <c r="H141" s="46"/>
      <c r="I141" s="49">
        <f t="shared" si="7"/>
        <v>156652.5</v>
      </c>
      <c r="J141" s="46">
        <v>37342.1</v>
      </c>
      <c r="K141" s="47"/>
      <c r="L141" s="47"/>
      <c r="M141" s="70" t="s">
        <v>41</v>
      </c>
      <c r="N141" s="23">
        <v>143.9</v>
      </c>
      <c r="O141" s="47" t="s">
        <v>41</v>
      </c>
      <c r="P141" s="23">
        <f>7349.9+47.9+475.1</f>
        <v>7872.9</v>
      </c>
      <c r="Q141" s="46">
        <f>665409.6+32903.7+697.3+24.2+62.4+531.4+1869.8</f>
        <v>701498.4</v>
      </c>
      <c r="R141" s="47">
        <f>3834.5+76.4</f>
        <v>3910.9</v>
      </c>
      <c r="S141" s="47">
        <v>11531.7</v>
      </c>
      <c r="T141" s="45">
        <f>151010-3039.3</f>
        <v>147970.7</v>
      </c>
      <c r="U141" s="49">
        <f t="shared" si="8"/>
        <v>1359037.6999999997</v>
      </c>
      <c r="W141" s="6"/>
    </row>
    <row r="142" spans="1:23" ht="12.75">
      <c r="A142" s="52" t="s">
        <v>138</v>
      </c>
      <c r="B142" s="45">
        <v>105296.1</v>
      </c>
      <c r="C142" s="47">
        <f>202308.8+96.8</f>
        <v>202405.59999999998</v>
      </c>
      <c r="D142" s="47"/>
      <c r="E142" s="45">
        <v>100215.5</v>
      </c>
      <c r="F142" s="48"/>
      <c r="G142" s="47">
        <v>52716.1</v>
      </c>
      <c r="H142" s="46"/>
      <c r="I142" s="49">
        <f t="shared" si="7"/>
        <v>152931.6</v>
      </c>
      <c r="J142" s="46">
        <v>35613.2</v>
      </c>
      <c r="K142" s="47"/>
      <c r="L142" s="47"/>
      <c r="M142" s="70" t="s">
        <v>41</v>
      </c>
      <c r="N142" s="23">
        <v>143.9</v>
      </c>
      <c r="O142" s="47" t="s">
        <v>41</v>
      </c>
      <c r="P142" s="23">
        <f>9705.5+47.9+482.7</f>
        <v>10236.1</v>
      </c>
      <c r="Q142" s="46">
        <f>681109.6+33094.7+697.3+25.7+105.4+543.2+2163.3</f>
        <v>717739.2</v>
      </c>
      <c r="R142" s="47">
        <f>3908.4+52.9</f>
        <v>3961.3</v>
      </c>
      <c r="S142" s="47">
        <v>11607.3</v>
      </c>
      <c r="T142" s="45">
        <f>149828.8-3373.2</f>
        <v>146455.59999999998</v>
      </c>
      <c r="U142" s="49">
        <f t="shared" si="8"/>
        <v>1386389.9</v>
      </c>
      <c r="W142" s="6"/>
    </row>
    <row r="143" spans="1:23" ht="12.75">
      <c r="A143" s="52" t="s">
        <v>128</v>
      </c>
      <c r="B143" s="45">
        <v>94877.4</v>
      </c>
      <c r="C143" s="47">
        <f>178338.4+96.8</f>
        <v>178435.19999999998</v>
      </c>
      <c r="D143" s="47"/>
      <c r="E143" s="45">
        <v>114578.6</v>
      </c>
      <c r="F143" s="48"/>
      <c r="G143" s="47">
        <v>57887.2</v>
      </c>
      <c r="H143" s="46"/>
      <c r="I143" s="49">
        <f t="shared" si="7"/>
        <v>172465.8</v>
      </c>
      <c r="J143" s="46">
        <v>34736.2</v>
      </c>
      <c r="K143" s="47"/>
      <c r="L143" s="47"/>
      <c r="M143" s="70" t="s">
        <v>41</v>
      </c>
      <c r="N143" s="23">
        <v>143.9</v>
      </c>
      <c r="O143" s="47" t="s">
        <v>41</v>
      </c>
      <c r="P143" s="23">
        <f>10927.5+47.9+429.6</f>
        <v>11405</v>
      </c>
      <c r="Q143" s="46">
        <f>686492.2+33003+697.3+28.8+114.7+681.5+2566.5</f>
        <v>723584</v>
      </c>
      <c r="R143" s="47">
        <f>4130.6+59.1</f>
        <v>4189.700000000001</v>
      </c>
      <c r="S143" s="47">
        <v>11921.1</v>
      </c>
      <c r="T143" s="45">
        <f>145760.8-3880.2</f>
        <v>141880.59999999998</v>
      </c>
      <c r="U143" s="49">
        <f t="shared" si="8"/>
        <v>1373638.9</v>
      </c>
      <c r="W143" s="6"/>
    </row>
    <row r="144" spans="1:23" ht="12.75">
      <c r="A144" s="52" t="s">
        <v>123</v>
      </c>
      <c r="B144" s="45">
        <v>94242.5</v>
      </c>
      <c r="C144" s="47">
        <f>192676.8+96.8</f>
        <v>192773.59999999998</v>
      </c>
      <c r="D144" s="47"/>
      <c r="E144" s="45">
        <v>105680.9</v>
      </c>
      <c r="F144" s="48"/>
      <c r="G144" s="47">
        <v>61075.3</v>
      </c>
      <c r="H144" s="46"/>
      <c r="I144" s="49">
        <f t="shared" si="7"/>
        <v>166756.2</v>
      </c>
      <c r="J144" s="46">
        <v>32993.1</v>
      </c>
      <c r="K144" s="47"/>
      <c r="L144" s="47"/>
      <c r="M144" s="70" t="s">
        <v>41</v>
      </c>
      <c r="N144" s="23">
        <v>143.9</v>
      </c>
      <c r="O144" s="47" t="s">
        <v>41</v>
      </c>
      <c r="P144" s="23">
        <f>9188.7+47.9+371.8</f>
        <v>9608.4</v>
      </c>
      <c r="Q144" s="46">
        <f>689601.9+33329.8+697.3+33.6+334.9+963.9+1264.3</f>
        <v>726225.7000000002</v>
      </c>
      <c r="R144" s="47">
        <f>3753.6+68.6</f>
        <v>3822.2</v>
      </c>
      <c r="S144" s="47">
        <v>11508.3</v>
      </c>
      <c r="T144" s="45">
        <f>148265.2-3037.1</f>
        <v>145228.1</v>
      </c>
      <c r="U144" s="49">
        <f t="shared" si="8"/>
        <v>1383302.0000000002</v>
      </c>
      <c r="W144" s="6"/>
    </row>
    <row r="145" spans="1:23" ht="12.75">
      <c r="A145" s="52" t="s">
        <v>129</v>
      </c>
      <c r="B145" s="45">
        <v>111874.1</v>
      </c>
      <c r="C145" s="47">
        <f>167414.2+96.8</f>
        <v>167511</v>
      </c>
      <c r="D145" s="47"/>
      <c r="E145" s="45">
        <v>112827.4</v>
      </c>
      <c r="F145" s="48"/>
      <c r="G145" s="47">
        <v>57754.6</v>
      </c>
      <c r="H145" s="46"/>
      <c r="I145" s="49">
        <f aca="true" t="shared" si="9" ref="I145:I150">SUM(D145:H145)</f>
        <v>170582</v>
      </c>
      <c r="J145" s="46">
        <v>34184.1</v>
      </c>
      <c r="K145" s="47"/>
      <c r="L145" s="47"/>
      <c r="M145" s="70" t="s">
        <v>41</v>
      </c>
      <c r="N145" s="23">
        <v>143.9</v>
      </c>
      <c r="O145" s="47" t="s">
        <v>41</v>
      </c>
      <c r="P145" s="23">
        <f>12861.7+112+316.5</f>
        <v>13290.2</v>
      </c>
      <c r="Q145" s="46">
        <f>687657.9+33188.9+629+26.1+137.6+1186.6+1108.5</f>
        <v>723934.6</v>
      </c>
      <c r="R145" s="47">
        <f>3768.7+53.4</f>
        <v>3822.1</v>
      </c>
      <c r="S145" s="47">
        <v>11352.9</v>
      </c>
      <c r="T145" s="45">
        <f>155291.1-2828.7</f>
        <v>152462.4</v>
      </c>
      <c r="U145" s="49">
        <f aca="true" t="shared" si="10" ref="U145:U150">SUM(B145:C145,I145:T145)</f>
        <v>1389157.2999999998</v>
      </c>
      <c r="W145" s="6"/>
    </row>
    <row r="146" spans="1:23" ht="12.75">
      <c r="A146" s="52" t="s">
        <v>130</v>
      </c>
      <c r="B146" s="45">
        <v>118047</v>
      </c>
      <c r="C146" s="47">
        <f>188214.9+96.8</f>
        <v>188311.69999999998</v>
      </c>
      <c r="D146" s="47"/>
      <c r="E146" s="45">
        <v>112931</v>
      </c>
      <c r="F146" s="48"/>
      <c r="G146" s="47">
        <v>57957.3</v>
      </c>
      <c r="H146" s="46"/>
      <c r="I146" s="49">
        <f t="shared" si="9"/>
        <v>170888.3</v>
      </c>
      <c r="J146" s="46">
        <v>33864.5</v>
      </c>
      <c r="K146" s="47"/>
      <c r="L146" s="47"/>
      <c r="M146" s="70" t="s">
        <v>41</v>
      </c>
      <c r="N146" s="23">
        <v>143.9</v>
      </c>
      <c r="O146" s="47" t="s">
        <v>41</v>
      </c>
      <c r="P146" s="23">
        <f>12973+112</f>
        <v>13085</v>
      </c>
      <c r="Q146" s="46">
        <f>687098.3+33352+629+25.5+117.7+998.9+1874.9</f>
        <v>724096.3</v>
      </c>
      <c r="R146" s="47">
        <f>3793.3+53.6</f>
        <v>3846.9</v>
      </c>
      <c r="S146" s="47">
        <v>11334.8</v>
      </c>
      <c r="T146" s="45">
        <f>153551.4-3070.6</f>
        <v>150480.8</v>
      </c>
      <c r="U146" s="49">
        <f t="shared" si="10"/>
        <v>1414099.2</v>
      </c>
      <c r="W146" s="6"/>
    </row>
    <row r="147" spans="1:23" ht="12.75">
      <c r="A147" s="52" t="s">
        <v>131</v>
      </c>
      <c r="B147" s="45">
        <v>105927</v>
      </c>
      <c r="C147" s="47">
        <f>178975.3+96.8</f>
        <v>179072.09999999998</v>
      </c>
      <c r="D147" s="47"/>
      <c r="E147" s="45">
        <v>118944.2</v>
      </c>
      <c r="F147" s="48"/>
      <c r="G147" s="47">
        <v>58157.4</v>
      </c>
      <c r="H147" s="46"/>
      <c r="I147" s="49">
        <f t="shared" si="9"/>
        <v>177101.6</v>
      </c>
      <c r="J147" s="46">
        <f>33270.1+59.8</f>
        <v>33329.9</v>
      </c>
      <c r="K147" s="47"/>
      <c r="L147" s="47"/>
      <c r="M147" s="70" t="s">
        <v>41</v>
      </c>
      <c r="N147" s="23">
        <v>143.9</v>
      </c>
      <c r="O147" s="47" t="s">
        <v>41</v>
      </c>
      <c r="P147" s="23">
        <f>14833.4+112</f>
        <v>14945.4</v>
      </c>
      <c r="Q147" s="46">
        <f>684507+33191.1+629+159.6+1001.7+1974.9</f>
        <v>721463.2999999999</v>
      </c>
      <c r="R147" s="47">
        <f>3755.9</f>
        <v>3755.9</v>
      </c>
      <c r="S147" s="47">
        <v>11334.8</v>
      </c>
      <c r="T147" s="45">
        <f>156167.7-3196</f>
        <v>152971.7</v>
      </c>
      <c r="U147" s="49">
        <f t="shared" si="10"/>
        <v>1400045.5999999999</v>
      </c>
      <c r="W147" s="6"/>
    </row>
    <row r="148" spans="1:23" ht="12.75">
      <c r="A148" s="52" t="s">
        <v>132</v>
      </c>
      <c r="B148" s="45">
        <v>140473.9</v>
      </c>
      <c r="C148" s="47">
        <f>167103.9+96.8</f>
        <v>167200.69999999998</v>
      </c>
      <c r="D148" s="47"/>
      <c r="E148" s="45">
        <v>135892.3</v>
      </c>
      <c r="F148" s="48"/>
      <c r="G148" s="47">
        <v>58368.8</v>
      </c>
      <c r="H148" s="46"/>
      <c r="I148" s="49">
        <f t="shared" si="9"/>
        <v>194261.09999999998</v>
      </c>
      <c r="J148" s="46">
        <f>34848.5+50.3</f>
        <v>34898.8</v>
      </c>
      <c r="K148" s="47"/>
      <c r="L148" s="47"/>
      <c r="M148" s="70" t="s">
        <v>41</v>
      </c>
      <c r="N148" s="23">
        <v>143.9</v>
      </c>
      <c r="O148" s="47" t="s">
        <v>41</v>
      </c>
      <c r="P148" s="23">
        <f>10186.5+112</f>
        <v>10298.5</v>
      </c>
      <c r="Q148" s="46">
        <f>678089.9+32892.5+629+194.3+850.4+1177.2</f>
        <v>713833.3</v>
      </c>
      <c r="R148" s="47">
        <f>3670.6+992.5</f>
        <v>4663.1</v>
      </c>
      <c r="S148" s="47">
        <v>11334.8</v>
      </c>
      <c r="T148" s="45">
        <f>156171.2-3264.7</f>
        <v>152906.5</v>
      </c>
      <c r="U148" s="49">
        <f t="shared" si="10"/>
        <v>1430014.6000000003</v>
      </c>
      <c r="W148" s="6"/>
    </row>
    <row r="149" spans="1:23" ht="12.75">
      <c r="A149" s="52" t="s">
        <v>133</v>
      </c>
      <c r="B149" s="45">
        <v>117089.5</v>
      </c>
      <c r="C149" s="47">
        <f>182639.8+96.8</f>
        <v>182736.59999999998</v>
      </c>
      <c r="D149" s="47"/>
      <c r="E149" s="45">
        <v>151945</v>
      </c>
      <c r="F149" s="48"/>
      <c r="G149" s="47">
        <v>70789.2</v>
      </c>
      <c r="H149" s="46"/>
      <c r="I149" s="49">
        <f t="shared" si="9"/>
        <v>222734.2</v>
      </c>
      <c r="J149" s="46">
        <f>41431.2</f>
        <v>41431.2</v>
      </c>
      <c r="K149" s="47"/>
      <c r="L149" s="47"/>
      <c r="M149" s="70" t="s">
        <v>41</v>
      </c>
      <c r="N149" s="23">
        <v>143.9</v>
      </c>
      <c r="O149" s="47">
        <v>16573.4</v>
      </c>
      <c r="P149" s="23">
        <f>9947.1+112+48</f>
        <v>10107.1</v>
      </c>
      <c r="Q149" s="46">
        <f>688828.4+402.2+277.3+1414.3+2386.6</f>
        <v>693308.8</v>
      </c>
      <c r="R149" s="47">
        <f>8.3</f>
        <v>8.3</v>
      </c>
      <c r="S149" s="47" t="s">
        <v>41</v>
      </c>
      <c r="T149" s="45">
        <f>149173.1-4126.2</f>
        <v>145046.9</v>
      </c>
      <c r="U149" s="49">
        <f t="shared" si="10"/>
        <v>1429179.9000000001</v>
      </c>
      <c r="W149" s="6"/>
    </row>
    <row r="150" spans="1:23" ht="12.75">
      <c r="A150" s="52" t="s">
        <v>134</v>
      </c>
      <c r="B150" s="45">
        <v>109484.1</v>
      </c>
      <c r="C150" s="47">
        <f>206772.7+96.8</f>
        <v>206869.5</v>
      </c>
      <c r="D150" s="47"/>
      <c r="E150" s="45">
        <v>175202.1</v>
      </c>
      <c r="F150" s="48"/>
      <c r="G150" s="47">
        <v>78586</v>
      </c>
      <c r="H150" s="46"/>
      <c r="I150" s="49">
        <f t="shared" si="9"/>
        <v>253788.1</v>
      </c>
      <c r="J150" s="46">
        <f>35308+11.3</f>
        <v>35319.3</v>
      </c>
      <c r="K150" s="47"/>
      <c r="L150" s="47"/>
      <c r="M150" s="70" t="s">
        <v>41</v>
      </c>
      <c r="N150" s="23">
        <v>143.9</v>
      </c>
      <c r="O150" s="47">
        <v>15884.7</v>
      </c>
      <c r="P150" s="23">
        <f>6399+112+0.8</f>
        <v>6511.8</v>
      </c>
      <c r="Q150" s="46">
        <f>672341.6+402.2+259.7+183.7+559.4</f>
        <v>673746.5999999999</v>
      </c>
      <c r="R150" s="47">
        <f>25.6+1.5</f>
        <v>27.1</v>
      </c>
      <c r="S150" s="47" t="s">
        <v>41</v>
      </c>
      <c r="T150" s="45">
        <f>140784-1016.7</f>
        <v>139767.3</v>
      </c>
      <c r="U150" s="49">
        <f t="shared" si="10"/>
        <v>1441542.4000000001</v>
      </c>
      <c r="W150" s="6"/>
    </row>
    <row r="151" spans="1:23" ht="12.75">
      <c r="A151" s="52"/>
      <c r="B151" s="45"/>
      <c r="C151" s="47"/>
      <c r="D151" s="47"/>
      <c r="E151" s="45"/>
      <c r="F151" s="48"/>
      <c r="G151" s="47"/>
      <c r="H151" s="46"/>
      <c r="I151" s="49"/>
      <c r="J151" s="46"/>
      <c r="K151" s="47"/>
      <c r="L151" s="47"/>
      <c r="M151" s="70"/>
      <c r="N151" s="23"/>
      <c r="O151" s="47"/>
      <c r="P151" s="23"/>
      <c r="Q151" s="46"/>
      <c r="R151" s="47"/>
      <c r="S151" s="47"/>
      <c r="T151" s="45"/>
      <c r="U151" s="49"/>
      <c r="W151" s="6"/>
    </row>
    <row r="152" spans="1:23" ht="12.75">
      <c r="A152" s="52" t="s">
        <v>152</v>
      </c>
      <c r="B152" s="45">
        <v>125686.4</v>
      </c>
      <c r="C152" s="47">
        <f>163539.9+96.8</f>
        <v>163636.69999999998</v>
      </c>
      <c r="D152" s="47"/>
      <c r="E152" s="45">
        <v>189318.8</v>
      </c>
      <c r="F152" s="48"/>
      <c r="G152" s="47">
        <v>77215.2</v>
      </c>
      <c r="H152" s="46"/>
      <c r="I152" s="49">
        <f aca="true" t="shared" si="11" ref="I152:I159">SUM(D152:H152)</f>
        <v>266534</v>
      </c>
      <c r="J152" s="46">
        <f>34794.1+174.6</f>
        <v>34968.7</v>
      </c>
      <c r="K152" s="47"/>
      <c r="L152" s="47"/>
      <c r="M152" s="70" t="s">
        <v>41</v>
      </c>
      <c r="N152" s="23">
        <v>143.9</v>
      </c>
      <c r="O152" s="47">
        <v>15940.4</v>
      </c>
      <c r="P152" s="23">
        <f>2812.4+112+38.3</f>
        <v>2962.7000000000003</v>
      </c>
      <c r="Q152" s="46">
        <f>685437.7+629+26.7+793.3+1150.8+13.9</f>
        <v>688051.4</v>
      </c>
      <c r="R152" s="47">
        <f>22.3+45.1</f>
        <v>67.4</v>
      </c>
      <c r="S152" s="47" t="s">
        <v>41</v>
      </c>
      <c r="T152" s="45">
        <f>151516.6-2242.7</f>
        <v>149273.9</v>
      </c>
      <c r="U152" s="49">
        <f aca="true" t="shared" si="12" ref="U152:U159">SUM(B152:C152,I152:T152)</f>
        <v>1447265.4999999998</v>
      </c>
      <c r="W152" s="6"/>
    </row>
    <row r="153" spans="1:23" ht="12.75">
      <c r="A153" s="52" t="s">
        <v>136</v>
      </c>
      <c r="B153" s="45">
        <v>113786.6</v>
      </c>
      <c r="C153" s="47">
        <f>178393.7+96.8+29.9</f>
        <v>178520.4</v>
      </c>
      <c r="D153" s="47"/>
      <c r="E153" s="45">
        <v>203350.4</v>
      </c>
      <c r="F153" s="48"/>
      <c r="G153" s="47">
        <v>79380.5</v>
      </c>
      <c r="H153" s="46"/>
      <c r="I153" s="49">
        <f t="shared" si="11"/>
        <v>282730.9</v>
      </c>
      <c r="J153" s="46">
        <f>33692.4+0.6</f>
        <v>33693</v>
      </c>
      <c r="K153" s="47"/>
      <c r="L153" s="47"/>
      <c r="M153" s="70" t="s">
        <v>41</v>
      </c>
      <c r="N153" s="23">
        <v>143.9</v>
      </c>
      <c r="O153" s="47">
        <v>16326.6</v>
      </c>
      <c r="P153" s="23">
        <f>3326.4+112+8.9</f>
        <v>3447.3</v>
      </c>
      <c r="Q153" s="46">
        <v>683272.6</v>
      </c>
      <c r="R153" s="47">
        <f>24.4</f>
        <v>24.4</v>
      </c>
      <c r="S153" s="47" t="s">
        <v>41</v>
      </c>
      <c r="T153" s="45">
        <f>151378.6-2839.8</f>
        <v>148538.80000000002</v>
      </c>
      <c r="U153" s="49">
        <f t="shared" si="12"/>
        <v>1460484.5</v>
      </c>
      <c r="W153" s="6"/>
    </row>
    <row r="154" spans="1:23" ht="12.75">
      <c r="A154" s="52" t="s">
        <v>137</v>
      </c>
      <c r="B154" s="45">
        <v>126625.1</v>
      </c>
      <c r="C154" s="47">
        <f>182656.9+96.8+56</f>
        <v>182809.69999999998</v>
      </c>
      <c r="D154" s="47"/>
      <c r="E154" s="45">
        <v>216514.6</v>
      </c>
      <c r="F154" s="48"/>
      <c r="G154" s="47">
        <v>80380.2</v>
      </c>
      <c r="H154" s="46"/>
      <c r="I154" s="49">
        <f t="shared" si="11"/>
        <v>296894.8</v>
      </c>
      <c r="J154" s="46">
        <f>34871.3+0.6</f>
        <v>34871.9</v>
      </c>
      <c r="K154" s="47"/>
      <c r="L154" s="47"/>
      <c r="M154" s="70" t="s">
        <v>41</v>
      </c>
      <c r="N154" s="23">
        <v>143.9</v>
      </c>
      <c r="O154" s="47">
        <v>15375.7</v>
      </c>
      <c r="P154" s="23">
        <f>2635.5+112</f>
        <v>2747.5</v>
      </c>
      <c r="Q154" s="46">
        <f>679052.3+629+257.1+252+1350.6+56</f>
        <v>681597</v>
      </c>
      <c r="R154" s="47">
        <f>20.8+1.4</f>
        <v>22.2</v>
      </c>
      <c r="S154" s="47" t="s">
        <v>41</v>
      </c>
      <c r="T154" s="45">
        <f>148214-1917.7-56</f>
        <v>146240.3</v>
      </c>
      <c r="U154" s="49">
        <f t="shared" si="12"/>
        <v>1487328.1</v>
      </c>
      <c r="W154" s="6"/>
    </row>
    <row r="155" spans="1:23" ht="12.75">
      <c r="A155" s="52" t="s">
        <v>138</v>
      </c>
      <c r="B155" s="45">
        <v>142222.2</v>
      </c>
      <c r="C155" s="47">
        <f>157639.3+96.8+52.5</f>
        <v>157788.59999999998</v>
      </c>
      <c r="D155" s="47"/>
      <c r="E155" s="45">
        <v>237046.4</v>
      </c>
      <c r="F155" s="48"/>
      <c r="G155" s="47">
        <v>82538.3</v>
      </c>
      <c r="H155" s="46"/>
      <c r="I155" s="49">
        <f t="shared" si="11"/>
        <v>319584.7</v>
      </c>
      <c r="J155" s="46">
        <f>37577.6+926.4</f>
        <v>38504</v>
      </c>
      <c r="K155" s="47"/>
      <c r="L155" s="47"/>
      <c r="M155" s="75" t="s">
        <v>41</v>
      </c>
      <c r="N155" s="23">
        <v>143.9</v>
      </c>
      <c r="O155" s="47">
        <f>15556.5</f>
        <v>15556.5</v>
      </c>
      <c r="P155" s="23">
        <f>6453.9+112</f>
        <v>6565.9</v>
      </c>
      <c r="Q155" s="46">
        <f>668764.5+629+0.1+615.4+1014.2+52.5</f>
        <v>671075.7</v>
      </c>
      <c r="R155" s="47">
        <f>43.2+3</f>
        <v>46.2</v>
      </c>
      <c r="S155" s="47" t="s">
        <v>41</v>
      </c>
      <c r="T155" s="45">
        <f>146233.1-2611.6-52.5</f>
        <v>143569</v>
      </c>
      <c r="U155" s="49">
        <f t="shared" si="12"/>
        <v>1495056.7</v>
      </c>
      <c r="W155" s="6"/>
    </row>
    <row r="156" spans="1:23" ht="12.75">
      <c r="A156" s="52" t="s">
        <v>128</v>
      </c>
      <c r="B156" s="45">
        <v>144268.4</v>
      </c>
      <c r="C156" s="47">
        <f>155398.4+96.8+109.2</f>
        <v>155604.4</v>
      </c>
      <c r="D156" s="47"/>
      <c r="E156" s="45">
        <v>241098.8</v>
      </c>
      <c r="F156" s="48"/>
      <c r="G156" s="47">
        <v>81282.9</v>
      </c>
      <c r="H156" s="46"/>
      <c r="I156" s="49">
        <f t="shared" si="11"/>
        <v>322381.69999999995</v>
      </c>
      <c r="J156" s="46">
        <f>39618.9+1243.8</f>
        <v>40862.700000000004</v>
      </c>
      <c r="K156" s="47"/>
      <c r="L156" s="47"/>
      <c r="M156" s="75" t="s">
        <v>41</v>
      </c>
      <c r="N156" s="23">
        <v>143.9</v>
      </c>
      <c r="O156" s="47">
        <v>14944.9</v>
      </c>
      <c r="P156" s="23">
        <f>7166.5+112+5.4</f>
        <v>7283.9</v>
      </c>
      <c r="Q156" s="46">
        <f>676514.9+629+12.4+1543.9+794.7+109.2</f>
        <v>679604.1</v>
      </c>
      <c r="R156" s="47">
        <f>56.4</f>
        <v>56.4</v>
      </c>
      <c r="S156" s="47" t="s">
        <v>41</v>
      </c>
      <c r="T156" s="45">
        <f>148767-3709.4-109.2</f>
        <v>144948.4</v>
      </c>
      <c r="U156" s="49">
        <f t="shared" si="12"/>
        <v>1510098.7999999998</v>
      </c>
      <c r="W156" s="6"/>
    </row>
    <row r="157" spans="1:23" ht="12.75">
      <c r="A157" s="52" t="s">
        <v>123</v>
      </c>
      <c r="B157" s="45">
        <v>129379.9</v>
      </c>
      <c r="C157" s="47">
        <f>162884.6+96.8+242.3</f>
        <v>163223.69999999998</v>
      </c>
      <c r="D157" s="47"/>
      <c r="E157" s="45">
        <v>267467.3</v>
      </c>
      <c r="F157" s="48"/>
      <c r="G157" s="47">
        <v>81275.6</v>
      </c>
      <c r="H157" s="46"/>
      <c r="I157" s="49">
        <f t="shared" si="11"/>
        <v>348742.9</v>
      </c>
      <c r="J157" s="46">
        <f>36045.8+59.2</f>
        <v>36105</v>
      </c>
      <c r="K157" s="47"/>
      <c r="L157" s="47"/>
      <c r="M157" s="75" t="s">
        <v>41</v>
      </c>
      <c r="N157" s="23">
        <v>143.9</v>
      </c>
      <c r="O157" s="47">
        <v>14150.3</v>
      </c>
      <c r="P157" s="23">
        <f>6295+112+0</f>
        <v>6407</v>
      </c>
      <c r="Q157" s="46">
        <f>689840+629+16+853.8+339.9</f>
        <v>691678.7000000001</v>
      </c>
      <c r="R157" s="47">
        <v>59.2</v>
      </c>
      <c r="S157" s="47" t="s">
        <v>41</v>
      </c>
      <c r="T157" s="45">
        <f>151542.7-1511.2</f>
        <v>150031.5</v>
      </c>
      <c r="U157" s="49">
        <f t="shared" si="12"/>
        <v>1539922.1</v>
      </c>
      <c r="W157" s="6"/>
    </row>
    <row r="158" spans="1:23" ht="12.75">
      <c r="A158" s="52" t="s">
        <v>129</v>
      </c>
      <c r="B158" s="45">
        <v>138307</v>
      </c>
      <c r="C158" s="47">
        <f>141450.1+96.8+133.8</f>
        <v>141680.69999999998</v>
      </c>
      <c r="D158" s="47"/>
      <c r="E158" s="45">
        <v>277335.3</v>
      </c>
      <c r="F158" s="48"/>
      <c r="G158" s="47">
        <v>88634.5</v>
      </c>
      <c r="H158" s="46"/>
      <c r="I158" s="49">
        <f t="shared" si="11"/>
        <v>365969.8</v>
      </c>
      <c r="J158" s="46">
        <f>36296.9+198</f>
        <v>36494.9</v>
      </c>
      <c r="K158" s="47"/>
      <c r="L158" s="47"/>
      <c r="M158" s="75" t="s">
        <v>41</v>
      </c>
      <c r="N158" s="23">
        <v>143.9</v>
      </c>
      <c r="O158" s="47">
        <v>13589.4</v>
      </c>
      <c r="P158" s="23">
        <f>11187.1+112+19.9</f>
        <v>11319</v>
      </c>
      <c r="Q158" s="46">
        <f>681882.9+629+19.8+1203.3+672.5</f>
        <v>684407.5000000001</v>
      </c>
      <c r="R158" s="47">
        <v>35</v>
      </c>
      <c r="S158" s="47" t="s">
        <v>41</v>
      </c>
      <c r="T158" s="45">
        <f>147022.4-2247.3</f>
        <v>144775.1</v>
      </c>
      <c r="U158" s="49">
        <f t="shared" si="12"/>
        <v>1536722.3000000003</v>
      </c>
      <c r="W158" s="6"/>
    </row>
    <row r="159" spans="1:23" ht="12.75">
      <c r="A159" s="52" t="s">
        <v>130</v>
      </c>
      <c r="B159" s="45">
        <v>124082.3</v>
      </c>
      <c r="C159" s="47">
        <f>127338.6+96.8+57.4</f>
        <v>127492.8</v>
      </c>
      <c r="D159" s="47"/>
      <c r="E159" s="45">
        <v>280601.3</v>
      </c>
      <c r="F159" s="48"/>
      <c r="G159" s="47">
        <v>88999.1</v>
      </c>
      <c r="H159" s="46"/>
      <c r="I159" s="49">
        <f t="shared" si="11"/>
        <v>369600.4</v>
      </c>
      <c r="J159" s="46">
        <f>414.8+30982</f>
        <v>31396.8</v>
      </c>
      <c r="K159" s="47"/>
      <c r="L159" s="47"/>
      <c r="M159" s="75" t="s">
        <v>41</v>
      </c>
      <c r="N159" s="23">
        <v>143.9</v>
      </c>
      <c r="O159" s="47">
        <v>14875.5</v>
      </c>
      <c r="P159" s="23">
        <f>10118.8+112+52.4</f>
        <v>10283.199999999999</v>
      </c>
      <c r="Q159" s="46">
        <f>704887.7+906.7+1661.4+11.1+1253.7</f>
        <v>708720.5999999999</v>
      </c>
      <c r="R159" s="47">
        <v>26.9</v>
      </c>
      <c r="S159" s="47" t="s">
        <v>41</v>
      </c>
      <c r="T159" s="45">
        <f>150442.4-3103.8</f>
        <v>147338.6</v>
      </c>
      <c r="U159" s="49">
        <f t="shared" si="12"/>
        <v>1533961</v>
      </c>
      <c r="W159" s="6"/>
    </row>
    <row r="160" spans="1:23" ht="12.75">
      <c r="A160" s="52"/>
      <c r="B160" s="45"/>
      <c r="C160" s="47"/>
      <c r="D160" s="47"/>
      <c r="E160" s="45"/>
      <c r="F160" s="48"/>
      <c r="G160" s="47"/>
      <c r="H160" s="46"/>
      <c r="I160" s="49"/>
      <c r="J160" s="46"/>
      <c r="K160" s="47"/>
      <c r="L160" s="47"/>
      <c r="M160" s="70"/>
      <c r="N160" s="23"/>
      <c r="O160" s="47"/>
      <c r="P160" s="23"/>
      <c r="Q160" s="46"/>
      <c r="R160" s="47"/>
      <c r="S160" s="47"/>
      <c r="T160" s="45"/>
      <c r="U160" s="49"/>
      <c r="W160" s="6"/>
    </row>
    <row r="161" spans="1:23" ht="12.75">
      <c r="A161" s="44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1"/>
      <c r="W161" s="76"/>
    </row>
    <row r="162" spans="1:21" ht="12.75">
      <c r="A162" s="71" t="s">
        <v>117</v>
      </c>
      <c r="B162" s="72"/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3"/>
    </row>
    <row r="163" spans="2:21" ht="12.75">
      <c r="B163" s="60" t="s">
        <v>42</v>
      </c>
      <c r="U163" s="61"/>
    </row>
  </sheetData>
  <sheetProtection/>
  <mergeCells count="2">
    <mergeCell ref="A6:U6"/>
    <mergeCell ref="A7:U7"/>
  </mergeCells>
  <printOptions horizontalCentered="1" verticalCentered="1"/>
  <pageMargins left="0.5118110236220472" right="0.5118110236220472" top="0.5118110236220472" bottom="0.5511811023622047" header="0.5118110236220472" footer="0.5118110236220472"/>
  <pageSetup horizontalDpi="360" verticalDpi="36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SAHINGUVU Vianney</cp:lastModifiedBy>
  <cp:lastPrinted>2010-03-03T06:10:17Z</cp:lastPrinted>
  <dcterms:created xsi:type="dcterms:W3CDTF">2000-09-13T06:03:40Z</dcterms:created>
  <dcterms:modified xsi:type="dcterms:W3CDTF">2016-11-08T09:08:37Z</dcterms:modified>
  <cp:category/>
  <cp:version/>
  <cp:contentType/>
  <cp:contentStatus/>
</cp:coreProperties>
</file>