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November 2016 francais\"/>
    </mc:Choice>
  </mc:AlternateContent>
  <bookViews>
    <workbookView xWindow="2640" yWindow="2430" windowWidth="6705" windowHeight="2100"/>
  </bookViews>
  <sheets>
    <sheet name="ii3-2 sitbanquepassif" sheetId="1" r:id="rId1"/>
  </sheets>
  <definedNames>
    <definedName name="_xlnm.Print_Area" localSheetId="0">'ii3-2 sitbanquepassif'!$A$1:$P$165</definedName>
    <definedName name="Zone_impres_MI">'ii3-2 sitbanquepassif'!$A$1:$P$163</definedName>
  </definedNames>
  <calcPr calcId="152511"/>
</workbook>
</file>

<file path=xl/calcChain.xml><?xml version="1.0" encoding="utf-8"?>
<calcChain xmlns="http://schemas.openxmlformats.org/spreadsheetml/2006/main">
  <c r="P159" i="1" l="1"/>
  <c r="O159" i="1"/>
  <c r="N159" i="1"/>
  <c r="H159" i="1"/>
  <c r="D159" i="1"/>
  <c r="C159" i="1"/>
  <c r="B159" i="1"/>
  <c r="P158" i="1" l="1"/>
  <c r="O158" i="1"/>
  <c r="N158" i="1"/>
  <c r="H158" i="1"/>
  <c r="D158" i="1"/>
  <c r="C158" i="1"/>
  <c r="B158" i="1"/>
  <c r="O109" i="1" l="1"/>
  <c r="N109" i="1"/>
  <c r="H109" i="1"/>
  <c r="D109" i="1"/>
  <c r="P109" i="1" s="1"/>
  <c r="C109" i="1"/>
  <c r="B109" i="1"/>
  <c r="O157" i="1" l="1"/>
  <c r="P157" i="1" s="1"/>
  <c r="N157" i="1"/>
  <c r="H157" i="1"/>
  <c r="D157" i="1"/>
  <c r="C157" i="1"/>
  <c r="B157" i="1"/>
  <c r="H156" i="1" l="1"/>
  <c r="O156" i="1" l="1"/>
  <c r="N156" i="1"/>
  <c r="D156" i="1" l="1"/>
  <c r="C156" i="1"/>
  <c r="B156" i="1"/>
  <c r="P156" i="1" s="1"/>
  <c r="B155" i="1" l="1"/>
  <c r="O155" i="1" l="1"/>
  <c r="N155" i="1"/>
  <c r="H155" i="1"/>
  <c r="D155" i="1"/>
  <c r="C155" i="1"/>
  <c r="P155" i="1" s="1"/>
  <c r="O44" i="1" l="1"/>
  <c r="N44" i="1"/>
  <c r="H44" i="1"/>
  <c r="D44" i="1"/>
  <c r="C44" i="1"/>
  <c r="B44" i="1"/>
  <c r="O43" i="1"/>
  <c r="N43" i="1"/>
  <c r="H43" i="1"/>
  <c r="D43" i="1"/>
  <c r="C43" i="1"/>
  <c r="B43" i="1"/>
  <c r="P44" i="1" l="1"/>
  <c r="P43" i="1"/>
  <c r="O154" i="1"/>
  <c r="N154" i="1"/>
  <c r="H154" i="1"/>
  <c r="D154" i="1"/>
  <c r="C154" i="1"/>
  <c r="B154" i="1"/>
  <c r="P154" i="1" s="1"/>
  <c r="O35" i="1" l="1"/>
  <c r="N35" i="1"/>
  <c r="L35" i="1"/>
  <c r="K35" i="1"/>
  <c r="H35" i="1"/>
  <c r="D35" i="1"/>
  <c r="C35" i="1"/>
  <c r="B35" i="1"/>
  <c r="P35" i="1" s="1"/>
  <c r="I153" i="1" l="1"/>
  <c r="N153" i="1" l="1"/>
  <c r="O153" i="1" l="1"/>
  <c r="H153" i="1" l="1"/>
  <c r="D153" i="1"/>
  <c r="C153" i="1"/>
  <c r="B153" i="1"/>
  <c r="P153" i="1" s="1"/>
  <c r="N152" i="1" l="1"/>
  <c r="O152" i="1"/>
  <c r="H152" i="1"/>
  <c r="D152" i="1"/>
  <c r="C152" i="1"/>
  <c r="B152" i="1"/>
  <c r="P152" i="1" l="1"/>
  <c r="B38" i="1" l="1"/>
  <c r="C38" i="1"/>
  <c r="D38" i="1"/>
  <c r="H38" i="1"/>
  <c r="K38" i="1"/>
  <c r="L38" i="1"/>
  <c r="N38" i="1"/>
  <c r="O38" i="1"/>
  <c r="P38" i="1" l="1"/>
  <c r="O151" i="1"/>
  <c r="N151" i="1"/>
  <c r="H151" i="1"/>
  <c r="D151" i="1"/>
  <c r="C151" i="1"/>
  <c r="B151" i="1"/>
  <c r="P151" i="1" l="1"/>
  <c r="O41" i="1" l="1"/>
  <c r="N41" i="1"/>
  <c r="H41" i="1"/>
  <c r="D41" i="1"/>
  <c r="C41" i="1"/>
  <c r="B41" i="1"/>
  <c r="P41" i="1" s="1"/>
  <c r="O150" i="1" l="1"/>
  <c r="N150" i="1"/>
  <c r="H150" i="1"/>
  <c r="D150" i="1"/>
  <c r="C150" i="1"/>
  <c r="B150" i="1"/>
  <c r="P150" i="1" l="1"/>
  <c r="H149" i="1" l="1"/>
  <c r="O149" i="1"/>
  <c r="N149" i="1"/>
  <c r="D149" i="1"/>
  <c r="C149" i="1"/>
  <c r="B149" i="1"/>
  <c r="O23" i="1" l="1"/>
  <c r="N23" i="1"/>
  <c r="H23" i="1"/>
  <c r="D23" i="1"/>
  <c r="C23" i="1"/>
  <c r="B23" i="1"/>
  <c r="P23" i="1" s="1"/>
  <c r="P149" i="1" l="1"/>
  <c r="O147" i="1" l="1"/>
  <c r="N147" i="1" l="1"/>
  <c r="H147" i="1"/>
  <c r="C147" i="1"/>
  <c r="B147" i="1"/>
  <c r="O39" i="1" l="1"/>
  <c r="N39" i="1"/>
  <c r="L39" i="1"/>
  <c r="K39" i="1"/>
  <c r="H39" i="1"/>
  <c r="D39" i="1"/>
  <c r="C39" i="1"/>
  <c r="B39" i="1"/>
  <c r="O22" i="1"/>
  <c r="N22" i="1"/>
  <c r="L22" i="1"/>
  <c r="K22" i="1"/>
  <c r="H22" i="1"/>
  <c r="D22" i="1"/>
  <c r="C22" i="1"/>
  <c r="B22" i="1"/>
  <c r="B36" i="1"/>
  <c r="C36" i="1"/>
  <c r="D36" i="1"/>
  <c r="H36" i="1"/>
  <c r="K36" i="1"/>
  <c r="L36" i="1"/>
  <c r="N36" i="1"/>
  <c r="O36" i="1"/>
  <c r="N133" i="1"/>
  <c r="P22" i="1" l="1"/>
  <c r="P39" i="1"/>
  <c r="P36" i="1"/>
  <c r="N146" i="1"/>
  <c r="N145" i="1"/>
  <c r="N144" i="1"/>
  <c r="N143" i="1"/>
  <c r="N142" i="1"/>
  <c r="N141" i="1"/>
  <c r="N140" i="1"/>
  <c r="N139" i="1"/>
  <c r="N138" i="1"/>
  <c r="N136" i="1"/>
  <c r="N134" i="1"/>
  <c r="D147" i="1" l="1"/>
  <c r="P147" i="1" l="1"/>
  <c r="D146" i="1" l="1"/>
  <c r="O146" i="1"/>
  <c r="B146" i="1"/>
  <c r="H146" i="1" l="1"/>
  <c r="C146" i="1"/>
  <c r="P146" i="1" l="1"/>
  <c r="O145" i="1" l="1"/>
  <c r="H145" i="1"/>
  <c r="D145" i="1"/>
  <c r="C145" i="1"/>
  <c r="B145" i="1"/>
  <c r="P145" i="1"/>
  <c r="O134" i="1" l="1"/>
  <c r="H134" i="1"/>
  <c r="C134" i="1" l="1"/>
  <c r="B134" i="1"/>
  <c r="O40" i="1" l="1"/>
  <c r="N40" i="1"/>
  <c r="H40" i="1"/>
  <c r="D40" i="1"/>
  <c r="C40" i="1"/>
  <c r="B40" i="1"/>
  <c r="P40" i="1" s="1"/>
  <c r="B144" i="1" l="1"/>
  <c r="O144" i="1"/>
  <c r="H144" i="1"/>
  <c r="D144" i="1"/>
  <c r="C144" i="1"/>
  <c r="B143" i="1"/>
  <c r="P144" i="1" l="1"/>
  <c r="L105" i="1" l="1"/>
  <c r="L121" i="1" l="1"/>
  <c r="L123" i="1"/>
  <c r="L134" i="1"/>
  <c r="K134" i="1"/>
  <c r="D134" i="1"/>
  <c r="P134" i="1" l="1"/>
  <c r="O21" i="1"/>
  <c r="L21" i="1"/>
  <c r="O20" i="1"/>
  <c r="L20" i="1"/>
  <c r="O19" i="1"/>
  <c r="L19" i="1"/>
  <c r="O18" i="1"/>
  <c r="L18" i="1"/>
  <c r="O17" i="1"/>
  <c r="L17" i="1"/>
  <c r="O16" i="1"/>
  <c r="L16" i="1"/>
  <c r="O30" i="1"/>
  <c r="L30" i="1"/>
  <c r="O34" i="1"/>
  <c r="L34" i="1"/>
  <c r="K34" i="1"/>
  <c r="O33" i="1"/>
  <c r="N33" i="1"/>
  <c r="L33" i="1"/>
  <c r="K33" i="1"/>
  <c r="H33" i="1"/>
  <c r="D33" i="1"/>
  <c r="C33" i="1"/>
  <c r="B33" i="1"/>
  <c r="O31" i="1"/>
  <c r="L31" i="1"/>
  <c r="O28" i="1"/>
  <c r="L28" i="1"/>
  <c r="O26" i="1"/>
  <c r="L26" i="1"/>
  <c r="L143" i="1"/>
  <c r="L142" i="1"/>
  <c r="L141" i="1"/>
  <c r="L140" i="1"/>
  <c r="L139" i="1"/>
  <c r="L138" i="1"/>
  <c r="L137" i="1"/>
  <c r="L136" i="1"/>
  <c r="O143" i="1"/>
  <c r="O142" i="1"/>
  <c r="O141" i="1"/>
  <c r="O140" i="1"/>
  <c r="O139" i="1"/>
  <c r="O138" i="1"/>
  <c r="O137" i="1"/>
  <c r="O136" i="1"/>
  <c r="L133" i="1"/>
  <c r="L132" i="1"/>
  <c r="L131" i="1"/>
  <c r="L130" i="1"/>
  <c r="L129" i="1"/>
  <c r="L128" i="1"/>
  <c r="L127" i="1"/>
  <c r="L126" i="1"/>
  <c r="L125" i="1"/>
  <c r="L12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5" i="1"/>
  <c r="O114" i="1"/>
  <c r="O113" i="1"/>
  <c r="O112" i="1"/>
  <c r="O111" i="1"/>
  <c r="L122" i="1"/>
  <c r="L120" i="1"/>
  <c r="L119" i="1"/>
  <c r="L118" i="1"/>
  <c r="L117" i="1"/>
  <c r="L115" i="1"/>
  <c r="L114" i="1"/>
  <c r="L113" i="1"/>
  <c r="L112" i="1"/>
  <c r="L111" i="1"/>
  <c r="O108" i="1"/>
  <c r="O107" i="1"/>
  <c r="O106" i="1"/>
  <c r="O105" i="1"/>
  <c r="O104" i="1"/>
  <c r="O103" i="1"/>
  <c r="O102" i="1"/>
  <c r="O101" i="1"/>
  <c r="O100" i="1"/>
  <c r="O99" i="1"/>
  <c r="O98" i="1"/>
  <c r="O97" i="1"/>
  <c r="L108" i="1"/>
  <c r="L107" i="1"/>
  <c r="L106" i="1"/>
  <c r="L104" i="1"/>
  <c r="L103" i="1"/>
  <c r="L102" i="1"/>
  <c r="L101" i="1"/>
  <c r="L100" i="1"/>
  <c r="L99" i="1"/>
  <c r="L98" i="1"/>
  <c r="L97" i="1"/>
  <c r="P30" i="1" l="1"/>
  <c r="P16" i="1"/>
  <c r="P17" i="1"/>
  <c r="P18" i="1"/>
  <c r="P19" i="1"/>
  <c r="P20" i="1"/>
  <c r="P21" i="1"/>
  <c r="P26" i="1"/>
  <c r="P28" i="1"/>
  <c r="P31" i="1"/>
  <c r="P33" i="1"/>
  <c r="P34" i="1"/>
  <c r="O95" i="1"/>
  <c r="O94" i="1"/>
  <c r="O93" i="1"/>
  <c r="O92" i="1"/>
  <c r="O91" i="1"/>
  <c r="O90" i="1"/>
  <c r="O89" i="1"/>
  <c r="O88" i="1"/>
  <c r="O87" i="1"/>
  <c r="O86" i="1"/>
  <c r="O85" i="1"/>
  <c r="O84" i="1"/>
  <c r="L95" i="1"/>
  <c r="L94" i="1"/>
  <c r="L93" i="1"/>
  <c r="L92" i="1"/>
  <c r="L91" i="1"/>
  <c r="L90" i="1"/>
  <c r="L89" i="1"/>
  <c r="L88" i="1"/>
  <c r="L87" i="1"/>
  <c r="L86" i="1"/>
  <c r="L85" i="1"/>
  <c r="L84" i="1"/>
  <c r="O82" i="1"/>
  <c r="O81" i="1"/>
  <c r="O80" i="1"/>
  <c r="O79" i="1"/>
  <c r="O78" i="1"/>
  <c r="O77" i="1"/>
  <c r="O76" i="1"/>
  <c r="O75" i="1"/>
  <c r="O74" i="1"/>
  <c r="O73" i="1"/>
  <c r="O72" i="1"/>
  <c r="O71" i="1"/>
  <c r="L82" i="1"/>
  <c r="L81" i="1"/>
  <c r="L80" i="1"/>
  <c r="L79" i="1"/>
  <c r="L78" i="1"/>
  <c r="L77" i="1"/>
  <c r="L76" i="1"/>
  <c r="L75" i="1"/>
  <c r="L74" i="1"/>
  <c r="L73" i="1"/>
  <c r="L72" i="1"/>
  <c r="L71" i="1"/>
  <c r="O69" i="1" l="1"/>
  <c r="O68" i="1"/>
  <c r="O67" i="1"/>
  <c r="O66" i="1"/>
  <c r="O65" i="1"/>
  <c r="O64" i="1"/>
  <c r="O63" i="1"/>
  <c r="O62" i="1"/>
  <c r="O61" i="1"/>
  <c r="O60" i="1"/>
  <c r="O59" i="1"/>
  <c r="O58" i="1"/>
  <c r="L69" i="1"/>
  <c r="L68" i="1"/>
  <c r="L67" i="1"/>
  <c r="L66" i="1"/>
  <c r="L65" i="1"/>
  <c r="L64" i="1"/>
  <c r="L63" i="1"/>
  <c r="L62" i="1"/>
  <c r="L61" i="1"/>
  <c r="L60" i="1"/>
  <c r="L59" i="1"/>
  <c r="L58" i="1"/>
  <c r="O56" i="1"/>
  <c r="O55" i="1"/>
  <c r="O54" i="1"/>
  <c r="O53" i="1"/>
  <c r="O52" i="1"/>
  <c r="O51" i="1"/>
  <c r="O50" i="1"/>
  <c r="O49" i="1"/>
  <c r="O48" i="1"/>
  <c r="O47" i="1"/>
  <c r="O46" i="1"/>
  <c r="O45" i="1"/>
  <c r="L56" i="1"/>
  <c r="L55" i="1"/>
  <c r="L54" i="1"/>
  <c r="L53" i="1"/>
  <c r="L52" i="1"/>
  <c r="L51" i="1"/>
  <c r="L50" i="1"/>
  <c r="L49" i="1"/>
  <c r="L48" i="1"/>
  <c r="L47" i="1"/>
  <c r="L46" i="1"/>
  <c r="L45" i="1"/>
  <c r="H143" i="1" l="1"/>
  <c r="D143" i="1"/>
  <c r="C143" i="1" l="1"/>
  <c r="P143" i="1" l="1"/>
  <c r="H142" i="1" l="1"/>
  <c r="D142" i="1"/>
  <c r="C142" i="1"/>
  <c r="B142" i="1"/>
  <c r="P142" i="1" l="1"/>
  <c r="C141" i="1" l="1"/>
  <c r="K141" i="1" l="1"/>
  <c r="H141" i="1" l="1"/>
  <c r="D141" i="1"/>
  <c r="B141" i="1"/>
  <c r="P141" i="1" l="1"/>
  <c r="K140" i="1" l="1"/>
  <c r="H140" i="1"/>
  <c r="D140" i="1" l="1"/>
  <c r="C140" i="1"/>
  <c r="B140" i="1"/>
  <c r="P140" i="1" l="1"/>
  <c r="K139" i="1"/>
  <c r="H139" i="1"/>
  <c r="D139" i="1"/>
  <c r="C139" i="1"/>
  <c r="B139" i="1"/>
  <c r="P139" i="1" l="1"/>
  <c r="C138" i="1"/>
  <c r="K138" i="1"/>
  <c r="H138" i="1"/>
  <c r="D138" i="1"/>
  <c r="B138" i="1"/>
  <c r="P138" i="1" l="1"/>
  <c r="N137" i="1" l="1"/>
  <c r="K137" i="1"/>
  <c r="H137" i="1"/>
  <c r="D137" i="1"/>
  <c r="C137" i="1"/>
  <c r="B137" i="1"/>
  <c r="P137" i="1" l="1"/>
  <c r="C136" i="1"/>
  <c r="K136" i="1" l="1"/>
  <c r="H136" i="1" l="1"/>
  <c r="D136" i="1"/>
  <c r="B136" i="1"/>
  <c r="P136" i="1" l="1"/>
  <c r="K133" i="1" l="1"/>
  <c r="H133" i="1"/>
  <c r="D133" i="1"/>
  <c r="C133" i="1"/>
  <c r="B133" i="1"/>
  <c r="P133" i="1" l="1"/>
  <c r="N132" i="1" l="1"/>
  <c r="K132" i="1"/>
  <c r="H132" i="1"/>
  <c r="D132" i="1"/>
  <c r="C132" i="1"/>
  <c r="B132" i="1"/>
  <c r="P132" i="1" l="1"/>
  <c r="C130" i="1" l="1"/>
  <c r="K130" i="1" l="1"/>
  <c r="N131" i="1" l="1"/>
  <c r="K131" i="1"/>
  <c r="H131" i="1"/>
  <c r="D131" i="1" l="1"/>
  <c r="C131" i="1"/>
  <c r="B131" i="1"/>
  <c r="P131" i="1" l="1"/>
  <c r="N130" i="1" l="1"/>
  <c r="H130" i="1"/>
  <c r="D130" i="1"/>
  <c r="B130" i="1"/>
  <c r="P130" i="1" l="1"/>
  <c r="N129" i="1" l="1"/>
  <c r="B129" i="1"/>
  <c r="C129" i="1"/>
  <c r="K129" i="1"/>
  <c r="H129" i="1"/>
  <c r="D129" i="1"/>
  <c r="D126" i="1"/>
  <c r="P129" i="1" l="1"/>
  <c r="K128" i="1"/>
  <c r="P128" i="1" s="1"/>
  <c r="K127" i="1"/>
  <c r="P127" i="1" s="1"/>
  <c r="H126" i="1"/>
  <c r="N126" i="1" l="1"/>
  <c r="K126" i="1"/>
  <c r="C126" i="1"/>
  <c r="B126" i="1"/>
  <c r="P126" i="1" l="1"/>
  <c r="N125" i="1"/>
  <c r="K125" i="1"/>
  <c r="H125" i="1"/>
  <c r="D125" i="1"/>
  <c r="C125" i="1"/>
  <c r="B125" i="1"/>
  <c r="P125" i="1" l="1"/>
  <c r="N124" i="1" l="1"/>
  <c r="K124" i="1"/>
  <c r="H124" i="1"/>
  <c r="D124" i="1"/>
  <c r="C124" i="1"/>
  <c r="B124" i="1"/>
  <c r="P124" i="1" l="1"/>
  <c r="P120" i="1"/>
  <c r="P121" i="1"/>
  <c r="P122" i="1"/>
  <c r="P123" i="1"/>
  <c r="P46" i="1" l="1"/>
  <c r="P47" i="1"/>
  <c r="P48" i="1"/>
  <c r="P49" i="1"/>
  <c r="P50" i="1"/>
  <c r="P51" i="1"/>
  <c r="P52" i="1"/>
  <c r="P53" i="1"/>
  <c r="P54" i="1"/>
  <c r="P55" i="1"/>
  <c r="P56" i="1"/>
  <c r="P58" i="1"/>
  <c r="P59" i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11" i="1"/>
  <c r="P112" i="1"/>
  <c r="P113" i="1"/>
  <c r="P114" i="1"/>
  <c r="P115" i="1"/>
  <c r="P117" i="1"/>
  <c r="P118" i="1"/>
  <c r="P119" i="1"/>
  <c r="P45" i="1" l="1"/>
</calcChain>
</file>

<file path=xl/sharedStrings.xml><?xml version="1.0" encoding="utf-8"?>
<sst xmlns="http://schemas.openxmlformats.org/spreadsheetml/2006/main" count="253" uniqueCount="120">
  <si>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</si>
  <si>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</si>
  <si>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</si>
  <si>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</si>
  <si>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</si>
  <si>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</si>
  <si>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</si>
  <si>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</si>
  <si>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</si>
  <si>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</si>
  <si>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</si>
  <si>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</si>
  <si>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</si>
  <si>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</si>
  <si>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</si>
  <si>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</si>
  <si>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</si>
  <si>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</si>
  <si>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</si>
  <si>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</si>
  <si>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</si>
  <si>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</si>
  <si>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</si>
  <si>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</si>
  <si>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</si>
  <si>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</si>
  <si>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</si>
  <si>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</si>
  <si>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</si>
  <si>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</si>
  <si>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</si>
  <si>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</si>
  <si>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</si>
  <si>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</si>
  <si>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</si>
  <si>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</si>
  <si>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</si>
  <si>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</si>
  <si>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</si>
  <si>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</si>
  <si>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</si>
  <si>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</si>
  <si>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</si>
  <si>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</si>
  <si>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</si>
  <si>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</si>
  <si>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</si>
  <si>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</si>
  <si>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</si>
  <si>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</si>
  <si>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</si>
  <si>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</si>
  <si>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</si>
  <si>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</si>
  <si>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</si>
  <si>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</si>
  <si>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</si>
  <si>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</si>
  <si>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</si>
  <si>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</si>
  <si>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</si>
  <si>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</si>
  <si>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</si>
  <si>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</si>
  <si>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</si>
  <si>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</si>
  <si>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</si>
  <si>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Source : Compilé sur base des données des banques commerciales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</si>
  <si>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</si>
  <si>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</si>
  <si>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</si>
  <si>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</si>
  <si>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</si>
  <si>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</si>
  <si>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</si>
  <si>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</si>
  <si>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</si>
  <si>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</si>
  <si>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</si>
  <si>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</si>
  <si>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</si>
  <si>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</si>
  <si>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</si>
  <si>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</si>
  <si>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</si>
  <si>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</si>
  <si>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</si>
  <si>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</si>
  <si>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</si>
  <si>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</si>
  <si>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</si>
  <si>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</si>
  <si>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</si>
  <si>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</si>
  <si>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</si>
  <si>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</si>
  <si>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</si>
  <si>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</si>
  <si>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</si>
  <si>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</si>
  <si>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</si>
  <si>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</si>
  <si>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</si>
  <si>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</si>
  <si>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</si>
  <si>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2012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</si>
  <si>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</si>
  <si>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</si>
  <si>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</si>
  <si>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</si>
  <si>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</si>
  <si>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</si>
  <si>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</si>
  <si>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2013Juin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</si>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</sst>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1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Font="1" applyBorder="1"/>
    <xf numFmtId="165" fontId="0" fillId="0" borderId="5" xfId="0" applyNumberFormat="1" applyFont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10" xfId="0" applyFill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0" fillId="0" borderId="4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NumberFormat="1" applyFont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10" xfId="0" applyFont="1" applyFill="1" applyBorder="1" applyAlignment="1">
      <alignment horizontal="lef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66"/>
  <sheetViews>
    <sheetView showGridLines="0" tabSelected="1" view="pageBreakPreview" zoomScale="60" zoomScaleNormal="80" workbookViewId="0">
      <pane xSplit="1" ySplit="14" topLeftCell="B41" activePane="bottomRight" state="frozen"/>
      <selection pane="topRight" activeCell="B1" sqref="B1"/>
      <selection pane="bottomLeft" activeCell="A15" sqref="A15"/>
      <selection pane="bottomRight" activeCell="D41" sqref="D41"/>
    </sheetView>
  </sheetViews>
  <sheetFormatPr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6" width="14.33203125" style="6" bestFit="1" customWidth="1"/>
    <col min="7" max="7" width="13.44140625" style="6" bestFit="1" customWidth="1"/>
    <col min="8" max="8" width="11.21875" style="6" bestFit="1" customWidth="1"/>
    <col min="9" max="9" width="11.44140625" style="6" bestFit="1" customWidth="1"/>
    <col min="10" max="10" width="11.21875" style="6" bestFit="1" customWidth="1"/>
    <col min="11" max="11" width="10.6640625" style="6" bestFit="1" customWidth="1"/>
    <col min="12" max="12" width="10.44140625" style="44" bestFit="1" customWidth="1"/>
    <col min="13" max="13" width="12.109375" style="44" bestFit="1" customWidth="1"/>
    <col min="14" max="14" width="10.6640625" style="47" customWidth="1"/>
    <col min="15" max="15" width="10.109375" style="44" bestFit="1" customWidth="1"/>
    <col min="16" max="16" width="14" style="44" customWidth="1"/>
    <col min="17" max="17" width="11.5546875" style="6" bestFit="1" customWidth="1"/>
    <col min="18" max="18" width="21.6640625" style="6" customWidth="1"/>
    <col min="19" max="16384" width="11.5546875" style="6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3"/>
      <c r="P1" s="5"/>
    </row>
    <row r="2" spans="1:20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10"/>
      <c r="O2" s="9"/>
      <c r="P2" s="11"/>
    </row>
    <row r="3" spans="1:20" x14ac:dyDescent="0.25">
      <c r="A3" s="7"/>
      <c r="B3" s="12" t="s">
        <v>2</v>
      </c>
      <c r="C3" s="8"/>
      <c r="D3" s="8"/>
      <c r="E3" s="8"/>
      <c r="F3" s="8"/>
      <c r="G3" s="8"/>
      <c r="H3" s="8"/>
      <c r="I3" s="13" t="s">
        <v>0</v>
      </c>
      <c r="J3" s="13"/>
      <c r="K3" s="8"/>
      <c r="L3" s="9"/>
      <c r="M3" s="14" t="s">
        <v>0</v>
      </c>
      <c r="N3" s="10"/>
      <c r="O3" s="9"/>
      <c r="P3" s="15" t="s">
        <v>1</v>
      </c>
    </row>
    <row r="4" spans="1:20" x14ac:dyDescent="0.25">
      <c r="A4" s="116" t="s">
        <v>114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20" x14ac:dyDescent="0.25">
      <c r="A5" s="116" t="s">
        <v>55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1:20" x14ac:dyDescent="0.25">
      <c r="A6" s="16" t="s">
        <v>0</v>
      </c>
      <c r="B6" s="17" t="s">
        <v>0</v>
      </c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10"/>
      <c r="O6" s="9"/>
      <c r="P6" s="11"/>
    </row>
    <row r="7" spans="1:20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  <c r="N7" s="21"/>
      <c r="O7" s="20"/>
      <c r="P7" s="22"/>
      <c r="Q7" s="23"/>
      <c r="R7" s="23"/>
      <c r="S7" s="23"/>
      <c r="T7" s="23"/>
    </row>
    <row r="8" spans="1:20" x14ac:dyDescent="0.25">
      <c r="A8" s="24"/>
      <c r="B8" s="25"/>
      <c r="C8" s="26"/>
      <c r="D8" s="25"/>
      <c r="E8" s="25"/>
      <c r="F8" s="25"/>
      <c r="G8" s="25"/>
      <c r="H8" s="25"/>
      <c r="I8" s="25"/>
      <c r="J8" s="25"/>
      <c r="K8" s="26"/>
      <c r="L8" s="27"/>
      <c r="M8" s="27"/>
      <c r="N8" s="28"/>
      <c r="O8" s="27"/>
      <c r="P8" s="27"/>
    </row>
    <row r="9" spans="1:20" x14ac:dyDescent="0.25">
      <c r="A9" s="114" t="s">
        <v>32</v>
      </c>
      <c r="B9" s="29" t="s">
        <v>4</v>
      </c>
      <c r="C9" s="17" t="s">
        <v>10</v>
      </c>
      <c r="D9" s="29" t="s">
        <v>61</v>
      </c>
      <c r="E9" s="29" t="s">
        <v>4</v>
      </c>
      <c r="F9" s="29" t="s">
        <v>4</v>
      </c>
      <c r="G9" s="29" t="s">
        <v>3</v>
      </c>
      <c r="H9" s="29" t="s">
        <v>4</v>
      </c>
      <c r="I9" s="29" t="s">
        <v>61</v>
      </c>
      <c r="J9" s="29" t="s">
        <v>4</v>
      </c>
      <c r="K9" s="17" t="s">
        <v>5</v>
      </c>
      <c r="L9" s="31" t="s">
        <v>6</v>
      </c>
      <c r="M9" s="31" t="s">
        <v>7</v>
      </c>
      <c r="N9" s="32" t="s">
        <v>9</v>
      </c>
      <c r="O9" s="31" t="s">
        <v>8</v>
      </c>
      <c r="P9" s="31" t="s">
        <v>24</v>
      </c>
    </row>
    <row r="10" spans="1:20" x14ac:dyDescent="0.25">
      <c r="A10" s="114"/>
      <c r="B10" s="29" t="s">
        <v>17</v>
      </c>
      <c r="C10" s="17" t="s">
        <v>18</v>
      </c>
      <c r="D10" s="29" t="s">
        <v>62</v>
      </c>
      <c r="E10" s="29" t="s">
        <v>45</v>
      </c>
      <c r="F10" s="29" t="s">
        <v>46</v>
      </c>
      <c r="G10" s="29" t="s">
        <v>11</v>
      </c>
      <c r="H10" s="29" t="s">
        <v>12</v>
      </c>
      <c r="I10" s="29" t="s">
        <v>20</v>
      </c>
      <c r="J10" s="29" t="s">
        <v>12</v>
      </c>
      <c r="K10" s="17" t="s">
        <v>13</v>
      </c>
      <c r="L10" s="31" t="s">
        <v>14</v>
      </c>
      <c r="M10" s="31"/>
      <c r="N10" s="32" t="s">
        <v>16</v>
      </c>
      <c r="O10" s="31" t="s">
        <v>15</v>
      </c>
      <c r="P10" s="31" t="s">
        <v>2</v>
      </c>
    </row>
    <row r="11" spans="1:20" x14ac:dyDescent="0.25">
      <c r="A11" s="114"/>
      <c r="B11" s="29" t="s">
        <v>25</v>
      </c>
      <c r="C11" s="17" t="s">
        <v>26</v>
      </c>
      <c r="D11" s="48" t="s">
        <v>66</v>
      </c>
      <c r="E11" s="29" t="s">
        <v>42</v>
      </c>
      <c r="F11" s="29" t="s">
        <v>42</v>
      </c>
      <c r="G11" s="29" t="s">
        <v>51</v>
      </c>
      <c r="H11" s="29" t="s">
        <v>19</v>
      </c>
      <c r="I11" s="29" t="s">
        <v>28</v>
      </c>
      <c r="J11" s="29" t="s">
        <v>19</v>
      </c>
      <c r="K11" s="17" t="s">
        <v>21</v>
      </c>
      <c r="L11" s="31" t="s">
        <v>22</v>
      </c>
      <c r="M11" s="33"/>
      <c r="N11" s="32" t="s">
        <v>23</v>
      </c>
      <c r="O11" s="33"/>
      <c r="P11" s="33"/>
      <c r="Q11" s="23"/>
    </row>
    <row r="12" spans="1:20" x14ac:dyDescent="0.25">
      <c r="A12" s="114"/>
      <c r="B12" s="34"/>
      <c r="C12" s="8"/>
      <c r="D12" s="29"/>
      <c r="E12" s="35" t="s">
        <v>43</v>
      </c>
      <c r="F12" s="35" t="s">
        <v>43</v>
      </c>
      <c r="G12" s="29" t="s">
        <v>49</v>
      </c>
      <c r="H12" s="29" t="s">
        <v>27</v>
      </c>
      <c r="I12" s="29" t="s">
        <v>30</v>
      </c>
      <c r="J12" s="29" t="s">
        <v>63</v>
      </c>
      <c r="K12" s="17"/>
      <c r="L12" s="31"/>
      <c r="M12" s="33"/>
      <c r="N12" s="32" t="s">
        <v>29</v>
      </c>
      <c r="O12" s="33"/>
      <c r="P12" s="33"/>
      <c r="Q12" s="23"/>
    </row>
    <row r="13" spans="1:20" x14ac:dyDescent="0.25">
      <c r="A13" s="114" t="s">
        <v>33</v>
      </c>
      <c r="B13" s="34"/>
      <c r="C13" s="8"/>
      <c r="D13" s="29"/>
      <c r="E13" s="35" t="s">
        <v>44</v>
      </c>
      <c r="F13" s="35" t="s">
        <v>44</v>
      </c>
      <c r="G13" s="30" t="s">
        <v>50</v>
      </c>
      <c r="H13" s="34"/>
      <c r="I13" s="29"/>
      <c r="J13" s="29" t="s">
        <v>64</v>
      </c>
      <c r="K13" s="17"/>
      <c r="L13" s="31"/>
      <c r="M13" s="33"/>
      <c r="N13" s="32" t="s">
        <v>31</v>
      </c>
      <c r="O13" s="33"/>
      <c r="P13" s="33"/>
    </row>
    <row r="14" spans="1:20" x14ac:dyDescent="0.25">
      <c r="A14" s="58"/>
      <c r="B14" s="36"/>
      <c r="C14" s="19"/>
      <c r="D14" s="36"/>
      <c r="E14" s="36"/>
      <c r="F14" s="36"/>
      <c r="G14" s="36"/>
      <c r="H14" s="36"/>
      <c r="I14" s="36"/>
      <c r="J14" s="36"/>
      <c r="K14" s="19"/>
      <c r="L14" s="37"/>
      <c r="M14" s="37"/>
      <c r="N14" s="21"/>
      <c r="O14" s="37"/>
      <c r="P14" s="37"/>
      <c r="Q14" s="23"/>
    </row>
    <row r="15" spans="1:20" x14ac:dyDescent="0.25">
      <c r="A15" s="25"/>
      <c r="B15" s="8"/>
      <c r="C15" s="25"/>
      <c r="D15" s="52"/>
      <c r="E15" s="34"/>
      <c r="F15" s="34"/>
      <c r="G15" s="34"/>
      <c r="H15" s="34"/>
      <c r="I15" s="34"/>
      <c r="J15" s="34"/>
      <c r="K15" s="25"/>
      <c r="L15" s="11"/>
      <c r="M15" s="33"/>
      <c r="N15" s="50"/>
      <c r="O15" s="11"/>
      <c r="P15" s="33"/>
    </row>
    <row r="16" spans="1:20" hidden="1" x14ac:dyDescent="0.25">
      <c r="A16" s="59" t="s">
        <v>65</v>
      </c>
      <c r="B16" s="55">
        <v>191381.50000000003</v>
      </c>
      <c r="C16" s="68">
        <v>99286.999999999985</v>
      </c>
      <c r="D16" s="53">
        <v>62928.999999999956</v>
      </c>
      <c r="E16" s="68">
        <v>603.5</v>
      </c>
      <c r="F16" s="68">
        <v>550</v>
      </c>
      <c r="G16" s="39" t="s">
        <v>41</v>
      </c>
      <c r="H16" s="68">
        <v>14305</v>
      </c>
      <c r="I16" s="68">
        <v>5052.6000000000004</v>
      </c>
      <c r="J16" s="68">
        <v>24400</v>
      </c>
      <c r="K16" s="68">
        <v>30009.400000000009</v>
      </c>
      <c r="L16" s="49">
        <f>87503.4-45586.6</f>
        <v>41916.799999999996</v>
      </c>
      <c r="M16" s="70">
        <v>18433.2</v>
      </c>
      <c r="N16" s="51">
        <v>311.60000000000002</v>
      </c>
      <c r="O16" s="49">
        <f>27363.4+45586.6</f>
        <v>72950</v>
      </c>
      <c r="P16" s="69">
        <f t="shared" ref="P16:P18" si="0">SUM(B16:O16)</f>
        <v>562129.59999999986</v>
      </c>
      <c r="Q16" s="83"/>
      <c r="R16" s="17"/>
      <c r="S16" s="66"/>
      <c r="T16" s="66"/>
    </row>
    <row r="17" spans="1:23" hidden="1" x14ac:dyDescent="0.25">
      <c r="A17" s="59" t="s">
        <v>86</v>
      </c>
      <c r="B17" s="55">
        <v>226504.30000000002</v>
      </c>
      <c r="C17" s="68">
        <v>116535.90000000001</v>
      </c>
      <c r="D17" s="53">
        <v>81175.299999999988</v>
      </c>
      <c r="E17" s="68">
        <v>1234.8999999999999</v>
      </c>
      <c r="F17" s="68">
        <v>400</v>
      </c>
      <c r="G17" s="39" t="s">
        <v>41</v>
      </c>
      <c r="H17" s="68">
        <v>23913.5</v>
      </c>
      <c r="I17" s="68">
        <v>8608.5999999999985</v>
      </c>
      <c r="J17" s="68">
        <v>33663.599999999999</v>
      </c>
      <c r="K17" s="68">
        <v>36237.599999999999</v>
      </c>
      <c r="L17" s="49">
        <f>111536.2-41841.2</f>
        <v>69695</v>
      </c>
      <c r="M17" s="70">
        <v>21190.100000000002</v>
      </c>
      <c r="N17" s="51">
        <v>1123.9000000000001</v>
      </c>
      <c r="O17" s="49">
        <f>27186.8+41841.2</f>
        <v>69028</v>
      </c>
      <c r="P17" s="69">
        <f t="shared" si="0"/>
        <v>689310.7</v>
      </c>
      <c r="Q17" s="66"/>
      <c r="R17" s="66"/>
      <c r="S17" s="66"/>
      <c r="T17" s="66"/>
    </row>
    <row r="18" spans="1:23" hidden="1" x14ac:dyDescent="0.25">
      <c r="A18" s="59" t="s">
        <v>87</v>
      </c>
      <c r="B18" s="55">
        <v>290409</v>
      </c>
      <c r="C18" s="68">
        <v>143615.40000000002</v>
      </c>
      <c r="D18" s="53">
        <v>89591.3</v>
      </c>
      <c r="E18" s="68">
        <v>1128.8</v>
      </c>
      <c r="F18" s="68">
        <v>530</v>
      </c>
      <c r="G18" s="39" t="s">
        <v>41</v>
      </c>
      <c r="H18" s="68">
        <v>30906.599999999988</v>
      </c>
      <c r="I18" s="68">
        <v>5456.4</v>
      </c>
      <c r="J18" s="68">
        <v>27042.2</v>
      </c>
      <c r="K18" s="68">
        <v>50485.599999999991</v>
      </c>
      <c r="L18" s="49">
        <f>138109.5-40746.7</f>
        <v>97362.8</v>
      </c>
      <c r="M18" s="70">
        <v>22695.399999999998</v>
      </c>
      <c r="N18" s="51">
        <v>113.79999999999987</v>
      </c>
      <c r="O18" s="49">
        <f>40462.9+40746.7</f>
        <v>81209.600000000006</v>
      </c>
      <c r="P18" s="69">
        <f t="shared" si="0"/>
        <v>840546.9</v>
      </c>
      <c r="Q18" s="66"/>
      <c r="R18" s="66"/>
      <c r="S18" s="66"/>
      <c r="T18" s="66"/>
    </row>
    <row r="19" spans="1:23" s="43" customFormat="1" x14ac:dyDescent="0.25">
      <c r="A19" s="59" t="s">
        <v>69</v>
      </c>
      <c r="B19" s="56">
        <v>283537.99999999994</v>
      </c>
      <c r="C19" s="42">
        <v>178588.99999999997</v>
      </c>
      <c r="D19" s="54">
        <v>89107.6</v>
      </c>
      <c r="E19" s="42">
        <v>570.1</v>
      </c>
      <c r="F19" s="42">
        <v>230</v>
      </c>
      <c r="G19" s="42">
        <v>23887.599999999999</v>
      </c>
      <c r="H19" s="42">
        <v>32980.200000000004</v>
      </c>
      <c r="I19" s="42">
        <v>6981.7999999999993</v>
      </c>
      <c r="J19" s="42">
        <v>38665.200000000004</v>
      </c>
      <c r="K19" s="42">
        <v>50036.000000000007</v>
      </c>
      <c r="L19" s="49">
        <f>160199.8-42543.1</f>
        <v>117656.69999999998</v>
      </c>
      <c r="M19" s="70">
        <v>30401</v>
      </c>
      <c r="N19" s="51">
        <v>617.30000000000041</v>
      </c>
      <c r="O19" s="49">
        <f>40944.6+42543.1</f>
        <v>83487.7</v>
      </c>
      <c r="P19" s="69">
        <f t="shared" ref="P19:P21" si="1">SUM(B19:O19)</f>
        <v>936748.19999999972</v>
      </c>
      <c r="Q19" s="66"/>
      <c r="R19" s="66"/>
      <c r="S19" s="66"/>
      <c r="T19" s="66"/>
      <c r="V19" s="6"/>
      <c r="W19" s="6"/>
    </row>
    <row r="20" spans="1:23" s="43" customFormat="1" x14ac:dyDescent="0.25">
      <c r="A20" s="59" t="s">
        <v>59</v>
      </c>
      <c r="B20" s="56">
        <v>315397.3000000001</v>
      </c>
      <c r="C20" s="42">
        <v>194074.10000000003</v>
      </c>
      <c r="D20" s="54">
        <v>126093.49999999999</v>
      </c>
      <c r="E20" s="42">
        <v>1801.0000000000002</v>
      </c>
      <c r="F20" s="42">
        <v>430</v>
      </c>
      <c r="G20" s="39" t="s">
        <v>41</v>
      </c>
      <c r="H20" s="42">
        <v>33508</v>
      </c>
      <c r="I20" s="42">
        <v>9660.5</v>
      </c>
      <c r="J20" s="42">
        <v>32270.799999999999</v>
      </c>
      <c r="K20" s="42">
        <v>62971.7</v>
      </c>
      <c r="L20" s="49">
        <f>214178.2-51707.5</f>
        <v>162470.70000000001</v>
      </c>
      <c r="M20" s="70">
        <v>20813.100000000002</v>
      </c>
      <c r="N20" s="51">
        <v>4358.7000000000007</v>
      </c>
      <c r="O20" s="49">
        <f>29127.2+51707.5</f>
        <v>80834.7</v>
      </c>
      <c r="P20" s="69">
        <f t="shared" si="1"/>
        <v>1044684.1</v>
      </c>
      <c r="Q20" s="66"/>
      <c r="R20" s="66"/>
      <c r="S20" s="66"/>
      <c r="T20" s="66"/>
      <c r="V20" s="6"/>
      <c r="W20" s="6"/>
    </row>
    <row r="21" spans="1:23" x14ac:dyDescent="0.25">
      <c r="A21" s="59" t="s">
        <v>60</v>
      </c>
      <c r="B21" s="55">
        <v>360175.89999999991</v>
      </c>
      <c r="C21" s="68">
        <v>225312.40000000002</v>
      </c>
      <c r="D21" s="53">
        <v>134561.49999999997</v>
      </c>
      <c r="E21" s="68">
        <v>1446.5</v>
      </c>
      <c r="F21" s="68">
        <v>430</v>
      </c>
      <c r="G21" s="39" t="s">
        <v>41</v>
      </c>
      <c r="H21" s="68">
        <v>51086.3</v>
      </c>
      <c r="I21" s="68">
        <v>9056.5</v>
      </c>
      <c r="J21" s="68">
        <v>22059.600000000002</v>
      </c>
      <c r="K21" s="68">
        <v>89788.900000000009</v>
      </c>
      <c r="L21" s="49">
        <f>254713.8-68954.2</f>
        <v>185759.59999999998</v>
      </c>
      <c r="M21" s="70">
        <v>21766.899999999998</v>
      </c>
      <c r="N21" s="51">
        <v>-40.700000000000188</v>
      </c>
      <c r="O21" s="49">
        <f>47659.2+68954.2</f>
        <v>116613.4</v>
      </c>
      <c r="P21" s="69">
        <f t="shared" si="1"/>
        <v>1218016.7999999998</v>
      </c>
      <c r="Q21" s="66"/>
      <c r="R21" s="66"/>
      <c r="S21" s="66"/>
      <c r="T21" s="66"/>
    </row>
    <row r="22" spans="1:23" s="86" customFormat="1" x14ac:dyDescent="0.25">
      <c r="A22" s="59" t="s">
        <v>68</v>
      </c>
      <c r="B22" s="64">
        <f>384456.1+15434.2+15905.7+200.5</f>
        <v>415996.5</v>
      </c>
      <c r="C22" s="67">
        <f>227786.6+1790.7-170.1-83+12998.2</f>
        <v>242322.40000000002</v>
      </c>
      <c r="D22" s="64">
        <f>156704.2+6505.5</f>
        <v>163209.70000000001</v>
      </c>
      <c r="E22" s="88">
        <v>1669.5</v>
      </c>
      <c r="F22" s="88">
        <v>230</v>
      </c>
      <c r="G22" s="88" t="s">
        <v>41</v>
      </c>
      <c r="H22" s="64">
        <f>10726.3+35243.7+83+2669.8</f>
        <v>48722.8</v>
      </c>
      <c r="I22" s="88">
        <v>9410.5</v>
      </c>
      <c r="J22" s="88">
        <v>17620.400000000001</v>
      </c>
      <c r="K22" s="88">
        <f>147751.8</f>
        <v>147751.79999999999</v>
      </c>
      <c r="L22" s="65">
        <f>205273.6</f>
        <v>205273.60000000001</v>
      </c>
      <c r="M22" s="91">
        <v>25746.6</v>
      </c>
      <c r="N22" s="71">
        <f>156.2+14013.4+170.1-16518.4-31.4-0.1-0.7</f>
        <v>-2210.9000000000005</v>
      </c>
      <c r="O22" s="65">
        <f>49124.9-2669.1-15434.2-200.5-1790.7+95865.1</f>
        <v>124895.5</v>
      </c>
      <c r="P22" s="90">
        <f t="shared" ref="P22" si="2">SUM(B22:O22)</f>
        <v>1400638.4000000004</v>
      </c>
      <c r="Q22" s="87"/>
      <c r="R22" s="87"/>
      <c r="S22" s="87"/>
      <c r="T22" s="87"/>
    </row>
    <row r="23" spans="1:23" s="86" customFormat="1" x14ac:dyDescent="0.25">
      <c r="A23" s="59" t="s">
        <v>106</v>
      </c>
      <c r="B23" s="64">
        <f>373807+22771.9+10174.2+110.3</f>
        <v>406863.4</v>
      </c>
      <c r="C23" s="67">
        <f>245240.5+26818.7</f>
        <v>272059.2</v>
      </c>
      <c r="D23" s="102">
        <f>119702.6+15407.2+1256.3+1009.2+61.9</f>
        <v>137437.20000000001</v>
      </c>
      <c r="E23" s="88">
        <v>5303.8</v>
      </c>
      <c r="F23" s="88">
        <v>8529.9</v>
      </c>
      <c r="G23" s="88">
        <v>19805</v>
      </c>
      <c r="H23" s="64">
        <f>5380.5+41376+5189.6</f>
        <v>51946.1</v>
      </c>
      <c r="I23" s="88">
        <v>9009.9</v>
      </c>
      <c r="J23" s="88">
        <v>6801.5</v>
      </c>
      <c r="K23" s="88">
        <v>150034</v>
      </c>
      <c r="L23" s="65">
        <v>213505.6</v>
      </c>
      <c r="M23" s="91">
        <v>18037.599999999999</v>
      </c>
      <c r="N23" s="71">
        <f>115.9+25522.9-11774.8-31.4-19805</f>
        <v>-5972.399999999996</v>
      </c>
      <c r="O23" s="102">
        <f>39001-5189.6-10174.2+124538.7+5.7</f>
        <v>148181.6</v>
      </c>
      <c r="P23" s="90">
        <f t="shared" ref="P23" si="3">SUM(B23:O23)</f>
        <v>1441542.4000000004</v>
      </c>
      <c r="Q23" s="87"/>
      <c r="R23" s="87"/>
      <c r="S23" s="87"/>
      <c r="T23" s="87"/>
    </row>
    <row r="24" spans="1:23" s="86" customFormat="1" x14ac:dyDescent="0.25">
      <c r="A24" s="59"/>
      <c r="B24" s="64"/>
      <c r="C24" s="67"/>
      <c r="D24" s="64"/>
      <c r="E24" s="88"/>
      <c r="F24" s="88"/>
      <c r="G24" s="88"/>
      <c r="H24" s="64"/>
      <c r="I24" s="88"/>
      <c r="J24" s="88"/>
      <c r="K24" s="88"/>
      <c r="L24" s="65"/>
      <c r="M24" s="91"/>
      <c r="N24" s="71"/>
      <c r="O24" s="65"/>
      <c r="P24" s="90"/>
      <c r="Q24" s="87"/>
      <c r="R24" s="87"/>
      <c r="S24" s="87"/>
      <c r="T24" s="87"/>
    </row>
    <row r="25" spans="1:23" x14ac:dyDescent="0.25">
      <c r="A25" s="60"/>
      <c r="B25" s="55"/>
      <c r="C25" s="38"/>
      <c r="D25" s="53"/>
      <c r="E25" s="38"/>
      <c r="F25" s="38"/>
      <c r="G25" s="38"/>
      <c r="H25" s="38"/>
      <c r="I25" s="38"/>
      <c r="J25" s="38"/>
      <c r="K25" s="38"/>
      <c r="L25" s="49"/>
      <c r="M25" s="41"/>
      <c r="N25" s="51"/>
      <c r="O25" s="49"/>
      <c r="P25" s="40"/>
      <c r="Q25" s="23"/>
      <c r="R25" s="23"/>
      <c r="S25" s="23"/>
      <c r="T25" s="23"/>
    </row>
    <row r="26" spans="1:23" s="43" customFormat="1" hidden="1" x14ac:dyDescent="0.25">
      <c r="A26" s="62" t="s">
        <v>105</v>
      </c>
      <c r="B26" s="56">
        <v>315397.3000000001</v>
      </c>
      <c r="C26" s="42">
        <v>194074.10000000003</v>
      </c>
      <c r="D26" s="54">
        <v>126093.49999999999</v>
      </c>
      <c r="E26" s="42">
        <v>1801.0000000000002</v>
      </c>
      <c r="F26" s="42">
        <v>430</v>
      </c>
      <c r="G26" s="39" t="s">
        <v>41</v>
      </c>
      <c r="H26" s="42">
        <v>33508</v>
      </c>
      <c r="I26" s="42">
        <v>9660.5</v>
      </c>
      <c r="J26" s="42">
        <v>32270.799999999999</v>
      </c>
      <c r="K26" s="42">
        <v>62971.7</v>
      </c>
      <c r="L26" s="49">
        <f>214178.2-51707.5</f>
        <v>162470.70000000001</v>
      </c>
      <c r="M26" s="70">
        <v>20813.100000000002</v>
      </c>
      <c r="N26" s="51">
        <v>4358.7000000000007</v>
      </c>
      <c r="O26" s="49">
        <f>29127.2+51707.5</f>
        <v>80834.7</v>
      </c>
      <c r="P26" s="69">
        <f t="shared" ref="P26" si="4">SUM(B26:O26)</f>
        <v>1044684.1</v>
      </c>
      <c r="Q26" s="66"/>
      <c r="R26" s="66"/>
      <c r="S26" s="66"/>
      <c r="T26" s="66"/>
      <c r="V26" s="6"/>
      <c r="W26" s="6"/>
    </row>
    <row r="27" spans="1:23" hidden="1" x14ac:dyDescent="0.25">
      <c r="A27" s="112" t="s">
        <v>73</v>
      </c>
      <c r="B27" s="111">
        <v>322161.30000000005</v>
      </c>
      <c r="C27" s="105">
        <v>200069.49999999997</v>
      </c>
      <c r="D27" s="110">
        <v>138016.40000000002</v>
      </c>
      <c r="E27" s="105">
        <v>1118.7000000000003</v>
      </c>
      <c r="F27" s="105">
        <v>1430</v>
      </c>
      <c r="G27" s="105">
        <v>7591.1</v>
      </c>
      <c r="H27" s="105">
        <v>48811.099999999991</v>
      </c>
      <c r="I27" s="105">
        <v>11006.099999999999</v>
      </c>
      <c r="J27" s="105">
        <v>28700.899999999998</v>
      </c>
      <c r="K27" s="105">
        <v>64129.799999999996</v>
      </c>
      <c r="L27" s="108">
        <v>172005</v>
      </c>
      <c r="M27" s="107">
        <v>8212.7000000000007</v>
      </c>
      <c r="N27" s="109">
        <v>2197.2999999999988</v>
      </c>
      <c r="O27" s="108">
        <v>93667.9</v>
      </c>
      <c r="P27" s="106">
        <v>1099117.8</v>
      </c>
      <c r="Q27" s="104"/>
      <c r="R27" s="104"/>
      <c r="S27" s="104"/>
      <c r="T27" s="104"/>
      <c r="U27" s="103"/>
      <c r="V27" s="103"/>
      <c r="W27" s="103"/>
    </row>
    <row r="28" spans="1:23" hidden="1" x14ac:dyDescent="0.25">
      <c r="A28" s="61" t="s">
        <v>73</v>
      </c>
      <c r="B28" s="55">
        <v>322161.30000000005</v>
      </c>
      <c r="C28" s="68">
        <v>200069.49999999997</v>
      </c>
      <c r="D28" s="53">
        <v>138016.40000000002</v>
      </c>
      <c r="E28" s="68">
        <v>1118.7000000000003</v>
      </c>
      <c r="F28" s="68">
        <v>1430</v>
      </c>
      <c r="G28" s="68">
        <v>7591.1</v>
      </c>
      <c r="H28" s="68">
        <v>48811.099999999991</v>
      </c>
      <c r="I28" s="68">
        <v>11006.099999999999</v>
      </c>
      <c r="J28" s="68">
        <v>28700.899999999998</v>
      </c>
      <c r="K28" s="68">
        <v>64129.799999999996</v>
      </c>
      <c r="L28" s="49">
        <f>229344.6-57339.6</f>
        <v>172005</v>
      </c>
      <c r="M28" s="70">
        <v>8212.7000000000007</v>
      </c>
      <c r="N28" s="51">
        <v>2197.2999999999988</v>
      </c>
      <c r="O28" s="49">
        <f>36328.3+57339.6</f>
        <v>93667.9</v>
      </c>
      <c r="P28" s="69">
        <f t="shared" ref="P28" si="5">SUM(B28:O28)</f>
        <v>1099117.8</v>
      </c>
      <c r="Q28" s="66"/>
      <c r="R28" s="66"/>
      <c r="S28" s="66"/>
      <c r="T28" s="66"/>
    </row>
    <row r="29" spans="1:23" s="84" customFormat="1" hidden="1" x14ac:dyDescent="0.25">
      <c r="A29" s="100" t="s">
        <v>113</v>
      </c>
      <c r="B29" s="98">
        <v>324693.09999999998</v>
      </c>
      <c r="C29" s="88">
        <v>207216.19999999998</v>
      </c>
      <c r="D29" s="96">
        <v>135180.99999999994</v>
      </c>
      <c r="E29" s="88">
        <v>1608.3</v>
      </c>
      <c r="F29" s="88">
        <v>1904.8</v>
      </c>
      <c r="G29" s="89" t="s">
        <v>41</v>
      </c>
      <c r="H29" s="88">
        <v>47608.2</v>
      </c>
      <c r="I29" s="88">
        <v>8442.7999999999993</v>
      </c>
      <c r="J29" s="88">
        <v>22174.100000000002</v>
      </c>
      <c r="K29" s="88">
        <v>64040.999999999993</v>
      </c>
      <c r="L29" s="94">
        <v>233211.80000000002</v>
      </c>
      <c r="M29" s="91">
        <v>15155.099999999999</v>
      </c>
      <c r="N29" s="95">
        <v>-5013.2</v>
      </c>
      <c r="O29" s="94">
        <v>37072.399999999994</v>
      </c>
      <c r="P29" s="90">
        <v>1093295.5999999999</v>
      </c>
      <c r="Q29" s="87"/>
      <c r="R29" s="87"/>
      <c r="S29" s="87"/>
      <c r="T29" s="87"/>
      <c r="U29" s="85"/>
      <c r="V29" s="85"/>
      <c r="W29" s="85"/>
    </row>
    <row r="30" spans="1:23" x14ac:dyDescent="0.25">
      <c r="A30" s="72" t="s">
        <v>101</v>
      </c>
      <c r="B30" s="55">
        <v>343422.09999999992</v>
      </c>
      <c r="C30" s="68">
        <v>216634.59999999998</v>
      </c>
      <c r="D30" s="53">
        <v>132907.30000000005</v>
      </c>
      <c r="E30" s="68">
        <v>1411.8</v>
      </c>
      <c r="F30" s="68">
        <v>200</v>
      </c>
      <c r="G30" s="39" t="s">
        <v>41</v>
      </c>
      <c r="H30" s="68">
        <v>47008.600000000006</v>
      </c>
      <c r="I30" s="68">
        <v>8065.6</v>
      </c>
      <c r="J30" s="68">
        <v>23839.200000000001</v>
      </c>
      <c r="K30" s="68">
        <v>97088.099999999991</v>
      </c>
      <c r="L30" s="49">
        <f>237758.7-64673.3</f>
        <v>173085.40000000002</v>
      </c>
      <c r="M30" s="70">
        <v>20594.5</v>
      </c>
      <c r="N30" s="51">
        <v>107.89999999999984</v>
      </c>
      <c r="O30" s="49">
        <f>54273.6+64673.3</f>
        <v>118946.9</v>
      </c>
      <c r="P30" s="69">
        <f t="shared" ref="P30" si="6">SUM(B30:O30)</f>
        <v>1183311.9999999998</v>
      </c>
      <c r="Q30" s="66"/>
      <c r="R30" s="66"/>
      <c r="S30" s="66"/>
      <c r="T30" s="66"/>
    </row>
    <row r="31" spans="1:23" x14ac:dyDescent="0.25">
      <c r="A31" s="72" t="s">
        <v>72</v>
      </c>
      <c r="B31" s="55">
        <v>360175.89999999991</v>
      </c>
      <c r="C31" s="68">
        <v>225312.40000000002</v>
      </c>
      <c r="D31" s="53">
        <v>134561.49999999997</v>
      </c>
      <c r="E31" s="68">
        <v>1446.5</v>
      </c>
      <c r="F31" s="68">
        <v>430</v>
      </c>
      <c r="G31" s="39" t="s">
        <v>41</v>
      </c>
      <c r="H31" s="68">
        <v>51086.3</v>
      </c>
      <c r="I31" s="68">
        <v>9056.5</v>
      </c>
      <c r="J31" s="68">
        <v>22059.600000000002</v>
      </c>
      <c r="K31" s="68">
        <v>89788.900000000009</v>
      </c>
      <c r="L31" s="49">
        <f>254713.8-68954.2</f>
        <v>185759.59999999998</v>
      </c>
      <c r="M31" s="70">
        <v>21766.899999999998</v>
      </c>
      <c r="N31" s="51">
        <v>-40.700000000000188</v>
      </c>
      <c r="O31" s="49">
        <f>47659.2+68954.2</f>
        <v>116613.4</v>
      </c>
      <c r="P31" s="69">
        <f t="shared" ref="P31" si="7">SUM(B31:O31)</f>
        <v>1218016.7999999998</v>
      </c>
      <c r="Q31" s="66"/>
      <c r="R31" s="66"/>
      <c r="S31" s="66"/>
      <c r="T31" s="66"/>
    </row>
    <row r="32" spans="1:23" x14ac:dyDescent="0.25">
      <c r="A32" s="61"/>
      <c r="B32" s="55"/>
      <c r="C32" s="38"/>
      <c r="D32" s="53"/>
      <c r="E32" s="38"/>
      <c r="F32" s="38"/>
      <c r="G32" s="39"/>
      <c r="H32" s="38"/>
      <c r="I32" s="38"/>
      <c r="J32" s="38"/>
      <c r="K32" s="38"/>
      <c r="L32" s="49"/>
      <c r="M32" s="41"/>
      <c r="N32" s="51"/>
      <c r="O32" s="49"/>
      <c r="P32" s="40"/>
      <c r="Q32" s="23"/>
      <c r="R32" s="23"/>
      <c r="S32" s="23"/>
      <c r="T32" s="23"/>
    </row>
    <row r="33" spans="1:20" x14ac:dyDescent="0.25">
      <c r="A33" s="61" t="s">
        <v>74</v>
      </c>
      <c r="B33" s="64">
        <f>333938.4+11781.2+477.3</f>
        <v>346196.9</v>
      </c>
      <c r="C33" s="67">
        <f>242977.3+2474.5-168.4-180.5-0.1</f>
        <v>245102.8</v>
      </c>
      <c r="D33" s="64">
        <f>144909.8+4605</f>
        <v>149514.79999999999</v>
      </c>
      <c r="E33" s="68">
        <v>1164.5999999999999</v>
      </c>
      <c r="F33" s="68">
        <v>430</v>
      </c>
      <c r="G33" s="73" t="s">
        <v>41</v>
      </c>
      <c r="H33" s="64">
        <f>9051+33558.7+180.5+1786.5</f>
        <v>44576.7</v>
      </c>
      <c r="I33" s="68">
        <v>7987.7</v>
      </c>
      <c r="J33" s="68">
        <v>28923.4</v>
      </c>
      <c r="K33" s="68">
        <f>100768.7+0.1</f>
        <v>100768.8</v>
      </c>
      <c r="L33" s="65">
        <f>189667.8</f>
        <v>189667.8</v>
      </c>
      <c r="M33" s="70">
        <v>16378.5</v>
      </c>
      <c r="N33" s="71">
        <f>717.1+266.6+9800+168.4-13924.5-31.4</f>
        <v>-3003.7999999999997</v>
      </c>
      <c r="O33" s="65">
        <f>58451.4-1786.5-11781.2-477.3-2474.5+75003</f>
        <v>116934.9</v>
      </c>
      <c r="P33" s="69">
        <f t="shared" ref="P33" si="8">SUM(B33:O33)</f>
        <v>1244643.0999999999</v>
      </c>
      <c r="Q33" s="66"/>
      <c r="R33" s="66"/>
      <c r="S33" s="66"/>
      <c r="T33" s="66"/>
    </row>
    <row r="34" spans="1:20" x14ac:dyDescent="0.25">
      <c r="A34" s="72" t="s">
        <v>70</v>
      </c>
      <c r="B34" s="64">
        <v>376790.5</v>
      </c>
      <c r="C34" s="67">
        <v>245749.99999999997</v>
      </c>
      <c r="D34" s="64">
        <v>145441.79999999999</v>
      </c>
      <c r="E34" s="68">
        <v>1983.8</v>
      </c>
      <c r="F34" s="68">
        <v>250</v>
      </c>
      <c r="G34" s="68" t="s">
        <v>41</v>
      </c>
      <c r="H34" s="64">
        <v>47204.4</v>
      </c>
      <c r="I34" s="68">
        <v>8690.2999999999993</v>
      </c>
      <c r="J34" s="68">
        <v>19697.099999999999</v>
      </c>
      <c r="K34" s="68">
        <f>102707.1+0.4</f>
        <v>102707.5</v>
      </c>
      <c r="L34" s="65">
        <f>276173.1-83001.7</f>
        <v>193171.39999999997</v>
      </c>
      <c r="M34" s="70">
        <v>16946.7</v>
      </c>
      <c r="N34" s="71">
        <v>-3731.7999999999993</v>
      </c>
      <c r="O34" s="65">
        <f>44373.2+83001.7</f>
        <v>127374.9</v>
      </c>
      <c r="P34" s="69">
        <f t="shared" ref="P34" si="9">SUM(B34:O34)</f>
        <v>1282276.5999999999</v>
      </c>
      <c r="Q34" s="66"/>
      <c r="R34" s="66"/>
      <c r="S34" s="66"/>
      <c r="T34" s="66"/>
    </row>
    <row r="35" spans="1:20" s="86" customFormat="1" x14ac:dyDescent="0.25">
      <c r="A35" s="100" t="s">
        <v>71</v>
      </c>
      <c r="B35" s="64">
        <f>340534+29657.7+8632.8+211.7</f>
        <v>379036.2</v>
      </c>
      <c r="C35" s="67">
        <f>225034.7+4093.6-194-274.4-2+11457.2</f>
        <v>240115.10000000003</v>
      </c>
      <c r="D35" s="64">
        <f>142351.4+5807.1</f>
        <v>148158.5</v>
      </c>
      <c r="E35" s="105">
        <v>2127.3000000000002</v>
      </c>
      <c r="F35" s="105">
        <v>230</v>
      </c>
      <c r="G35" s="105" t="s">
        <v>41</v>
      </c>
      <c r="H35" s="64">
        <f>13547.9+37084.3+274.4+1540.6</f>
        <v>52447.200000000004</v>
      </c>
      <c r="I35" s="105">
        <v>9825.5</v>
      </c>
      <c r="J35" s="105">
        <v>14050.2</v>
      </c>
      <c r="K35" s="105">
        <f>123900.5+3</f>
        <v>123903.5</v>
      </c>
      <c r="L35" s="65">
        <f>193246.4</f>
        <v>193246.4</v>
      </c>
      <c r="M35" s="107">
        <v>23804.1</v>
      </c>
      <c r="N35" s="71">
        <f>-304+5115.1+194-11195.2-31.4-0.1-1</f>
        <v>-6222.6</v>
      </c>
      <c r="O35" s="65">
        <f>77056.8-1540.6-29657.7-211.7-4093.6+88177.2</f>
        <v>129730.4</v>
      </c>
      <c r="P35" s="106">
        <f t="shared" ref="P35" si="10">SUM(B35:O35)</f>
        <v>1310451.7999999998</v>
      </c>
      <c r="Q35" s="104"/>
      <c r="R35" s="104"/>
      <c r="S35" s="104"/>
      <c r="T35" s="104"/>
    </row>
    <row r="36" spans="1:20" s="86" customFormat="1" x14ac:dyDescent="0.25">
      <c r="A36" s="100" t="s">
        <v>72</v>
      </c>
      <c r="B36" s="64">
        <f>384456.1+15434.2+15905.7+200.5</f>
        <v>415996.5</v>
      </c>
      <c r="C36" s="67">
        <f>227786.6+1790.7-170.1-83+12998.2</f>
        <v>242322.40000000002</v>
      </c>
      <c r="D36" s="64">
        <f>156704.2+6505.5</f>
        <v>163209.70000000001</v>
      </c>
      <c r="E36" s="88">
        <v>1669.5</v>
      </c>
      <c r="F36" s="88">
        <v>230</v>
      </c>
      <c r="G36" s="88" t="s">
        <v>41</v>
      </c>
      <c r="H36" s="64">
        <f>10726.3+35243.7+83+2669.8</f>
        <v>48722.8</v>
      </c>
      <c r="I36" s="88">
        <v>9410.5</v>
      </c>
      <c r="J36" s="88">
        <v>17620.400000000001</v>
      </c>
      <c r="K36" s="88">
        <f>147751.8</f>
        <v>147751.79999999999</v>
      </c>
      <c r="L36" s="65">
        <f>205273.6</f>
        <v>205273.60000000001</v>
      </c>
      <c r="M36" s="91">
        <v>25746.6</v>
      </c>
      <c r="N36" s="71">
        <f>156.2+14013.4+170.1-16518.4-31.4-0.1-0.7</f>
        <v>-2210.9000000000005</v>
      </c>
      <c r="O36" s="65">
        <f>49124.9-2669.1-15434.2-200.5-1790.7+95865.1</f>
        <v>124895.5</v>
      </c>
      <c r="P36" s="90">
        <f t="shared" ref="P36" si="11">SUM(B36:O36)</f>
        <v>1400638.4000000004</v>
      </c>
      <c r="Q36" s="87"/>
      <c r="R36" s="87"/>
      <c r="S36" s="87"/>
      <c r="T36" s="87"/>
    </row>
    <row r="37" spans="1:20" x14ac:dyDescent="0.25">
      <c r="A37" s="74"/>
      <c r="B37" s="64"/>
      <c r="C37" s="67"/>
      <c r="D37" s="64"/>
      <c r="E37" s="68"/>
      <c r="F37" s="68"/>
      <c r="G37" s="73"/>
      <c r="H37" s="64"/>
      <c r="I37" s="68"/>
      <c r="J37" s="68"/>
      <c r="K37" s="68"/>
      <c r="L37" s="65"/>
      <c r="M37" s="70"/>
      <c r="N37" s="71"/>
      <c r="O37" s="65"/>
      <c r="P37" s="69"/>
      <c r="Q37" s="66"/>
      <c r="R37" s="66"/>
      <c r="S37" s="66"/>
      <c r="T37" s="66"/>
    </row>
    <row r="38" spans="1:20" s="86" customFormat="1" x14ac:dyDescent="0.25">
      <c r="A38" s="101" t="s">
        <v>75</v>
      </c>
      <c r="B38" s="64">
        <f>344350.7+20484.6+11731.8+93.4</f>
        <v>376660.5</v>
      </c>
      <c r="C38" s="67">
        <f>238986.8+2447.3-174.6-201.8+8849.8-46.6+350</f>
        <v>250210.89999999997</v>
      </c>
      <c r="D38" s="64">
        <f>142868.4+5286</f>
        <v>148154.4</v>
      </c>
      <c r="E38" s="88">
        <v>1196</v>
      </c>
      <c r="F38" s="88">
        <v>1133.5999999999999</v>
      </c>
      <c r="G38" s="88">
        <v>1123.2</v>
      </c>
      <c r="H38" s="64">
        <f>20735.8+30930.8+201.8+1203.1</f>
        <v>53071.5</v>
      </c>
      <c r="I38" s="88">
        <v>10155.5</v>
      </c>
      <c r="J38" s="88">
        <v>14779</v>
      </c>
      <c r="K38" s="88">
        <f>146198.8+46.6</f>
        <v>146245.4</v>
      </c>
      <c r="L38" s="65">
        <f>215597.6</f>
        <v>215597.6</v>
      </c>
      <c r="M38" s="91">
        <v>11497.7</v>
      </c>
      <c r="N38" s="71">
        <f>-15.7+12542+174.6-16077.3-31.4-1123.2</f>
        <v>-4531</v>
      </c>
      <c r="O38" s="65">
        <f>57148-1203.1-20484.6-93.4-2447.3+100823.8</f>
        <v>133743.4</v>
      </c>
      <c r="P38" s="90">
        <f t="shared" ref="P38" si="12">SUM(B38:O38)</f>
        <v>1359037.6999999997</v>
      </c>
      <c r="Q38" s="87"/>
      <c r="R38" s="87"/>
      <c r="S38" s="87"/>
      <c r="T38" s="87"/>
    </row>
    <row r="39" spans="1:20" s="86" customFormat="1" x14ac:dyDescent="0.25">
      <c r="A39" s="100" t="s">
        <v>70</v>
      </c>
      <c r="B39" s="64">
        <f>359574.2+16123.3+11068.6+337</f>
        <v>387103.1</v>
      </c>
      <c r="C39" s="67">
        <f>242095.3+2990.9-123.9-181+14518</f>
        <v>259299.3</v>
      </c>
      <c r="D39" s="64">
        <f>130160.7+5593.6</f>
        <v>135754.29999999999</v>
      </c>
      <c r="E39" s="88">
        <v>4973.3</v>
      </c>
      <c r="F39" s="88">
        <v>2203.8000000000002</v>
      </c>
      <c r="G39" s="88">
        <v>20000</v>
      </c>
      <c r="H39" s="64">
        <f>8878.9+33407+181+1062.7</f>
        <v>43529.599999999999</v>
      </c>
      <c r="I39" s="88">
        <v>10359.799999999999</v>
      </c>
      <c r="J39" s="88">
        <v>13963.3</v>
      </c>
      <c r="K39" s="88">
        <f>139562.5</f>
        <v>139562.5</v>
      </c>
      <c r="L39" s="65">
        <f>215514.2</f>
        <v>215514.2</v>
      </c>
      <c r="M39" s="91">
        <v>19632</v>
      </c>
      <c r="N39" s="71">
        <f>-57.5+21011.6+123.9-8927.1-31.4-20000</f>
        <v>-7880.5</v>
      </c>
      <c r="O39" s="65">
        <f>56893.6-1062.7-16123.3-337-2990.9+102907.6</f>
        <v>139287.30000000002</v>
      </c>
      <c r="P39" s="90">
        <f t="shared" ref="P39" si="13">SUM(B39:O39)</f>
        <v>1383302.0000000002</v>
      </c>
      <c r="Q39" s="87"/>
      <c r="R39" s="87"/>
      <c r="S39" s="87"/>
      <c r="T39" s="87"/>
    </row>
    <row r="40" spans="1:20" s="86" customFormat="1" x14ac:dyDescent="0.25">
      <c r="A40" s="100" t="s">
        <v>71</v>
      </c>
      <c r="B40" s="64">
        <f>381577.4+13479+10390.8+239.3</f>
        <v>405686.5</v>
      </c>
      <c r="C40" s="67">
        <f>243192.9+5513-121.6-164.5+15110.1</f>
        <v>263529.89999999997</v>
      </c>
      <c r="D40" s="64">
        <f>135497.7+5475.7</f>
        <v>140973.40000000002</v>
      </c>
      <c r="E40" s="88">
        <v>4632.1000000000004</v>
      </c>
      <c r="F40" s="88">
        <v>2466.6999999999998</v>
      </c>
      <c r="G40" s="88" t="s">
        <v>41</v>
      </c>
      <c r="H40" s="64">
        <f>6180+30685.3+164.5+1155.5</f>
        <v>38185.300000000003</v>
      </c>
      <c r="I40" s="88">
        <v>10291.799999999999</v>
      </c>
      <c r="J40" s="88">
        <v>8875.2999999999993</v>
      </c>
      <c r="K40" s="88">
        <v>135266.6</v>
      </c>
      <c r="L40" s="65">
        <v>215438.7</v>
      </c>
      <c r="M40" s="91">
        <v>26685.3</v>
      </c>
      <c r="N40" s="71">
        <f>435.2+7362.4+121.6-9650-31.4</f>
        <v>-1762.2000000000003</v>
      </c>
      <c r="O40" s="65">
        <f>59361.7-1155.5-13479-239.3-5513+110801.3</f>
        <v>149776.20000000001</v>
      </c>
      <c r="P40" s="90">
        <f t="shared" ref="P40" si="14">SUM(B40:O40)</f>
        <v>1400045.6</v>
      </c>
      <c r="Q40" s="87"/>
      <c r="R40" s="87"/>
      <c r="S40" s="87"/>
      <c r="T40" s="87"/>
    </row>
    <row r="41" spans="1:20" s="86" customFormat="1" x14ac:dyDescent="0.25">
      <c r="A41" s="100" t="s">
        <v>72</v>
      </c>
      <c r="B41" s="64">
        <f>373807+22771.9+10174.2+110.3</f>
        <v>406863.4</v>
      </c>
      <c r="C41" s="67">
        <f>245240.5+26818.7</f>
        <v>272059.2</v>
      </c>
      <c r="D41" s="102">
        <f>119702.6+15407.2+1256.3+1009.2+61.9</f>
        <v>137437.20000000001</v>
      </c>
      <c r="E41" s="88">
        <v>5303.8</v>
      </c>
      <c r="F41" s="88">
        <v>8529.9</v>
      </c>
      <c r="G41" s="88">
        <v>19805</v>
      </c>
      <c r="H41" s="64">
        <f>5380.5+41376+5189.6</f>
        <v>51946.1</v>
      </c>
      <c r="I41" s="88">
        <v>9009.9</v>
      </c>
      <c r="J41" s="88">
        <v>6801.5</v>
      </c>
      <c r="K41" s="88">
        <v>150034</v>
      </c>
      <c r="L41" s="65">
        <v>213505.6</v>
      </c>
      <c r="M41" s="91">
        <v>18037.599999999999</v>
      </c>
      <c r="N41" s="71">
        <f>115.9+25522.9-11774.8-31.4-19805</f>
        <v>-5972.399999999996</v>
      </c>
      <c r="O41" s="102">
        <f>39001-5189.6-10174.2+124538.7+5.7</f>
        <v>148181.6</v>
      </c>
      <c r="P41" s="90">
        <f t="shared" ref="P41" si="15">SUM(B41:O41)</f>
        <v>1441542.4000000004</v>
      </c>
      <c r="Q41" s="87"/>
      <c r="R41" s="87"/>
      <c r="S41" s="87"/>
      <c r="T41" s="87"/>
    </row>
    <row r="42" spans="1:20" s="86" customFormat="1" x14ac:dyDescent="0.25">
      <c r="A42" s="100"/>
      <c r="B42" s="64"/>
      <c r="C42" s="67"/>
      <c r="D42" s="64"/>
      <c r="E42" s="88"/>
      <c r="F42" s="88"/>
      <c r="G42" s="88"/>
      <c r="H42" s="64"/>
      <c r="I42" s="88"/>
      <c r="J42" s="88"/>
      <c r="K42" s="88"/>
      <c r="L42" s="65"/>
      <c r="M42" s="91"/>
      <c r="N42" s="71"/>
      <c r="O42" s="65"/>
      <c r="P42" s="90"/>
      <c r="Q42" s="87"/>
      <c r="R42" s="87"/>
      <c r="S42" s="87"/>
      <c r="T42" s="87"/>
    </row>
    <row r="43" spans="1:20" s="86" customFormat="1" x14ac:dyDescent="0.25">
      <c r="A43" s="112" t="s">
        <v>108</v>
      </c>
      <c r="B43" s="64">
        <f>367081.6+17520.6+11839.4+110.9</f>
        <v>396552.5</v>
      </c>
      <c r="C43" s="67">
        <f>246211+29819</f>
        <v>276030</v>
      </c>
      <c r="D43" s="102">
        <f>100293.5+18036.7+1303.6+64.9</f>
        <v>119698.7</v>
      </c>
      <c r="E43" s="105">
        <v>5382</v>
      </c>
      <c r="F43" s="105">
        <v>8565.2000000000007</v>
      </c>
      <c r="G43" s="105">
        <v>71864.5</v>
      </c>
      <c r="H43" s="64">
        <f>11560.7+39707.5+5336.8</f>
        <v>56605</v>
      </c>
      <c r="I43" s="105">
        <v>9451</v>
      </c>
      <c r="J43" s="105">
        <v>7517.2</v>
      </c>
      <c r="K43" s="105">
        <v>148879.5</v>
      </c>
      <c r="L43" s="65">
        <v>222189.4</v>
      </c>
      <c r="M43" s="107">
        <v>11870.4</v>
      </c>
      <c r="N43" s="71">
        <f>-79.2+74970.4-9610.4-31.4-71864.5</f>
        <v>-6615.1000000000058</v>
      </c>
      <c r="O43" s="102">
        <f>43047.9-5336.8-11839.4+132155+1311.1</f>
        <v>159337.80000000002</v>
      </c>
      <c r="P43" s="106">
        <f t="shared" ref="P43" si="16">SUM(B43:O43)</f>
        <v>1487328.0999999996</v>
      </c>
      <c r="Q43" s="104"/>
      <c r="R43" s="104"/>
      <c r="S43" s="104"/>
      <c r="T43" s="104"/>
    </row>
    <row r="44" spans="1:20" s="86" customFormat="1" x14ac:dyDescent="0.25">
      <c r="A44" s="100" t="s">
        <v>70</v>
      </c>
      <c r="B44" s="64">
        <f>368985.6+33899.7+11935.4+111</f>
        <v>414931.7</v>
      </c>
      <c r="C44" s="67">
        <f>248133.3+21477</f>
        <v>269610.3</v>
      </c>
      <c r="D44" s="102">
        <f>98237.6+15650.9+1446.4+64.2</f>
        <v>115399.09999999999</v>
      </c>
      <c r="E44" s="105">
        <v>1924.6</v>
      </c>
      <c r="F44" s="105">
        <v>8610.4</v>
      </c>
      <c r="G44" s="105">
        <v>101025.7</v>
      </c>
      <c r="H44" s="64">
        <f>5212.8+36475.7+5996.9</f>
        <v>47685.4</v>
      </c>
      <c r="I44" s="105">
        <v>17003.599999999999</v>
      </c>
      <c r="J44" s="105">
        <v>2654.6</v>
      </c>
      <c r="K44" s="105">
        <v>143107</v>
      </c>
      <c r="L44" s="106">
        <v>224810.5</v>
      </c>
      <c r="M44" s="107">
        <v>17493.3</v>
      </c>
      <c r="N44" s="71">
        <f>-104.6+110653.1-10810-31.4-101025.7-4999.8</f>
        <v>-6318.3999999999915</v>
      </c>
      <c r="O44" s="102">
        <f>57692.3-5996.9-11935.4+140436.6+1787.7</f>
        <v>181984.30000000002</v>
      </c>
      <c r="P44" s="106">
        <f>SUM(B44:O44)</f>
        <v>1539922.1</v>
      </c>
      <c r="Q44" s="104"/>
      <c r="R44" s="104"/>
      <c r="S44" s="104"/>
      <c r="T44" s="104"/>
    </row>
    <row r="45" spans="1:20" hidden="1" x14ac:dyDescent="0.25">
      <c r="A45" s="72" t="s">
        <v>52</v>
      </c>
      <c r="B45" s="55">
        <v>147133.20000000001</v>
      </c>
      <c r="C45" s="68">
        <v>85917.499999999985</v>
      </c>
      <c r="D45" s="53">
        <v>43196.1</v>
      </c>
      <c r="E45" s="68">
        <v>644.9</v>
      </c>
      <c r="F45" s="68">
        <v>44</v>
      </c>
      <c r="G45" s="68">
        <v>1804</v>
      </c>
      <c r="H45" s="68">
        <v>8605.0999999999985</v>
      </c>
      <c r="I45" s="68">
        <v>6646.2999999999993</v>
      </c>
      <c r="J45" s="68">
        <v>12638.900000000001</v>
      </c>
      <c r="K45" s="68">
        <v>23113.4</v>
      </c>
      <c r="L45" s="49">
        <f>78188.9-45364</f>
        <v>32824.899999999994</v>
      </c>
      <c r="M45" s="70">
        <v>14695.8</v>
      </c>
      <c r="N45" s="51">
        <v>-475.59999999999997</v>
      </c>
      <c r="O45" s="49">
        <f>13618.2+45364</f>
        <v>58982.2</v>
      </c>
      <c r="P45" s="69">
        <f t="shared" ref="P45:P86" si="17">SUM(B45:O45)</f>
        <v>435770.70000000007</v>
      </c>
      <c r="Q45" s="83"/>
      <c r="R45" s="17"/>
      <c r="S45" s="66"/>
      <c r="T45" s="66"/>
    </row>
    <row r="46" spans="1:20" hidden="1" x14ac:dyDescent="0.25">
      <c r="A46" s="72" t="s">
        <v>88</v>
      </c>
      <c r="B46" s="55">
        <v>146632.79999999993</v>
      </c>
      <c r="C46" s="68">
        <v>88840.799999999988</v>
      </c>
      <c r="D46" s="53">
        <v>51628.89999999998</v>
      </c>
      <c r="E46" s="68">
        <v>1226.8999999999999</v>
      </c>
      <c r="F46" s="68">
        <v>294</v>
      </c>
      <c r="G46" s="68">
        <v>1000</v>
      </c>
      <c r="H46" s="68">
        <v>8390.2000000000007</v>
      </c>
      <c r="I46" s="68">
        <v>5328.1</v>
      </c>
      <c r="J46" s="68">
        <v>13198.7</v>
      </c>
      <c r="K46" s="68">
        <v>21733.699999999997</v>
      </c>
      <c r="L46" s="49">
        <f>78086.5-43265.1</f>
        <v>34821.4</v>
      </c>
      <c r="M46" s="70">
        <v>14327.099999999999</v>
      </c>
      <c r="N46" s="51">
        <v>-118.10000000000002</v>
      </c>
      <c r="O46" s="49">
        <f>15892.8+43265.1</f>
        <v>59157.899999999994</v>
      </c>
      <c r="P46" s="69">
        <f t="shared" si="17"/>
        <v>446462.39999999991</v>
      </c>
      <c r="Q46" s="83"/>
      <c r="R46" s="17"/>
      <c r="S46" s="66"/>
      <c r="T46" s="66"/>
    </row>
    <row r="47" spans="1:20" hidden="1" x14ac:dyDescent="0.25">
      <c r="A47" s="100" t="s">
        <v>89</v>
      </c>
      <c r="B47" s="55">
        <v>158956.1</v>
      </c>
      <c r="C47" s="68">
        <v>88787.5</v>
      </c>
      <c r="D47" s="53">
        <v>59399.799999999988</v>
      </c>
      <c r="E47" s="68">
        <v>798.5</v>
      </c>
      <c r="F47" s="68">
        <v>294</v>
      </c>
      <c r="G47" s="68">
        <v>1000</v>
      </c>
      <c r="H47" s="68">
        <v>8187.2000000000007</v>
      </c>
      <c r="I47" s="68">
        <v>5997.5</v>
      </c>
      <c r="J47" s="68">
        <v>11842.8</v>
      </c>
      <c r="K47" s="68">
        <v>27821.300000000003</v>
      </c>
      <c r="L47" s="49">
        <f>79545.8-44202.7</f>
        <v>35343.100000000006</v>
      </c>
      <c r="M47" s="70">
        <v>14042.7</v>
      </c>
      <c r="N47" s="51">
        <v>88.30000000000004</v>
      </c>
      <c r="O47" s="49">
        <f>13704.3+44202.7</f>
        <v>57907</v>
      </c>
      <c r="P47" s="69">
        <f t="shared" si="17"/>
        <v>470465.80000000005</v>
      </c>
      <c r="Q47" s="83"/>
      <c r="R47" s="17"/>
      <c r="S47" s="66"/>
      <c r="T47" s="66"/>
    </row>
    <row r="48" spans="1:20" hidden="1" x14ac:dyDescent="0.25">
      <c r="A48" s="100" t="s">
        <v>90</v>
      </c>
      <c r="B48" s="55">
        <v>151552.40000000002</v>
      </c>
      <c r="C48" s="68">
        <v>88117.100000000035</v>
      </c>
      <c r="D48" s="53">
        <v>54265.899999999994</v>
      </c>
      <c r="E48" s="68">
        <v>944.89999999999986</v>
      </c>
      <c r="F48" s="68">
        <v>294</v>
      </c>
      <c r="G48" s="68">
        <v>1000</v>
      </c>
      <c r="H48" s="68">
        <v>10565.8</v>
      </c>
      <c r="I48" s="68">
        <v>6503.8</v>
      </c>
      <c r="J48" s="68">
        <v>12215.2</v>
      </c>
      <c r="K48" s="68">
        <v>25249.1</v>
      </c>
      <c r="L48" s="49">
        <f>81909.7-44889.3</f>
        <v>37020.399999999994</v>
      </c>
      <c r="M48" s="70">
        <v>8965.7000000000007</v>
      </c>
      <c r="N48" s="51">
        <v>183.80000000000004</v>
      </c>
      <c r="O48" s="49">
        <f>20169.5+44889.3</f>
        <v>65058.8</v>
      </c>
      <c r="P48" s="69">
        <f t="shared" si="17"/>
        <v>461936.89999999997</v>
      </c>
      <c r="Q48" s="83"/>
      <c r="R48" s="17"/>
      <c r="S48" s="66"/>
      <c r="T48" s="66"/>
    </row>
    <row r="49" spans="1:23" hidden="1" x14ac:dyDescent="0.25">
      <c r="A49" s="100" t="s">
        <v>91</v>
      </c>
      <c r="B49" s="55">
        <v>147094.6</v>
      </c>
      <c r="C49" s="68">
        <v>89354.3</v>
      </c>
      <c r="D49" s="53">
        <v>51391.599999999984</v>
      </c>
      <c r="E49" s="68">
        <v>872.80000000000007</v>
      </c>
      <c r="F49" s="68">
        <v>294</v>
      </c>
      <c r="G49" s="39" t="s">
        <v>41</v>
      </c>
      <c r="H49" s="68">
        <v>12115.5</v>
      </c>
      <c r="I49" s="68">
        <v>4997.4000000000005</v>
      </c>
      <c r="J49" s="68">
        <v>16610.400000000001</v>
      </c>
      <c r="K49" s="68">
        <v>24010.900000000005</v>
      </c>
      <c r="L49" s="49">
        <f>82776.2-45119.4</f>
        <v>37656.799999999996</v>
      </c>
      <c r="M49" s="70">
        <v>10311.200000000001</v>
      </c>
      <c r="N49" s="51">
        <v>-228.89999999999964</v>
      </c>
      <c r="O49" s="49">
        <f>18225.8+45119.4</f>
        <v>63345.2</v>
      </c>
      <c r="P49" s="69">
        <f t="shared" si="17"/>
        <v>457825.80000000005</v>
      </c>
      <c r="Q49" s="83"/>
      <c r="R49" s="17"/>
      <c r="S49" s="66"/>
      <c r="T49" s="66"/>
    </row>
    <row r="50" spans="1:23" hidden="1" x14ac:dyDescent="0.25">
      <c r="A50" s="100" t="s">
        <v>92</v>
      </c>
      <c r="B50" s="55">
        <v>152474.20000000001</v>
      </c>
      <c r="C50" s="68">
        <v>86596.6</v>
      </c>
      <c r="D50" s="53">
        <v>53258.199999999983</v>
      </c>
      <c r="E50" s="68">
        <v>1239</v>
      </c>
      <c r="F50" s="68">
        <v>250</v>
      </c>
      <c r="G50" s="68">
        <v>1474.9</v>
      </c>
      <c r="H50" s="68">
        <v>12477.300000000003</v>
      </c>
      <c r="I50" s="68">
        <v>5614.9</v>
      </c>
      <c r="J50" s="68">
        <v>15336.5</v>
      </c>
      <c r="K50" s="68">
        <v>28737.400000000005</v>
      </c>
      <c r="L50" s="49">
        <f>83065.6-45410.1</f>
        <v>37655.500000000007</v>
      </c>
      <c r="M50" s="70">
        <v>12540</v>
      </c>
      <c r="N50" s="51">
        <v>518.50000000000023</v>
      </c>
      <c r="O50" s="49">
        <f>22083.9+45410.1</f>
        <v>67494</v>
      </c>
      <c r="P50" s="69">
        <f t="shared" si="17"/>
        <v>475667.00000000006</v>
      </c>
      <c r="Q50" s="83"/>
      <c r="R50" s="17"/>
      <c r="S50" s="66"/>
      <c r="T50" s="66"/>
    </row>
    <row r="51" spans="1:23" hidden="1" x14ac:dyDescent="0.25">
      <c r="A51" s="100" t="s">
        <v>93</v>
      </c>
      <c r="B51" s="55">
        <v>157957.39999999997</v>
      </c>
      <c r="C51" s="68">
        <v>90365.2</v>
      </c>
      <c r="D51" s="53">
        <v>53263.299999999959</v>
      </c>
      <c r="E51" s="68">
        <v>635.6</v>
      </c>
      <c r="F51" s="68">
        <v>844</v>
      </c>
      <c r="G51" s="68">
        <v>2806.3</v>
      </c>
      <c r="H51" s="68">
        <v>12129.999999999996</v>
      </c>
      <c r="I51" s="68">
        <v>5507.2999999999993</v>
      </c>
      <c r="J51" s="68">
        <v>15168.7</v>
      </c>
      <c r="K51" s="68">
        <v>28529.1</v>
      </c>
      <c r="L51" s="49">
        <f>85342.685-46220.7</f>
        <v>39121.985000000001</v>
      </c>
      <c r="M51" s="70">
        <v>13785.399999999998</v>
      </c>
      <c r="N51" s="51">
        <v>-33.999999999999993</v>
      </c>
      <c r="O51" s="49">
        <f>19822.8+46220.7</f>
        <v>66043.5</v>
      </c>
      <c r="P51" s="69">
        <f t="shared" si="17"/>
        <v>486123.78499999986</v>
      </c>
      <c r="Q51" s="83"/>
      <c r="R51" s="17"/>
      <c r="S51" s="66"/>
      <c r="T51" s="66"/>
    </row>
    <row r="52" spans="1:23" hidden="1" x14ac:dyDescent="0.25">
      <c r="A52" s="100" t="s">
        <v>94</v>
      </c>
      <c r="B52" s="55">
        <v>167207</v>
      </c>
      <c r="C52" s="68">
        <v>91903.89999999998</v>
      </c>
      <c r="D52" s="53">
        <v>58606.800000000054</v>
      </c>
      <c r="E52" s="68">
        <v>1006.6</v>
      </c>
      <c r="F52" s="68">
        <v>900</v>
      </c>
      <c r="G52" s="68">
        <v>6000</v>
      </c>
      <c r="H52" s="68">
        <v>14529.100000000002</v>
      </c>
      <c r="I52" s="68">
        <v>4611.7</v>
      </c>
      <c r="J52" s="68">
        <v>14884.099999999999</v>
      </c>
      <c r="K52" s="68">
        <v>27114.2</v>
      </c>
      <c r="L52" s="49">
        <f>85257.7-46140.4</f>
        <v>39117.299999999996</v>
      </c>
      <c r="M52" s="70">
        <v>15193.600000000002</v>
      </c>
      <c r="N52" s="51">
        <v>-1619.7999999999997</v>
      </c>
      <c r="O52" s="49">
        <f>20243.9+46140.4</f>
        <v>66384.3</v>
      </c>
      <c r="P52" s="69">
        <f t="shared" si="17"/>
        <v>505838.79999999993</v>
      </c>
      <c r="Q52" s="83"/>
      <c r="R52" s="17"/>
      <c r="S52" s="66"/>
      <c r="T52" s="66"/>
    </row>
    <row r="53" spans="1:23" hidden="1" x14ac:dyDescent="0.25">
      <c r="A53" s="100" t="s">
        <v>95</v>
      </c>
      <c r="B53" s="55">
        <v>172053.90000000002</v>
      </c>
      <c r="C53" s="68">
        <v>93967.900000000009</v>
      </c>
      <c r="D53" s="53">
        <v>63151.69999999999</v>
      </c>
      <c r="E53" s="68">
        <v>383.4</v>
      </c>
      <c r="F53" s="68">
        <v>550</v>
      </c>
      <c r="G53" s="68">
        <v>10622.1</v>
      </c>
      <c r="H53" s="68">
        <v>12500.700000000004</v>
      </c>
      <c r="I53" s="68">
        <v>4075.7</v>
      </c>
      <c r="J53" s="68">
        <v>32357.599999999999</v>
      </c>
      <c r="K53" s="68">
        <v>27827.299999999996</v>
      </c>
      <c r="L53" s="49">
        <f>85440.5-46326.9</f>
        <v>39113.599999999999</v>
      </c>
      <c r="M53" s="70">
        <v>17031</v>
      </c>
      <c r="N53" s="51">
        <v>-179.09999999999994</v>
      </c>
      <c r="O53" s="49">
        <f>22846.6+46326.9</f>
        <v>69173.5</v>
      </c>
      <c r="P53" s="69">
        <f t="shared" si="17"/>
        <v>542629.30000000005</v>
      </c>
      <c r="Q53" s="83"/>
      <c r="R53" s="17"/>
      <c r="S53" s="66"/>
      <c r="T53" s="66"/>
    </row>
    <row r="54" spans="1:23" hidden="1" x14ac:dyDescent="0.25">
      <c r="A54" s="100" t="s">
        <v>96</v>
      </c>
      <c r="B54" s="55">
        <v>175966.6</v>
      </c>
      <c r="C54" s="68">
        <v>95961.4</v>
      </c>
      <c r="D54" s="53">
        <v>59571.199999999997</v>
      </c>
      <c r="E54" s="68">
        <v>1511.6999999999998</v>
      </c>
      <c r="F54" s="68">
        <v>550</v>
      </c>
      <c r="G54" s="68">
        <v>5778.8</v>
      </c>
      <c r="H54" s="68">
        <v>11713.700000000004</v>
      </c>
      <c r="I54" s="68">
        <v>4883.1000000000004</v>
      </c>
      <c r="J54" s="68">
        <v>29204</v>
      </c>
      <c r="K54" s="68">
        <v>27742.3</v>
      </c>
      <c r="L54" s="49">
        <f>86077.8-46968.7</f>
        <v>39109.100000000006</v>
      </c>
      <c r="M54" s="70">
        <v>19111.300000000003</v>
      </c>
      <c r="N54" s="51">
        <v>70.899999999999935</v>
      </c>
      <c r="O54" s="49">
        <f>26170+46968.7</f>
        <v>73138.7</v>
      </c>
      <c r="P54" s="69">
        <f t="shared" si="17"/>
        <v>544312.80000000005</v>
      </c>
      <c r="Q54" s="83"/>
      <c r="R54" s="17"/>
      <c r="S54" s="66"/>
      <c r="T54" s="66"/>
    </row>
    <row r="55" spans="1:23" hidden="1" x14ac:dyDescent="0.25">
      <c r="A55" s="100" t="s">
        <v>97</v>
      </c>
      <c r="B55" s="55">
        <v>177066</v>
      </c>
      <c r="C55" s="68">
        <v>98628.900000000009</v>
      </c>
      <c r="D55" s="53">
        <v>63066.3</v>
      </c>
      <c r="E55" s="68">
        <v>606.30000000000007</v>
      </c>
      <c r="F55" s="68">
        <v>550</v>
      </c>
      <c r="G55" s="68">
        <v>5508.8</v>
      </c>
      <c r="H55" s="68">
        <v>12718.699999999997</v>
      </c>
      <c r="I55" s="68">
        <v>5170.8999999999996</v>
      </c>
      <c r="J55" s="68">
        <v>22880.800000000003</v>
      </c>
      <c r="K55" s="68">
        <v>29356.899999999998</v>
      </c>
      <c r="L55" s="49">
        <f>86086-46976.3</f>
        <v>39109.699999999997</v>
      </c>
      <c r="M55" s="70">
        <v>20951.600000000006</v>
      </c>
      <c r="N55" s="51">
        <v>151.6</v>
      </c>
      <c r="O55" s="49">
        <f>26587.1+46976.3</f>
        <v>73563.399999999994</v>
      </c>
      <c r="P55" s="69">
        <f t="shared" si="17"/>
        <v>549329.9</v>
      </c>
      <c r="Q55" s="83"/>
      <c r="R55" s="17"/>
      <c r="S55" s="66"/>
      <c r="T55" s="66"/>
    </row>
    <row r="56" spans="1:23" hidden="1" x14ac:dyDescent="0.25">
      <c r="A56" s="100" t="s">
        <v>98</v>
      </c>
      <c r="B56" s="55">
        <v>191381.50000000003</v>
      </c>
      <c r="C56" s="68">
        <v>99286.999999999985</v>
      </c>
      <c r="D56" s="53">
        <v>62928.999999999956</v>
      </c>
      <c r="E56" s="68">
        <v>603.5</v>
      </c>
      <c r="F56" s="68">
        <v>550</v>
      </c>
      <c r="G56" s="39" t="s">
        <v>41</v>
      </c>
      <c r="H56" s="68">
        <v>14305</v>
      </c>
      <c r="I56" s="68">
        <v>5052.6000000000004</v>
      </c>
      <c r="J56" s="68">
        <v>24400</v>
      </c>
      <c r="K56" s="68">
        <v>30009.400000000009</v>
      </c>
      <c r="L56" s="49">
        <f>87503.4-45586.6</f>
        <v>41916.799999999996</v>
      </c>
      <c r="M56" s="70">
        <v>18433.2</v>
      </c>
      <c r="N56" s="51">
        <v>311.60000000000002</v>
      </c>
      <c r="O56" s="49">
        <f>27363.4+45586.6</f>
        <v>72950</v>
      </c>
      <c r="P56" s="69">
        <f t="shared" si="17"/>
        <v>562129.59999999986</v>
      </c>
      <c r="Q56" s="83"/>
      <c r="R56" s="17"/>
      <c r="S56" s="66"/>
      <c r="T56" s="66"/>
    </row>
    <row r="57" spans="1:23" hidden="1" x14ac:dyDescent="0.25">
      <c r="A57" s="60"/>
      <c r="B57" s="55"/>
      <c r="C57" s="38"/>
      <c r="D57" s="53"/>
      <c r="E57" s="38"/>
      <c r="F57" s="38"/>
      <c r="G57" s="39"/>
      <c r="H57" s="38"/>
      <c r="I57" s="38"/>
      <c r="J57" s="38"/>
      <c r="K57" s="38"/>
      <c r="L57" s="49"/>
      <c r="M57" s="41"/>
      <c r="N57" s="51"/>
      <c r="O57" s="49"/>
      <c r="P57" s="40"/>
      <c r="Q57" s="23"/>
      <c r="R57" s="23"/>
      <c r="S57" s="23"/>
      <c r="T57" s="23"/>
    </row>
    <row r="58" spans="1:23" hidden="1" x14ac:dyDescent="0.25">
      <c r="A58" s="60" t="s">
        <v>53</v>
      </c>
      <c r="B58" s="55">
        <v>189029.30000000005</v>
      </c>
      <c r="C58" s="38">
        <v>98272.999999999985</v>
      </c>
      <c r="D58" s="53">
        <v>63087.999999999985</v>
      </c>
      <c r="E58" s="38">
        <v>822.1</v>
      </c>
      <c r="F58" s="38">
        <v>250</v>
      </c>
      <c r="G58" s="39" t="s">
        <v>41</v>
      </c>
      <c r="H58" s="38">
        <v>16240.700000000004</v>
      </c>
      <c r="I58" s="38">
        <v>5416.2999999999993</v>
      </c>
      <c r="J58" s="38">
        <v>20570.199999999997</v>
      </c>
      <c r="K58" s="38">
        <v>27662.7</v>
      </c>
      <c r="L58" s="49">
        <f>87989.5-46077.2</f>
        <v>41912.300000000003</v>
      </c>
      <c r="M58" s="70">
        <v>20037.8</v>
      </c>
      <c r="N58" s="51">
        <v>-425.29999999999995</v>
      </c>
      <c r="O58" s="49">
        <f>26185.3+46077.2</f>
        <v>72262.5</v>
      </c>
      <c r="P58" s="40">
        <f t="shared" si="17"/>
        <v>555139.60000000009</v>
      </c>
      <c r="Q58" s="23"/>
      <c r="R58" s="23"/>
      <c r="S58" s="23"/>
      <c r="T58" s="23"/>
    </row>
    <row r="59" spans="1:23" hidden="1" x14ac:dyDescent="0.25">
      <c r="A59" s="60" t="s">
        <v>99</v>
      </c>
      <c r="B59" s="55">
        <v>185013.2</v>
      </c>
      <c r="C59" s="38">
        <v>100057.7</v>
      </c>
      <c r="D59" s="53">
        <v>63707</v>
      </c>
      <c r="E59" s="38">
        <v>513.09999999999991</v>
      </c>
      <c r="F59" s="38">
        <v>250</v>
      </c>
      <c r="G59" s="39" t="s">
        <v>41</v>
      </c>
      <c r="H59" s="38">
        <v>18072.8</v>
      </c>
      <c r="I59" s="38">
        <v>5613.6</v>
      </c>
      <c r="J59" s="38">
        <v>20922.100000000002</v>
      </c>
      <c r="K59" s="38">
        <v>27916.6</v>
      </c>
      <c r="L59" s="49">
        <f>87793.3-45885.1</f>
        <v>41908.200000000004</v>
      </c>
      <c r="M59" s="70">
        <v>21148.7</v>
      </c>
      <c r="N59" s="51">
        <v>297.3</v>
      </c>
      <c r="O59" s="49">
        <f>26307.3+45885.1</f>
        <v>72192.399999999994</v>
      </c>
      <c r="P59" s="40">
        <f t="shared" si="17"/>
        <v>557612.69999999995</v>
      </c>
      <c r="Q59" s="23"/>
      <c r="R59" s="23"/>
      <c r="S59" s="23"/>
      <c r="T59" s="23"/>
    </row>
    <row r="60" spans="1:23" hidden="1" x14ac:dyDescent="0.25">
      <c r="A60" s="100" t="s">
        <v>100</v>
      </c>
      <c r="B60" s="55">
        <v>193487.00000000003</v>
      </c>
      <c r="C60" s="38">
        <v>99341.599999999991</v>
      </c>
      <c r="D60" s="53">
        <v>67743</v>
      </c>
      <c r="E60" s="38">
        <v>596.49999999999989</v>
      </c>
      <c r="F60" s="38">
        <v>650</v>
      </c>
      <c r="G60" s="39" t="s">
        <v>41</v>
      </c>
      <c r="H60" s="38">
        <v>17668.999999999993</v>
      </c>
      <c r="I60" s="38">
        <v>6239.7999999999993</v>
      </c>
      <c r="J60" s="38">
        <v>17902.900000000001</v>
      </c>
      <c r="K60" s="38">
        <v>28111.9</v>
      </c>
      <c r="L60" s="49">
        <f>95444.8-46286</f>
        <v>49158.8</v>
      </c>
      <c r="M60" s="70">
        <v>10940.9</v>
      </c>
      <c r="N60" s="51">
        <v>704.4</v>
      </c>
      <c r="O60" s="49">
        <f>21767.4+46286</f>
        <v>68053.399999999994</v>
      </c>
      <c r="P60" s="40">
        <f t="shared" si="17"/>
        <v>560599.20000000007</v>
      </c>
      <c r="Q60" s="23"/>
      <c r="R60" s="23"/>
      <c r="S60" s="23"/>
      <c r="T60" s="23"/>
    </row>
    <row r="61" spans="1:23" hidden="1" x14ac:dyDescent="0.25">
      <c r="A61" s="100" t="s">
        <v>34</v>
      </c>
      <c r="B61" s="55">
        <v>188760.3</v>
      </c>
      <c r="C61" s="38">
        <v>102392.59999999999</v>
      </c>
      <c r="D61" s="53">
        <v>69117.299999999974</v>
      </c>
      <c r="E61" s="38">
        <v>473.50000000000006</v>
      </c>
      <c r="F61" s="38">
        <v>250</v>
      </c>
      <c r="G61" s="39" t="s">
        <v>41</v>
      </c>
      <c r="H61" s="38">
        <v>17006.8</v>
      </c>
      <c r="I61" s="38">
        <v>5937.3</v>
      </c>
      <c r="J61" s="38">
        <v>16534.8</v>
      </c>
      <c r="K61" s="38">
        <v>36224.19999999999</v>
      </c>
      <c r="L61" s="49">
        <f>94605-45444.9</f>
        <v>49160.1</v>
      </c>
      <c r="M61" s="70">
        <v>13386.5</v>
      </c>
      <c r="N61" s="51">
        <v>208.7000000000009</v>
      </c>
      <c r="O61" s="49">
        <f>22670+45444.9</f>
        <v>68114.899999999994</v>
      </c>
      <c r="P61" s="40">
        <f t="shared" si="17"/>
        <v>567566.99999999988</v>
      </c>
      <c r="Q61" s="23"/>
      <c r="R61" s="23"/>
      <c r="S61" s="23"/>
      <c r="T61" s="23"/>
    </row>
    <row r="62" spans="1:23" hidden="1" x14ac:dyDescent="0.25">
      <c r="A62" s="100" t="s">
        <v>35</v>
      </c>
      <c r="B62" s="55">
        <v>187407.80000000005</v>
      </c>
      <c r="C62" s="38">
        <v>105164.2</v>
      </c>
      <c r="D62" s="53">
        <v>68803.400000000023</v>
      </c>
      <c r="E62" s="38">
        <v>585.6</v>
      </c>
      <c r="F62" s="38">
        <v>250</v>
      </c>
      <c r="G62" s="39" t="s">
        <v>41</v>
      </c>
      <c r="H62" s="38">
        <v>20411.300000000003</v>
      </c>
      <c r="I62" s="38">
        <v>5181.6000000000004</v>
      </c>
      <c r="J62" s="38">
        <v>18313.5</v>
      </c>
      <c r="K62" s="38">
        <v>34014</v>
      </c>
      <c r="L62" s="49">
        <f>95521.4-44670.9</f>
        <v>50850.499999999993</v>
      </c>
      <c r="M62" s="70">
        <v>12562.6</v>
      </c>
      <c r="N62" s="51">
        <v>432.6</v>
      </c>
      <c r="O62" s="49">
        <f>25348.2+44670.9</f>
        <v>70019.100000000006</v>
      </c>
      <c r="P62" s="40">
        <f t="shared" si="17"/>
        <v>573996.19999999995</v>
      </c>
      <c r="Q62" s="23"/>
      <c r="R62" s="23"/>
      <c r="S62" s="23"/>
      <c r="T62" s="23"/>
    </row>
    <row r="63" spans="1:23" hidden="1" x14ac:dyDescent="0.25">
      <c r="A63" s="100" t="s">
        <v>36</v>
      </c>
      <c r="B63" s="55">
        <v>189677.49999999997</v>
      </c>
      <c r="C63" s="38">
        <v>106663.59999999998</v>
      </c>
      <c r="D63" s="53">
        <v>68982.700000000012</v>
      </c>
      <c r="E63" s="38">
        <v>509.40000000000003</v>
      </c>
      <c r="F63" s="38">
        <v>250</v>
      </c>
      <c r="G63" s="39" t="s">
        <v>41</v>
      </c>
      <c r="H63" s="38">
        <v>21121.899999999998</v>
      </c>
      <c r="I63" s="38">
        <v>7416.3</v>
      </c>
      <c r="J63" s="38">
        <v>16926.8</v>
      </c>
      <c r="K63" s="38">
        <v>37042.699999999997</v>
      </c>
      <c r="L63" s="49">
        <f>104517.3-44164.4</f>
        <v>60352.9</v>
      </c>
      <c r="M63" s="70">
        <v>15173.199999999999</v>
      </c>
      <c r="N63" s="51">
        <v>890.00000000000023</v>
      </c>
      <c r="O63" s="49">
        <f>22786.6+44164.4</f>
        <v>66951</v>
      </c>
      <c r="P63" s="40">
        <f t="shared" si="17"/>
        <v>591958.00000000012</v>
      </c>
      <c r="Q63" s="23"/>
      <c r="R63" s="23"/>
      <c r="S63" s="23"/>
      <c r="T63" s="23"/>
    </row>
    <row r="64" spans="1:23" s="43" customFormat="1" hidden="1" x14ac:dyDescent="0.25">
      <c r="A64" s="100" t="s">
        <v>37</v>
      </c>
      <c r="B64" s="56">
        <v>187572.40000000002</v>
      </c>
      <c r="C64" s="42">
        <v>107222.40000000001</v>
      </c>
      <c r="D64" s="54">
        <v>70338.299999999988</v>
      </c>
      <c r="E64" s="42">
        <v>397.7</v>
      </c>
      <c r="F64" s="42">
        <v>250</v>
      </c>
      <c r="G64" s="39" t="s">
        <v>41</v>
      </c>
      <c r="H64" s="42">
        <v>20394.200000000004</v>
      </c>
      <c r="I64" s="42">
        <v>7058.2</v>
      </c>
      <c r="J64" s="42">
        <v>16754</v>
      </c>
      <c r="K64" s="42">
        <v>31841.699999999997</v>
      </c>
      <c r="L64" s="49">
        <f>105794.9-44451.4</f>
        <v>61343.499999999993</v>
      </c>
      <c r="M64" s="70">
        <v>14673.1</v>
      </c>
      <c r="N64" s="51">
        <v>615.1000000000007</v>
      </c>
      <c r="O64" s="49">
        <f>22409.2+44451.4</f>
        <v>66860.600000000006</v>
      </c>
      <c r="P64" s="40">
        <f t="shared" si="17"/>
        <v>585321.20000000007</v>
      </c>
      <c r="Q64" s="23"/>
      <c r="R64" s="23"/>
      <c r="S64" s="23"/>
      <c r="T64" s="23"/>
      <c r="V64" s="6"/>
      <c r="W64" s="6"/>
    </row>
    <row r="65" spans="1:23" hidden="1" x14ac:dyDescent="0.25">
      <c r="A65" s="100" t="s">
        <v>38</v>
      </c>
      <c r="B65" s="55">
        <v>196651.80000000002</v>
      </c>
      <c r="C65" s="38">
        <v>105039.89999999998</v>
      </c>
      <c r="D65" s="53">
        <v>71610.799999999988</v>
      </c>
      <c r="E65" s="38">
        <v>571.1</v>
      </c>
      <c r="F65" s="38">
        <v>250</v>
      </c>
      <c r="G65" s="39" t="s">
        <v>41</v>
      </c>
      <c r="H65" s="38">
        <v>20792.5</v>
      </c>
      <c r="I65" s="38">
        <v>7525.7</v>
      </c>
      <c r="J65" s="38">
        <v>15730.4</v>
      </c>
      <c r="K65" s="38">
        <v>34910.100000000006</v>
      </c>
      <c r="L65" s="49">
        <f>107331.1-43279.4</f>
        <v>64051.700000000004</v>
      </c>
      <c r="M65" s="70">
        <v>16460.8</v>
      </c>
      <c r="N65" s="51">
        <v>434.9</v>
      </c>
      <c r="O65" s="49">
        <f>22134.4+43279.4</f>
        <v>65413.8</v>
      </c>
      <c r="P65" s="40">
        <f t="shared" si="17"/>
        <v>599443.50000000012</v>
      </c>
      <c r="Q65" s="23"/>
      <c r="R65" s="23"/>
      <c r="S65" s="23"/>
      <c r="T65" s="23"/>
    </row>
    <row r="66" spans="1:23" hidden="1" x14ac:dyDescent="0.25">
      <c r="A66" s="100" t="s">
        <v>39</v>
      </c>
      <c r="B66" s="55">
        <v>218751.30000000005</v>
      </c>
      <c r="C66" s="38">
        <v>101272.9</v>
      </c>
      <c r="D66" s="53">
        <v>70998.700000000012</v>
      </c>
      <c r="E66" s="38">
        <v>567.19999999999993</v>
      </c>
      <c r="F66" s="38">
        <v>250</v>
      </c>
      <c r="G66" s="39" t="s">
        <v>41</v>
      </c>
      <c r="H66" s="38">
        <v>21198.800000000003</v>
      </c>
      <c r="I66" s="38">
        <v>7648.5000000000009</v>
      </c>
      <c r="J66" s="38">
        <v>14750.699999999999</v>
      </c>
      <c r="K66" s="38">
        <v>37309.800000000003</v>
      </c>
      <c r="L66" s="49">
        <f>107646.3-43385</f>
        <v>64261.3</v>
      </c>
      <c r="M66" s="70">
        <v>18787.999999999996</v>
      </c>
      <c r="N66" s="51">
        <v>729.79999999999984</v>
      </c>
      <c r="O66" s="49">
        <f>23935.6+43385</f>
        <v>67320.600000000006</v>
      </c>
      <c r="P66" s="40">
        <f t="shared" si="17"/>
        <v>623847.60000000009</v>
      </c>
      <c r="Q66" s="23"/>
      <c r="R66" s="23"/>
      <c r="S66" s="23"/>
      <c r="T66" s="23"/>
    </row>
    <row r="67" spans="1:23" hidden="1" x14ac:dyDescent="0.25">
      <c r="A67" s="100" t="s">
        <v>40</v>
      </c>
      <c r="B67" s="55">
        <v>208587.40000000002</v>
      </c>
      <c r="C67" s="38">
        <v>110084.7</v>
      </c>
      <c r="D67" s="53">
        <v>78159.5</v>
      </c>
      <c r="E67" s="38">
        <v>937.19999999999993</v>
      </c>
      <c r="F67" s="38">
        <v>250</v>
      </c>
      <c r="G67" s="39" t="s">
        <v>41</v>
      </c>
      <c r="H67" s="38">
        <v>21230.6</v>
      </c>
      <c r="I67" s="38">
        <v>6992.2999999999993</v>
      </c>
      <c r="J67" s="38">
        <v>11770.199999999999</v>
      </c>
      <c r="K67" s="38">
        <v>37126.300000000003</v>
      </c>
      <c r="L67" s="49">
        <f>107609-43352</f>
        <v>64257</v>
      </c>
      <c r="M67" s="70">
        <v>20748.8</v>
      </c>
      <c r="N67" s="51">
        <v>-971.89999999999964</v>
      </c>
      <c r="O67" s="49">
        <f>26259.1+43352</f>
        <v>69611.100000000006</v>
      </c>
      <c r="P67" s="40">
        <f t="shared" si="17"/>
        <v>628783.19999999995</v>
      </c>
      <c r="Q67" s="23"/>
      <c r="R67" s="23"/>
      <c r="S67" s="23"/>
      <c r="T67" s="23"/>
    </row>
    <row r="68" spans="1:23" hidden="1" x14ac:dyDescent="0.25">
      <c r="A68" s="100" t="s">
        <v>47</v>
      </c>
      <c r="B68" s="55">
        <v>199910.80000000002</v>
      </c>
      <c r="C68" s="38">
        <v>115495.1</v>
      </c>
      <c r="D68" s="53">
        <v>78415.100000000006</v>
      </c>
      <c r="E68" s="38">
        <v>1000.5999999999999</v>
      </c>
      <c r="F68" s="38">
        <v>250</v>
      </c>
      <c r="G68" s="39" t="s">
        <v>41</v>
      </c>
      <c r="H68" s="38">
        <v>23258.600000000002</v>
      </c>
      <c r="I68" s="38">
        <v>9097.2000000000007</v>
      </c>
      <c r="J68" s="38">
        <v>21657.3</v>
      </c>
      <c r="K68" s="38">
        <v>37392.799999999996</v>
      </c>
      <c r="L68" s="49">
        <f>107568.2-43406.7</f>
        <v>64161.5</v>
      </c>
      <c r="M68" s="70">
        <v>22811.799999999996</v>
      </c>
      <c r="N68" s="51">
        <v>-1843.7999999999995</v>
      </c>
      <c r="O68" s="49">
        <f>27200.3+43406.7</f>
        <v>70607</v>
      </c>
      <c r="P68" s="40">
        <f t="shared" si="17"/>
        <v>642214</v>
      </c>
      <c r="Q68" s="23"/>
      <c r="R68" s="23"/>
      <c r="S68" s="23"/>
      <c r="T68" s="23"/>
    </row>
    <row r="69" spans="1:23" hidden="1" x14ac:dyDescent="0.25">
      <c r="A69" s="100" t="s">
        <v>48</v>
      </c>
      <c r="B69" s="55">
        <v>226504.30000000002</v>
      </c>
      <c r="C69" s="38">
        <v>116535.90000000001</v>
      </c>
      <c r="D69" s="53">
        <v>81175.299999999988</v>
      </c>
      <c r="E69" s="38">
        <v>1234.8999999999999</v>
      </c>
      <c r="F69" s="38">
        <v>400</v>
      </c>
      <c r="G69" s="39" t="s">
        <v>41</v>
      </c>
      <c r="H69" s="38">
        <v>23913.5</v>
      </c>
      <c r="I69" s="38">
        <v>8608.5999999999985</v>
      </c>
      <c r="J69" s="38">
        <v>33663.599999999999</v>
      </c>
      <c r="K69" s="38">
        <v>36237.599999999999</v>
      </c>
      <c r="L69" s="49">
        <f>111536.2-41841.2</f>
        <v>69695</v>
      </c>
      <c r="M69" s="70">
        <v>21190.100000000002</v>
      </c>
      <c r="N69" s="51">
        <v>1123.9000000000001</v>
      </c>
      <c r="O69" s="49">
        <f>27186.8+41841.2</f>
        <v>69028</v>
      </c>
      <c r="P69" s="40">
        <f t="shared" si="17"/>
        <v>689310.7</v>
      </c>
      <c r="Q69" s="23"/>
      <c r="R69" s="23"/>
      <c r="S69" s="23"/>
      <c r="T69" s="23"/>
    </row>
    <row r="70" spans="1:23" hidden="1" x14ac:dyDescent="0.25">
      <c r="A70" s="61"/>
      <c r="B70" s="55"/>
      <c r="C70" s="38"/>
      <c r="D70" s="53"/>
      <c r="E70" s="38"/>
      <c r="F70" s="38"/>
      <c r="G70" s="39"/>
      <c r="H70" s="38"/>
      <c r="I70" s="38"/>
      <c r="J70" s="38"/>
      <c r="K70" s="38"/>
      <c r="L70" s="49"/>
      <c r="M70" s="70"/>
      <c r="N70" s="51"/>
      <c r="O70" s="49"/>
      <c r="P70" s="40"/>
      <c r="Q70" s="23"/>
      <c r="R70" s="23"/>
      <c r="S70" s="23"/>
      <c r="T70" s="23"/>
    </row>
    <row r="71" spans="1:23" hidden="1" x14ac:dyDescent="0.25">
      <c r="A71" s="60" t="s">
        <v>54</v>
      </c>
      <c r="B71" s="55">
        <v>226785.69999999995</v>
      </c>
      <c r="C71" s="38">
        <v>115031.49999999999</v>
      </c>
      <c r="D71" s="53">
        <v>83433.399999999994</v>
      </c>
      <c r="E71" s="38">
        <v>1327.3</v>
      </c>
      <c r="F71" s="38">
        <v>700</v>
      </c>
      <c r="G71" s="39" t="s">
        <v>41</v>
      </c>
      <c r="H71" s="38">
        <v>23544.199999999997</v>
      </c>
      <c r="I71" s="38">
        <v>7594.2000000000007</v>
      </c>
      <c r="J71" s="38">
        <v>30691.9</v>
      </c>
      <c r="K71" s="38">
        <v>35732.400000000009</v>
      </c>
      <c r="L71" s="49">
        <f>110726.3-41020</f>
        <v>69706.3</v>
      </c>
      <c r="M71" s="70">
        <v>22144.2</v>
      </c>
      <c r="N71" s="51">
        <v>1334.9</v>
      </c>
      <c r="O71" s="49">
        <f>29451.9+41020</f>
        <v>70471.899999999994</v>
      </c>
      <c r="P71" s="40">
        <f t="shared" si="17"/>
        <v>688497.9</v>
      </c>
      <c r="Q71" s="23"/>
      <c r="R71" s="23"/>
      <c r="S71" s="23"/>
      <c r="T71" s="23"/>
    </row>
    <row r="72" spans="1:23" hidden="1" x14ac:dyDescent="0.25">
      <c r="A72" s="60" t="s">
        <v>99</v>
      </c>
      <c r="B72" s="55">
        <v>230514.80000000008</v>
      </c>
      <c r="C72" s="38">
        <v>116386.20000000003</v>
      </c>
      <c r="D72" s="53">
        <v>83596.400000000023</v>
      </c>
      <c r="E72" s="38">
        <v>1141.8</v>
      </c>
      <c r="F72" s="38">
        <v>700</v>
      </c>
      <c r="G72" s="39" t="s">
        <v>41</v>
      </c>
      <c r="H72" s="38">
        <v>25529</v>
      </c>
      <c r="I72" s="38">
        <v>8040.2999999999993</v>
      </c>
      <c r="J72" s="38">
        <v>30818</v>
      </c>
      <c r="K72" s="38">
        <v>35653.4</v>
      </c>
      <c r="L72" s="49">
        <f>114176.2-40941.4</f>
        <v>73234.799999999988</v>
      </c>
      <c r="M72" s="70">
        <v>15912.8</v>
      </c>
      <c r="N72" s="51">
        <v>906</v>
      </c>
      <c r="O72" s="49">
        <f>32009.6+40941.4</f>
        <v>72951</v>
      </c>
      <c r="P72" s="40">
        <f t="shared" si="17"/>
        <v>695384.50000000023</v>
      </c>
      <c r="Q72" s="23"/>
      <c r="R72" s="23"/>
      <c r="S72" s="23"/>
      <c r="T72" s="23"/>
    </row>
    <row r="73" spans="1:23" hidden="1" x14ac:dyDescent="0.25">
      <c r="A73" s="100" t="s">
        <v>100</v>
      </c>
      <c r="B73" s="55">
        <v>243881.79999999996</v>
      </c>
      <c r="C73" s="38">
        <v>121262.00000000001</v>
      </c>
      <c r="D73" s="53">
        <v>82919.399999999907</v>
      </c>
      <c r="E73" s="38">
        <v>1962.6</v>
      </c>
      <c r="F73" s="38">
        <v>1120</v>
      </c>
      <c r="G73" s="38">
        <v>30.6</v>
      </c>
      <c r="H73" s="38">
        <v>25001.8</v>
      </c>
      <c r="I73" s="38">
        <v>9623.5</v>
      </c>
      <c r="J73" s="38">
        <v>32319.000000000004</v>
      </c>
      <c r="K73" s="38">
        <v>33546.700000000004</v>
      </c>
      <c r="L73" s="49">
        <f>118513.1-41010.8</f>
        <v>77502.3</v>
      </c>
      <c r="M73" s="70">
        <v>10329.4</v>
      </c>
      <c r="N73" s="51">
        <v>1438.3</v>
      </c>
      <c r="O73" s="49">
        <f>26909.1+41010.8</f>
        <v>67919.899999999994</v>
      </c>
      <c r="P73" s="40">
        <f t="shared" si="17"/>
        <v>708857.29999999993</v>
      </c>
      <c r="Q73" s="23"/>
      <c r="R73" s="23"/>
      <c r="S73" s="23"/>
      <c r="T73" s="23"/>
    </row>
    <row r="74" spans="1:23" hidden="1" x14ac:dyDescent="0.25">
      <c r="A74" s="100" t="s">
        <v>34</v>
      </c>
      <c r="B74" s="55">
        <v>235781.09999999998</v>
      </c>
      <c r="C74" s="38">
        <v>124560.40000000004</v>
      </c>
      <c r="D74" s="53">
        <v>81903.400000000009</v>
      </c>
      <c r="E74" s="38">
        <v>1355.6999999999998</v>
      </c>
      <c r="F74" s="38">
        <v>1050</v>
      </c>
      <c r="G74" s="39" t="s">
        <v>41</v>
      </c>
      <c r="H74" s="38">
        <v>26065.900000000005</v>
      </c>
      <c r="I74" s="38">
        <v>9237.9000000000015</v>
      </c>
      <c r="J74" s="38">
        <v>29731.600000000002</v>
      </c>
      <c r="K74" s="38">
        <v>40011.5</v>
      </c>
      <c r="L74" s="49">
        <f>122262.4-41046.1</f>
        <v>81216.299999999988</v>
      </c>
      <c r="M74" s="70">
        <v>5652</v>
      </c>
      <c r="N74" s="51">
        <v>1642.6000000000006</v>
      </c>
      <c r="O74" s="49">
        <f>27308.3+41046.1</f>
        <v>68354.399999999994</v>
      </c>
      <c r="P74" s="40">
        <f t="shared" si="17"/>
        <v>706562.8</v>
      </c>
      <c r="Q74" s="23"/>
      <c r="R74" s="23"/>
      <c r="S74" s="23"/>
      <c r="T74" s="23"/>
    </row>
    <row r="75" spans="1:23" hidden="1" x14ac:dyDescent="0.25">
      <c r="A75" s="100" t="s">
        <v>35</v>
      </c>
      <c r="B75" s="55">
        <v>225789.7</v>
      </c>
      <c r="C75" s="38">
        <v>121514.30000000002</v>
      </c>
      <c r="D75" s="53">
        <v>82362.099999999962</v>
      </c>
      <c r="E75" s="38">
        <v>1393.5</v>
      </c>
      <c r="F75" s="38">
        <v>1550</v>
      </c>
      <c r="G75" s="39" t="s">
        <v>41</v>
      </c>
      <c r="H75" s="38">
        <v>23800.9</v>
      </c>
      <c r="I75" s="38">
        <v>9214.2000000000007</v>
      </c>
      <c r="J75" s="38">
        <v>23896.199999999997</v>
      </c>
      <c r="K75" s="38">
        <v>35952.400000000001</v>
      </c>
      <c r="L75" s="49">
        <f>122472.4-41266.9</f>
        <v>81205.5</v>
      </c>
      <c r="M75" s="70">
        <v>6902.7</v>
      </c>
      <c r="N75" s="51">
        <v>-550.39999999999941</v>
      </c>
      <c r="O75" s="49">
        <f>29260.7+41266.9</f>
        <v>70527.600000000006</v>
      </c>
      <c r="P75" s="40">
        <f t="shared" si="17"/>
        <v>683558.7</v>
      </c>
      <c r="Q75" s="23"/>
      <c r="R75" s="23"/>
      <c r="S75" s="23"/>
      <c r="T75" s="23"/>
    </row>
    <row r="76" spans="1:23" hidden="1" x14ac:dyDescent="0.25">
      <c r="A76" s="100" t="s">
        <v>36</v>
      </c>
      <c r="B76" s="55">
        <v>238376.80000000005</v>
      </c>
      <c r="C76" s="38">
        <v>126025.79999999997</v>
      </c>
      <c r="D76" s="53">
        <v>86114.9</v>
      </c>
      <c r="E76" s="38">
        <v>1492</v>
      </c>
      <c r="F76" s="38">
        <v>1050</v>
      </c>
      <c r="G76" s="39" t="s">
        <v>41</v>
      </c>
      <c r="H76" s="38">
        <v>24223.999999999993</v>
      </c>
      <c r="I76" s="38">
        <v>8547.6000000000022</v>
      </c>
      <c r="J76" s="38">
        <v>24891</v>
      </c>
      <c r="K76" s="38">
        <v>37032.600000000006</v>
      </c>
      <c r="L76" s="49">
        <f>127943.6-42122.6</f>
        <v>85821</v>
      </c>
      <c r="M76" s="70">
        <v>8391.7999999999993</v>
      </c>
      <c r="N76" s="51">
        <v>181.8</v>
      </c>
      <c r="O76" s="49">
        <f>28829.7+42122.6</f>
        <v>70952.3</v>
      </c>
      <c r="P76" s="40">
        <f t="shared" si="17"/>
        <v>713101.60000000009</v>
      </c>
      <c r="Q76" s="23"/>
      <c r="R76" s="23"/>
      <c r="S76" s="23"/>
      <c r="T76" s="23"/>
    </row>
    <row r="77" spans="1:23" s="44" customFormat="1" hidden="1" x14ac:dyDescent="0.25">
      <c r="A77" s="100" t="s">
        <v>37</v>
      </c>
      <c r="B77" s="57">
        <v>246537.7</v>
      </c>
      <c r="C77" s="40">
        <v>129963</v>
      </c>
      <c r="D77" s="49">
        <v>85926.399999999994</v>
      </c>
      <c r="E77" s="40">
        <v>1078.3999999999999</v>
      </c>
      <c r="F77" s="40">
        <v>1450</v>
      </c>
      <c r="G77" s="40">
        <v>127.1</v>
      </c>
      <c r="H77" s="40">
        <v>22486.300000000003</v>
      </c>
      <c r="I77" s="40">
        <v>10740.2</v>
      </c>
      <c r="J77" s="40">
        <v>29026.800000000003</v>
      </c>
      <c r="K77" s="40">
        <v>39069.899999999994</v>
      </c>
      <c r="L77" s="49">
        <f>127254.1-41444.3</f>
        <v>85809.8</v>
      </c>
      <c r="M77" s="70">
        <v>11443.999999999998</v>
      </c>
      <c r="N77" s="51">
        <v>68.299999999999983</v>
      </c>
      <c r="O77" s="49">
        <f>29453+41444.3</f>
        <v>70897.3</v>
      </c>
      <c r="P77" s="40">
        <f t="shared" si="17"/>
        <v>734625.20000000019</v>
      </c>
      <c r="Q77" s="23"/>
      <c r="R77" s="23"/>
      <c r="S77" s="23"/>
      <c r="T77" s="23"/>
      <c r="V77" s="6"/>
      <c r="W77" s="6"/>
    </row>
    <row r="78" spans="1:23" s="43" customFormat="1" hidden="1" x14ac:dyDescent="0.25">
      <c r="A78" s="100" t="s">
        <v>38</v>
      </c>
      <c r="B78" s="56">
        <v>260957.19999999995</v>
      </c>
      <c r="C78" s="42">
        <v>134263.90000000002</v>
      </c>
      <c r="D78" s="54">
        <v>84036</v>
      </c>
      <c r="E78" s="42">
        <v>1163.6000000000001</v>
      </c>
      <c r="F78" s="42">
        <v>950</v>
      </c>
      <c r="G78" s="42">
        <v>598.6</v>
      </c>
      <c r="H78" s="42">
        <v>23271.4</v>
      </c>
      <c r="I78" s="42">
        <v>8351.2000000000007</v>
      </c>
      <c r="J78" s="42">
        <v>27179.4</v>
      </c>
      <c r="K78" s="42">
        <v>36289.300000000003</v>
      </c>
      <c r="L78" s="49">
        <f>127452.4-41687.3</f>
        <v>85765.099999999991</v>
      </c>
      <c r="M78" s="70">
        <v>13484.4</v>
      </c>
      <c r="N78" s="51">
        <v>-345.19999999999948</v>
      </c>
      <c r="O78" s="49">
        <f>35514.3+41687.3</f>
        <v>77201.600000000006</v>
      </c>
      <c r="P78" s="40">
        <f t="shared" si="17"/>
        <v>753166.5</v>
      </c>
      <c r="Q78" s="23"/>
      <c r="R78" s="23"/>
      <c r="S78" s="23"/>
      <c r="T78" s="23"/>
      <c r="V78" s="6"/>
      <c r="W78" s="6"/>
    </row>
    <row r="79" spans="1:23" hidden="1" x14ac:dyDescent="0.25">
      <c r="A79" s="100" t="s">
        <v>39</v>
      </c>
      <c r="B79" s="55">
        <v>266036.5</v>
      </c>
      <c r="C79" s="38">
        <v>134944.70000000001</v>
      </c>
      <c r="D79" s="53">
        <v>87639.60000000002</v>
      </c>
      <c r="E79" s="38">
        <v>1671.4000000000003</v>
      </c>
      <c r="F79" s="38">
        <v>550</v>
      </c>
      <c r="G79" s="39" t="s">
        <v>41</v>
      </c>
      <c r="H79" s="38">
        <v>24892.799999999999</v>
      </c>
      <c r="I79" s="38">
        <v>8200.6</v>
      </c>
      <c r="J79" s="38">
        <v>26983.399999999998</v>
      </c>
      <c r="K79" s="38">
        <v>37379.599999999999</v>
      </c>
      <c r="L79" s="49">
        <f>128544.5-42788.1</f>
        <v>85756.4</v>
      </c>
      <c r="M79" s="70">
        <v>15328.399999999998</v>
      </c>
      <c r="N79" s="51">
        <v>965.1</v>
      </c>
      <c r="O79" s="49">
        <f>33081.9+42788.1</f>
        <v>75870</v>
      </c>
      <c r="P79" s="40">
        <f t="shared" si="17"/>
        <v>766218.5</v>
      </c>
      <c r="Q79" s="23"/>
      <c r="R79" s="23"/>
      <c r="S79" s="23"/>
      <c r="T79" s="23"/>
    </row>
    <row r="80" spans="1:23" hidden="1" x14ac:dyDescent="0.25">
      <c r="A80" s="100" t="s">
        <v>40</v>
      </c>
      <c r="B80" s="55">
        <v>259714.99999999994</v>
      </c>
      <c r="C80" s="38">
        <v>138672.1</v>
      </c>
      <c r="D80" s="53">
        <v>85571.400000000023</v>
      </c>
      <c r="E80" s="38">
        <v>689.6</v>
      </c>
      <c r="F80" s="38">
        <v>610</v>
      </c>
      <c r="G80" s="38">
        <v>3740.2</v>
      </c>
      <c r="H80" s="38">
        <v>26282.9</v>
      </c>
      <c r="I80" s="38">
        <v>7967.1</v>
      </c>
      <c r="J80" s="38">
        <v>28540.700000000004</v>
      </c>
      <c r="K80" s="38">
        <v>40353.199999999997</v>
      </c>
      <c r="L80" s="49">
        <f>127963.3-42217.4</f>
        <v>85745.9</v>
      </c>
      <c r="M80" s="70">
        <v>18416.7</v>
      </c>
      <c r="N80" s="51">
        <v>1238.3000000000009</v>
      </c>
      <c r="O80" s="49">
        <f>38935.7+42217.4</f>
        <v>81153.100000000006</v>
      </c>
      <c r="P80" s="40">
        <f t="shared" si="17"/>
        <v>778696.2</v>
      </c>
      <c r="Q80" s="23"/>
      <c r="R80" s="23"/>
      <c r="S80" s="23"/>
      <c r="T80" s="23"/>
    </row>
    <row r="81" spans="1:23" hidden="1" x14ac:dyDescent="0.25">
      <c r="A81" s="100" t="s">
        <v>47</v>
      </c>
      <c r="B81" s="55">
        <v>270386.2</v>
      </c>
      <c r="C81" s="38">
        <v>136402.20000000001</v>
      </c>
      <c r="D81" s="53">
        <v>88843.6</v>
      </c>
      <c r="E81" s="38">
        <v>1802.6000000000001</v>
      </c>
      <c r="F81" s="38">
        <v>610</v>
      </c>
      <c r="G81" s="39" t="s">
        <v>41</v>
      </c>
      <c r="H81" s="38">
        <v>25964.399999999994</v>
      </c>
      <c r="I81" s="38">
        <v>7609.7</v>
      </c>
      <c r="J81" s="38">
        <v>24621.9</v>
      </c>
      <c r="K81" s="38">
        <v>46726.1</v>
      </c>
      <c r="L81" s="49">
        <f>127779.2-42044.4</f>
        <v>85734.799999999988</v>
      </c>
      <c r="M81" s="70">
        <v>21176.799999999999</v>
      </c>
      <c r="N81" s="51">
        <v>1812.1</v>
      </c>
      <c r="O81" s="49">
        <f>40123.7+42044.4</f>
        <v>82168.100000000006</v>
      </c>
      <c r="P81" s="40">
        <f t="shared" si="17"/>
        <v>793858.5</v>
      </c>
      <c r="Q81" s="23"/>
      <c r="R81" s="23"/>
      <c r="S81" s="23"/>
      <c r="T81" s="23"/>
    </row>
    <row r="82" spans="1:23" hidden="1" x14ac:dyDescent="0.25">
      <c r="A82" s="100" t="s">
        <v>48</v>
      </c>
      <c r="B82" s="55">
        <v>290409</v>
      </c>
      <c r="C82" s="38">
        <v>143615.40000000002</v>
      </c>
      <c r="D82" s="53">
        <v>89591.3</v>
      </c>
      <c r="E82" s="38">
        <v>1128.8</v>
      </c>
      <c r="F82" s="38">
        <v>530</v>
      </c>
      <c r="G82" s="39" t="s">
        <v>41</v>
      </c>
      <c r="H82" s="38">
        <v>30906.599999999988</v>
      </c>
      <c r="I82" s="38">
        <v>5456.4</v>
      </c>
      <c r="J82" s="38">
        <v>27042.2</v>
      </c>
      <c r="K82" s="38">
        <v>50485.599999999991</v>
      </c>
      <c r="L82" s="49">
        <f>138109.5-40746.7</f>
        <v>97362.8</v>
      </c>
      <c r="M82" s="70">
        <v>22695.399999999998</v>
      </c>
      <c r="N82" s="51">
        <v>113.79999999999987</v>
      </c>
      <c r="O82" s="49">
        <f>40462.9+40746.7</f>
        <v>81209.600000000006</v>
      </c>
      <c r="P82" s="40">
        <f t="shared" si="17"/>
        <v>840546.9</v>
      </c>
      <c r="Q82" s="23"/>
      <c r="R82" s="23"/>
      <c r="S82" s="23"/>
      <c r="T82" s="23"/>
    </row>
    <row r="83" spans="1:23" hidden="1" x14ac:dyDescent="0.25">
      <c r="A83" s="60"/>
      <c r="B83" s="55"/>
      <c r="C83" s="38"/>
      <c r="D83" s="53"/>
      <c r="E83" s="38"/>
      <c r="F83" s="38"/>
      <c r="G83" s="39"/>
      <c r="H83" s="38"/>
      <c r="I83" s="38"/>
      <c r="J83" s="38"/>
      <c r="K83" s="38"/>
      <c r="L83" s="49"/>
      <c r="M83" s="70"/>
      <c r="N83" s="51"/>
      <c r="O83" s="49"/>
      <c r="P83" s="40"/>
      <c r="Q83" s="23"/>
      <c r="R83" s="23"/>
      <c r="S83" s="23"/>
      <c r="T83" s="23"/>
    </row>
    <row r="84" spans="1:23" s="43" customFormat="1" hidden="1" x14ac:dyDescent="0.25">
      <c r="A84" s="61" t="s">
        <v>56</v>
      </c>
      <c r="B84" s="56">
        <v>291073.00000000006</v>
      </c>
      <c r="C84" s="42">
        <v>143819.4</v>
      </c>
      <c r="D84" s="54">
        <v>72736.799999999988</v>
      </c>
      <c r="E84" s="42">
        <v>2248.7000000000003</v>
      </c>
      <c r="F84" s="42">
        <v>230</v>
      </c>
      <c r="G84" s="39" t="s">
        <v>41</v>
      </c>
      <c r="H84" s="42">
        <v>33888.69999999999</v>
      </c>
      <c r="I84" s="42">
        <v>4751.6000000000004</v>
      </c>
      <c r="J84" s="42">
        <v>41326.6</v>
      </c>
      <c r="K84" s="42">
        <v>44614.499999999993</v>
      </c>
      <c r="L84" s="82">
        <f>137044.7-39588</f>
        <v>97456.700000000012</v>
      </c>
      <c r="M84" s="41">
        <v>24765.699999999997</v>
      </c>
      <c r="N84" s="51">
        <v>485.09999999999991</v>
      </c>
      <c r="O84" s="82">
        <f>39034.5+39588</f>
        <v>78622.5</v>
      </c>
      <c r="P84" s="40">
        <f t="shared" si="17"/>
        <v>836019.29999999993</v>
      </c>
      <c r="Q84" s="23"/>
      <c r="R84" s="23"/>
      <c r="S84" s="23"/>
      <c r="T84" s="23"/>
      <c r="V84" s="6"/>
      <c r="W84" s="6"/>
    </row>
    <row r="85" spans="1:23" s="43" customFormat="1" hidden="1" x14ac:dyDescent="0.25">
      <c r="A85" s="61" t="s">
        <v>99</v>
      </c>
      <c r="B85" s="56">
        <v>288017.09999999998</v>
      </c>
      <c r="C85" s="42">
        <v>143864.79999999999</v>
      </c>
      <c r="D85" s="54">
        <v>75994.299999999988</v>
      </c>
      <c r="E85" s="42">
        <v>1700</v>
      </c>
      <c r="F85" s="42">
        <v>230</v>
      </c>
      <c r="G85" s="42">
        <v>1723.4</v>
      </c>
      <c r="H85" s="42">
        <v>32249.100000000006</v>
      </c>
      <c r="I85" s="42">
        <v>4930.3</v>
      </c>
      <c r="J85" s="42">
        <v>35054.399999999994</v>
      </c>
      <c r="K85" s="42">
        <v>49423.19999999999</v>
      </c>
      <c r="L85" s="49">
        <f>140984.2-40616.1</f>
        <v>100368.1</v>
      </c>
      <c r="M85" s="70">
        <v>19326.399999999998</v>
      </c>
      <c r="N85" s="51">
        <v>1150.6999999999989</v>
      </c>
      <c r="O85" s="49">
        <f>47136.1+40616.1</f>
        <v>87752.2</v>
      </c>
      <c r="P85" s="40">
        <f t="shared" si="17"/>
        <v>841783.99999999988</v>
      </c>
      <c r="Q85" s="23"/>
      <c r="R85" s="23"/>
      <c r="S85" s="23"/>
      <c r="T85" s="23"/>
      <c r="V85" s="6"/>
      <c r="W85" s="6"/>
    </row>
    <row r="86" spans="1:23" s="43" customFormat="1" hidden="1" x14ac:dyDescent="0.25">
      <c r="A86" s="101" t="s">
        <v>100</v>
      </c>
      <c r="B86" s="56">
        <v>299115.59999999998</v>
      </c>
      <c r="C86" s="42">
        <v>148875.6</v>
      </c>
      <c r="D86" s="54">
        <v>73793.099999999948</v>
      </c>
      <c r="E86" s="42">
        <v>1290.3</v>
      </c>
      <c r="F86" s="42">
        <v>230</v>
      </c>
      <c r="G86" s="42">
        <v>3410.3</v>
      </c>
      <c r="H86" s="42">
        <v>32020.199999999997</v>
      </c>
      <c r="I86" s="42">
        <v>5617.3</v>
      </c>
      <c r="J86" s="42">
        <v>29368</v>
      </c>
      <c r="K86" s="42">
        <v>39002.5</v>
      </c>
      <c r="L86" s="49">
        <f>157012.1-40418.3</f>
        <v>116593.8</v>
      </c>
      <c r="M86" s="70">
        <v>12874.099999999999</v>
      </c>
      <c r="N86" s="51">
        <v>2503.1</v>
      </c>
      <c r="O86" s="49">
        <f>40460.5+40418.3</f>
        <v>80878.8</v>
      </c>
      <c r="P86" s="40">
        <f t="shared" si="17"/>
        <v>845572.7</v>
      </c>
      <c r="Q86" s="23"/>
      <c r="R86" s="23"/>
      <c r="S86" s="23"/>
      <c r="T86" s="23"/>
      <c r="V86" s="6"/>
      <c r="W86" s="6"/>
    </row>
    <row r="87" spans="1:23" s="43" customFormat="1" hidden="1" x14ac:dyDescent="0.25">
      <c r="A87" s="61" t="s">
        <v>34</v>
      </c>
      <c r="B87" s="56">
        <v>293297.40000000002</v>
      </c>
      <c r="C87" s="42">
        <v>148399.20000000001</v>
      </c>
      <c r="D87" s="54">
        <v>73402.400000000009</v>
      </c>
      <c r="E87" s="42">
        <v>1990.2999999999997</v>
      </c>
      <c r="F87" s="42">
        <v>230</v>
      </c>
      <c r="G87" s="42">
        <v>4017</v>
      </c>
      <c r="H87" s="42">
        <v>28873.900000000009</v>
      </c>
      <c r="I87" s="42">
        <v>7165.1999999999989</v>
      </c>
      <c r="J87" s="42">
        <v>32355.199999999997</v>
      </c>
      <c r="K87" s="42">
        <v>43570.299999999996</v>
      </c>
      <c r="L87" s="49">
        <f>158018.9-40281.2</f>
        <v>117737.7</v>
      </c>
      <c r="M87" s="70">
        <v>11700.6</v>
      </c>
      <c r="N87" s="51">
        <v>636.49999999999966</v>
      </c>
      <c r="O87" s="49">
        <f>36336.4+40281.2</f>
        <v>76617.600000000006</v>
      </c>
      <c r="P87" s="40">
        <f t="shared" ref="P87:P123" si="18">SUM(B87:O87)</f>
        <v>839993.29999999993</v>
      </c>
      <c r="Q87" s="23"/>
      <c r="R87" s="23"/>
      <c r="S87" s="23"/>
      <c r="T87" s="23"/>
      <c r="V87" s="6"/>
      <c r="W87" s="6"/>
    </row>
    <row r="88" spans="1:23" s="43" customFormat="1" hidden="1" x14ac:dyDescent="0.25">
      <c r="A88" s="61" t="s">
        <v>35</v>
      </c>
      <c r="B88" s="56">
        <v>290555.29999999993</v>
      </c>
      <c r="C88" s="42">
        <v>153186.70000000001</v>
      </c>
      <c r="D88" s="54">
        <v>72428.700000000041</v>
      </c>
      <c r="E88" s="42">
        <v>1634.3</v>
      </c>
      <c r="F88" s="42">
        <v>230</v>
      </c>
      <c r="G88" s="42">
        <v>8850.7999999999993</v>
      </c>
      <c r="H88" s="42">
        <v>31143.199999999997</v>
      </c>
      <c r="I88" s="42">
        <v>6206.9</v>
      </c>
      <c r="J88" s="42">
        <v>33662.700000000004</v>
      </c>
      <c r="K88" s="42">
        <v>41594.699999999997</v>
      </c>
      <c r="L88" s="49">
        <f>158193-40463.9</f>
        <v>117729.1</v>
      </c>
      <c r="M88" s="70">
        <v>14594.6</v>
      </c>
      <c r="N88" s="51">
        <v>3238.1000000000004</v>
      </c>
      <c r="O88" s="49">
        <f>39769.9+40463.9</f>
        <v>80233.8</v>
      </c>
      <c r="P88" s="40">
        <f t="shared" si="18"/>
        <v>855288.89999999979</v>
      </c>
      <c r="Q88" s="23"/>
      <c r="R88" s="23"/>
      <c r="S88" s="23"/>
      <c r="T88" s="23"/>
      <c r="V88" s="6"/>
      <c r="W88" s="6"/>
    </row>
    <row r="89" spans="1:23" s="43" customFormat="1" hidden="1" x14ac:dyDescent="0.25">
      <c r="A89" s="61" t="s">
        <v>36</v>
      </c>
      <c r="B89" s="56">
        <v>289668.60000000009</v>
      </c>
      <c r="C89" s="42">
        <v>159995.19999999995</v>
      </c>
      <c r="D89" s="54">
        <v>77435.999999999985</v>
      </c>
      <c r="E89" s="42">
        <v>1811.1</v>
      </c>
      <c r="F89" s="42">
        <v>230</v>
      </c>
      <c r="G89" s="42">
        <v>21978.1</v>
      </c>
      <c r="H89" s="42">
        <v>29909.600000000006</v>
      </c>
      <c r="I89" s="42">
        <v>6361.1</v>
      </c>
      <c r="J89" s="42">
        <v>28131.5</v>
      </c>
      <c r="K89" s="42">
        <v>39056.400000000001</v>
      </c>
      <c r="L89" s="49">
        <f>158810.9-41092</f>
        <v>117718.9</v>
      </c>
      <c r="M89" s="70">
        <v>17607.399999999998</v>
      </c>
      <c r="N89" s="51">
        <v>3235.7999999999993</v>
      </c>
      <c r="O89" s="49">
        <f>37818+41092</f>
        <v>78910</v>
      </c>
      <c r="P89" s="40">
        <f t="shared" si="18"/>
        <v>872049.70000000007</v>
      </c>
      <c r="Q89" s="23"/>
      <c r="R89" s="23"/>
      <c r="S89" s="23"/>
      <c r="T89" s="23"/>
      <c r="V89" s="6"/>
      <c r="W89" s="6"/>
    </row>
    <row r="90" spans="1:23" s="43" customFormat="1" hidden="1" x14ac:dyDescent="0.25">
      <c r="A90" s="61" t="s">
        <v>37</v>
      </c>
      <c r="B90" s="56">
        <v>291422.09999999998</v>
      </c>
      <c r="C90" s="42">
        <v>164987.99999999994</v>
      </c>
      <c r="D90" s="54">
        <v>91316.5</v>
      </c>
      <c r="E90" s="42">
        <v>661.6</v>
      </c>
      <c r="F90" s="42">
        <v>230</v>
      </c>
      <c r="G90" s="42">
        <v>28323</v>
      </c>
      <c r="H90" s="42">
        <v>31971.599999999999</v>
      </c>
      <c r="I90" s="42">
        <v>7435.7</v>
      </c>
      <c r="J90" s="42">
        <v>22824.6</v>
      </c>
      <c r="K90" s="42">
        <v>42413.599999999999</v>
      </c>
      <c r="L90" s="49">
        <f>158846.6-41137.5</f>
        <v>117709.1</v>
      </c>
      <c r="M90" s="70">
        <v>20758.199999999997</v>
      </c>
      <c r="N90" s="51">
        <v>7.3999999999996078</v>
      </c>
      <c r="O90" s="49">
        <f>37837.3+41137.5</f>
        <v>78974.8</v>
      </c>
      <c r="P90" s="40">
        <f t="shared" si="18"/>
        <v>899036.19999999972</v>
      </c>
      <c r="Q90" s="23"/>
      <c r="R90" s="23"/>
      <c r="S90" s="23"/>
      <c r="T90" s="23"/>
      <c r="V90" s="6"/>
      <c r="W90" s="6"/>
    </row>
    <row r="91" spans="1:23" s="43" customFormat="1" hidden="1" x14ac:dyDescent="0.25">
      <c r="A91" s="61" t="s">
        <v>38</v>
      </c>
      <c r="B91" s="56">
        <v>295830.29999999993</v>
      </c>
      <c r="C91" s="42">
        <v>171611.79999999993</v>
      </c>
      <c r="D91" s="54">
        <v>86856.8</v>
      </c>
      <c r="E91" s="42">
        <v>1011.4999999999999</v>
      </c>
      <c r="F91" s="42">
        <v>230</v>
      </c>
      <c r="G91" s="42">
        <v>30701.8</v>
      </c>
      <c r="H91" s="42">
        <v>31207.999999999996</v>
      </c>
      <c r="I91" s="42">
        <v>8465</v>
      </c>
      <c r="J91" s="42">
        <v>27124.500000000004</v>
      </c>
      <c r="K91" s="42">
        <v>41757.4</v>
      </c>
      <c r="L91" s="49">
        <f>158642.7-40944.2</f>
        <v>117698.50000000001</v>
      </c>
      <c r="M91" s="70">
        <v>24366</v>
      </c>
      <c r="N91" s="51">
        <v>5.2000000000009123</v>
      </c>
      <c r="O91" s="49">
        <f>37600.4+40944.2</f>
        <v>78544.600000000006</v>
      </c>
      <c r="P91" s="40">
        <f t="shared" si="18"/>
        <v>915411.39999999991</v>
      </c>
      <c r="Q91" s="23"/>
      <c r="R91" s="23"/>
      <c r="S91" s="23"/>
      <c r="T91" s="23"/>
      <c r="V91" s="6"/>
      <c r="W91" s="6"/>
    </row>
    <row r="92" spans="1:23" s="43" customFormat="1" hidden="1" x14ac:dyDescent="0.25">
      <c r="A92" s="61" t="s">
        <v>39</v>
      </c>
      <c r="B92" s="56">
        <v>274579.49999999988</v>
      </c>
      <c r="C92" s="42">
        <v>173612.59999999998</v>
      </c>
      <c r="D92" s="54">
        <v>83235.099999999991</v>
      </c>
      <c r="E92" s="42">
        <v>1928.8999999999999</v>
      </c>
      <c r="F92" s="42">
        <v>230</v>
      </c>
      <c r="G92" s="42">
        <v>41135.1</v>
      </c>
      <c r="H92" s="42">
        <v>30933.400000000005</v>
      </c>
      <c r="I92" s="42">
        <v>8199.5</v>
      </c>
      <c r="J92" s="42">
        <v>30423.899999999998</v>
      </c>
      <c r="K92" s="42">
        <v>41451.9</v>
      </c>
      <c r="L92" s="49">
        <f>157705.1-40016.4</f>
        <v>117688.70000000001</v>
      </c>
      <c r="M92" s="70">
        <v>27652.300000000003</v>
      </c>
      <c r="N92" s="51">
        <v>308.19999999999993</v>
      </c>
      <c r="O92" s="49">
        <f>38805.5+40016.4</f>
        <v>78821.899999999994</v>
      </c>
      <c r="P92" s="40">
        <f t="shared" si="18"/>
        <v>910200.99999999988</v>
      </c>
      <c r="Q92" s="23"/>
      <c r="R92" s="23"/>
      <c r="S92" s="23"/>
      <c r="T92" s="23"/>
      <c r="V92" s="6"/>
      <c r="W92" s="6"/>
    </row>
    <row r="93" spans="1:23" s="43" customFormat="1" hidden="1" x14ac:dyDescent="0.25">
      <c r="A93" s="61" t="s">
        <v>40</v>
      </c>
      <c r="B93" s="56">
        <v>282512.10000000003</v>
      </c>
      <c r="C93" s="42">
        <v>172202.30000000002</v>
      </c>
      <c r="D93" s="54">
        <v>83808.89999999998</v>
      </c>
      <c r="E93" s="42">
        <v>1231.5</v>
      </c>
      <c r="F93" s="42">
        <v>230</v>
      </c>
      <c r="G93" s="42">
        <v>34479.800000000003</v>
      </c>
      <c r="H93" s="42">
        <v>35383.699999999997</v>
      </c>
      <c r="I93" s="42">
        <v>9151.2000000000007</v>
      </c>
      <c r="J93" s="42">
        <v>29507.8</v>
      </c>
      <c r="K93" s="42">
        <v>46518.7</v>
      </c>
      <c r="L93" s="49">
        <f>157965.8-40287.9</f>
        <v>117677.9</v>
      </c>
      <c r="M93" s="70">
        <v>31090.799999999999</v>
      </c>
      <c r="N93" s="51">
        <v>760.19999999999982</v>
      </c>
      <c r="O93" s="49">
        <f>41461.6+40287.9</f>
        <v>81749.5</v>
      </c>
      <c r="P93" s="40">
        <f t="shared" si="18"/>
        <v>926304.4</v>
      </c>
      <c r="Q93" s="23"/>
      <c r="R93" s="23"/>
      <c r="S93" s="23"/>
      <c r="T93" s="23"/>
      <c r="V93" s="6"/>
      <c r="W93" s="6"/>
    </row>
    <row r="94" spans="1:23" s="43" customFormat="1" hidden="1" x14ac:dyDescent="0.25">
      <c r="A94" s="61" t="s">
        <v>47</v>
      </c>
      <c r="B94" s="56">
        <v>266449.59999999998</v>
      </c>
      <c r="C94" s="42">
        <v>177129.00000000003</v>
      </c>
      <c r="D94" s="54">
        <v>85868.799999999959</v>
      </c>
      <c r="E94" s="42">
        <v>765.20000000000016</v>
      </c>
      <c r="F94" s="42">
        <v>230</v>
      </c>
      <c r="G94" s="42">
        <v>38992.799999999996</v>
      </c>
      <c r="H94" s="42">
        <v>37156.9</v>
      </c>
      <c r="I94" s="42">
        <v>9256.7000000000007</v>
      </c>
      <c r="J94" s="42">
        <v>34346.299999999996</v>
      </c>
      <c r="K94" s="42">
        <v>54902.900000000009</v>
      </c>
      <c r="L94" s="49">
        <f>158220.5-40552.9</f>
        <v>117667.6</v>
      </c>
      <c r="M94" s="70">
        <v>33981.200000000004</v>
      </c>
      <c r="N94" s="51">
        <v>809.70000000000073</v>
      </c>
      <c r="O94" s="49">
        <f>41830.5+40552.9</f>
        <v>82383.399999999994</v>
      </c>
      <c r="P94" s="40">
        <f t="shared" si="18"/>
        <v>939940.09999999986</v>
      </c>
      <c r="Q94" s="23"/>
      <c r="R94" s="23"/>
      <c r="S94" s="23"/>
      <c r="T94" s="23"/>
      <c r="V94" s="6"/>
      <c r="W94" s="6"/>
    </row>
    <row r="95" spans="1:23" s="43" customFormat="1" hidden="1" x14ac:dyDescent="0.25">
      <c r="A95" s="61" t="s">
        <v>48</v>
      </c>
      <c r="B95" s="56">
        <v>283537.99999999994</v>
      </c>
      <c r="C95" s="42">
        <v>178588.99999999997</v>
      </c>
      <c r="D95" s="54">
        <v>89107.6</v>
      </c>
      <c r="E95" s="42">
        <v>570.1</v>
      </c>
      <c r="F95" s="42">
        <v>230</v>
      </c>
      <c r="G95" s="42">
        <v>23887.599999999999</v>
      </c>
      <c r="H95" s="42">
        <v>32980.200000000004</v>
      </c>
      <c r="I95" s="42">
        <v>6981.7999999999993</v>
      </c>
      <c r="J95" s="42">
        <v>38665.200000000004</v>
      </c>
      <c r="K95" s="42">
        <v>50036.000000000007</v>
      </c>
      <c r="L95" s="49">
        <f>160199.8-42543.1</f>
        <v>117656.69999999998</v>
      </c>
      <c r="M95" s="70">
        <v>30401</v>
      </c>
      <c r="N95" s="51">
        <v>617.30000000000041</v>
      </c>
      <c r="O95" s="49">
        <f>40944.6+42543.1</f>
        <v>83487.7</v>
      </c>
      <c r="P95" s="40">
        <f t="shared" si="18"/>
        <v>936748.19999999972</v>
      </c>
      <c r="Q95" s="23"/>
      <c r="R95" s="23"/>
      <c r="S95" s="23"/>
      <c r="T95" s="23"/>
      <c r="V95" s="6"/>
      <c r="W95" s="6"/>
    </row>
    <row r="96" spans="1:23" s="93" customFormat="1" hidden="1" x14ac:dyDescent="0.25">
      <c r="A96" s="101"/>
      <c r="B96" s="99"/>
      <c r="C96" s="92"/>
      <c r="D96" s="97"/>
      <c r="E96" s="92"/>
      <c r="F96" s="92"/>
      <c r="G96" s="92"/>
      <c r="H96" s="92"/>
      <c r="I96" s="92"/>
      <c r="J96" s="92"/>
      <c r="K96" s="92"/>
      <c r="L96" s="94"/>
      <c r="M96" s="91"/>
      <c r="N96" s="95"/>
      <c r="O96" s="94"/>
      <c r="P96" s="90"/>
      <c r="Q96" s="87"/>
      <c r="R96" s="87"/>
      <c r="S96" s="87"/>
      <c r="T96" s="87"/>
      <c r="V96" s="86"/>
      <c r="W96" s="86"/>
    </row>
    <row r="97" spans="1:23" s="43" customFormat="1" hidden="1" x14ac:dyDescent="0.25">
      <c r="A97" s="61" t="s">
        <v>57</v>
      </c>
      <c r="B97" s="56">
        <v>290839.20000000007</v>
      </c>
      <c r="C97" s="42">
        <v>167955.89999999997</v>
      </c>
      <c r="D97" s="54">
        <v>97165.6</v>
      </c>
      <c r="E97" s="42">
        <v>855.69999999999993</v>
      </c>
      <c r="F97" s="42">
        <v>230</v>
      </c>
      <c r="G97" s="42">
        <v>17905.5</v>
      </c>
      <c r="H97" s="42">
        <v>37983.000000000007</v>
      </c>
      <c r="I97" s="42">
        <v>8935.9000000000015</v>
      </c>
      <c r="J97" s="42">
        <v>35210.9</v>
      </c>
      <c r="K97" s="42">
        <v>53883.600000000006</v>
      </c>
      <c r="L97" s="49">
        <f>159710-42063.7</f>
        <v>117646.3</v>
      </c>
      <c r="M97" s="70">
        <v>33758.199999999997</v>
      </c>
      <c r="N97" s="51">
        <v>716.60000000000093</v>
      </c>
      <c r="O97" s="49">
        <f>44061+42063.7</f>
        <v>86124.7</v>
      </c>
      <c r="P97" s="40">
        <f t="shared" si="18"/>
        <v>949211.1</v>
      </c>
      <c r="Q97" s="23"/>
      <c r="R97" s="23"/>
      <c r="S97" s="23"/>
      <c r="T97" s="23"/>
      <c r="V97" s="6"/>
      <c r="W97" s="6"/>
    </row>
    <row r="98" spans="1:23" s="43" customFormat="1" hidden="1" x14ac:dyDescent="0.25">
      <c r="A98" s="72" t="s">
        <v>82</v>
      </c>
      <c r="B98" s="56">
        <v>286835.5</v>
      </c>
      <c r="C98" s="42">
        <v>168079.6</v>
      </c>
      <c r="D98" s="54">
        <v>100592.29999999999</v>
      </c>
      <c r="E98" s="42">
        <v>1134</v>
      </c>
      <c r="F98" s="42">
        <v>230</v>
      </c>
      <c r="G98" s="42">
        <v>28977.9</v>
      </c>
      <c r="H98" s="42">
        <v>40467.599999999999</v>
      </c>
      <c r="I98" s="42">
        <v>8492.0999999999985</v>
      </c>
      <c r="J98" s="42">
        <v>28885.1</v>
      </c>
      <c r="K98" s="42">
        <v>56918.8</v>
      </c>
      <c r="L98" s="49">
        <f>165337.2-43143.6</f>
        <v>122193.60000000001</v>
      </c>
      <c r="M98" s="70">
        <v>26064.9</v>
      </c>
      <c r="N98" s="51">
        <v>791.9</v>
      </c>
      <c r="O98" s="49">
        <f>47099.8+43143.6</f>
        <v>90243.4</v>
      </c>
      <c r="P98" s="40">
        <f t="shared" si="18"/>
        <v>959906.7</v>
      </c>
      <c r="Q98" s="23"/>
      <c r="R98" s="23"/>
      <c r="S98" s="23"/>
      <c r="T98" s="23"/>
      <c r="V98" s="6"/>
      <c r="W98" s="6"/>
    </row>
    <row r="99" spans="1:23" s="43" customFormat="1" hidden="1" x14ac:dyDescent="0.25">
      <c r="A99" s="72" t="s">
        <v>83</v>
      </c>
      <c r="B99" s="56">
        <v>277531.20000000007</v>
      </c>
      <c r="C99" s="42">
        <v>172381.29999999996</v>
      </c>
      <c r="D99" s="54">
        <v>93403.200000000012</v>
      </c>
      <c r="E99" s="42">
        <v>717.99999999999989</v>
      </c>
      <c r="F99" s="42">
        <v>230</v>
      </c>
      <c r="G99" s="42">
        <v>31870.5</v>
      </c>
      <c r="H99" s="42">
        <v>56223.5</v>
      </c>
      <c r="I99" s="42">
        <v>10091.099999999999</v>
      </c>
      <c r="J99" s="42">
        <v>27345.300000000003</v>
      </c>
      <c r="K99" s="42">
        <v>62213.7</v>
      </c>
      <c r="L99" s="49">
        <f>178597.6-44308.5</f>
        <v>134289.1</v>
      </c>
      <c r="M99" s="70">
        <v>7570.6</v>
      </c>
      <c r="N99" s="51">
        <v>32.699999999999889</v>
      </c>
      <c r="O99" s="49">
        <f>40802.1+44308.5</f>
        <v>85110.6</v>
      </c>
      <c r="P99" s="40">
        <f t="shared" si="18"/>
        <v>959010.79999999981</v>
      </c>
      <c r="Q99" s="23"/>
      <c r="R99" s="23"/>
      <c r="S99" s="23"/>
      <c r="T99" s="23"/>
      <c r="V99" s="6"/>
      <c r="W99" s="6"/>
    </row>
    <row r="100" spans="1:23" s="43" customFormat="1" hidden="1" x14ac:dyDescent="0.25">
      <c r="A100" s="72" t="s">
        <v>84</v>
      </c>
      <c r="B100" s="56">
        <v>277496.50000000012</v>
      </c>
      <c r="C100" s="42">
        <v>173139</v>
      </c>
      <c r="D100" s="54">
        <v>96935.799999999959</v>
      </c>
      <c r="E100" s="42">
        <v>628.69999999999993</v>
      </c>
      <c r="F100" s="42">
        <v>230</v>
      </c>
      <c r="G100" s="42">
        <v>42523.3</v>
      </c>
      <c r="H100" s="42">
        <v>34654.6</v>
      </c>
      <c r="I100" s="42">
        <v>10053.099999999999</v>
      </c>
      <c r="J100" s="42">
        <v>25979.200000000004</v>
      </c>
      <c r="K100" s="42">
        <v>70689</v>
      </c>
      <c r="L100" s="49">
        <f>179276.4-44998</f>
        <v>134278.39999999999</v>
      </c>
      <c r="M100" s="70">
        <v>9105</v>
      </c>
      <c r="N100" s="51">
        <v>205.89999999999975</v>
      </c>
      <c r="O100" s="49">
        <f>32037.9+44998</f>
        <v>77035.899999999994</v>
      </c>
      <c r="P100" s="40">
        <f t="shared" si="18"/>
        <v>952954.4</v>
      </c>
      <c r="Q100" s="23"/>
      <c r="R100" s="23"/>
      <c r="S100" s="23"/>
      <c r="T100" s="23"/>
      <c r="V100" s="6"/>
      <c r="W100" s="6"/>
    </row>
    <row r="101" spans="1:23" s="43" customFormat="1" hidden="1" x14ac:dyDescent="0.25">
      <c r="A101" s="72" t="s">
        <v>76</v>
      </c>
      <c r="B101" s="56">
        <v>279081</v>
      </c>
      <c r="C101" s="42">
        <v>171321.9</v>
      </c>
      <c r="D101" s="54">
        <v>97639.900000000009</v>
      </c>
      <c r="E101" s="42">
        <v>1425.7</v>
      </c>
      <c r="F101" s="42">
        <v>1230</v>
      </c>
      <c r="G101" s="42">
        <v>52308</v>
      </c>
      <c r="H101" s="42">
        <v>32658.2</v>
      </c>
      <c r="I101" s="42">
        <v>6547.5000000000009</v>
      </c>
      <c r="J101" s="42">
        <v>22903.100000000002</v>
      </c>
      <c r="K101" s="42">
        <v>68426.7</v>
      </c>
      <c r="L101" s="49">
        <f>179616.4-45347.3</f>
        <v>134269.09999999998</v>
      </c>
      <c r="M101" s="70">
        <v>11060.199999999999</v>
      </c>
      <c r="N101" s="51">
        <v>112.70000000000036</v>
      </c>
      <c r="O101" s="49">
        <f>34512.8+45347.3</f>
        <v>79860.100000000006</v>
      </c>
      <c r="P101" s="40">
        <f t="shared" si="18"/>
        <v>958844.09999999974</v>
      </c>
      <c r="Q101" s="23"/>
      <c r="R101" s="23"/>
      <c r="S101" s="23"/>
      <c r="T101" s="23"/>
      <c r="V101" s="6"/>
      <c r="W101" s="6"/>
    </row>
    <row r="102" spans="1:23" s="43" customFormat="1" hidden="1" x14ac:dyDescent="0.25">
      <c r="A102" s="72" t="s">
        <v>70</v>
      </c>
      <c r="B102" s="56">
        <v>273929.89999999997</v>
      </c>
      <c r="C102" s="42">
        <v>173807.60000000003</v>
      </c>
      <c r="D102" s="54">
        <v>102015.79999999999</v>
      </c>
      <c r="E102" s="42">
        <v>1338.3</v>
      </c>
      <c r="F102" s="42">
        <v>730</v>
      </c>
      <c r="G102" s="42">
        <v>60060.100000000006</v>
      </c>
      <c r="H102" s="42">
        <v>31742.6</v>
      </c>
      <c r="I102" s="42">
        <v>7214.2000000000007</v>
      </c>
      <c r="J102" s="42">
        <v>22638.800000000003</v>
      </c>
      <c r="K102" s="42">
        <v>78012.399999999994</v>
      </c>
      <c r="L102" s="49">
        <f>181206.1-46946.7</f>
        <v>134259.40000000002</v>
      </c>
      <c r="M102" s="70">
        <v>12766.1</v>
      </c>
      <c r="N102" s="51">
        <v>243.7999999999999</v>
      </c>
      <c r="O102" s="49">
        <f>36811.1+46946.7</f>
        <v>83757.799999999988</v>
      </c>
      <c r="P102" s="40">
        <f t="shared" si="18"/>
        <v>982516.8</v>
      </c>
      <c r="Q102" s="23"/>
      <c r="R102" s="23"/>
      <c r="S102" s="23"/>
      <c r="T102" s="23"/>
      <c r="V102" s="6"/>
      <c r="W102" s="6"/>
    </row>
    <row r="103" spans="1:23" s="43" customFormat="1" hidden="1" x14ac:dyDescent="0.25">
      <c r="A103" s="72" t="s">
        <v>77</v>
      </c>
      <c r="B103" s="56">
        <v>279872.20000000007</v>
      </c>
      <c r="C103" s="42">
        <v>171147.59999999995</v>
      </c>
      <c r="D103" s="54">
        <v>110807.5</v>
      </c>
      <c r="E103" s="42">
        <v>1059</v>
      </c>
      <c r="F103" s="42">
        <v>730</v>
      </c>
      <c r="G103" s="42">
        <v>54159.9</v>
      </c>
      <c r="H103" s="42">
        <v>35758.100000000006</v>
      </c>
      <c r="I103" s="42">
        <v>8429</v>
      </c>
      <c r="J103" s="42">
        <v>19663.100000000002</v>
      </c>
      <c r="K103" s="42">
        <v>66663.799999999988</v>
      </c>
      <c r="L103" s="49">
        <f>193582.4-48140</f>
        <v>145442.4</v>
      </c>
      <c r="M103" s="70">
        <v>14668</v>
      </c>
      <c r="N103" s="51">
        <v>-1331.6999999999994</v>
      </c>
      <c r="O103" s="49">
        <f>38483.4+48140</f>
        <v>86623.4</v>
      </c>
      <c r="P103" s="40">
        <f t="shared" si="18"/>
        <v>993692.3</v>
      </c>
      <c r="Q103" s="23"/>
      <c r="R103" s="23"/>
      <c r="S103" s="23"/>
      <c r="T103" s="23"/>
      <c r="V103" s="6"/>
      <c r="W103" s="6"/>
    </row>
    <row r="104" spans="1:23" s="43" customFormat="1" hidden="1" x14ac:dyDescent="0.25">
      <c r="A104" s="72" t="s">
        <v>78</v>
      </c>
      <c r="B104" s="56">
        <v>291353.00000000006</v>
      </c>
      <c r="C104" s="42">
        <v>171850.99999999997</v>
      </c>
      <c r="D104" s="54">
        <v>122533.10000000003</v>
      </c>
      <c r="E104" s="42">
        <v>890.59999999999991</v>
      </c>
      <c r="F104" s="42">
        <v>730</v>
      </c>
      <c r="G104" s="42">
        <v>42538</v>
      </c>
      <c r="H104" s="42">
        <v>30945.599999999999</v>
      </c>
      <c r="I104" s="42">
        <v>8883.2000000000007</v>
      </c>
      <c r="J104" s="42">
        <v>17402.400000000001</v>
      </c>
      <c r="K104" s="42">
        <v>71446.5</v>
      </c>
      <c r="L104" s="49">
        <f>193925.4-48492.7</f>
        <v>145432.70000000001</v>
      </c>
      <c r="M104" s="70">
        <v>16709.7</v>
      </c>
      <c r="N104" s="51">
        <v>-1151.4000000000001</v>
      </c>
      <c r="O104" s="49">
        <f>39181.4+48492.7</f>
        <v>87674.1</v>
      </c>
      <c r="P104" s="40">
        <f t="shared" si="18"/>
        <v>1007238.5</v>
      </c>
      <c r="Q104" s="23"/>
      <c r="R104" s="23"/>
      <c r="S104" s="23"/>
      <c r="T104" s="23"/>
      <c r="V104" s="6"/>
      <c r="W104" s="6"/>
    </row>
    <row r="105" spans="1:23" s="43" customFormat="1" hidden="1" x14ac:dyDescent="0.25">
      <c r="A105" s="72" t="s">
        <v>71</v>
      </c>
      <c r="B105" s="56">
        <v>293980.7</v>
      </c>
      <c r="C105" s="42">
        <v>171145.4</v>
      </c>
      <c r="D105" s="54">
        <v>125493.39999999998</v>
      </c>
      <c r="E105" s="42">
        <v>898.90000000000009</v>
      </c>
      <c r="F105" s="42">
        <v>500</v>
      </c>
      <c r="G105" s="42">
        <v>29462.9</v>
      </c>
      <c r="H105" s="42">
        <v>31514.299999999996</v>
      </c>
      <c r="I105" s="42">
        <v>10100.700000000001</v>
      </c>
      <c r="J105" s="42">
        <v>14680.300000000001</v>
      </c>
      <c r="K105" s="42">
        <v>60502.900000000009</v>
      </c>
      <c r="L105" s="49">
        <f>194765-49342.2</f>
        <v>145422.79999999999</v>
      </c>
      <c r="M105" s="70">
        <v>18133.500000000004</v>
      </c>
      <c r="N105" s="51">
        <v>-542.79999999999995</v>
      </c>
      <c r="O105" s="49">
        <f>37288.4+49342.2</f>
        <v>86630.6</v>
      </c>
      <c r="P105" s="40">
        <f t="shared" si="18"/>
        <v>987923.6</v>
      </c>
      <c r="Q105" s="23"/>
      <c r="R105" s="23"/>
      <c r="S105" s="23"/>
      <c r="T105" s="23"/>
      <c r="V105" s="6"/>
      <c r="W105" s="6"/>
    </row>
    <row r="106" spans="1:23" s="43" customFormat="1" hidden="1" x14ac:dyDescent="0.25">
      <c r="A106" s="72" t="s">
        <v>79</v>
      </c>
      <c r="B106" s="56">
        <v>292793.6999999999</v>
      </c>
      <c r="C106" s="42">
        <v>175792.3</v>
      </c>
      <c r="D106" s="54">
        <v>123242.3</v>
      </c>
      <c r="E106" s="42">
        <v>1079.9000000000001</v>
      </c>
      <c r="F106" s="42">
        <v>730</v>
      </c>
      <c r="G106" s="42">
        <v>15843.4</v>
      </c>
      <c r="H106" s="42">
        <v>45900.399999999994</v>
      </c>
      <c r="I106" s="42">
        <v>8197.4</v>
      </c>
      <c r="J106" s="42">
        <v>19189.199999999997</v>
      </c>
      <c r="K106" s="42">
        <v>64818.400000000009</v>
      </c>
      <c r="L106" s="49">
        <f>196202.4-50790</f>
        <v>145412.4</v>
      </c>
      <c r="M106" s="70">
        <v>19170</v>
      </c>
      <c r="N106" s="51">
        <v>1074.799999999997</v>
      </c>
      <c r="O106" s="49">
        <f>36900.5+50790</f>
        <v>87690.5</v>
      </c>
      <c r="P106" s="40">
        <f t="shared" si="18"/>
        <v>1000934.7000000001</v>
      </c>
      <c r="Q106" s="23"/>
      <c r="R106" s="23"/>
      <c r="S106" s="23"/>
      <c r="T106" s="23"/>
      <c r="V106" s="6"/>
      <c r="W106" s="6"/>
    </row>
    <row r="107" spans="1:23" s="43" customFormat="1" hidden="1" x14ac:dyDescent="0.25">
      <c r="A107" s="72" t="s">
        <v>80</v>
      </c>
      <c r="B107" s="56">
        <v>293338.90000000002</v>
      </c>
      <c r="C107" s="42">
        <v>186639.59999999998</v>
      </c>
      <c r="D107" s="54">
        <v>118476.09999999999</v>
      </c>
      <c r="E107" s="42">
        <v>1863.1</v>
      </c>
      <c r="F107" s="42">
        <v>430</v>
      </c>
      <c r="G107" s="42">
        <v>9145.9</v>
      </c>
      <c r="H107" s="42">
        <v>32077.999999999996</v>
      </c>
      <c r="I107" s="42">
        <v>9095.6</v>
      </c>
      <c r="J107" s="42">
        <v>30171.7</v>
      </c>
      <c r="K107" s="42">
        <v>69376.799999999988</v>
      </c>
      <c r="L107" s="49">
        <f>197486.7-52084.7</f>
        <v>145402</v>
      </c>
      <c r="M107" s="70">
        <v>20646.900000000001</v>
      </c>
      <c r="N107" s="51">
        <v>4053.7999999999965</v>
      </c>
      <c r="O107" s="49">
        <f>36620.2+52084.7</f>
        <v>88704.9</v>
      </c>
      <c r="P107" s="40">
        <f t="shared" si="18"/>
        <v>1009423.3</v>
      </c>
      <c r="Q107" s="23"/>
      <c r="R107" s="23"/>
      <c r="S107" s="23"/>
      <c r="T107" s="23"/>
      <c r="V107" s="6"/>
      <c r="W107" s="6"/>
    </row>
    <row r="108" spans="1:23" s="43" customFormat="1" hidden="1" x14ac:dyDescent="0.25">
      <c r="A108" s="72" t="s">
        <v>72</v>
      </c>
      <c r="B108" s="56">
        <v>315397.3000000001</v>
      </c>
      <c r="C108" s="42">
        <v>194074.10000000003</v>
      </c>
      <c r="D108" s="54">
        <v>126093.49999999999</v>
      </c>
      <c r="E108" s="42">
        <v>1801.0000000000002</v>
      </c>
      <c r="F108" s="42">
        <v>430</v>
      </c>
      <c r="G108" s="39" t="s">
        <v>41</v>
      </c>
      <c r="H108" s="42">
        <v>33508</v>
      </c>
      <c r="I108" s="42">
        <v>9660.5</v>
      </c>
      <c r="J108" s="42">
        <v>32270.799999999999</v>
      </c>
      <c r="K108" s="42">
        <v>62971.7</v>
      </c>
      <c r="L108" s="49">
        <f>214178.2-51707.5</f>
        <v>162470.70000000001</v>
      </c>
      <c r="M108" s="70">
        <v>20813.100000000002</v>
      </c>
      <c r="N108" s="51">
        <v>4358.7000000000007</v>
      </c>
      <c r="O108" s="49">
        <f>29127.2+51707.5</f>
        <v>80834.7</v>
      </c>
      <c r="P108" s="40">
        <f t="shared" si="18"/>
        <v>1044684.1</v>
      </c>
      <c r="Q108" s="23"/>
      <c r="R108" s="23"/>
      <c r="S108" s="23"/>
      <c r="T108" s="23"/>
      <c r="V108" s="6"/>
      <c r="W108" s="6"/>
    </row>
    <row r="109" spans="1:23" s="93" customFormat="1" x14ac:dyDescent="0.25">
      <c r="A109" s="100" t="s">
        <v>71</v>
      </c>
      <c r="B109" s="64">
        <f>416455.1+15756.1+7907.7+111</f>
        <v>440229.89999999997</v>
      </c>
      <c r="C109" s="67">
        <f>242880+18024.4</f>
        <v>260904.4</v>
      </c>
      <c r="D109" s="102">
        <f>12067+94911+65.7+984.5</f>
        <v>108028.2</v>
      </c>
      <c r="E109" s="105">
        <v>3677.6</v>
      </c>
      <c r="F109" s="105">
        <v>9113.9</v>
      </c>
      <c r="G109" s="105">
        <v>118763.8</v>
      </c>
      <c r="H109" s="64">
        <f>37858.9+6287.8+7211.9</f>
        <v>51358.600000000006</v>
      </c>
      <c r="I109" s="105">
        <v>13416.9</v>
      </c>
      <c r="J109" s="105">
        <v>934</v>
      </c>
      <c r="K109" s="105">
        <v>139965.1</v>
      </c>
      <c r="L109" s="57">
        <v>224795</v>
      </c>
      <c r="M109" s="107">
        <v>21976.799999999999</v>
      </c>
      <c r="N109" s="71">
        <f>128406.8-118763.8-665.7-5033-31.4-4818.8</f>
        <v>-905.900000000001</v>
      </c>
      <c r="O109" s="102">
        <f>52688.8-7211.9-7907.7+1434.4+148476.4</f>
        <v>187480</v>
      </c>
      <c r="P109" s="106">
        <f>SUM(B109:O109)</f>
        <v>1579738.3</v>
      </c>
      <c r="Q109" s="104"/>
      <c r="R109" s="104"/>
      <c r="S109" s="104"/>
      <c r="T109" s="104"/>
      <c r="V109" s="86"/>
      <c r="W109" s="86"/>
    </row>
    <row r="110" spans="1:23" s="43" customFormat="1" x14ac:dyDescent="0.25">
      <c r="A110" s="61"/>
      <c r="B110" s="56"/>
      <c r="C110" s="42"/>
      <c r="D110" s="54"/>
      <c r="E110" s="42"/>
      <c r="F110" s="42"/>
      <c r="G110" s="39"/>
      <c r="H110" s="42"/>
      <c r="I110" s="42"/>
      <c r="J110" s="42"/>
      <c r="K110" s="42"/>
      <c r="L110" s="49"/>
      <c r="M110" s="70"/>
      <c r="N110" s="51"/>
      <c r="O110" s="49"/>
      <c r="P110" s="40"/>
      <c r="Q110" s="23"/>
      <c r="R110" s="23"/>
      <c r="S110" s="23"/>
      <c r="T110" s="23"/>
      <c r="V110" s="6"/>
      <c r="W110" s="6"/>
    </row>
    <row r="111" spans="1:23" hidden="1" x14ac:dyDescent="0.25">
      <c r="A111" s="60" t="s">
        <v>58</v>
      </c>
      <c r="B111" s="55">
        <v>314355.3</v>
      </c>
      <c r="C111" s="38">
        <v>196412.90000000002</v>
      </c>
      <c r="D111" s="53">
        <v>131988.90000000002</v>
      </c>
      <c r="E111" s="38">
        <v>1106.8000000000002</v>
      </c>
      <c r="F111" s="38">
        <v>1430</v>
      </c>
      <c r="G111" s="38">
        <v>586.9</v>
      </c>
      <c r="H111" s="38">
        <v>34056</v>
      </c>
      <c r="I111" s="38">
        <v>13243.399999999998</v>
      </c>
      <c r="J111" s="38">
        <v>31935.7</v>
      </c>
      <c r="K111" s="38">
        <v>68564.5</v>
      </c>
      <c r="L111" s="49">
        <f>215425.5-52965.4</f>
        <v>162460.1</v>
      </c>
      <c r="M111" s="70">
        <v>22701.600000000002</v>
      </c>
      <c r="N111" s="51">
        <v>-295.80000000000069</v>
      </c>
      <c r="O111" s="49">
        <f>37697.7+52965.4</f>
        <v>90663.1</v>
      </c>
      <c r="P111" s="40">
        <f t="shared" si="18"/>
        <v>1069209.4000000001</v>
      </c>
      <c r="Q111" s="23"/>
      <c r="R111" s="23"/>
      <c r="S111" s="23"/>
      <c r="T111" s="23"/>
    </row>
    <row r="112" spans="1:23" hidden="1" x14ac:dyDescent="0.25">
      <c r="A112" s="72" t="s">
        <v>82</v>
      </c>
      <c r="B112" s="55">
        <v>320530.79999999993</v>
      </c>
      <c r="C112" s="38">
        <v>193232.80000000002</v>
      </c>
      <c r="D112" s="53">
        <v>146959.40000000002</v>
      </c>
      <c r="E112" s="38">
        <v>1023.4000000000001</v>
      </c>
      <c r="F112" s="38">
        <v>1430</v>
      </c>
      <c r="G112" s="38">
        <v>11950.7</v>
      </c>
      <c r="H112" s="38">
        <v>26800.900000000009</v>
      </c>
      <c r="I112" s="38">
        <v>13352.4</v>
      </c>
      <c r="J112" s="38">
        <v>31572.800000000003</v>
      </c>
      <c r="K112" s="38">
        <v>69500.799999999988</v>
      </c>
      <c r="L112" s="49">
        <f>216698.8-54249.9</f>
        <v>162448.9</v>
      </c>
      <c r="M112" s="70">
        <v>24801.3</v>
      </c>
      <c r="N112" s="51">
        <v>3838.2999999999975</v>
      </c>
      <c r="O112" s="49">
        <f>42990.4+54249.9</f>
        <v>97240.3</v>
      </c>
      <c r="P112" s="40">
        <f t="shared" si="18"/>
        <v>1104682.8</v>
      </c>
      <c r="Q112" s="23"/>
      <c r="R112" s="23"/>
      <c r="S112" s="23"/>
      <c r="T112" s="23"/>
    </row>
    <row r="113" spans="1:23" hidden="1" x14ac:dyDescent="0.25">
      <c r="A113" s="72" t="s">
        <v>83</v>
      </c>
      <c r="B113" s="55">
        <v>322161.30000000005</v>
      </c>
      <c r="C113" s="38">
        <v>200069.49999999997</v>
      </c>
      <c r="D113" s="53">
        <v>138016.40000000002</v>
      </c>
      <c r="E113" s="38">
        <v>1118.7000000000003</v>
      </c>
      <c r="F113" s="38">
        <v>1430</v>
      </c>
      <c r="G113" s="38">
        <v>7591.1</v>
      </c>
      <c r="H113" s="38">
        <v>48811.099999999991</v>
      </c>
      <c r="I113" s="38">
        <v>11006.099999999999</v>
      </c>
      <c r="J113" s="38">
        <v>28700.899999999998</v>
      </c>
      <c r="K113" s="38">
        <v>64129.799999999996</v>
      </c>
      <c r="L113" s="49">
        <f>229344.6-57339.6</f>
        <v>172005</v>
      </c>
      <c r="M113" s="70">
        <v>8212.7000000000007</v>
      </c>
      <c r="N113" s="51">
        <v>2197.2999999999988</v>
      </c>
      <c r="O113" s="49">
        <f>36328.3+57339.6</f>
        <v>93667.9</v>
      </c>
      <c r="P113" s="40">
        <f t="shared" si="18"/>
        <v>1099117.8</v>
      </c>
      <c r="Q113" s="23"/>
      <c r="R113" s="23"/>
      <c r="S113" s="23"/>
      <c r="T113" s="23"/>
    </row>
    <row r="114" spans="1:23" hidden="1" x14ac:dyDescent="0.25">
      <c r="A114" s="72" t="s">
        <v>84</v>
      </c>
      <c r="B114" s="55">
        <v>325202.30000000005</v>
      </c>
      <c r="C114" s="38">
        <v>211141.69999999995</v>
      </c>
      <c r="D114" s="53">
        <v>144498.9</v>
      </c>
      <c r="E114" s="38">
        <v>1135.3</v>
      </c>
      <c r="F114" s="38">
        <v>430</v>
      </c>
      <c r="G114" s="38">
        <v>710.4</v>
      </c>
      <c r="H114" s="38">
        <v>31130.799999999999</v>
      </c>
      <c r="I114" s="38">
        <v>11371.4</v>
      </c>
      <c r="J114" s="38">
        <v>24906.100000000002</v>
      </c>
      <c r="K114" s="38">
        <v>57243.500000000007</v>
      </c>
      <c r="L114" s="49">
        <f>229137.2-57143.3</f>
        <v>171993.90000000002</v>
      </c>
      <c r="M114" s="70">
        <v>10963.900000000001</v>
      </c>
      <c r="N114" s="51">
        <v>148.49999999999932</v>
      </c>
      <c r="O114" s="49">
        <f>32317.7+57143.3</f>
        <v>89461</v>
      </c>
      <c r="P114" s="40">
        <f t="shared" si="18"/>
        <v>1080337.7000000002</v>
      </c>
      <c r="Q114" s="23"/>
      <c r="R114" s="23"/>
      <c r="S114" s="23"/>
      <c r="T114" s="23"/>
    </row>
    <row r="115" spans="1:23" s="86" customFormat="1" hidden="1" x14ac:dyDescent="0.25">
      <c r="A115" s="100" t="s">
        <v>76</v>
      </c>
      <c r="B115" s="98">
        <v>330456.99999999988</v>
      </c>
      <c r="C115" s="88">
        <v>211021.00000000003</v>
      </c>
      <c r="D115" s="96">
        <v>138074.9</v>
      </c>
      <c r="E115" s="88">
        <v>1457.7</v>
      </c>
      <c r="F115" s="88">
        <v>430</v>
      </c>
      <c r="G115" s="89" t="s">
        <v>41</v>
      </c>
      <c r="H115" s="88">
        <v>34143.800000000003</v>
      </c>
      <c r="I115" s="88">
        <v>9097.2000000000007</v>
      </c>
      <c r="J115" s="88">
        <v>23383.099999999995</v>
      </c>
      <c r="K115" s="88">
        <v>62889.8</v>
      </c>
      <c r="L115" s="94">
        <f>229629.6-57644.6</f>
        <v>171985</v>
      </c>
      <c r="M115" s="91">
        <v>13824.600000000002</v>
      </c>
      <c r="N115" s="95">
        <v>731.39999999999782</v>
      </c>
      <c r="O115" s="94">
        <f>35221.7+57644.6</f>
        <v>92866.299999999988</v>
      </c>
      <c r="P115" s="90">
        <f t="shared" si="18"/>
        <v>1090361.7999999998</v>
      </c>
      <c r="Q115" s="87"/>
      <c r="R115" s="87"/>
      <c r="S115" s="87"/>
      <c r="T115" s="87"/>
    </row>
    <row r="116" spans="1:23" s="84" customFormat="1" hidden="1" x14ac:dyDescent="0.25">
      <c r="A116" s="101" t="s">
        <v>70</v>
      </c>
      <c r="B116" s="98">
        <v>324693.09999999998</v>
      </c>
      <c r="C116" s="88">
        <v>207216.19999999998</v>
      </c>
      <c r="D116" s="96">
        <v>135180.99999999994</v>
      </c>
      <c r="E116" s="88">
        <v>1608.3</v>
      </c>
      <c r="F116" s="88">
        <v>1904.8</v>
      </c>
      <c r="G116" s="89" t="s">
        <v>41</v>
      </c>
      <c r="H116" s="88">
        <v>47608.2</v>
      </c>
      <c r="I116" s="88">
        <v>8442.7999999999993</v>
      </c>
      <c r="J116" s="88">
        <v>22174.100000000002</v>
      </c>
      <c r="K116" s="88">
        <v>64040.999999999993</v>
      </c>
      <c r="L116" s="94">
        <v>233211.80000000002</v>
      </c>
      <c r="M116" s="91">
        <v>15155.099999999999</v>
      </c>
      <c r="N116" s="95">
        <v>-5013.2</v>
      </c>
      <c r="O116" s="94">
        <v>37072.399999999994</v>
      </c>
      <c r="P116" s="90">
        <v>1093295.5999999999</v>
      </c>
      <c r="Q116" s="87"/>
      <c r="R116" s="87"/>
      <c r="S116" s="87"/>
      <c r="T116" s="87"/>
      <c r="U116" s="85"/>
      <c r="V116" s="85"/>
      <c r="W116" s="85"/>
    </row>
    <row r="117" spans="1:23" hidden="1" x14ac:dyDescent="0.25">
      <c r="A117" s="72" t="s">
        <v>77</v>
      </c>
      <c r="B117" s="55">
        <v>329900.59999999998</v>
      </c>
      <c r="C117" s="38">
        <v>202877.4</v>
      </c>
      <c r="D117" s="53">
        <v>139475.70000000004</v>
      </c>
      <c r="E117" s="38">
        <v>1271.1000000000001</v>
      </c>
      <c r="F117" s="38">
        <v>1930</v>
      </c>
      <c r="G117" s="39" t="s">
        <v>41</v>
      </c>
      <c r="H117" s="38">
        <v>37699.39999999998</v>
      </c>
      <c r="I117" s="38">
        <v>9384</v>
      </c>
      <c r="J117" s="38">
        <v>27952.999999999996</v>
      </c>
      <c r="K117" s="38">
        <v>93196.400000000023</v>
      </c>
      <c r="L117" s="49">
        <f>235014.7-61890.8</f>
        <v>173123.90000000002</v>
      </c>
      <c r="M117" s="70">
        <v>16218.6</v>
      </c>
      <c r="N117" s="51">
        <v>3331.7999999999997</v>
      </c>
      <c r="O117" s="49">
        <f>49887.1+61890.8</f>
        <v>111777.9</v>
      </c>
      <c r="P117" s="40">
        <f t="shared" si="18"/>
        <v>1148139.8</v>
      </c>
      <c r="Q117" s="23"/>
      <c r="R117" s="23"/>
      <c r="S117" s="23"/>
      <c r="T117" s="23"/>
    </row>
    <row r="118" spans="1:23" hidden="1" x14ac:dyDescent="0.25">
      <c r="A118" s="100" t="s">
        <v>78</v>
      </c>
      <c r="B118" s="55">
        <v>340755.1</v>
      </c>
      <c r="C118" s="38">
        <v>209466.10000000006</v>
      </c>
      <c r="D118" s="53">
        <v>133853.5</v>
      </c>
      <c r="E118" s="38">
        <v>821.90000000000009</v>
      </c>
      <c r="F118" s="38">
        <v>430</v>
      </c>
      <c r="G118" s="39" t="s">
        <v>41</v>
      </c>
      <c r="H118" s="38">
        <v>36248.800000000003</v>
      </c>
      <c r="I118" s="38">
        <v>8481.4</v>
      </c>
      <c r="J118" s="38">
        <v>26682.2</v>
      </c>
      <c r="K118" s="38">
        <v>97191.5</v>
      </c>
      <c r="L118" s="49">
        <f>236201.1-63086.7</f>
        <v>173114.40000000002</v>
      </c>
      <c r="M118" s="70">
        <v>18653.5</v>
      </c>
      <c r="N118" s="51">
        <v>-700.30000000000041</v>
      </c>
      <c r="O118" s="49">
        <f>54297.4+63086.7</f>
        <v>117384.1</v>
      </c>
      <c r="P118" s="40">
        <f t="shared" si="18"/>
        <v>1162382.2000000002</v>
      </c>
      <c r="Q118" s="23"/>
      <c r="R118" s="23"/>
      <c r="S118" s="23"/>
      <c r="T118" s="23"/>
    </row>
    <row r="119" spans="1:23" hidden="1" x14ac:dyDescent="0.25">
      <c r="A119" s="100" t="s">
        <v>101</v>
      </c>
      <c r="B119" s="55">
        <v>343422.09999999992</v>
      </c>
      <c r="C119" s="38">
        <v>216634.59999999998</v>
      </c>
      <c r="D119" s="53">
        <v>132907.30000000005</v>
      </c>
      <c r="E119" s="38">
        <v>1411.8</v>
      </c>
      <c r="F119" s="38">
        <v>200</v>
      </c>
      <c r="G119" s="39" t="s">
        <v>41</v>
      </c>
      <c r="H119" s="38">
        <v>47008.600000000006</v>
      </c>
      <c r="I119" s="38">
        <v>8065.6</v>
      </c>
      <c r="J119" s="38">
        <v>23839.200000000001</v>
      </c>
      <c r="K119" s="38">
        <v>97088.099999999991</v>
      </c>
      <c r="L119" s="49">
        <f>237758.7-64673.3</f>
        <v>173085.40000000002</v>
      </c>
      <c r="M119" s="70">
        <v>20594.5</v>
      </c>
      <c r="N119" s="51">
        <v>107.89999999999984</v>
      </c>
      <c r="O119" s="49">
        <f>54273.6+64673.3</f>
        <v>118946.9</v>
      </c>
      <c r="P119" s="40">
        <f t="shared" si="18"/>
        <v>1183311.9999999998</v>
      </c>
      <c r="Q119" s="23"/>
      <c r="R119" s="23"/>
      <c r="S119" s="23"/>
      <c r="T119" s="23"/>
    </row>
    <row r="120" spans="1:23" hidden="1" x14ac:dyDescent="0.25">
      <c r="A120" s="100" t="s">
        <v>102</v>
      </c>
      <c r="B120" s="55">
        <v>350118.8</v>
      </c>
      <c r="C120" s="38">
        <v>215374.80000000002</v>
      </c>
      <c r="D120" s="53">
        <v>135931.29999999999</v>
      </c>
      <c r="E120" s="38">
        <v>1657.5000000000002</v>
      </c>
      <c r="F120" s="38">
        <v>430</v>
      </c>
      <c r="G120" s="39" t="s">
        <v>41</v>
      </c>
      <c r="H120" s="38">
        <v>29615.399999999998</v>
      </c>
      <c r="I120" s="38">
        <v>9945</v>
      </c>
      <c r="J120" s="38">
        <v>26203.8</v>
      </c>
      <c r="K120" s="38">
        <v>93801</v>
      </c>
      <c r="L120" s="49">
        <f>240031.4-66957.6</f>
        <v>173073.8</v>
      </c>
      <c r="M120" s="70">
        <v>22401.499999999996</v>
      </c>
      <c r="N120" s="51">
        <v>-731.69999999999845</v>
      </c>
      <c r="O120" s="49">
        <f>54287.8+66957.6</f>
        <v>121245.40000000001</v>
      </c>
      <c r="P120" s="40">
        <f t="shared" si="18"/>
        <v>1179066.5999999999</v>
      </c>
      <c r="Q120" s="23"/>
      <c r="R120" s="23"/>
      <c r="S120" s="23"/>
      <c r="T120" s="23"/>
    </row>
    <row r="121" spans="1:23" hidden="1" x14ac:dyDescent="0.25">
      <c r="A121" s="100" t="s">
        <v>103</v>
      </c>
      <c r="B121" s="55">
        <v>343609.69999999995</v>
      </c>
      <c r="C121" s="38">
        <v>223458.1</v>
      </c>
      <c r="D121" s="53">
        <v>132448.29999999999</v>
      </c>
      <c r="E121" s="38">
        <v>1156.8</v>
      </c>
      <c r="F121" s="38">
        <v>430</v>
      </c>
      <c r="G121" s="39" t="s">
        <v>41</v>
      </c>
      <c r="H121" s="38">
        <v>38063.500000000015</v>
      </c>
      <c r="I121" s="38">
        <v>10511.900000000001</v>
      </c>
      <c r="J121" s="38">
        <v>24332.000000000004</v>
      </c>
      <c r="K121" s="38">
        <v>94747.3</v>
      </c>
      <c r="L121" s="49">
        <f>243891.6-67896.4</f>
        <v>175995.2</v>
      </c>
      <c r="M121" s="70">
        <v>24831.399999999998</v>
      </c>
      <c r="N121" s="51">
        <v>308.69999999999817</v>
      </c>
      <c r="O121" s="49">
        <f>50573.7+67896.4</f>
        <v>118470.09999999999</v>
      </c>
      <c r="P121" s="40">
        <f t="shared" si="18"/>
        <v>1188363</v>
      </c>
      <c r="Q121" s="23"/>
      <c r="R121" s="23"/>
      <c r="S121" s="23"/>
      <c r="T121" s="23"/>
    </row>
    <row r="122" spans="1:23" hidden="1" x14ac:dyDescent="0.25">
      <c r="A122" s="100" t="s">
        <v>104</v>
      </c>
      <c r="B122" s="55">
        <v>360175.89999999991</v>
      </c>
      <c r="C122" s="38">
        <v>225312.40000000002</v>
      </c>
      <c r="D122" s="53">
        <v>134561.49999999997</v>
      </c>
      <c r="E122" s="38">
        <v>1446.5</v>
      </c>
      <c r="F122" s="38">
        <v>430</v>
      </c>
      <c r="G122" s="39" t="s">
        <v>41</v>
      </c>
      <c r="H122" s="38">
        <v>51086.3</v>
      </c>
      <c r="I122" s="38">
        <v>9056.5</v>
      </c>
      <c r="J122" s="38">
        <v>22059.600000000002</v>
      </c>
      <c r="K122" s="38">
        <v>89788.900000000009</v>
      </c>
      <c r="L122" s="49">
        <f>254713.8-68954.2</f>
        <v>185759.59999999998</v>
      </c>
      <c r="M122" s="70">
        <v>21766.899999999998</v>
      </c>
      <c r="N122" s="51">
        <v>-40.700000000000188</v>
      </c>
      <c r="O122" s="49">
        <f>47659.2+68954.2</f>
        <v>116613.4</v>
      </c>
      <c r="P122" s="40">
        <f t="shared" si="18"/>
        <v>1218016.7999999998</v>
      </c>
      <c r="Q122" s="23"/>
      <c r="R122" s="23"/>
      <c r="S122" s="23"/>
      <c r="T122" s="23"/>
    </row>
    <row r="123" spans="1:23" hidden="1" x14ac:dyDescent="0.25">
      <c r="A123" s="60" t="s">
        <v>81</v>
      </c>
      <c r="B123" s="55">
        <v>344496.59999999992</v>
      </c>
      <c r="C123" s="38">
        <v>231102</v>
      </c>
      <c r="D123" s="53">
        <v>134492.79999999999</v>
      </c>
      <c r="E123" s="38">
        <v>979</v>
      </c>
      <c r="F123" s="38">
        <v>430</v>
      </c>
      <c r="G123" s="39" t="s">
        <v>41</v>
      </c>
      <c r="H123" s="38">
        <v>36549.5</v>
      </c>
      <c r="I123" s="38">
        <v>10394.200000000001</v>
      </c>
      <c r="J123" s="38">
        <v>26613.999999999996</v>
      </c>
      <c r="K123" s="38">
        <v>99764.6</v>
      </c>
      <c r="L123" s="49">
        <f>255257.9-69800.2</f>
        <v>185457.7</v>
      </c>
      <c r="M123" s="70">
        <v>23367.8</v>
      </c>
      <c r="N123" s="51">
        <v>-367.7</v>
      </c>
      <c r="O123" s="49">
        <f>51115.5+69800.2</f>
        <v>120915.7</v>
      </c>
      <c r="P123" s="40">
        <f t="shared" si="18"/>
        <v>1214196.2</v>
      </c>
      <c r="Q123" s="23"/>
      <c r="R123" s="23"/>
      <c r="S123" s="23"/>
      <c r="T123" s="23"/>
    </row>
    <row r="124" spans="1:23" hidden="1" x14ac:dyDescent="0.25">
      <c r="A124" s="100" t="s">
        <v>107</v>
      </c>
      <c r="B124" s="8">
        <f>319762.9+11253.9+67.9</f>
        <v>331084.70000000007</v>
      </c>
      <c r="C124" s="34">
        <f>242594.7+2364.4-187.4-220.1-0.1</f>
        <v>244551.5</v>
      </c>
      <c r="D124" s="8">
        <f>142821.8+4470.5</f>
        <v>147292.29999999999</v>
      </c>
      <c r="E124" s="38">
        <v>836.4</v>
      </c>
      <c r="F124" s="38">
        <v>430</v>
      </c>
      <c r="G124" s="39">
        <v>100.9</v>
      </c>
      <c r="H124" s="8">
        <f>2581.8+32372.1+220.1+1777.1</f>
        <v>36951.1</v>
      </c>
      <c r="I124" s="38">
        <v>7641.8</v>
      </c>
      <c r="J124" s="38">
        <v>36611.300000000003</v>
      </c>
      <c r="K124" s="38">
        <f>92448.1+0.1</f>
        <v>92448.200000000012</v>
      </c>
      <c r="L124" s="65">
        <f>185426.9</f>
        <v>185426.9</v>
      </c>
      <c r="M124" s="70">
        <v>24102</v>
      </c>
      <c r="N124" s="71">
        <f>335.7+290.2+22300+187.4-16522.9-31.4</f>
        <v>6559.0000000000018</v>
      </c>
      <c r="O124" s="65">
        <f>66213.1-1777.1-11253.9-67.9-2364.4+72863.9</f>
        <v>123613.7</v>
      </c>
      <c r="P124" s="40">
        <f t="shared" ref="P124" si="19">SUM(B124:O124)</f>
        <v>1237649.8</v>
      </c>
      <c r="Q124" s="23"/>
      <c r="R124" s="23"/>
      <c r="S124" s="23"/>
      <c r="T124" s="23"/>
    </row>
    <row r="125" spans="1:23" hidden="1" x14ac:dyDescent="0.25">
      <c r="A125" s="100" t="s">
        <v>74</v>
      </c>
      <c r="B125" s="8">
        <f>333938.4+11781.2+477.3</f>
        <v>346196.9</v>
      </c>
      <c r="C125" s="34">
        <f>242977.3+2474.5-168.4-180.5-0.1</f>
        <v>245102.8</v>
      </c>
      <c r="D125" s="8">
        <f>144909.8+4605</f>
        <v>149514.79999999999</v>
      </c>
      <c r="E125" s="38">
        <v>1164.5999999999999</v>
      </c>
      <c r="F125" s="38">
        <v>430</v>
      </c>
      <c r="G125" s="63" t="s">
        <v>41</v>
      </c>
      <c r="H125" s="8">
        <f>9051+33558.7+180.5+1786.5</f>
        <v>44576.7</v>
      </c>
      <c r="I125" s="38">
        <v>7987.7</v>
      </c>
      <c r="J125" s="38">
        <v>28923.4</v>
      </c>
      <c r="K125" s="38">
        <f>100768.7+0.1</f>
        <v>100768.8</v>
      </c>
      <c r="L125" s="65">
        <f>189667.8</f>
        <v>189667.8</v>
      </c>
      <c r="M125" s="70">
        <v>16378.5</v>
      </c>
      <c r="N125" s="71">
        <f>717.1+266.6+9800+168.4-13924.5-31.4</f>
        <v>-3003.7999999999997</v>
      </c>
      <c r="O125" s="65">
        <f>58451.4-1786.5-11781.2-477.3-2474.5+75003</f>
        <v>116934.9</v>
      </c>
      <c r="P125" s="40">
        <f t="shared" ref="P125" si="20">SUM(B125:O125)</f>
        <v>1244643.0999999999</v>
      </c>
      <c r="Q125" s="23"/>
      <c r="R125" s="23"/>
      <c r="S125" s="23"/>
      <c r="T125" s="23"/>
    </row>
    <row r="126" spans="1:23" hidden="1" x14ac:dyDescent="0.25">
      <c r="A126" s="100" t="s">
        <v>109</v>
      </c>
      <c r="B126" s="8">
        <f>345795.4+12168.1+78.4</f>
        <v>358041.9</v>
      </c>
      <c r="C126" s="34">
        <f>246224.2+2680.9-218.5-191.4-0.2</f>
        <v>248495</v>
      </c>
      <c r="D126" s="8">
        <f>156018.9+5996.9</f>
        <v>162015.79999999999</v>
      </c>
      <c r="E126" s="38">
        <v>1392.1</v>
      </c>
      <c r="F126" s="38">
        <v>430</v>
      </c>
      <c r="G126" s="63" t="s">
        <v>41</v>
      </c>
      <c r="H126" s="8">
        <f>2882+32748.8+191.4+1985.1</f>
        <v>37807.300000000003</v>
      </c>
      <c r="I126" s="38">
        <v>7479.1</v>
      </c>
      <c r="J126" s="38">
        <v>23495.599999999999</v>
      </c>
      <c r="K126" s="38">
        <f>107327.5+0.2</f>
        <v>107327.7</v>
      </c>
      <c r="L126" s="65">
        <f>190120.8</f>
        <v>190120.8</v>
      </c>
      <c r="M126" s="70">
        <v>15472.3</v>
      </c>
      <c r="N126" s="71">
        <f>378.6+337.1+12573.3+218.5-12537.1-31.4</f>
        <v>938.99999999999966</v>
      </c>
      <c r="O126" s="65">
        <f>61996.5-1985.1-12168.1-78.4-2680.9+75774.1</f>
        <v>120858.1</v>
      </c>
      <c r="P126" s="40">
        <f t="shared" ref="P126:P129" si="21">SUM(B126:O126)</f>
        <v>1273874.7</v>
      </c>
      <c r="Q126" s="23"/>
      <c r="R126" s="23"/>
      <c r="S126" s="23"/>
      <c r="T126" s="23"/>
    </row>
    <row r="127" spans="1:23" hidden="1" x14ac:dyDescent="0.25">
      <c r="A127" s="100" t="s">
        <v>110</v>
      </c>
      <c r="B127" s="64">
        <v>357861.7</v>
      </c>
      <c r="C127" s="67">
        <v>249050.69999999998</v>
      </c>
      <c r="D127" s="64">
        <v>147762.20000000001</v>
      </c>
      <c r="E127" s="68">
        <v>1045</v>
      </c>
      <c r="F127" s="68">
        <v>480</v>
      </c>
      <c r="G127" s="73">
        <v>24.3</v>
      </c>
      <c r="H127" s="64">
        <v>36232.400000000001</v>
      </c>
      <c r="I127" s="68">
        <v>6780.4</v>
      </c>
      <c r="J127" s="68">
        <v>25618.3</v>
      </c>
      <c r="K127" s="68">
        <f>101540+0.2</f>
        <v>101540.2</v>
      </c>
      <c r="L127" s="65">
        <f>267545.4-77424.1</f>
        <v>190121.30000000002</v>
      </c>
      <c r="M127" s="70">
        <v>17198.5</v>
      </c>
      <c r="N127" s="71">
        <v>-1872.5000000000005</v>
      </c>
      <c r="O127" s="65">
        <f>46679.4+77424.1</f>
        <v>124103.5</v>
      </c>
      <c r="P127" s="69">
        <f t="shared" si="21"/>
        <v>1255946.0000000002</v>
      </c>
      <c r="Q127" s="66"/>
      <c r="R127" s="66"/>
      <c r="S127" s="66"/>
      <c r="T127" s="66"/>
    </row>
    <row r="128" spans="1:23" hidden="1" x14ac:dyDescent="0.25">
      <c r="A128" s="72" t="s">
        <v>112</v>
      </c>
      <c r="B128" s="64">
        <v>376790.5</v>
      </c>
      <c r="C128" s="67">
        <v>245749.99999999997</v>
      </c>
      <c r="D128" s="64">
        <v>145441.79999999999</v>
      </c>
      <c r="E128" s="68">
        <v>1983.8</v>
      </c>
      <c r="F128" s="68">
        <v>250</v>
      </c>
      <c r="G128" s="68" t="s">
        <v>41</v>
      </c>
      <c r="H128" s="64">
        <v>47204.4</v>
      </c>
      <c r="I128" s="68">
        <v>8690.2999999999993</v>
      </c>
      <c r="J128" s="68">
        <v>19697.099999999999</v>
      </c>
      <c r="K128" s="68">
        <f>102707.1+0.4</f>
        <v>102707.5</v>
      </c>
      <c r="L128" s="65">
        <f>276173.1-83001.7</f>
        <v>193171.39999999997</v>
      </c>
      <c r="M128" s="70">
        <v>16946.7</v>
      </c>
      <c r="N128" s="71">
        <v>-3731.7999999999993</v>
      </c>
      <c r="O128" s="65">
        <f>44373.2+83001.7</f>
        <v>127374.9</v>
      </c>
      <c r="P128" s="69">
        <f t="shared" si="21"/>
        <v>1282276.5999999999</v>
      </c>
      <c r="Q128" s="66"/>
      <c r="R128" s="66"/>
      <c r="S128" s="66"/>
      <c r="T128" s="66"/>
    </row>
    <row r="129" spans="1:20" hidden="1" x14ac:dyDescent="0.25">
      <c r="A129" s="72" t="s">
        <v>116</v>
      </c>
      <c r="B129" s="64">
        <f>355658.4+13665.1+8413.3+244.5</f>
        <v>377981.3</v>
      </c>
      <c r="C129" s="67">
        <f>239370.5+3616.4-189.9-257.4-2+11728.1</f>
        <v>254265.7</v>
      </c>
      <c r="D129" s="64">
        <f>159805.9+7660.7</f>
        <v>167466.6</v>
      </c>
      <c r="E129" s="68">
        <v>1297.8</v>
      </c>
      <c r="F129" s="68">
        <v>280</v>
      </c>
      <c r="G129" s="68" t="s">
        <v>41</v>
      </c>
      <c r="H129" s="64">
        <f>2348.3+38665.1+257.4+1304.9</f>
        <v>42575.700000000004</v>
      </c>
      <c r="I129" s="68">
        <v>9695.1</v>
      </c>
      <c r="J129" s="68">
        <v>21321.7</v>
      </c>
      <c r="K129" s="68">
        <f>108563.8+2</f>
        <v>108565.8</v>
      </c>
      <c r="L129" s="65">
        <f>193278.2</f>
        <v>193278.2</v>
      </c>
      <c r="M129" s="70">
        <v>18872.8</v>
      </c>
      <c r="N129" s="71">
        <f>-340.7+119.9+1500+189.9-6155.1-31.4-0.1</f>
        <v>-4717.5</v>
      </c>
      <c r="O129" s="65">
        <f>64673.8-1304.9-13665.1-244.5-3616.4+84805.9</f>
        <v>130648.79999999999</v>
      </c>
      <c r="P129" s="69">
        <f t="shared" si="21"/>
        <v>1321532</v>
      </c>
      <c r="Q129" s="66"/>
      <c r="R129" s="66"/>
      <c r="S129" s="66"/>
      <c r="T129" s="66"/>
    </row>
    <row r="130" spans="1:20" hidden="1" x14ac:dyDescent="0.25">
      <c r="A130" s="72" t="s">
        <v>115</v>
      </c>
      <c r="B130" s="64">
        <f>362172.1+11982.5+9923.8+227.5</f>
        <v>384305.89999999997</v>
      </c>
      <c r="C130" s="67">
        <f>238744.6+4057.9-173.2-267-0.8+11156.6</f>
        <v>253518.1</v>
      </c>
      <c r="D130" s="64">
        <f>151394.8+7616.6</f>
        <v>159011.4</v>
      </c>
      <c r="E130" s="68">
        <v>1441.4</v>
      </c>
      <c r="F130" s="68">
        <v>280</v>
      </c>
      <c r="G130" s="68" t="s">
        <v>41</v>
      </c>
      <c r="H130" s="64">
        <f>2607.9+39236.3+267+1420.7</f>
        <v>43531.9</v>
      </c>
      <c r="I130" s="68">
        <v>6237.9</v>
      </c>
      <c r="J130" s="68">
        <v>15180.1</v>
      </c>
      <c r="K130" s="68">
        <f>125444.3+0.8</f>
        <v>125445.1</v>
      </c>
      <c r="L130" s="65">
        <f>193266.9</f>
        <v>193266.9</v>
      </c>
      <c r="M130" s="70">
        <v>21790.5</v>
      </c>
      <c r="N130" s="71">
        <f>-405.9+123.3+173.2-4661.2-31.4-0.1</f>
        <v>-4802.0999999999995</v>
      </c>
      <c r="O130" s="65">
        <f>61209.1-1420.7-11982.5-227.5-4057.9+85777.7</f>
        <v>129298.2</v>
      </c>
      <c r="P130" s="69">
        <f t="shared" ref="P130" si="22">SUM(B130:O130)</f>
        <v>1328505.2999999998</v>
      </c>
      <c r="Q130" s="66"/>
      <c r="R130" s="66"/>
      <c r="S130" s="66"/>
      <c r="T130" s="66"/>
    </row>
    <row r="131" spans="1:20" hidden="1" x14ac:dyDescent="0.25">
      <c r="A131" s="72" t="s">
        <v>117</v>
      </c>
      <c r="B131" s="64">
        <f>340534+29657.7+8632.8+211.7</f>
        <v>379036.2</v>
      </c>
      <c r="C131" s="67">
        <f>225034.7+4093.6-194-274.4-2+11457.2</f>
        <v>240115.10000000003</v>
      </c>
      <c r="D131" s="64">
        <f>142351.4+5807.1</f>
        <v>148158.5</v>
      </c>
      <c r="E131" s="68">
        <v>2127.3000000000002</v>
      </c>
      <c r="F131" s="68">
        <v>230</v>
      </c>
      <c r="G131" s="68" t="s">
        <v>41</v>
      </c>
      <c r="H131" s="64">
        <f>13547.9+37084.3+274.4+1540.6</f>
        <v>52447.200000000004</v>
      </c>
      <c r="I131" s="68">
        <v>9825.5</v>
      </c>
      <c r="J131" s="68">
        <v>14050.2</v>
      </c>
      <c r="K131" s="68">
        <f>123900.5+3</f>
        <v>123903.5</v>
      </c>
      <c r="L131" s="65">
        <f>193246.4</f>
        <v>193246.4</v>
      </c>
      <c r="M131" s="70">
        <v>23804.1</v>
      </c>
      <c r="N131" s="71">
        <f>-304+5115.1+194-11195.2-31.4-0.1-1</f>
        <v>-6222.6</v>
      </c>
      <c r="O131" s="65">
        <f>77056.8-1540.6-29657.7-211.7-4093.6+88177.2</f>
        <v>129730.4</v>
      </c>
      <c r="P131" s="69">
        <f t="shared" ref="P131" si="23">SUM(B131:O131)</f>
        <v>1310451.7999999998</v>
      </c>
      <c r="Q131" s="66"/>
      <c r="R131" s="66"/>
      <c r="S131" s="66"/>
      <c r="T131" s="66"/>
    </row>
    <row r="132" spans="1:20" hidden="1" x14ac:dyDescent="0.25">
      <c r="A132" s="72" t="s">
        <v>118</v>
      </c>
      <c r="B132" s="64">
        <f>383617.8+12929.6+12270.2+167.2</f>
        <v>408984.8</v>
      </c>
      <c r="C132" s="67">
        <f>223373.1+4361.5-201.1-335.8-0.9+13231.9</f>
        <v>240428.7</v>
      </c>
      <c r="D132" s="64">
        <f>148322.8+5793.1</f>
        <v>154115.9</v>
      </c>
      <c r="E132" s="68">
        <v>2114.6</v>
      </c>
      <c r="F132" s="68">
        <v>230</v>
      </c>
      <c r="G132" s="68" t="s">
        <v>41</v>
      </c>
      <c r="H132" s="64">
        <f>2992.1+36219.7+335.8+1381.9</f>
        <v>40929.5</v>
      </c>
      <c r="I132" s="68">
        <v>11710.6</v>
      </c>
      <c r="J132" s="68">
        <v>16765.2</v>
      </c>
      <c r="K132" s="68">
        <f>126248.5+0.9</f>
        <v>126249.4</v>
      </c>
      <c r="L132" s="65">
        <f>195355.2</f>
        <v>195355.2</v>
      </c>
      <c r="M132" s="70">
        <v>25230</v>
      </c>
      <c r="N132" s="71">
        <f>-1060.9+2089+201.1-6662.6-31.4-0.1</f>
        <v>-5464.9000000000005</v>
      </c>
      <c r="O132" s="65">
        <f>60714-1381.9-12929.6-167.2-4361.5+89831.2</f>
        <v>131705</v>
      </c>
      <c r="P132" s="69">
        <f t="shared" ref="P132" si="24">SUM(B132:O132)</f>
        <v>1348354</v>
      </c>
      <c r="Q132" s="66"/>
      <c r="R132" s="66"/>
      <c r="S132" s="66"/>
      <c r="T132" s="66"/>
    </row>
    <row r="133" spans="1:20" x14ac:dyDescent="0.25">
      <c r="A133" s="72" t="s">
        <v>119</v>
      </c>
      <c r="B133" s="64">
        <f>368667.6+14698.6+12304+346.7</f>
        <v>396016.89999999997</v>
      </c>
      <c r="C133" s="67">
        <f>221357.8+4364.2-179.2-363-1.9+14878.9</f>
        <v>240056.8</v>
      </c>
      <c r="D133" s="64">
        <f>139170.3+6081.2</f>
        <v>145251.5</v>
      </c>
      <c r="E133" s="68">
        <v>2101.8000000000002</v>
      </c>
      <c r="F133" s="68">
        <v>230</v>
      </c>
      <c r="G133" s="68">
        <v>1537.5</v>
      </c>
      <c r="H133" s="64">
        <f>5760.9+37620.8+363+1022.5</f>
        <v>44767.200000000004</v>
      </c>
      <c r="I133" s="68">
        <v>10074.700000000001</v>
      </c>
      <c r="J133" s="68">
        <v>15167.6</v>
      </c>
      <c r="K133" s="68">
        <f>119263+1.9</f>
        <v>119264.9</v>
      </c>
      <c r="L133" s="65">
        <f>196825.8</f>
        <v>196825.8</v>
      </c>
      <c r="M133" s="70">
        <v>27592.400000000001</v>
      </c>
      <c r="N133" s="71">
        <f>388.9+8124.6+179.2-12662-31.4-0.1-1537.5</f>
        <v>-5538.2999999999993</v>
      </c>
      <c r="O133" s="65">
        <f>60430-1022.5-14698.6-346.7-4364.2+92108.2</f>
        <v>132106.20000000001</v>
      </c>
      <c r="P133" s="69">
        <f t="shared" ref="P133" si="25">SUM(B133:O133)</f>
        <v>1325454.9999999998</v>
      </c>
      <c r="Q133" s="66"/>
      <c r="R133" s="66"/>
      <c r="S133" s="66"/>
      <c r="T133" s="66"/>
    </row>
    <row r="134" spans="1:20" x14ac:dyDescent="0.25">
      <c r="A134" s="72" t="s">
        <v>72</v>
      </c>
      <c r="B134" s="64">
        <f>384456.1+15434.2+15905.7+200.5</f>
        <v>415996.5</v>
      </c>
      <c r="C134" s="67">
        <f>227786.6+1790.7-170.1-83+12998.2</f>
        <v>242322.40000000002</v>
      </c>
      <c r="D134" s="64">
        <f>156704.2+6505.5</f>
        <v>163209.70000000001</v>
      </c>
      <c r="E134" s="68">
        <v>1669.5</v>
      </c>
      <c r="F134" s="68">
        <v>230</v>
      </c>
      <c r="G134" s="88" t="s">
        <v>41</v>
      </c>
      <c r="H134" s="64">
        <f>10726.3+35243.7+83+2669.8</f>
        <v>48722.8</v>
      </c>
      <c r="I134" s="68">
        <v>9410.5</v>
      </c>
      <c r="J134" s="68">
        <v>17620.400000000001</v>
      </c>
      <c r="K134" s="68">
        <f>147751.8</f>
        <v>147751.79999999999</v>
      </c>
      <c r="L134" s="65">
        <f>205273.6</f>
        <v>205273.60000000001</v>
      </c>
      <c r="M134" s="70">
        <v>25746.6</v>
      </c>
      <c r="N134" s="71">
        <f>156.2+14013.4+170.1-16518.4-31.4-0.1-0.7</f>
        <v>-2210.9000000000005</v>
      </c>
      <c r="O134" s="65">
        <f>49124.9-2669.1-15434.2-200.5-1790.7+95865.1</f>
        <v>124895.5</v>
      </c>
      <c r="P134" s="69">
        <f t="shared" ref="P134" si="26">SUM(B134:O134)</f>
        <v>1400638.4000000004</v>
      </c>
      <c r="Q134" s="66"/>
      <c r="R134" s="66"/>
      <c r="S134" s="66"/>
      <c r="T134" s="66"/>
    </row>
    <row r="135" spans="1:20" x14ac:dyDescent="0.25">
      <c r="A135" s="74"/>
      <c r="B135" s="64"/>
      <c r="C135" s="67"/>
      <c r="D135" s="64"/>
      <c r="E135" s="68"/>
      <c r="F135" s="68"/>
      <c r="G135" s="68"/>
      <c r="H135" s="64"/>
      <c r="I135" s="68"/>
      <c r="J135" s="68"/>
      <c r="K135" s="68"/>
      <c r="L135" s="65"/>
      <c r="M135" s="70"/>
      <c r="N135" s="71"/>
      <c r="O135" s="65"/>
      <c r="P135" s="69"/>
      <c r="Q135" s="66"/>
      <c r="R135" s="66"/>
      <c r="S135" s="66"/>
      <c r="T135" s="66"/>
    </row>
    <row r="136" spans="1:20" x14ac:dyDescent="0.25">
      <c r="A136" s="72" t="s">
        <v>85</v>
      </c>
      <c r="B136" s="64">
        <f>376247+10932.9+11765.9+845.1</f>
        <v>399790.9</v>
      </c>
      <c r="C136" s="67">
        <f>227743.4+2096.5-170-122.2+12887.9-1.6</f>
        <v>242433.99999999997</v>
      </c>
      <c r="D136" s="64">
        <f>151441.8+6406.5</f>
        <v>157848.29999999999</v>
      </c>
      <c r="E136" s="68">
        <v>1257.5</v>
      </c>
      <c r="F136" s="68">
        <v>730</v>
      </c>
      <c r="G136" s="68">
        <v>462.2</v>
      </c>
      <c r="H136" s="64">
        <f>4985+31420.1+122.2+811.9</f>
        <v>37339.199999999997</v>
      </c>
      <c r="I136" s="68">
        <v>10765</v>
      </c>
      <c r="J136" s="68">
        <v>14643.7</v>
      </c>
      <c r="K136" s="68">
        <f>141155.8+1.6</f>
        <v>141157.4</v>
      </c>
      <c r="L136" s="65">
        <f>205212.8</f>
        <v>205212.79999999999</v>
      </c>
      <c r="M136" s="70">
        <v>29053.4</v>
      </c>
      <c r="N136" s="71">
        <f>505.2+11727.7+170-19597.9-31.4-0.1-462.2</f>
        <v>-7688.7</v>
      </c>
      <c r="O136" s="65">
        <f>46288.8-811.9-10932.9-845.1-2096.5+95600.8</f>
        <v>127203.20000000001</v>
      </c>
      <c r="P136" s="69">
        <f t="shared" ref="P136:P137" si="27">SUM(B136:O136)</f>
        <v>1360208.8999999997</v>
      </c>
      <c r="Q136" s="66"/>
      <c r="R136" s="66"/>
      <c r="S136" s="66"/>
      <c r="T136" s="66"/>
    </row>
    <row r="137" spans="1:20" x14ac:dyDescent="0.25">
      <c r="A137" s="72" t="s">
        <v>82</v>
      </c>
      <c r="B137" s="64">
        <f>369714.1+17427.6+10802+1430.5</f>
        <v>399374.19999999995</v>
      </c>
      <c r="C137" s="67">
        <f>233963.3+2268.1-186.2-111.8+13780.2-1.8</f>
        <v>249711.80000000002</v>
      </c>
      <c r="D137" s="64">
        <f>147791.2+5962.9</f>
        <v>153754.1</v>
      </c>
      <c r="E137" s="68">
        <v>1416.6</v>
      </c>
      <c r="F137" s="68">
        <v>630</v>
      </c>
      <c r="G137" s="68" t="s">
        <v>41</v>
      </c>
      <c r="H137" s="64">
        <f>3804.9+31623.9+111.8+1314.8</f>
        <v>36855.400000000009</v>
      </c>
      <c r="I137" s="68">
        <v>11042.3</v>
      </c>
      <c r="J137" s="68">
        <v>16076</v>
      </c>
      <c r="K137" s="68">
        <f>147645.9+1.8</f>
        <v>147647.69999999998</v>
      </c>
      <c r="L137" s="65">
        <f>210500.9</f>
        <v>210500.9</v>
      </c>
      <c r="M137" s="70">
        <v>23074.3</v>
      </c>
      <c r="N137" s="71">
        <f>-640.2+13125+186.2-17791.2-31.4-0.1</f>
        <v>-5151.7000000000007</v>
      </c>
      <c r="O137" s="65">
        <f>54606.2-1314.8-17427.6-1430.5-2268.1+97513.1</f>
        <v>129678.3</v>
      </c>
      <c r="P137" s="69">
        <f t="shared" si="27"/>
        <v>1374609.9000000001</v>
      </c>
      <c r="Q137" s="66"/>
      <c r="R137" s="66"/>
      <c r="S137" s="66"/>
      <c r="T137" s="66"/>
    </row>
    <row r="138" spans="1:20" x14ac:dyDescent="0.25">
      <c r="A138" s="72" t="s">
        <v>83</v>
      </c>
      <c r="B138" s="64">
        <f>344350.7+20484.6+11731.8+93.4</f>
        <v>376660.5</v>
      </c>
      <c r="C138" s="67">
        <f>238986.8+2447.3-174.6-201.8+8849.8-46.6+350</f>
        <v>250210.89999999997</v>
      </c>
      <c r="D138" s="64">
        <f>142868.4+5286</f>
        <v>148154.4</v>
      </c>
      <c r="E138" s="68">
        <v>1196</v>
      </c>
      <c r="F138" s="68">
        <v>1133.5999999999999</v>
      </c>
      <c r="G138" s="68">
        <v>1123.2</v>
      </c>
      <c r="H138" s="64">
        <f>20735.8+30930.8+201.8+1203.1</f>
        <v>53071.5</v>
      </c>
      <c r="I138" s="68">
        <v>10155.5</v>
      </c>
      <c r="J138" s="68">
        <v>14779</v>
      </c>
      <c r="K138" s="68">
        <f>146198.8+46.6</f>
        <v>146245.4</v>
      </c>
      <c r="L138" s="65">
        <f>215597.6</f>
        <v>215597.6</v>
      </c>
      <c r="M138" s="70">
        <v>11497.7</v>
      </c>
      <c r="N138" s="71">
        <f>-15.7+12542+174.6-16077.3-31.4-1123.2</f>
        <v>-4531</v>
      </c>
      <c r="O138" s="65">
        <f>57148-1203.1-20484.6-93.4-2447.3+100823.8</f>
        <v>133743.4</v>
      </c>
      <c r="P138" s="69">
        <f t="shared" ref="P138" si="28">SUM(B138:O138)</f>
        <v>1359037.6999999997</v>
      </c>
      <c r="Q138" s="66"/>
      <c r="R138" s="66"/>
      <c r="S138" s="66"/>
      <c r="T138" s="66"/>
    </row>
    <row r="139" spans="1:20" x14ac:dyDescent="0.25">
      <c r="A139" s="72" t="s">
        <v>84</v>
      </c>
      <c r="B139" s="64">
        <f>365819.8+13685.5+12946.2+118.2</f>
        <v>392569.7</v>
      </c>
      <c r="C139" s="67">
        <f>240662+2436.2-142.2-122.2+13013.9-0.6</f>
        <v>255847.09999999998</v>
      </c>
      <c r="D139" s="64">
        <f>150559.4+6017.9</f>
        <v>156577.29999999999</v>
      </c>
      <c r="E139" s="68">
        <v>4460.1000000000004</v>
      </c>
      <c r="F139" s="68">
        <v>930</v>
      </c>
      <c r="G139" s="68">
        <v>10000</v>
      </c>
      <c r="H139" s="64">
        <f>913.4+32414.3+122.2+1187.8</f>
        <v>34637.699999999997</v>
      </c>
      <c r="I139" s="68">
        <v>11071.3</v>
      </c>
      <c r="J139" s="68">
        <v>16144</v>
      </c>
      <c r="K139" s="68">
        <f>147867.1+0.6</f>
        <v>147867.70000000001</v>
      </c>
      <c r="L139" s="65">
        <f>215585.7</f>
        <v>215585.7</v>
      </c>
      <c r="M139" s="70">
        <v>14661.5</v>
      </c>
      <c r="N139" s="71">
        <f>-417.8+15309.2+142.2-9977.5-31.4-10000</f>
        <v>-4975.2999999999975</v>
      </c>
      <c r="O139" s="65">
        <f>46760.3-1187.8-13685.5-118.2-2436.2+101680.5</f>
        <v>131013.1</v>
      </c>
      <c r="P139" s="69">
        <f t="shared" ref="P139" si="29">SUM(B139:O139)</f>
        <v>1386389.9000000001</v>
      </c>
      <c r="Q139" s="66"/>
      <c r="R139" s="66"/>
      <c r="S139" s="66"/>
      <c r="T139" s="66"/>
    </row>
    <row r="140" spans="1:20" x14ac:dyDescent="0.25">
      <c r="A140" s="72" t="s">
        <v>76</v>
      </c>
      <c r="B140" s="64">
        <f>384741.4+13196.2+13355.8+61.1</f>
        <v>411354.5</v>
      </c>
      <c r="C140" s="67">
        <f>239634.7+2988.7-114.9-139.7+13178.3-0.9</f>
        <v>255546.2</v>
      </c>
      <c r="D140" s="64">
        <f>136834+5463.6</f>
        <v>142297.60000000001</v>
      </c>
      <c r="E140" s="68">
        <v>5451</v>
      </c>
      <c r="F140" s="68">
        <v>1433.8</v>
      </c>
      <c r="G140" s="68">
        <v>1260.5</v>
      </c>
      <c r="H140" s="64">
        <f>1240.5+30928.9+139.7+796.3</f>
        <v>33105.4</v>
      </c>
      <c r="I140" s="68">
        <v>10273.6</v>
      </c>
      <c r="J140" s="68">
        <v>15287.4</v>
      </c>
      <c r="K140" s="68">
        <f>136900.6+0.9</f>
        <v>136901.5</v>
      </c>
      <c r="L140" s="65">
        <f>215587</f>
        <v>215587</v>
      </c>
      <c r="M140" s="70">
        <v>16481.2</v>
      </c>
      <c r="N140" s="71">
        <f>-398.5+5774.7+114.9-9737.9-31.4-1260.5</f>
        <v>-5538.7</v>
      </c>
      <c r="O140" s="65">
        <f>48992.9-796.3-13196.2-61.1-2988.7+102247.3</f>
        <v>134197.9</v>
      </c>
      <c r="P140" s="69">
        <f t="shared" ref="P140" si="30">SUM(B140:O140)</f>
        <v>1373638.9</v>
      </c>
      <c r="Q140" s="66"/>
      <c r="R140" s="66"/>
      <c r="S140" s="66"/>
      <c r="T140" s="66"/>
    </row>
    <row r="141" spans="1:20" x14ac:dyDescent="0.25">
      <c r="A141" s="72" t="s">
        <v>70</v>
      </c>
      <c r="B141" s="64">
        <f>359574.2+16123.3+11068.6+337</f>
        <v>387103.1</v>
      </c>
      <c r="C141" s="67">
        <f>242095.3+2990.9-123.9-181+14518</f>
        <v>259299.3</v>
      </c>
      <c r="D141" s="64">
        <f>130160.7+5593.6</f>
        <v>135754.29999999999</v>
      </c>
      <c r="E141" s="68">
        <v>4973.3</v>
      </c>
      <c r="F141" s="68">
        <v>2203.8000000000002</v>
      </c>
      <c r="G141" s="68">
        <v>20000</v>
      </c>
      <c r="H141" s="64">
        <f>8878.9+33407+181+1062.7</f>
        <v>43529.599999999999</v>
      </c>
      <c r="I141" s="68">
        <v>10359.799999999999</v>
      </c>
      <c r="J141" s="68">
        <v>13963.3</v>
      </c>
      <c r="K141" s="68">
        <f>139562.5</f>
        <v>139562.5</v>
      </c>
      <c r="L141" s="65">
        <f>215514.2</f>
        <v>215514.2</v>
      </c>
      <c r="M141" s="70">
        <v>19632</v>
      </c>
      <c r="N141" s="71">
        <f>-57.5+21011.6+123.9-8927.1-31.4-20000</f>
        <v>-7880.5</v>
      </c>
      <c r="O141" s="65">
        <f>56893.6-1062.7-16123.3-337-2990.9+102907.6</f>
        <v>139287.30000000002</v>
      </c>
      <c r="P141" s="69">
        <f t="shared" ref="P141" si="31">SUM(B141:O141)</f>
        <v>1383302.0000000002</v>
      </c>
      <c r="Q141" s="66"/>
      <c r="R141" s="66"/>
      <c r="S141" s="66"/>
      <c r="T141" s="66"/>
    </row>
    <row r="142" spans="1:20" x14ac:dyDescent="0.25">
      <c r="A142" s="72" t="s">
        <v>77</v>
      </c>
      <c r="B142" s="64">
        <f>369349.2+12621.4+11991+203.8</f>
        <v>394165.4</v>
      </c>
      <c r="C142" s="67">
        <f>245168.7+4584-120.2-199.6+16419.1</f>
        <v>265852</v>
      </c>
      <c r="D142" s="64">
        <f>137566.1+5929.7</f>
        <v>143495.80000000002</v>
      </c>
      <c r="E142" s="68">
        <v>3761.9</v>
      </c>
      <c r="F142" s="68">
        <v>2433.9</v>
      </c>
      <c r="G142" s="68">
        <v>6000</v>
      </c>
      <c r="H142" s="64">
        <f>2717.2+36361.6+199.6+910.1</f>
        <v>40188.499999999993</v>
      </c>
      <c r="I142" s="68">
        <v>11731.1</v>
      </c>
      <c r="J142" s="68">
        <v>12530.8</v>
      </c>
      <c r="K142" s="68">
        <v>135310.6</v>
      </c>
      <c r="L142" s="65">
        <f>215504.2</f>
        <v>215504.2</v>
      </c>
      <c r="M142" s="70">
        <v>22518.6</v>
      </c>
      <c r="N142" s="71">
        <f>-234.9+9244.5+120.2-10767.6-31.4-6000</f>
        <v>-7669.1999999999989</v>
      </c>
      <c r="O142" s="65">
        <f>56971.3-910.1-12621.4-203.8-4584+104681.7</f>
        <v>143333.70000000001</v>
      </c>
      <c r="P142" s="69">
        <f t="shared" ref="P142" si="32">SUM(B142:O142)</f>
        <v>1389157.3000000003</v>
      </c>
      <c r="Q142" s="66"/>
      <c r="R142" s="66"/>
      <c r="S142" s="66"/>
      <c r="T142" s="66"/>
    </row>
    <row r="143" spans="1:20" x14ac:dyDescent="0.25">
      <c r="A143" s="72" t="s">
        <v>78</v>
      </c>
      <c r="B143" s="64">
        <f>380901.2+10889.4+11356.5+399.6</f>
        <v>403546.7</v>
      </c>
      <c r="C143" s="67">
        <f>241425.9+5062-119.1-191.4+17564.3</f>
        <v>263741.7</v>
      </c>
      <c r="D143" s="64">
        <f>143543.9+5438.3</f>
        <v>148982.19999999998</v>
      </c>
      <c r="E143" s="68">
        <v>6117.3</v>
      </c>
      <c r="F143" s="68">
        <v>2434.6</v>
      </c>
      <c r="G143" s="68">
        <v>8000</v>
      </c>
      <c r="H143" s="64">
        <f>1415.5+31947.8+191.4+1058.9</f>
        <v>34613.600000000006</v>
      </c>
      <c r="I143" s="68">
        <v>11551.8</v>
      </c>
      <c r="J143" s="68">
        <v>12551</v>
      </c>
      <c r="K143" s="68">
        <v>142073</v>
      </c>
      <c r="L143" s="65">
        <f>215449.9</f>
        <v>215449.9</v>
      </c>
      <c r="M143" s="70">
        <v>23313</v>
      </c>
      <c r="N143" s="71">
        <f>134.1+10514.2+119.1-6529.2-31.4-8000</f>
        <v>-3793.199999999998</v>
      </c>
      <c r="O143" s="65">
        <f>53717.9-1058.9-10889.4-399.6-5062+109209.6</f>
        <v>145517.6</v>
      </c>
      <c r="P143" s="69">
        <f t="shared" ref="P143" si="33">SUM(B143:O143)</f>
        <v>1414099.2000000002</v>
      </c>
      <c r="Q143" s="66"/>
      <c r="R143" s="66"/>
      <c r="S143" s="66"/>
      <c r="T143" s="66"/>
    </row>
    <row r="144" spans="1:20" s="86" customFormat="1" x14ac:dyDescent="0.25">
      <c r="A144" s="100" t="s">
        <v>71</v>
      </c>
      <c r="B144" s="64">
        <f>381577.4+13479+10390.8+239.3</f>
        <v>405686.5</v>
      </c>
      <c r="C144" s="67">
        <f>243192.9+5513-121.6-164.5+15110.1</f>
        <v>263529.89999999997</v>
      </c>
      <c r="D144" s="64">
        <f>135497.7+5475.7</f>
        <v>140973.40000000002</v>
      </c>
      <c r="E144" s="88">
        <v>4632.1000000000004</v>
      </c>
      <c r="F144" s="88">
        <v>2466.6999999999998</v>
      </c>
      <c r="G144" s="88">
        <v>5849.9</v>
      </c>
      <c r="H144" s="64">
        <f>6180+30685.3+164.5+1155.5</f>
        <v>38185.300000000003</v>
      </c>
      <c r="I144" s="88">
        <v>10291.799999999999</v>
      </c>
      <c r="J144" s="88">
        <v>8875.2999999999993</v>
      </c>
      <c r="K144" s="88">
        <v>135266.6</v>
      </c>
      <c r="L144" s="65">
        <v>215438.7</v>
      </c>
      <c r="M144" s="91">
        <v>26685.3</v>
      </c>
      <c r="N144" s="71">
        <f>435.2+7362.4+121.6-9650-31.4-5849.9</f>
        <v>-7612.1</v>
      </c>
      <c r="O144" s="65">
        <f>59361.7-1155.5-13479-239.3-5513+110801.3</f>
        <v>149776.20000000001</v>
      </c>
      <c r="P144" s="90">
        <f t="shared" ref="P144" si="34">SUM(B144:O144)</f>
        <v>1400045.5999999999</v>
      </c>
      <c r="Q144" s="87"/>
      <c r="R144" s="87"/>
      <c r="S144" s="87"/>
      <c r="T144" s="87"/>
    </row>
    <row r="145" spans="1:20" s="86" customFormat="1" x14ac:dyDescent="0.25">
      <c r="A145" s="100" t="s">
        <v>79</v>
      </c>
      <c r="B145" s="64">
        <f>412050.5+11913.2+13165.2+405.4</f>
        <v>437534.30000000005</v>
      </c>
      <c r="C145" s="67">
        <f>247517.8+5986.1-137.6-150.8+17647.3</f>
        <v>270862.8</v>
      </c>
      <c r="D145" s="64">
        <f>129431.3+6024.8</f>
        <v>135456.1</v>
      </c>
      <c r="E145" s="88">
        <v>4735.1000000000004</v>
      </c>
      <c r="F145" s="88">
        <v>2471.1</v>
      </c>
      <c r="G145" s="88">
        <v>1000</v>
      </c>
      <c r="H145" s="64">
        <f>1287.2+31682.6+150.8+1027.2</f>
        <v>34147.799999999996</v>
      </c>
      <c r="I145" s="88">
        <v>10711.6</v>
      </c>
      <c r="J145" s="88">
        <v>5914.8</v>
      </c>
      <c r="K145" s="88">
        <v>132616.1</v>
      </c>
      <c r="L145" s="65">
        <v>215393.5</v>
      </c>
      <c r="M145" s="91">
        <v>30989.8</v>
      </c>
      <c r="N145" s="71">
        <f>236.8+5027.7+137.6-11292.5-31.4-1000</f>
        <v>-6921.7999999999993</v>
      </c>
      <c r="O145" s="65">
        <f>62904.5-1027.2-11913.2-405.4-5986.1+111530.8</f>
        <v>155103.40000000002</v>
      </c>
      <c r="P145" s="90">
        <f t="shared" ref="P145" si="35">SUM(B145:O145)</f>
        <v>1430014.6</v>
      </c>
      <c r="Q145" s="87"/>
      <c r="R145" s="87"/>
      <c r="S145" s="87"/>
      <c r="T145" s="87"/>
    </row>
    <row r="146" spans="1:20" s="86" customFormat="1" x14ac:dyDescent="0.25">
      <c r="A146" s="100" t="s">
        <v>80</v>
      </c>
      <c r="B146" s="64">
        <f>365372.6+21695.4+14117.3+49.9</f>
        <v>401235.20000000001</v>
      </c>
      <c r="C146" s="67">
        <f>240166.9+23812.2</f>
        <v>263979.09999999998</v>
      </c>
      <c r="D146" s="102">
        <f>124071.3+17957.6+1353.2+1008.2+59.7</f>
        <v>144450.00000000003</v>
      </c>
      <c r="E146" s="88">
        <v>2557.5</v>
      </c>
      <c r="F146" s="88">
        <v>7496.9</v>
      </c>
      <c r="G146" s="88">
        <v>16192.3</v>
      </c>
      <c r="H146" s="64">
        <f>1955.5+37626+3731.1</f>
        <v>43312.6</v>
      </c>
      <c r="I146" s="88">
        <v>9363.9</v>
      </c>
      <c r="J146" s="88">
        <v>5820.6</v>
      </c>
      <c r="K146" s="88">
        <v>154302.79999999999</v>
      </c>
      <c r="L146" s="65">
        <v>217801.9</v>
      </c>
      <c r="M146" s="91">
        <v>20422.599999999999</v>
      </c>
      <c r="N146" s="71">
        <f>-270.9+20282.3-6502.7-31.4-16192.3</f>
        <v>-2715.0000000000018</v>
      </c>
      <c r="O146" s="102">
        <f>55061-3731.1-14117.3+107558.6+188.3</f>
        <v>144959.5</v>
      </c>
      <c r="P146" s="90">
        <f t="shared" ref="P146" si="36">SUM(B146:O146)</f>
        <v>1429179.9000000001</v>
      </c>
      <c r="Q146" s="87"/>
      <c r="R146" s="87"/>
      <c r="S146" s="87"/>
      <c r="T146" s="87"/>
    </row>
    <row r="147" spans="1:20" s="86" customFormat="1" x14ac:dyDescent="0.25">
      <c r="A147" s="100" t="s">
        <v>72</v>
      </c>
      <c r="B147" s="64">
        <f>373807+22771.9+10174.2+110.3</f>
        <v>406863.4</v>
      </c>
      <c r="C147" s="67">
        <f>245240.5+26818.7</f>
        <v>272059.2</v>
      </c>
      <c r="D147" s="102">
        <f>119702.6+15407.2+1256.3+1009.2+61.9</f>
        <v>137437.20000000001</v>
      </c>
      <c r="E147" s="88">
        <v>5303.8</v>
      </c>
      <c r="F147" s="88">
        <v>8529.9</v>
      </c>
      <c r="G147" s="88">
        <v>19805</v>
      </c>
      <c r="H147" s="64">
        <f>5380.5+41376+5189.6</f>
        <v>51946.1</v>
      </c>
      <c r="I147" s="88">
        <v>9009.9</v>
      </c>
      <c r="J147" s="88">
        <v>6801.5</v>
      </c>
      <c r="K147" s="88">
        <v>150034</v>
      </c>
      <c r="L147" s="65">
        <v>213505.6</v>
      </c>
      <c r="M147" s="91">
        <v>18037.599999999999</v>
      </c>
      <c r="N147" s="71">
        <f>115.9+25522.9-11774.8-31.4-19805</f>
        <v>-5972.399999999996</v>
      </c>
      <c r="O147" s="102">
        <f>39001-5189.6-10174.2+124538.7+5.7</f>
        <v>148181.6</v>
      </c>
      <c r="P147" s="90">
        <f t="shared" ref="P147" si="37">SUM(B147:O147)</f>
        <v>1441542.4000000004</v>
      </c>
      <c r="Q147" s="87"/>
      <c r="R147" s="87"/>
      <c r="S147" s="87"/>
      <c r="T147" s="87"/>
    </row>
    <row r="148" spans="1:20" s="86" customFormat="1" x14ac:dyDescent="0.25">
      <c r="A148" s="100"/>
      <c r="B148" s="64"/>
      <c r="C148" s="67"/>
      <c r="D148" s="102"/>
      <c r="E148" s="88"/>
      <c r="F148" s="88"/>
      <c r="G148" s="88"/>
      <c r="H148" s="64"/>
      <c r="I148" s="88"/>
      <c r="J148" s="88"/>
      <c r="K148" s="88"/>
      <c r="L148" s="65"/>
      <c r="M148" s="91"/>
      <c r="N148" s="71"/>
      <c r="O148" s="102"/>
      <c r="P148" s="90"/>
      <c r="Q148" s="87"/>
      <c r="R148" s="87"/>
      <c r="S148" s="87"/>
      <c r="T148" s="87"/>
    </row>
    <row r="149" spans="1:20" s="86" customFormat="1" x14ac:dyDescent="0.25">
      <c r="A149" s="100" t="s">
        <v>111</v>
      </c>
      <c r="B149" s="64">
        <f>372551.8+20628.3+9190.7+110.7</f>
        <v>402481.5</v>
      </c>
      <c r="C149" s="67">
        <f>240521+26735.7</f>
        <v>267256.7</v>
      </c>
      <c r="D149" s="102">
        <f>119504.1+15199+1403.1+62.1</f>
        <v>136168.30000000002</v>
      </c>
      <c r="E149" s="88">
        <v>3483.2</v>
      </c>
      <c r="F149" s="88">
        <v>8541.4</v>
      </c>
      <c r="G149" s="88">
        <v>37716.6</v>
      </c>
      <c r="H149" s="64">
        <f>2709.5+38766.2+3314.6</f>
        <v>44790.299999999996</v>
      </c>
      <c r="I149" s="88">
        <v>10289.5</v>
      </c>
      <c r="J149" s="88">
        <v>7911.3</v>
      </c>
      <c r="K149" s="88">
        <v>147014.70000000001</v>
      </c>
      <c r="L149" s="65">
        <v>217322</v>
      </c>
      <c r="M149" s="91">
        <v>21688.2</v>
      </c>
      <c r="N149" s="71">
        <f>179.2+38555.1-10334.4-31.4-37716.6</f>
        <v>-9348.1000000000058</v>
      </c>
      <c r="O149" s="102">
        <f>35963.5-3314.6-9190.7+127549.5+942.2</f>
        <v>151949.90000000002</v>
      </c>
      <c r="P149" s="90">
        <f t="shared" ref="P149" si="38">SUM(B149:O149)</f>
        <v>1447265.5</v>
      </c>
      <c r="Q149" s="87"/>
      <c r="R149" s="87"/>
      <c r="S149" s="87"/>
      <c r="T149" s="87"/>
    </row>
    <row r="150" spans="1:20" s="86" customFormat="1" x14ac:dyDescent="0.25">
      <c r="A150" s="100" t="s">
        <v>82</v>
      </c>
      <c r="B150" s="64">
        <f>380985.3+15180.9+9418.3+110.8</f>
        <v>405695.3</v>
      </c>
      <c r="C150" s="67">
        <f>233480.7+28538.7</f>
        <v>262019.40000000002</v>
      </c>
      <c r="D150" s="102">
        <f>116101.4+19582.2+1341.8+62.5</f>
        <v>137087.9</v>
      </c>
      <c r="E150" s="88">
        <v>3770.8</v>
      </c>
      <c r="F150" s="88">
        <v>8535.4</v>
      </c>
      <c r="G150" s="88">
        <v>44452.800000000003</v>
      </c>
      <c r="H150" s="64">
        <f>1687.8+43195.1+4338.4</f>
        <v>49221.3</v>
      </c>
      <c r="I150" s="88">
        <v>9924.2999999999993</v>
      </c>
      <c r="J150" s="88">
        <v>8703.4</v>
      </c>
      <c r="K150" s="88">
        <v>144711</v>
      </c>
      <c r="L150" s="65">
        <v>216346.4</v>
      </c>
      <c r="M150" s="91">
        <v>22714.3</v>
      </c>
      <c r="N150" s="71">
        <f>-54.1+47780-10314-31.4-44452.8</f>
        <v>-7072.3000000000029</v>
      </c>
      <c r="O150" s="102">
        <f>37152.6-4338.4-9418.3+130031.8+946.8</f>
        <v>154374.5</v>
      </c>
      <c r="P150" s="90">
        <f t="shared" ref="P150" si="39">SUM(B150:O150)</f>
        <v>1460484.5</v>
      </c>
      <c r="Q150" s="87"/>
      <c r="R150" s="87"/>
      <c r="S150" s="87"/>
      <c r="T150" s="87"/>
    </row>
    <row r="151" spans="1:20" s="86" customFormat="1" x14ac:dyDescent="0.25">
      <c r="A151" s="100" t="s">
        <v>83</v>
      </c>
      <c r="B151" s="64">
        <f>367081.6+17520.6+11839.4+110.9</f>
        <v>396552.5</v>
      </c>
      <c r="C151" s="67">
        <f>246211+29819</f>
        <v>276030</v>
      </c>
      <c r="D151" s="102">
        <f>100293.5+18036.7+1303.6+64.9</f>
        <v>119698.7</v>
      </c>
      <c r="E151" s="88">
        <v>5382</v>
      </c>
      <c r="F151" s="88">
        <v>8565.2000000000007</v>
      </c>
      <c r="G151" s="88">
        <v>71864.5</v>
      </c>
      <c r="H151" s="64">
        <f>11560.7+39707.5+5336.8</f>
        <v>56605</v>
      </c>
      <c r="I151" s="88">
        <v>9451</v>
      </c>
      <c r="J151" s="88">
        <v>7517.2</v>
      </c>
      <c r="K151" s="88">
        <v>148879.5</v>
      </c>
      <c r="L151" s="65">
        <v>222189.4</v>
      </c>
      <c r="M151" s="91">
        <v>11870.4</v>
      </c>
      <c r="N151" s="71">
        <f>-79.2+74970.4-9610.4-31.4-71864.5</f>
        <v>-6615.1000000000058</v>
      </c>
      <c r="O151" s="102">
        <f>43047.9-5336.8-11839.4+132155+1311.1</f>
        <v>159337.80000000002</v>
      </c>
      <c r="P151" s="90">
        <f t="shared" ref="P151" si="40">SUM(B151:O151)</f>
        <v>1487328.0999999996</v>
      </c>
      <c r="Q151" s="87"/>
      <c r="R151" s="87"/>
      <c r="S151" s="87"/>
      <c r="T151" s="87"/>
    </row>
    <row r="152" spans="1:20" s="86" customFormat="1" x14ac:dyDescent="0.25">
      <c r="A152" s="100" t="s">
        <v>84</v>
      </c>
      <c r="B152" s="64">
        <f>380956.7+20982.6+5498+111</f>
        <v>407548.3</v>
      </c>
      <c r="C152" s="67">
        <f>246235.8+26535.5</f>
        <v>272771.3</v>
      </c>
      <c r="D152" s="102">
        <f>106777.7+16158.3+1098.8+65.6</f>
        <v>124100.40000000001</v>
      </c>
      <c r="E152" s="105">
        <v>4183.8</v>
      </c>
      <c r="F152" s="105">
        <v>9276.2999999999993</v>
      </c>
      <c r="G152" s="105">
        <v>75220.3</v>
      </c>
      <c r="H152" s="64">
        <f>2766.2+37981.4+4729.9</f>
        <v>45477.5</v>
      </c>
      <c r="I152" s="105">
        <v>10415.5</v>
      </c>
      <c r="J152" s="105">
        <v>2945.7</v>
      </c>
      <c r="K152" s="105">
        <v>151565.20000000001</v>
      </c>
      <c r="L152" s="65">
        <v>217768.3</v>
      </c>
      <c r="M152" s="107">
        <v>15811.7</v>
      </c>
      <c r="N152" s="71">
        <f>986.9+83161.6-10996.2-31.4-75220.3-3308.3</f>
        <v>-5407.6999999999944</v>
      </c>
      <c r="O152" s="102">
        <f>36938.7-4729.9-5498+135563.4+1105.9</f>
        <v>163380.09999999998</v>
      </c>
      <c r="P152" s="106">
        <f t="shared" ref="P152" si="41">SUM(B152:O152)</f>
        <v>1495056.7000000002</v>
      </c>
      <c r="Q152" s="104"/>
      <c r="R152" s="104"/>
      <c r="S152" s="104"/>
      <c r="T152" s="104"/>
    </row>
    <row r="153" spans="1:20" s="86" customFormat="1" x14ac:dyDescent="0.25">
      <c r="A153" s="100" t="s">
        <v>76</v>
      </c>
      <c r="B153" s="64">
        <f>375382.9+15725.4+9801.4+111</f>
        <v>401020.70000000007</v>
      </c>
      <c r="C153" s="67">
        <f>254373.2+24170</f>
        <v>278543.2</v>
      </c>
      <c r="D153" s="102">
        <f>95244.2+16436.9+1212.6+64.2</f>
        <v>112957.90000000001</v>
      </c>
      <c r="E153" s="105">
        <v>3384.3</v>
      </c>
      <c r="F153" s="105">
        <v>9295.2000000000007</v>
      </c>
      <c r="G153" s="105">
        <v>90016</v>
      </c>
      <c r="H153" s="64">
        <f>3101.5+40119.2+4977.3</f>
        <v>48198</v>
      </c>
      <c r="I153" s="105">
        <f>15243.3-13</f>
        <v>15230.3</v>
      </c>
      <c r="J153" s="105">
        <v>2738.4</v>
      </c>
      <c r="K153" s="105">
        <v>155149.9</v>
      </c>
      <c r="L153" s="65">
        <v>217726.3</v>
      </c>
      <c r="M153" s="107">
        <v>18578.400000000001</v>
      </c>
      <c r="N153" s="71">
        <f>30.4+97952.8-10919.4-31.4-90016-3326.5</f>
        <v>-6310.0999999999913</v>
      </c>
      <c r="O153" s="102">
        <f>40653.4-4977.3-9801.4+136822+873.6</f>
        <v>163570.30000000002</v>
      </c>
      <c r="P153" s="106">
        <f t="shared" ref="P153:P159" si="42">SUM(B153:O153)</f>
        <v>1510098.8</v>
      </c>
      <c r="Q153" s="104"/>
      <c r="R153" s="104"/>
      <c r="S153" s="104"/>
      <c r="T153" s="104"/>
    </row>
    <row r="154" spans="1:20" s="86" customFormat="1" x14ac:dyDescent="0.25">
      <c r="A154" s="100" t="s">
        <v>70</v>
      </c>
      <c r="B154" s="64">
        <f>368985.6+33899.7+11935.4+111</f>
        <v>414931.7</v>
      </c>
      <c r="C154" s="67">
        <f>248133.3+21477</f>
        <v>269610.3</v>
      </c>
      <c r="D154" s="102">
        <f>98237.6+15650.9+1446.4+64.2</f>
        <v>115399.09999999999</v>
      </c>
      <c r="E154" s="105">
        <v>1924.6</v>
      </c>
      <c r="F154" s="105">
        <v>8610.4</v>
      </c>
      <c r="G154" s="105">
        <v>101025.7</v>
      </c>
      <c r="H154" s="64">
        <f>5212.8+36475.7+5996.9</f>
        <v>47685.4</v>
      </c>
      <c r="I154" s="105">
        <v>17003.599999999999</v>
      </c>
      <c r="J154" s="105">
        <v>2654.6</v>
      </c>
      <c r="K154" s="105">
        <v>143107</v>
      </c>
      <c r="L154" s="106">
        <v>224810.5</v>
      </c>
      <c r="M154" s="107">
        <v>17493.3</v>
      </c>
      <c r="N154" s="71">
        <f>-104.6+110653.1-10810-31.4-101025.7-4999.8</f>
        <v>-6318.3999999999915</v>
      </c>
      <c r="O154" s="102">
        <f>57692.3-5996.9-11935.4+140436.6+1787.7</f>
        <v>181984.30000000002</v>
      </c>
      <c r="P154" s="106">
        <f t="shared" si="42"/>
        <v>1539922.1</v>
      </c>
      <c r="Q154" s="104"/>
      <c r="R154" s="104"/>
      <c r="S154" s="104"/>
      <c r="T154" s="104"/>
    </row>
    <row r="155" spans="1:20" s="86" customFormat="1" x14ac:dyDescent="0.25">
      <c r="A155" s="100" t="s">
        <v>77</v>
      </c>
      <c r="B155" s="64">
        <f>381820.8+16744.3+11500+111</f>
        <v>410176.1</v>
      </c>
      <c r="C155" s="67">
        <f>238477.6+19746.8</f>
        <v>258224.4</v>
      </c>
      <c r="D155" s="102">
        <f>95572.3+12589.2+1417.3+64.4</f>
        <v>109643.2</v>
      </c>
      <c r="E155" s="105">
        <v>1132.5</v>
      </c>
      <c r="F155" s="105">
        <v>9780.2000000000007</v>
      </c>
      <c r="G155" s="105">
        <v>112764.5</v>
      </c>
      <c r="H155" s="64">
        <f>3816.4+42959.7+6593</f>
        <v>53369.1</v>
      </c>
      <c r="I155" s="105">
        <v>17794.8</v>
      </c>
      <c r="J155" s="105">
        <v>2250.6999999999998</v>
      </c>
      <c r="K155" s="105">
        <v>143986.79999999999</v>
      </c>
      <c r="L155" s="57">
        <v>225543.2</v>
      </c>
      <c r="M155" s="107">
        <v>20988.2</v>
      </c>
      <c r="N155" s="71">
        <f>-265.7+122410.8-112764.5-31.4-10924-5033.2</f>
        <v>-6607.9999999999936</v>
      </c>
      <c r="O155" s="102">
        <f>52856.7-6593-11500+140806.3+2106.6</f>
        <v>177676.6</v>
      </c>
      <c r="P155" s="106">
        <f t="shared" si="42"/>
        <v>1536722.2999999998</v>
      </c>
      <c r="Q155" s="104"/>
      <c r="R155" s="104"/>
      <c r="S155" s="104"/>
      <c r="T155" s="104"/>
    </row>
    <row r="156" spans="1:20" s="86" customFormat="1" x14ac:dyDescent="0.25">
      <c r="A156" s="100" t="s">
        <v>78</v>
      </c>
      <c r="B156" s="64">
        <f>413258.3+16857.6+7738.8+111</f>
        <v>437965.69999999995</v>
      </c>
      <c r="C156" s="67">
        <f>235186.1+17632.8</f>
        <v>252818.9</v>
      </c>
      <c r="D156" s="102">
        <f>89371.5+12719+65+889.5</f>
        <v>103045</v>
      </c>
      <c r="E156" s="105">
        <v>2169.6999999999998</v>
      </c>
      <c r="F156" s="105">
        <v>9844.6</v>
      </c>
      <c r="G156" s="105">
        <v>101933.5</v>
      </c>
      <c r="H156" s="64">
        <f>3872.1+38204.1+6941.9</f>
        <v>49018.1</v>
      </c>
      <c r="I156" s="105">
        <v>16660.8</v>
      </c>
      <c r="J156" s="105">
        <v>916.6</v>
      </c>
      <c r="K156" s="105">
        <v>137165.5</v>
      </c>
      <c r="L156" s="57">
        <v>225003.1</v>
      </c>
      <c r="M156" s="107">
        <v>24325.7</v>
      </c>
      <c r="N156" s="71">
        <f>-2568.3+111560.7-101933.5-31.4-11041.6-5014.8</f>
        <v>-9028.9000000000051</v>
      </c>
      <c r="O156" s="102">
        <f>50789-6941.9-7738.8+144405.9+1608.5</f>
        <v>182122.69999999998</v>
      </c>
      <c r="P156" s="106">
        <f t="shared" si="42"/>
        <v>1533961</v>
      </c>
      <c r="Q156" s="104"/>
      <c r="R156" s="104"/>
      <c r="S156" s="104"/>
      <c r="T156" s="104"/>
    </row>
    <row r="157" spans="1:20" s="86" customFormat="1" x14ac:dyDescent="0.25">
      <c r="A157" s="100" t="s">
        <v>71</v>
      </c>
      <c r="B157" s="64">
        <f>416455.1+15756.1+7907.7+111</f>
        <v>440229.89999999997</v>
      </c>
      <c r="C157" s="67">
        <f>242880+18024.4</f>
        <v>260904.4</v>
      </c>
      <c r="D157" s="102">
        <f>12067+94911+65.7+984.5</f>
        <v>108028.2</v>
      </c>
      <c r="E157" s="105">
        <v>3677.6</v>
      </c>
      <c r="F157" s="105">
        <v>9113.9</v>
      </c>
      <c r="G157" s="105">
        <v>118763.8</v>
      </c>
      <c r="H157" s="64">
        <f>37858.9+6287.8+7211.9</f>
        <v>51358.600000000006</v>
      </c>
      <c r="I157" s="105">
        <v>13416.9</v>
      </c>
      <c r="J157" s="105">
        <v>934</v>
      </c>
      <c r="K157" s="105">
        <v>139965.1</v>
      </c>
      <c r="L157" s="57">
        <v>224795</v>
      </c>
      <c r="M157" s="107">
        <v>21976.799999999999</v>
      </c>
      <c r="N157" s="71">
        <f>128406.8-118763.8-665.7-5033-31.4-4818.8</f>
        <v>-905.900000000001</v>
      </c>
      <c r="O157" s="102">
        <f>52688.8-7211.9-7907.7+1434.4+148476.4</f>
        <v>187480</v>
      </c>
      <c r="P157" s="106">
        <f t="shared" si="42"/>
        <v>1579738.3</v>
      </c>
      <c r="Q157" s="104"/>
      <c r="R157" s="104"/>
      <c r="S157" s="104"/>
      <c r="T157" s="104"/>
    </row>
    <row r="158" spans="1:20" s="86" customFormat="1" x14ac:dyDescent="0.25">
      <c r="A158" s="100" t="s">
        <v>79</v>
      </c>
      <c r="B158" s="64">
        <f>415733+19805.2+111+10289.1</f>
        <v>445938.3</v>
      </c>
      <c r="C158" s="67">
        <f>17906.8+246717.5</f>
        <v>264624.3</v>
      </c>
      <c r="D158" s="102">
        <f>11991.3+90470.8+936.1+64.4</f>
        <v>103462.6</v>
      </c>
      <c r="E158" s="105">
        <v>2861.3</v>
      </c>
      <c r="F158" s="105">
        <v>9018.9</v>
      </c>
      <c r="G158" s="105">
        <v>126993.60000000001</v>
      </c>
      <c r="H158" s="64">
        <f>35210.2+7628.9+2560.6</f>
        <v>45399.7</v>
      </c>
      <c r="I158" s="105">
        <v>14489.5</v>
      </c>
      <c r="J158" s="105">
        <v>945.6</v>
      </c>
      <c r="K158" s="105">
        <v>142544.6</v>
      </c>
      <c r="L158" s="57">
        <v>224774.2</v>
      </c>
      <c r="M158" s="107">
        <v>24782.2</v>
      </c>
      <c r="N158" s="71">
        <f>136663.8-126993.6-568.5-4861.5-5061-31.4</f>
        <v>-852.20000000001744</v>
      </c>
      <c r="O158" s="102">
        <f>56224.5-7628.9-10289.1+113.1+149792.1</f>
        <v>188211.7</v>
      </c>
      <c r="P158" s="106">
        <f t="shared" si="42"/>
        <v>1593194.2999999998</v>
      </c>
      <c r="Q158" s="104"/>
      <c r="R158" s="104"/>
      <c r="S158" s="104"/>
      <c r="T158" s="104"/>
    </row>
    <row r="159" spans="1:20" s="86" customFormat="1" x14ac:dyDescent="0.25">
      <c r="A159" s="100" t="s">
        <v>80</v>
      </c>
      <c r="B159" s="64">
        <f>438712.1+23903.4+111+10208.9</f>
        <v>472935.4</v>
      </c>
      <c r="C159" s="67">
        <f>239190.1+16280.3</f>
        <v>255470.4</v>
      </c>
      <c r="D159" s="102">
        <f>89438.3+11958.5+875+62.6</f>
        <v>102334.40000000001</v>
      </c>
      <c r="E159" s="105">
        <v>1931.3</v>
      </c>
      <c r="F159" s="105">
        <v>10236</v>
      </c>
      <c r="G159" s="105">
        <v>102347.1</v>
      </c>
      <c r="H159" s="64">
        <f>4656.6+36664.7+7708.4</f>
        <v>49029.7</v>
      </c>
      <c r="I159" s="105">
        <v>15706.6</v>
      </c>
      <c r="J159" s="105">
        <v>944.1</v>
      </c>
      <c r="K159" s="105">
        <v>150685.4</v>
      </c>
      <c r="L159" s="57">
        <v>225240.8</v>
      </c>
      <c r="M159" s="107">
        <v>28733.5</v>
      </c>
      <c r="N159" s="71">
        <f>112044.8-102347.1+170.3-5088.7-6899.2-31.4</f>
        <v>-2151.3000000000034</v>
      </c>
      <c r="O159" s="102">
        <f>50278.9-7708.4-10208.9+1752.3+154742.5</f>
        <v>188856.4</v>
      </c>
      <c r="P159" s="106">
        <f t="shared" si="42"/>
        <v>1602299.7999999998</v>
      </c>
      <c r="Q159" s="104"/>
      <c r="R159" s="104"/>
      <c r="S159" s="104"/>
      <c r="T159" s="104"/>
    </row>
    <row r="160" spans="1:20" x14ac:dyDescent="0.25">
      <c r="A160" s="72"/>
      <c r="B160" s="64"/>
      <c r="C160" s="67"/>
      <c r="D160" s="64"/>
      <c r="E160" s="68"/>
      <c r="F160" s="68"/>
      <c r="G160" s="68"/>
      <c r="H160" s="64"/>
      <c r="I160" s="68"/>
      <c r="J160" s="68"/>
      <c r="K160" s="68"/>
      <c r="L160" s="65"/>
      <c r="M160" s="70"/>
      <c r="N160" s="71"/>
      <c r="O160" s="65"/>
      <c r="P160" s="69"/>
      <c r="Q160" s="66"/>
      <c r="R160" s="113"/>
      <c r="S160" s="66"/>
      <c r="T160" s="66"/>
    </row>
    <row r="161" spans="1:18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76"/>
      <c r="N161" s="4"/>
      <c r="O161" s="3"/>
      <c r="P161" s="5"/>
      <c r="Q161" s="66"/>
      <c r="R161" s="66"/>
    </row>
    <row r="162" spans="1:18" ht="32.25" customHeight="1" x14ac:dyDescent="0.25">
      <c r="A162" s="115" t="s">
        <v>67</v>
      </c>
      <c r="B162" s="77"/>
      <c r="C162" s="78"/>
      <c r="D162" s="77"/>
      <c r="E162" s="77"/>
      <c r="F162" s="77"/>
      <c r="G162" s="77"/>
      <c r="H162" s="77"/>
      <c r="I162" s="77"/>
      <c r="J162" s="77"/>
      <c r="K162" s="77"/>
      <c r="L162" s="79"/>
      <c r="M162" s="79"/>
      <c r="N162" s="80"/>
      <c r="O162" s="79"/>
      <c r="P162" s="81"/>
    </row>
    <row r="163" spans="1:18" ht="0.75" customHeight="1" x14ac:dyDescent="0.25">
      <c r="A163" s="75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20"/>
    </row>
    <row r="165" spans="1:18" x14ac:dyDescent="0.25">
      <c r="N165" s="45"/>
      <c r="P165" s="46"/>
    </row>
    <row r="166" spans="1:18" x14ac:dyDescent="0.25">
      <c r="N166" s="45"/>
      <c r="P166" s="46"/>
    </row>
  </sheetData>
  <mergeCells count="3">
    <mergeCell ref="A4:P4"/>
    <mergeCell ref="A5:P5"/>
    <mergeCell ref="B163:P1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2010-03-04T18:44:39Z</cp:lastPrinted>
  <dcterms:created xsi:type="dcterms:W3CDTF">2000-09-13T05:55:37Z</dcterms:created>
  <dcterms:modified xsi:type="dcterms:W3CDTF">2017-01-30T07:26:40Z</dcterms:modified>
</cp:coreProperties>
</file>