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TABLEAUX STATISTIQUES\MB 12  2016 Anglais\"/>
    </mc:Choice>
  </mc:AlternateContent>
  <bookViews>
    <workbookView xWindow="2640" yWindow="2370" windowWidth="6705" windowHeight="2160"/>
  </bookViews>
  <sheets>
    <sheet name="ii3-2 sitbanquepassif" sheetId="1" r:id="rId1"/>
  </sheets>
  <definedNames>
    <definedName name="_xlnm.Print_Area" localSheetId="0">'ii3-2 sitbanquepassif'!$A$1:$P$166</definedName>
    <definedName name="Zone_impres_MI">'ii3-2 sitbanquepassif'!$A$1:$P$166</definedName>
  </definedNames>
  <calcPr calcId="152511"/>
</workbook>
</file>

<file path=xl/calcChain.xml><?xml version="1.0" encoding="utf-8"?>
<calcChain xmlns="http://schemas.openxmlformats.org/spreadsheetml/2006/main">
  <c r="P45" i="1" l="1"/>
  <c r="O45" i="1"/>
  <c r="N45" i="1"/>
  <c r="H45" i="1"/>
  <c r="D45" i="1"/>
  <c r="C45" i="1"/>
  <c r="B45" i="1"/>
  <c r="P162" i="1"/>
  <c r="O162" i="1"/>
  <c r="N162" i="1"/>
  <c r="H162" i="1"/>
  <c r="D162" i="1"/>
  <c r="C162" i="1"/>
  <c r="B162" i="1"/>
  <c r="P44" i="1" l="1"/>
  <c r="O44" i="1"/>
  <c r="N44" i="1"/>
  <c r="H44" i="1"/>
  <c r="D44" i="1"/>
  <c r="C44" i="1"/>
  <c r="B44" i="1"/>
  <c r="P161" i="1" l="1"/>
  <c r="O161" i="1"/>
  <c r="N161" i="1"/>
  <c r="H161" i="1"/>
  <c r="D161" i="1"/>
  <c r="C161" i="1"/>
  <c r="B161" i="1"/>
  <c r="P160" i="1" l="1"/>
  <c r="O160" i="1"/>
  <c r="N160" i="1"/>
  <c r="H160" i="1"/>
  <c r="D160" i="1"/>
  <c r="C160" i="1"/>
  <c r="B160" i="1"/>
  <c r="O159" i="1" l="1"/>
  <c r="P159" i="1" s="1"/>
  <c r="N159" i="1"/>
  <c r="H159" i="1"/>
  <c r="D159" i="1"/>
  <c r="C159" i="1"/>
  <c r="B159" i="1"/>
  <c r="O158" i="1"/>
  <c r="N158" i="1"/>
  <c r="P158" i="1" s="1"/>
  <c r="H158" i="1"/>
  <c r="D158" i="1"/>
  <c r="C158" i="1"/>
  <c r="B158" i="1"/>
  <c r="N151" i="1" l="1"/>
  <c r="O157" i="1"/>
  <c r="N157" i="1"/>
  <c r="H157" i="1"/>
  <c r="D157" i="1"/>
  <c r="C157" i="1"/>
  <c r="P157" i="1" s="1"/>
  <c r="B157" i="1"/>
  <c r="O156" i="1"/>
  <c r="N156" i="1"/>
  <c r="H156" i="1"/>
  <c r="D156" i="1"/>
  <c r="C156" i="1"/>
  <c r="B156" i="1"/>
  <c r="P156" i="1" s="1"/>
  <c r="O155" i="1"/>
  <c r="N155" i="1"/>
  <c r="I155" i="1"/>
  <c r="H155" i="1"/>
  <c r="D155" i="1"/>
  <c r="C155" i="1"/>
  <c r="B155" i="1"/>
  <c r="P155" i="1" s="1"/>
  <c r="O154" i="1"/>
  <c r="N154" i="1"/>
  <c r="H154" i="1"/>
  <c r="D154" i="1"/>
  <c r="C154" i="1"/>
  <c r="B154" i="1"/>
  <c r="P154" i="1" s="1"/>
  <c r="P153" i="1"/>
  <c r="O153" i="1"/>
  <c r="N153" i="1"/>
  <c r="H153" i="1"/>
  <c r="D153" i="1"/>
  <c r="C153" i="1"/>
  <c r="B153" i="1"/>
  <c r="O152" i="1"/>
  <c r="N152" i="1"/>
  <c r="H152" i="1"/>
  <c r="D152" i="1"/>
  <c r="C152" i="1"/>
  <c r="P152" i="1" s="1"/>
  <c r="B152" i="1"/>
  <c r="O151" i="1"/>
  <c r="H151" i="1"/>
  <c r="D151" i="1"/>
  <c r="C151" i="1"/>
  <c r="B151" i="1"/>
  <c r="P151" i="1" s="1"/>
  <c r="N135" i="1" l="1"/>
  <c r="P126" i="1"/>
  <c r="P125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7" i="1"/>
  <c r="P96" i="1"/>
  <c r="P95" i="1"/>
  <c r="P94" i="1"/>
  <c r="P93" i="1"/>
  <c r="P92" i="1"/>
  <c r="P91" i="1"/>
  <c r="P90" i="1"/>
  <c r="P89" i="1"/>
  <c r="P88" i="1"/>
  <c r="P87" i="1"/>
  <c r="P86" i="1"/>
  <c r="P84" i="1"/>
  <c r="P83" i="1"/>
  <c r="P82" i="1"/>
  <c r="P81" i="1"/>
  <c r="P80" i="1"/>
  <c r="P79" i="1"/>
  <c r="P78" i="1"/>
  <c r="P77" i="1"/>
  <c r="P76" i="1"/>
  <c r="P75" i="1"/>
  <c r="P74" i="1"/>
  <c r="P73" i="1"/>
  <c r="P71" i="1"/>
  <c r="P70" i="1"/>
  <c r="P69" i="1"/>
  <c r="P68" i="1"/>
  <c r="P67" i="1"/>
  <c r="P66" i="1"/>
  <c r="P65" i="1"/>
  <c r="P64" i="1"/>
  <c r="P63" i="1"/>
  <c r="P62" i="1"/>
  <c r="P61" i="1"/>
  <c r="P60" i="1"/>
  <c r="P58" i="1"/>
  <c r="P57" i="1"/>
  <c r="P56" i="1"/>
  <c r="P55" i="1"/>
  <c r="P54" i="1"/>
  <c r="P53" i="1"/>
  <c r="P52" i="1"/>
  <c r="P51" i="1"/>
  <c r="P50" i="1"/>
  <c r="P49" i="1"/>
  <c r="P48" i="1"/>
  <c r="P47" i="1"/>
  <c r="P30" i="1"/>
  <c r="P29" i="1"/>
  <c r="P28" i="1"/>
  <c r="P27" i="1"/>
  <c r="P25" i="1"/>
  <c r="P21" i="1"/>
  <c r="P20" i="1"/>
  <c r="P19" i="1"/>
  <c r="P18" i="1"/>
  <c r="P17" i="1"/>
  <c r="P16" i="1"/>
</calcChain>
</file>

<file path=xl/sharedStrings.xml><?xml version="1.0" encoding="utf-8"?>
<sst xmlns="http://schemas.openxmlformats.org/spreadsheetml/2006/main" count="270" uniqueCount="137">
  <si>
    <t xml:space="preserve"> </t>
  </si>
  <si>
    <t xml:space="preserve">   II.3.2</t>
  </si>
  <si>
    <t>TOTAL</t>
  </si>
  <si>
    <t>-</t>
  </si>
  <si>
    <t xml:space="preserve">   </t>
  </si>
  <si>
    <t>2011</t>
  </si>
  <si>
    <t>2012</t>
  </si>
  <si>
    <t>2013</t>
  </si>
  <si>
    <t xml:space="preserve">2009 </t>
  </si>
  <si>
    <t xml:space="preserve">2010 </t>
  </si>
  <si>
    <t>2008</t>
  </si>
  <si>
    <t>LIABILITIES</t>
  </si>
  <si>
    <t>Period</t>
  </si>
  <si>
    <t xml:space="preserve">CONSOLIDATED BALANCE SHEETS OF COMMERCIAL BANKS </t>
  </si>
  <si>
    <t>(In million of BIF)</t>
  </si>
  <si>
    <t>Demand</t>
  </si>
  <si>
    <t>Time and</t>
  </si>
  <si>
    <t xml:space="preserve">Foreign </t>
  </si>
  <si>
    <t>Other</t>
  </si>
  <si>
    <t>deposits</t>
  </si>
  <si>
    <t>saving</t>
  </si>
  <si>
    <t>currency</t>
  </si>
  <si>
    <t>financial</t>
  </si>
  <si>
    <t>of</t>
  </si>
  <si>
    <t xml:space="preserve">demand </t>
  </si>
  <si>
    <t>residents</t>
  </si>
  <si>
    <t xml:space="preserve">          deposits</t>
  </si>
  <si>
    <t>Loans</t>
  </si>
  <si>
    <t>Central</t>
  </si>
  <si>
    <t>Governmental</t>
  </si>
  <si>
    <t xml:space="preserve">  from</t>
  </si>
  <si>
    <t>government</t>
  </si>
  <si>
    <t>agencies</t>
  </si>
  <si>
    <t xml:space="preserve"> Central bank</t>
  </si>
  <si>
    <t xml:space="preserve">time </t>
  </si>
  <si>
    <t xml:space="preserve"> deposits</t>
  </si>
  <si>
    <t xml:space="preserve">   Foreign</t>
  </si>
  <si>
    <t xml:space="preserve">    liabilities</t>
  </si>
  <si>
    <t xml:space="preserve">  Equity and </t>
  </si>
  <si>
    <t xml:space="preserve">  reserves</t>
  </si>
  <si>
    <t>Result</t>
  </si>
  <si>
    <t>Net inter-</t>
  </si>
  <si>
    <t>bank</t>
  </si>
  <si>
    <t>liabilities</t>
  </si>
  <si>
    <t xml:space="preserve"> balances</t>
  </si>
  <si>
    <t xml:space="preserve">          december</t>
  </si>
  <si>
    <t xml:space="preserve">          june</t>
  </si>
  <si>
    <t>2012 january</t>
  </si>
  <si>
    <t xml:space="preserve">          february </t>
  </si>
  <si>
    <t xml:space="preserve">          march</t>
  </si>
  <si>
    <t xml:space="preserve">          april</t>
  </si>
  <si>
    <t xml:space="preserve">          may</t>
  </si>
  <si>
    <t xml:space="preserve">          july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</si>
  <si>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</si>
  <si>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</si>
  <si>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</si>
  <si>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</si>
  <si>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>2008 january</t>
  </si>
  <si>
    <t>2009 january</t>
  </si>
  <si>
    <t>2010 january</t>
  </si>
  <si>
    <t>2011 january</t>
  </si>
  <si>
    <t>2013 january</t>
  </si>
  <si>
    <t>foreign</t>
  </si>
  <si>
    <t>-4717,5</t>
  </si>
  <si>
    <t>-4802,1</t>
  </si>
  <si>
    <t>-6222,6</t>
  </si>
  <si>
    <t xml:space="preserve">Source : Compiled from informations provided by commercial banks </t>
  </si>
  <si>
    <t>2014</t>
  </si>
  <si>
    <t>-2210,2</t>
  </si>
  <si>
    <t>2013 february</t>
  </si>
  <si>
    <t>-5151,7</t>
  </si>
  <si>
    <t>2012   March</t>
  </si>
  <si>
    <t xml:space="preserve">           June</t>
  </si>
  <si>
    <t xml:space="preserve">           September</t>
  </si>
  <si>
    <t xml:space="preserve">           December</t>
  </si>
  <si>
    <t>2013   March</t>
  </si>
  <si>
    <t>2014   March</t>
  </si>
  <si>
    <t>2013 March</t>
  </si>
  <si>
    <t xml:space="preserve">         June</t>
  </si>
  <si>
    <t xml:space="preserve">         July</t>
  </si>
  <si>
    <t xml:space="preserve">         August</t>
  </si>
  <si>
    <t xml:space="preserve">         September</t>
  </si>
  <si>
    <t xml:space="preserve">         December</t>
  </si>
  <si>
    <t>2014 January</t>
  </si>
  <si>
    <t xml:space="preserve">         March</t>
  </si>
  <si>
    <t>2015 January</t>
  </si>
  <si>
    <t xml:space="preserve">         February</t>
  </si>
  <si>
    <t xml:space="preserve">          May</t>
  </si>
  <si>
    <t>2013 April</t>
  </si>
  <si>
    <t xml:space="preserve">         April</t>
  </si>
  <si>
    <t>2013 May</t>
  </si>
  <si>
    <t xml:space="preserve">         May</t>
  </si>
  <si>
    <t>2013 June</t>
  </si>
  <si>
    <t>2013 July</t>
  </si>
  <si>
    <t>2013 August</t>
  </si>
  <si>
    <t>2013 September</t>
  </si>
  <si>
    <t xml:space="preserve">          September</t>
  </si>
  <si>
    <t>2013 October</t>
  </si>
  <si>
    <t xml:space="preserve">          October</t>
  </si>
  <si>
    <t>2013 November</t>
  </si>
  <si>
    <t xml:space="preserve">          November</t>
  </si>
  <si>
    <t>2013 December</t>
  </si>
  <si>
    <t xml:space="preserve">          December</t>
  </si>
  <si>
    <t>-5972,4</t>
  </si>
  <si>
    <t>-7688,7</t>
  </si>
  <si>
    <t>-4531</t>
  </si>
  <si>
    <t>-4975,3</t>
  </si>
  <si>
    <t>-5538,7</t>
  </si>
  <si>
    <t>-7880,5</t>
  </si>
  <si>
    <t>-7669,2</t>
  </si>
  <si>
    <t>-3793,2</t>
  </si>
  <si>
    <t>-7612,1</t>
  </si>
  <si>
    <t>-6921,8</t>
  </si>
  <si>
    <t>-2715</t>
  </si>
  <si>
    <t>2015   March</t>
  </si>
  <si>
    <t>intermediaries</t>
  </si>
  <si>
    <t>2015</t>
  </si>
  <si>
    <t>2014  February</t>
  </si>
  <si>
    <t xml:space="preserve">          February</t>
  </si>
  <si>
    <t>2014  March</t>
  </si>
  <si>
    <t xml:space="preserve">          March</t>
  </si>
  <si>
    <t>-6615,1</t>
  </si>
  <si>
    <t>2016   March</t>
  </si>
  <si>
    <t>2014 April</t>
  </si>
  <si>
    <t xml:space="preserve">          April</t>
  </si>
  <si>
    <t>2016 January</t>
  </si>
  <si>
    <t>2014 May</t>
  </si>
  <si>
    <t xml:space="preserve">          June</t>
  </si>
  <si>
    <t>2014 June</t>
  </si>
  <si>
    <t>2014 July</t>
  </si>
  <si>
    <t xml:space="preserve">          July</t>
  </si>
  <si>
    <t xml:space="preserve">          August</t>
  </si>
  <si>
    <t>2014 August</t>
  </si>
  <si>
    <t xml:space="preserve">              Description</t>
  </si>
  <si>
    <t>2014 October</t>
  </si>
  <si>
    <t>2014 November</t>
  </si>
  <si>
    <t>2014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</si>
</sst>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</numFmts>
  <fonts count="6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25">
    <xf numFmtId="165" fontId="0" fillId="0" borderId="0" xfId="0"/>
    <xf numFmtId="165" fontId="3" fillId="0" borderId="0" xfId="0" applyNumberFormat="1" applyFont="1" applyBorder="1" applyAlignment="1" applyProtection="1">
      <alignment horizontal="center"/>
    </xf>
    <xf numFmtId="165" fontId="2" fillId="0" borderId="0" xfId="0" applyFont="1" applyBorder="1"/>
    <xf numFmtId="165" fontId="2" fillId="0" borderId="7" xfId="0" applyNumberFormat="1" applyFont="1" applyBorder="1" applyAlignment="1" applyProtection="1">
      <alignment horizontal="fill"/>
    </xf>
    <xf numFmtId="165" fontId="2" fillId="0" borderId="10" xfId="0" applyFont="1" applyBorder="1"/>
    <xf numFmtId="165" fontId="2" fillId="0" borderId="11" xfId="0" applyNumberFormat="1" applyFont="1" applyBorder="1" applyAlignment="1" applyProtection="1">
      <alignment horizontal="fill"/>
    </xf>
    <xf numFmtId="165" fontId="2" fillId="0" borderId="4" xfId="0" applyFont="1" applyBorder="1"/>
    <xf numFmtId="165" fontId="2" fillId="0" borderId="10" xfId="0" applyNumberFormat="1" applyFont="1" applyBorder="1" applyAlignment="1" applyProtection="1">
      <alignment horizontal="left"/>
    </xf>
    <xf numFmtId="165" fontId="2" fillId="0" borderId="10" xfId="0" applyFont="1" applyBorder="1" applyAlignment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10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Font="1" applyFill="1" applyBorder="1"/>
    <xf numFmtId="167" fontId="2" fillId="0" borderId="0" xfId="0" applyNumberFormat="1" applyFont="1" applyFill="1" applyBorder="1" applyAlignment="1" applyProtection="1">
      <alignment horizontal="center"/>
    </xf>
    <xf numFmtId="167" fontId="2" fillId="0" borderId="0" xfId="0" applyNumberFormat="1" applyFont="1" applyBorder="1" applyAlignment="1" applyProtection="1">
      <alignment horizontal="center"/>
    </xf>
    <xf numFmtId="165" fontId="2" fillId="0" borderId="1" xfId="0" applyNumberFormat="1" applyFont="1" applyBorder="1" applyAlignment="1" applyProtection="1">
      <alignment horizontal="fill"/>
    </xf>
    <xf numFmtId="165" fontId="2" fillId="0" borderId="2" xfId="0" applyNumberFormat="1" applyFont="1" applyBorder="1" applyAlignment="1" applyProtection="1">
      <alignment horizontal="fill"/>
    </xf>
    <xf numFmtId="165" fontId="2" fillId="0" borderId="2" xfId="0" applyNumberFormat="1" applyFont="1" applyFill="1" applyBorder="1" applyAlignment="1" applyProtection="1">
      <alignment horizontal="fill"/>
    </xf>
    <xf numFmtId="167" fontId="2" fillId="0" borderId="2" xfId="0" applyNumberFormat="1" applyFont="1" applyFill="1" applyBorder="1" applyAlignment="1" applyProtection="1">
      <alignment horizontal="fill"/>
    </xf>
    <xf numFmtId="165" fontId="2" fillId="0" borderId="3" xfId="0" applyNumberFormat="1" applyFont="1" applyFill="1" applyBorder="1" applyAlignment="1" applyProtection="1">
      <alignment horizontal="fill"/>
    </xf>
    <xf numFmtId="165" fontId="2" fillId="0" borderId="0" xfId="0" applyFont="1"/>
    <xf numFmtId="165" fontId="2" fillId="0" borderId="0" xfId="0" applyFont="1" applyFill="1" applyBorder="1"/>
    <xf numFmtId="167" fontId="2" fillId="0" borderId="0" xfId="0" applyNumberFormat="1" applyFont="1" applyFill="1" applyBorder="1"/>
    <xf numFmtId="165" fontId="2" fillId="0" borderId="5" xfId="0" applyFont="1" applyFill="1" applyBorder="1"/>
    <xf numFmtId="165" fontId="2" fillId="0" borderId="0" xfId="0" applyNumberFormat="1" applyFont="1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left"/>
    </xf>
    <xf numFmtId="165" fontId="3" fillId="0" borderId="5" xfId="0" applyNumberFormat="1" applyFont="1" applyFill="1" applyBorder="1" applyAlignment="1" applyProtection="1">
      <alignment horizontal="left"/>
    </xf>
    <xf numFmtId="165" fontId="2" fillId="0" borderId="4" xfId="0" applyNumberFormat="1" applyFont="1" applyBorder="1" applyAlignment="1" applyProtection="1">
      <alignment horizontal="left"/>
    </xf>
    <xf numFmtId="165" fontId="2" fillId="0" borderId="6" xfId="0" applyNumberFormat="1" applyFont="1" applyBorder="1" applyAlignment="1" applyProtection="1">
      <alignment horizontal="fill"/>
    </xf>
    <xf numFmtId="165" fontId="2" fillId="0" borderId="7" xfId="0" applyNumberFormat="1" applyFont="1" applyFill="1" applyBorder="1" applyAlignment="1" applyProtection="1">
      <alignment horizontal="fill"/>
    </xf>
    <xf numFmtId="167" fontId="2" fillId="0" borderId="7" xfId="0" applyNumberFormat="1" applyFont="1" applyFill="1" applyBorder="1" applyAlignment="1" applyProtection="1">
      <alignment horizontal="fill"/>
    </xf>
    <xf numFmtId="165" fontId="2" fillId="0" borderId="8" xfId="0" applyNumberFormat="1" applyFont="1" applyFill="1" applyBorder="1" applyAlignment="1" applyProtection="1">
      <alignment horizontal="fill"/>
    </xf>
    <xf numFmtId="165" fontId="2" fillId="0" borderId="0" xfId="0" applyNumberFormat="1" applyFont="1" applyAlignment="1" applyProtection="1">
      <alignment horizontal="center"/>
    </xf>
    <xf numFmtId="165" fontId="2" fillId="0" borderId="9" xfId="0" applyFont="1" applyBorder="1"/>
    <xf numFmtId="165" fontId="2" fillId="0" borderId="2" xfId="0" applyFont="1" applyBorder="1"/>
    <xf numFmtId="165" fontId="2" fillId="0" borderId="3" xfId="0" applyFont="1" applyBorder="1"/>
    <xf numFmtId="165" fontId="2" fillId="0" borderId="9" xfId="0" applyFont="1" applyFill="1" applyBorder="1"/>
    <xf numFmtId="167" fontId="2" fillId="0" borderId="2" xfId="0" applyNumberFormat="1" applyFont="1" applyFill="1" applyBorder="1"/>
    <xf numFmtId="165" fontId="2" fillId="0" borderId="5" xfId="0" applyNumberFormat="1" applyFont="1" applyBorder="1" applyAlignment="1" applyProtection="1">
      <alignment horizontal="center"/>
    </xf>
    <xf numFmtId="165" fontId="2" fillId="0" borderId="8" xfId="0" applyNumberFormat="1" applyFont="1" applyBorder="1" applyAlignment="1" applyProtection="1">
      <alignment horizontal="fill"/>
    </xf>
    <xf numFmtId="165" fontId="2" fillId="0" borderId="11" xfId="0" applyNumberFormat="1" applyFont="1" applyFill="1" applyBorder="1" applyAlignment="1" applyProtection="1">
      <alignment horizontal="fill"/>
    </xf>
    <xf numFmtId="165" fontId="2" fillId="0" borderId="10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right"/>
    </xf>
    <xf numFmtId="165" fontId="2" fillId="0" borderId="10" xfId="0" applyNumberFormat="1" applyFont="1" applyFill="1" applyBorder="1" applyAlignment="1" applyProtection="1">
      <alignment horizontal="right"/>
    </xf>
    <xf numFmtId="165" fontId="2" fillId="2" borderId="10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 applyProtection="1">
      <alignment horizontal="right"/>
    </xf>
    <xf numFmtId="165" fontId="2" fillId="2" borderId="0" xfId="0" applyFont="1" applyFill="1"/>
    <xf numFmtId="165" fontId="2" fillId="0" borderId="0" xfId="0" applyNumberFormat="1" applyFont="1" applyFill="1" applyBorder="1" applyAlignment="1" applyProtection="1">
      <alignment horizontal="right"/>
    </xf>
    <xf numFmtId="165" fontId="2" fillId="0" borderId="0" xfId="0" applyFont="1" applyFill="1"/>
    <xf numFmtId="167" fontId="2" fillId="0" borderId="0" xfId="0" applyNumberFormat="1" applyFont="1" applyFill="1" applyProtection="1"/>
    <xf numFmtId="165" fontId="2" fillId="0" borderId="0" xfId="0" applyNumberFormat="1" applyFont="1" applyFill="1" applyProtection="1"/>
    <xf numFmtId="167" fontId="2" fillId="0" borderId="0" xfId="0" applyNumberFormat="1" applyFont="1" applyFill="1"/>
    <xf numFmtId="165" fontId="2" fillId="0" borderId="10" xfId="0" quotePrefix="1" applyFont="1" applyBorder="1" applyAlignment="1">
      <alignment horizontal="left"/>
    </xf>
    <xf numFmtId="165" fontId="2" fillId="2" borderId="10" xfId="0" quotePrefix="1" applyFont="1" applyFill="1" applyBorder="1" applyAlignment="1">
      <alignment horizontal="left"/>
    </xf>
    <xf numFmtId="165" fontId="2" fillId="0" borderId="10" xfId="0" applyFont="1" applyBorder="1" applyAlignment="1">
      <alignment horizontal="left"/>
    </xf>
    <xf numFmtId="165" fontId="2" fillId="0" borderId="10" xfId="0" applyFont="1" applyFill="1" applyBorder="1" applyAlignment="1">
      <alignment horizontal="left"/>
    </xf>
    <xf numFmtId="165" fontId="2" fillId="2" borderId="10" xfId="0" applyFont="1" applyFill="1" applyBorder="1" applyAlignment="1">
      <alignment horizontal="left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fill"/>
    </xf>
    <xf numFmtId="165" fontId="2" fillId="0" borderId="10" xfId="0" applyNumberFormat="1" applyFont="1" applyBorder="1" applyAlignment="1" applyProtection="1">
      <alignment horizontal="fill"/>
    </xf>
    <xf numFmtId="166" fontId="2" fillId="0" borderId="2" xfId="1" applyNumberFormat="1" applyFont="1" applyFill="1" applyBorder="1" applyAlignment="1" applyProtection="1">
      <alignment horizontal="left"/>
    </xf>
    <xf numFmtId="165" fontId="2" fillId="0" borderId="7" xfId="0" applyFont="1" applyBorder="1"/>
    <xf numFmtId="165" fontId="2" fillId="0" borderId="7" xfId="0" applyFont="1" applyFill="1" applyBorder="1"/>
    <xf numFmtId="167" fontId="2" fillId="0" borderId="7" xfId="0" applyNumberFormat="1" applyFont="1" applyFill="1" applyBorder="1"/>
    <xf numFmtId="165" fontId="2" fillId="0" borderId="8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2" fillId="0" borderId="0" xfId="0" applyFont="1" applyBorder="1" applyAlignment="1">
      <alignment horizontal="right"/>
    </xf>
    <xf numFmtId="165" fontId="2" fillId="0" borderId="2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Font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2" fillId="0" borderId="0" xfId="0" quotePrefix="1" applyNumberFormat="1" applyFont="1" applyBorder="1" applyAlignment="1" applyProtection="1">
      <alignment horizontal="right"/>
    </xf>
    <xf numFmtId="165" fontId="2" fillId="0" borderId="7" xfId="0" applyFont="1" applyBorder="1" applyAlignment="1">
      <alignment horizontal="right"/>
    </xf>
    <xf numFmtId="165" fontId="2" fillId="0" borderId="11" xfId="0" applyNumberFormat="1" applyFont="1" applyBorder="1" applyAlignment="1" applyProtection="1">
      <alignment horizontal="right"/>
    </xf>
    <xf numFmtId="166" fontId="2" fillId="0" borderId="0" xfId="1" applyNumberFormat="1" applyFont="1" applyFill="1" applyBorder="1" applyAlignment="1" applyProtection="1">
      <alignment horizontal="right"/>
    </xf>
    <xf numFmtId="166" fontId="0" fillId="0" borderId="0" xfId="1" applyNumberFormat="1" applyFont="1" applyFill="1" applyBorder="1" applyAlignment="1" applyProtection="1">
      <alignment horizontal="right"/>
    </xf>
    <xf numFmtId="166" fontId="2" fillId="0" borderId="7" xfId="1" applyNumberFormat="1" applyFont="1" applyFill="1" applyBorder="1" applyAlignment="1" applyProtection="1">
      <alignment horizontal="left"/>
    </xf>
    <xf numFmtId="167" fontId="2" fillId="0" borderId="9" xfId="0" applyNumberFormat="1" applyFont="1" applyFill="1" applyBorder="1"/>
    <xf numFmtId="167" fontId="2" fillId="0" borderId="10" xfId="0" applyNumberFormat="1" applyFont="1" applyFill="1" applyBorder="1" applyAlignment="1" applyProtection="1">
      <alignment horizontal="right"/>
    </xf>
    <xf numFmtId="165" fontId="2" fillId="0" borderId="10" xfId="0" quotePrefix="1" applyFont="1" applyBorder="1" applyAlignment="1">
      <alignment horizontal="right"/>
    </xf>
    <xf numFmtId="167" fontId="2" fillId="0" borderId="10" xfId="0" applyNumberFormat="1" applyFont="1" applyFill="1" applyBorder="1"/>
    <xf numFmtId="167" fontId="2" fillId="0" borderId="10" xfId="0" quotePrefix="1" applyNumberFormat="1" applyFont="1" applyBorder="1" applyAlignment="1">
      <alignment horizontal="right"/>
    </xf>
    <xf numFmtId="167" fontId="2" fillId="0" borderId="11" xfId="0" applyNumberFormat="1" applyFont="1" applyFill="1" applyBorder="1" applyAlignment="1" applyProtection="1">
      <alignment horizontal="fill"/>
    </xf>
    <xf numFmtId="165" fontId="2" fillId="0" borderId="7" xfId="0" applyNumberFormat="1" applyFont="1" applyFill="1" applyBorder="1" applyAlignment="1" applyProtection="1">
      <alignment horizontal="right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NumberFormat="1" applyFont="1" applyAlignment="1" applyProtection="1">
      <alignment horizontal="center"/>
    </xf>
    <xf numFmtId="165" fontId="0" fillId="0" borderId="0" xfId="0" applyFont="1"/>
    <xf numFmtId="166" fontId="2" fillId="0" borderId="10" xfId="1" applyNumberFormat="1" applyFont="1" applyFill="1" applyBorder="1" applyAlignment="1" applyProtection="1">
      <alignment horizontal="right"/>
    </xf>
    <xf numFmtId="165" fontId="0" fillId="0" borderId="0" xfId="0" applyNumberFormat="1" applyFont="1" applyAlignment="1" applyProtection="1">
      <alignment horizontal="center"/>
    </xf>
    <xf numFmtId="165" fontId="4" fillId="2" borderId="0" xfId="0" applyFont="1" applyFill="1" applyBorder="1"/>
    <xf numFmtId="165" fontId="5" fillId="0" borderId="10" xfId="0" applyFont="1" applyBorder="1" applyAlignment="1">
      <alignment horizontal="left"/>
    </xf>
    <xf numFmtId="165" fontId="5" fillId="0" borderId="0" xfId="0" applyNumberFormat="1" applyFont="1" applyAlignment="1" applyProtection="1">
      <alignment horizontal="center"/>
    </xf>
    <xf numFmtId="165" fontId="5" fillId="0" borderId="0" xfId="0" applyFont="1"/>
    <xf numFmtId="165" fontId="3" fillId="0" borderId="6" xfId="0" applyFont="1" applyBorder="1"/>
    <xf numFmtId="165" fontId="3" fillId="0" borderId="1" xfId="0" applyFont="1" applyBorder="1"/>
    <xf numFmtId="165" fontId="3" fillId="0" borderId="4" xfId="0" applyFont="1" applyBorder="1"/>
    <xf numFmtId="165" fontId="3" fillId="0" borderId="4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center" vertical="center"/>
    </xf>
    <xf numFmtId="165" fontId="3" fillId="0" borderId="0" xfId="0" applyNumberFormat="1" applyFont="1" applyBorder="1" applyAlignment="1" applyProtection="1">
      <alignment horizontal="center" vertical="center"/>
    </xf>
    <xf numFmtId="165" fontId="3" fillId="0" borderId="5" xfId="0" applyNumberFormat="1" applyFont="1" applyBorder="1" applyAlignment="1" applyProtection="1">
      <alignment horizontal="center" vertical="center"/>
    </xf>
    <xf numFmtId="165" fontId="2" fillId="0" borderId="0" xfId="0" applyFont="1" applyBorder="1" applyAlignment="1">
      <alignment horizontal="center"/>
    </xf>
    <xf numFmtId="165" fontId="3" fillId="0" borderId="9" xfId="0" applyFont="1" applyFill="1" applyBorder="1"/>
    <xf numFmtId="165" fontId="3" fillId="0" borderId="10" xfId="0" applyNumberFormat="1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9525</xdr:rowOff>
    </xdr:from>
    <xdr:to>
      <xdr:col>1</xdr:col>
      <xdr:colOff>9525</xdr:colOff>
      <xdr:row>14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1219200"/>
          <a:ext cx="1819275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169"/>
  <sheetViews>
    <sheetView showGridLines="0" tabSelected="1" view="pageBreakPreview" zoomScale="60" zoomScaleNormal="100" workbookViewId="0">
      <pane xSplit="1" ySplit="14" topLeftCell="B37" activePane="bottomRight" state="frozen"/>
      <selection pane="topRight" activeCell="B1" sqref="B1"/>
      <selection pane="bottomLeft" activeCell="A15" sqref="A15"/>
      <selection pane="bottomRight" activeCell="J40" sqref="J40"/>
    </sheetView>
  </sheetViews>
  <sheetFormatPr defaultColWidth="11.5546875" defaultRowHeight="12.75" x14ac:dyDescent="0.2"/>
  <cols>
    <col min="1" max="1" width="20.21875" style="21" customWidth="1"/>
    <col min="2" max="2" width="12.21875" style="21" customWidth="1"/>
    <col min="3" max="3" width="10.44140625" style="21" customWidth="1"/>
    <col min="4" max="4" width="14.77734375" style="21" bestFit="1" customWidth="1"/>
    <col min="5" max="6" width="14.33203125" style="21" bestFit="1" customWidth="1"/>
    <col min="7" max="7" width="13.44140625" style="21" bestFit="1" customWidth="1"/>
    <col min="8" max="8" width="11.21875" style="21" bestFit="1" customWidth="1"/>
    <col min="9" max="9" width="11.44140625" style="21" bestFit="1" customWidth="1"/>
    <col min="10" max="10" width="11.21875" style="21" bestFit="1" customWidth="1"/>
    <col min="11" max="11" width="10.6640625" style="21" bestFit="1" customWidth="1"/>
    <col min="12" max="12" width="10.44140625" style="49" bestFit="1" customWidth="1"/>
    <col min="13" max="13" width="12.109375" style="49" bestFit="1" customWidth="1"/>
    <col min="14" max="14" width="11.5546875" style="52" customWidth="1"/>
    <col min="15" max="15" width="10.33203125" style="49" bestFit="1" customWidth="1"/>
    <col min="16" max="16" width="12" style="49" bestFit="1" customWidth="1"/>
    <col min="17" max="17" width="11.5546875" style="21" bestFit="1" customWidth="1"/>
    <col min="18" max="18" width="10.5546875" style="21" customWidth="1"/>
    <col min="19" max="16384" width="11.5546875" style="21"/>
  </cols>
  <sheetData>
    <row r="1" spans="1:20" x14ac:dyDescent="0.2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18"/>
      <c r="N1" s="19"/>
      <c r="O1" s="18"/>
      <c r="P1" s="20"/>
    </row>
    <row r="2" spans="1:20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2"/>
      <c r="M2" s="22"/>
      <c r="N2" s="23"/>
      <c r="O2" s="22"/>
      <c r="P2" s="24"/>
    </row>
    <row r="3" spans="1:20" x14ac:dyDescent="0.2">
      <c r="A3" s="6"/>
      <c r="B3" s="1" t="s">
        <v>11</v>
      </c>
      <c r="C3" s="2"/>
      <c r="D3" s="2"/>
      <c r="E3" s="2"/>
      <c r="F3" s="2"/>
      <c r="G3" s="2"/>
      <c r="H3" s="2"/>
      <c r="I3" s="25" t="s">
        <v>0</v>
      </c>
      <c r="J3" s="25"/>
      <c r="K3" s="2"/>
      <c r="L3" s="22"/>
      <c r="M3" s="26" t="s">
        <v>0</v>
      </c>
      <c r="N3" s="23"/>
      <c r="O3" s="22"/>
      <c r="P3" s="27" t="s">
        <v>1</v>
      </c>
    </row>
    <row r="4" spans="1:20" x14ac:dyDescent="0.2">
      <c r="A4" s="119" t="s">
        <v>13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</row>
    <row r="5" spans="1:20" x14ac:dyDescent="0.2">
      <c r="A5" s="119" t="s">
        <v>14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1"/>
    </row>
    <row r="6" spans="1:20" x14ac:dyDescent="0.2">
      <c r="A6" s="28" t="s">
        <v>0</v>
      </c>
      <c r="B6" s="10" t="s">
        <v>0</v>
      </c>
      <c r="C6" s="2"/>
      <c r="D6" s="2"/>
      <c r="E6" s="2"/>
      <c r="F6" s="2"/>
      <c r="G6" s="2"/>
      <c r="H6" s="2"/>
      <c r="I6" s="2"/>
      <c r="J6" s="2"/>
      <c r="K6" s="2"/>
      <c r="L6" s="22"/>
      <c r="M6" s="22"/>
      <c r="N6" s="23"/>
      <c r="O6" s="22"/>
      <c r="P6" s="24"/>
    </row>
    <row r="7" spans="1:20" x14ac:dyDescent="0.2">
      <c r="A7" s="29"/>
      <c r="B7" s="3"/>
      <c r="C7" s="3"/>
      <c r="D7" s="3"/>
      <c r="E7" s="3"/>
      <c r="F7" s="3"/>
      <c r="G7" s="3"/>
      <c r="H7" s="3"/>
      <c r="I7" s="3"/>
      <c r="J7" s="3"/>
      <c r="K7" s="3"/>
      <c r="L7" s="30"/>
      <c r="M7" s="30"/>
      <c r="N7" s="31"/>
      <c r="O7" s="30"/>
      <c r="P7" s="32"/>
      <c r="Q7" s="33"/>
      <c r="R7" s="33"/>
      <c r="S7" s="33"/>
      <c r="T7" s="33"/>
    </row>
    <row r="8" spans="1:20" x14ac:dyDescent="0.2">
      <c r="A8" s="116"/>
      <c r="B8" s="34"/>
      <c r="C8" s="35"/>
      <c r="D8" s="34"/>
      <c r="E8" s="34"/>
      <c r="F8" s="34"/>
      <c r="G8" s="34"/>
      <c r="H8" s="34"/>
      <c r="I8" s="34"/>
      <c r="J8" s="34"/>
      <c r="K8" s="36"/>
      <c r="L8" s="37"/>
      <c r="M8" s="37"/>
      <c r="N8" s="38"/>
      <c r="O8" s="37"/>
      <c r="P8" s="123"/>
    </row>
    <row r="9" spans="1:20" x14ac:dyDescent="0.2">
      <c r="A9" s="117" t="s">
        <v>133</v>
      </c>
      <c r="B9" s="11" t="s">
        <v>15</v>
      </c>
      <c r="C9" s="10" t="s">
        <v>16</v>
      </c>
      <c r="D9" s="11" t="s">
        <v>17</v>
      </c>
      <c r="E9" s="11" t="s">
        <v>18</v>
      </c>
      <c r="F9" s="11" t="s">
        <v>18</v>
      </c>
      <c r="G9" s="11" t="s">
        <v>27</v>
      </c>
      <c r="H9" s="9" t="s">
        <v>28</v>
      </c>
      <c r="I9" s="11" t="s">
        <v>29</v>
      </c>
      <c r="J9" s="11" t="s">
        <v>28</v>
      </c>
      <c r="K9" s="10" t="s">
        <v>36</v>
      </c>
      <c r="L9" s="11" t="s">
        <v>38</v>
      </c>
      <c r="M9" s="11" t="s">
        <v>40</v>
      </c>
      <c r="N9" s="15" t="s">
        <v>41</v>
      </c>
      <c r="O9" s="11" t="s">
        <v>18</v>
      </c>
      <c r="P9" s="124" t="s">
        <v>2</v>
      </c>
    </row>
    <row r="10" spans="1:20" x14ac:dyDescent="0.2">
      <c r="A10" s="117"/>
      <c r="B10" s="11" t="s">
        <v>19</v>
      </c>
      <c r="C10" s="10" t="s">
        <v>20</v>
      </c>
      <c r="D10" s="11" t="s">
        <v>21</v>
      </c>
      <c r="E10" s="11" t="s">
        <v>22</v>
      </c>
      <c r="F10" s="11" t="s">
        <v>22</v>
      </c>
      <c r="G10" s="11" t="s">
        <v>30</v>
      </c>
      <c r="H10" s="9" t="s">
        <v>31</v>
      </c>
      <c r="I10" s="11" t="s">
        <v>32</v>
      </c>
      <c r="J10" s="11" t="s">
        <v>31</v>
      </c>
      <c r="K10" s="10" t="s">
        <v>37</v>
      </c>
      <c r="L10" s="11" t="s">
        <v>39</v>
      </c>
      <c r="M10" s="12"/>
      <c r="N10" s="15" t="s">
        <v>42</v>
      </c>
      <c r="O10" s="11" t="s">
        <v>43</v>
      </c>
      <c r="P10" s="124" t="s">
        <v>11</v>
      </c>
    </row>
    <row r="11" spans="1:20" x14ac:dyDescent="0.2">
      <c r="A11" s="117"/>
      <c r="B11" s="11"/>
      <c r="C11" s="10" t="s">
        <v>19</v>
      </c>
      <c r="D11" s="11" t="s">
        <v>19</v>
      </c>
      <c r="E11" s="11" t="s">
        <v>115</v>
      </c>
      <c r="F11" s="11" t="s">
        <v>115</v>
      </c>
      <c r="G11" s="11" t="s">
        <v>33</v>
      </c>
      <c r="H11" s="9" t="s">
        <v>19</v>
      </c>
      <c r="I11" s="11" t="s">
        <v>19</v>
      </c>
      <c r="J11" s="11" t="s">
        <v>62</v>
      </c>
      <c r="K11" s="39"/>
      <c r="L11" s="12"/>
      <c r="M11" s="13"/>
      <c r="N11" s="15" t="s">
        <v>44</v>
      </c>
      <c r="O11" s="13"/>
      <c r="P11" s="13"/>
      <c r="Q11" s="33"/>
    </row>
    <row r="12" spans="1:20" x14ac:dyDescent="0.2">
      <c r="A12" s="117"/>
      <c r="B12" s="4"/>
      <c r="C12" s="2"/>
      <c r="D12" s="11" t="s">
        <v>23</v>
      </c>
      <c r="E12" s="11" t="s">
        <v>24</v>
      </c>
      <c r="F12" s="11" t="s">
        <v>34</v>
      </c>
      <c r="G12" s="11"/>
      <c r="H12" s="11"/>
      <c r="I12" s="9"/>
      <c r="J12" s="11" t="s">
        <v>19</v>
      </c>
      <c r="K12" s="39"/>
      <c r="L12" s="12"/>
      <c r="M12" s="13"/>
      <c r="N12" s="14"/>
      <c r="O12" s="13"/>
      <c r="P12" s="13"/>
      <c r="Q12" s="33"/>
    </row>
    <row r="13" spans="1:20" x14ac:dyDescent="0.2">
      <c r="A13" s="117" t="s">
        <v>12</v>
      </c>
      <c r="B13" s="4"/>
      <c r="C13" s="2"/>
      <c r="D13" s="11" t="s">
        <v>25</v>
      </c>
      <c r="E13" s="4" t="s">
        <v>26</v>
      </c>
      <c r="F13" s="8" t="s">
        <v>35</v>
      </c>
      <c r="G13" s="11"/>
      <c r="H13" s="7" t="s">
        <v>4</v>
      </c>
      <c r="I13" s="6"/>
      <c r="J13" s="11"/>
      <c r="K13" s="39"/>
      <c r="L13" s="12"/>
      <c r="M13" s="13"/>
      <c r="N13" s="14"/>
      <c r="O13" s="13"/>
      <c r="P13" s="13"/>
    </row>
    <row r="14" spans="1:20" x14ac:dyDescent="0.2">
      <c r="A14" s="118"/>
      <c r="B14" s="5"/>
      <c r="C14" s="64"/>
      <c r="D14" s="5"/>
      <c r="E14" s="5"/>
      <c r="F14" s="5"/>
      <c r="G14" s="5"/>
      <c r="H14" s="5"/>
      <c r="I14" s="5"/>
      <c r="J14" s="5"/>
      <c r="K14" s="40"/>
      <c r="L14" s="41"/>
      <c r="M14" s="41"/>
      <c r="N14" s="31"/>
      <c r="O14" s="41"/>
      <c r="P14" s="41"/>
      <c r="Q14" s="33"/>
    </row>
    <row r="15" spans="1:20" x14ac:dyDescent="0.2">
      <c r="A15" s="34"/>
      <c r="B15" s="34"/>
      <c r="C15" s="35"/>
      <c r="D15" s="34"/>
      <c r="E15" s="35"/>
      <c r="F15" s="34"/>
      <c r="G15" s="35"/>
      <c r="H15" s="34"/>
      <c r="I15" s="35"/>
      <c r="J15" s="34"/>
      <c r="K15" s="35"/>
      <c r="L15" s="37"/>
      <c r="M15" s="78"/>
      <c r="N15" s="98"/>
      <c r="O15" s="78"/>
      <c r="P15" s="37"/>
    </row>
    <row r="16" spans="1:20" hidden="1" x14ac:dyDescent="0.2">
      <c r="A16" s="53" t="s">
        <v>10</v>
      </c>
      <c r="B16" s="42">
        <v>191381.50000000003</v>
      </c>
      <c r="C16" s="43">
        <v>99286.999999999985</v>
      </c>
      <c r="D16" s="42">
        <v>62928.999999999956</v>
      </c>
      <c r="E16" s="43">
        <v>603.5</v>
      </c>
      <c r="F16" s="42">
        <v>550</v>
      </c>
      <c r="G16" s="92" t="s">
        <v>3</v>
      </c>
      <c r="H16" s="42">
        <v>14305</v>
      </c>
      <c r="I16" s="43">
        <v>5052.6000000000004</v>
      </c>
      <c r="J16" s="42">
        <v>24400</v>
      </c>
      <c r="K16" s="43">
        <v>30009.400000000009</v>
      </c>
      <c r="L16" s="44">
        <v>87503.4</v>
      </c>
      <c r="M16" s="95">
        <v>18433.2</v>
      </c>
      <c r="N16" s="99">
        <v>311.60000000000002</v>
      </c>
      <c r="O16" s="48">
        <v>27363.400000000009</v>
      </c>
      <c r="P16" s="44">
        <f t="shared" ref="P16:P21" si="0">SUM(B16:O16)</f>
        <v>562129.59999999986</v>
      </c>
      <c r="Q16" s="33"/>
      <c r="R16" s="33"/>
      <c r="S16" s="33"/>
      <c r="T16" s="33"/>
    </row>
    <row r="17" spans="1:23" hidden="1" x14ac:dyDescent="0.2">
      <c r="A17" s="54" t="s">
        <v>8</v>
      </c>
      <c r="B17" s="42">
        <v>226504.30000000002</v>
      </c>
      <c r="C17" s="43">
        <v>116535.90000000001</v>
      </c>
      <c r="D17" s="42">
        <v>81175.299999999988</v>
      </c>
      <c r="E17" s="43">
        <v>1234.8999999999999</v>
      </c>
      <c r="F17" s="42">
        <v>400</v>
      </c>
      <c r="G17" s="92" t="s">
        <v>3</v>
      </c>
      <c r="H17" s="42">
        <v>23913.5</v>
      </c>
      <c r="I17" s="43">
        <v>8608.5999999999985</v>
      </c>
      <c r="J17" s="42">
        <v>33663.599999999999</v>
      </c>
      <c r="K17" s="43">
        <v>36237.599999999999</v>
      </c>
      <c r="L17" s="44">
        <v>111536.20000000001</v>
      </c>
      <c r="M17" s="95">
        <v>21190.100000000002</v>
      </c>
      <c r="N17" s="99">
        <v>1123.9000000000001</v>
      </c>
      <c r="O17" s="48">
        <v>27186.800000000003</v>
      </c>
      <c r="P17" s="44">
        <f t="shared" si="0"/>
        <v>689310.7</v>
      </c>
      <c r="Q17" s="33"/>
      <c r="R17" s="33"/>
      <c r="S17" s="33"/>
      <c r="T17" s="33"/>
    </row>
    <row r="18" spans="1:23" hidden="1" x14ac:dyDescent="0.2">
      <c r="A18" s="53" t="s">
        <v>9</v>
      </c>
      <c r="B18" s="42">
        <v>290409</v>
      </c>
      <c r="C18" s="43">
        <v>143615.40000000002</v>
      </c>
      <c r="D18" s="42">
        <v>89591.3</v>
      </c>
      <c r="E18" s="43">
        <v>1128.8</v>
      </c>
      <c r="F18" s="42">
        <v>530</v>
      </c>
      <c r="G18" s="92" t="s">
        <v>3</v>
      </c>
      <c r="H18" s="42">
        <v>30906.599999999988</v>
      </c>
      <c r="I18" s="43">
        <v>5456.4</v>
      </c>
      <c r="J18" s="42">
        <v>27042.2</v>
      </c>
      <c r="K18" s="43">
        <v>50485.599999999991</v>
      </c>
      <c r="L18" s="42">
        <v>97362.8</v>
      </c>
      <c r="M18" s="48">
        <v>22695.399999999998</v>
      </c>
      <c r="N18" s="99">
        <v>113.79999999999987</v>
      </c>
      <c r="O18" s="48">
        <v>81209.600000000006</v>
      </c>
      <c r="P18" s="44">
        <f t="shared" si="0"/>
        <v>840546.9</v>
      </c>
      <c r="Q18" s="33"/>
      <c r="R18" s="33"/>
      <c r="S18" s="33"/>
      <c r="T18" s="33"/>
    </row>
    <row r="19" spans="1:23" s="47" customFormat="1" x14ac:dyDescent="0.2">
      <c r="A19" s="53" t="s">
        <v>5</v>
      </c>
      <c r="B19" s="45">
        <v>283537.99999999994</v>
      </c>
      <c r="C19" s="46">
        <v>178588.99999999997</v>
      </c>
      <c r="D19" s="45">
        <v>89107.6</v>
      </c>
      <c r="E19" s="46">
        <v>570.1</v>
      </c>
      <c r="F19" s="45">
        <v>230</v>
      </c>
      <c r="G19" s="46">
        <v>23887.599999999999</v>
      </c>
      <c r="H19" s="45">
        <v>32980.200000000004</v>
      </c>
      <c r="I19" s="46">
        <v>6981.7999999999993</v>
      </c>
      <c r="J19" s="45">
        <v>38665.200000000004</v>
      </c>
      <c r="K19" s="46">
        <v>50036.000000000007</v>
      </c>
      <c r="L19" s="42">
        <v>117656.69999999998</v>
      </c>
      <c r="M19" s="48">
        <v>30401</v>
      </c>
      <c r="N19" s="99">
        <v>617.30000000000041</v>
      </c>
      <c r="O19" s="48">
        <v>83487.7</v>
      </c>
      <c r="P19" s="44">
        <f t="shared" si="0"/>
        <v>936748.19999999972</v>
      </c>
      <c r="Q19" s="33"/>
      <c r="R19" s="33"/>
      <c r="S19" s="33"/>
      <c r="T19" s="33"/>
      <c r="V19" s="21"/>
      <c r="W19" s="21"/>
    </row>
    <row r="20" spans="1:23" s="47" customFormat="1" x14ac:dyDescent="0.2">
      <c r="A20" s="54" t="s">
        <v>6</v>
      </c>
      <c r="B20" s="45">
        <v>315397.3000000001</v>
      </c>
      <c r="C20" s="46">
        <v>194074.10000000003</v>
      </c>
      <c r="D20" s="45">
        <v>126093.49999999999</v>
      </c>
      <c r="E20" s="46">
        <v>1801.0000000000002</v>
      </c>
      <c r="F20" s="45">
        <v>430</v>
      </c>
      <c r="G20" s="92" t="s">
        <v>3</v>
      </c>
      <c r="H20" s="45">
        <v>33508</v>
      </c>
      <c r="I20" s="46">
        <v>9660.5</v>
      </c>
      <c r="J20" s="45">
        <v>32270.799999999999</v>
      </c>
      <c r="K20" s="46">
        <v>62971.7</v>
      </c>
      <c r="L20" s="42">
        <v>162470.70000000001</v>
      </c>
      <c r="M20" s="48">
        <v>20813.100000000002</v>
      </c>
      <c r="N20" s="99">
        <v>4358.7000000000007</v>
      </c>
      <c r="O20" s="48">
        <v>80834.7</v>
      </c>
      <c r="P20" s="44">
        <f t="shared" si="0"/>
        <v>1044684.1</v>
      </c>
      <c r="Q20" s="33"/>
      <c r="R20" s="33"/>
      <c r="S20" s="33"/>
      <c r="T20" s="33"/>
      <c r="V20" s="21"/>
      <c r="W20" s="21"/>
    </row>
    <row r="21" spans="1:23" x14ac:dyDescent="0.2">
      <c r="A21" s="54" t="s">
        <v>7</v>
      </c>
      <c r="B21" s="42">
        <v>360175.89999999991</v>
      </c>
      <c r="C21" s="43">
        <v>225312.40000000002</v>
      </c>
      <c r="D21" s="42">
        <v>134561.49999999997</v>
      </c>
      <c r="E21" s="43">
        <v>1446.5</v>
      </c>
      <c r="F21" s="42">
        <v>430</v>
      </c>
      <c r="G21" s="92" t="s">
        <v>3</v>
      </c>
      <c r="H21" s="42">
        <v>51086.3</v>
      </c>
      <c r="I21" s="43">
        <v>9056.5</v>
      </c>
      <c r="J21" s="42">
        <v>22059.600000000002</v>
      </c>
      <c r="K21" s="43">
        <v>89788.900000000009</v>
      </c>
      <c r="L21" s="42">
        <v>185759.59999999998</v>
      </c>
      <c r="M21" s="48">
        <v>21766.899999999998</v>
      </c>
      <c r="N21" s="99">
        <v>-40.700000000000188</v>
      </c>
      <c r="O21" s="48">
        <v>116613.4</v>
      </c>
      <c r="P21" s="44">
        <f t="shared" si="0"/>
        <v>1218016.7999999998</v>
      </c>
      <c r="Q21" s="48"/>
      <c r="R21" s="10"/>
      <c r="S21" s="33"/>
      <c r="T21" s="33"/>
    </row>
    <row r="22" spans="1:23" ht="15.75" x14ac:dyDescent="0.25">
      <c r="A22" s="54" t="s">
        <v>67</v>
      </c>
      <c r="B22" s="4">
        <v>415996.5</v>
      </c>
      <c r="C22" s="2">
        <v>242322.4</v>
      </c>
      <c r="D22" s="4">
        <v>163209.70000000001</v>
      </c>
      <c r="E22" s="2">
        <v>1669.5</v>
      </c>
      <c r="F22" s="4">
        <v>230</v>
      </c>
      <c r="G22" s="77" t="s">
        <v>3</v>
      </c>
      <c r="H22" s="4">
        <v>48722.8</v>
      </c>
      <c r="I22" s="2">
        <v>9410.5</v>
      </c>
      <c r="J22" s="4">
        <v>17620.400000000001</v>
      </c>
      <c r="K22" s="2">
        <v>147751.79999999999</v>
      </c>
      <c r="L22" s="42">
        <v>205273.60000000001</v>
      </c>
      <c r="M22" s="2">
        <v>25746.6</v>
      </c>
      <c r="N22" s="100" t="s">
        <v>68</v>
      </c>
      <c r="O22" s="48">
        <v>124895.5</v>
      </c>
      <c r="P22" s="4">
        <v>1400638.4</v>
      </c>
      <c r="Q22" s="83"/>
      <c r="R22" s="83"/>
      <c r="S22" s="83"/>
      <c r="T22" s="83"/>
    </row>
    <row r="23" spans="1:23" ht="15.75" x14ac:dyDescent="0.25">
      <c r="A23" s="54" t="s">
        <v>116</v>
      </c>
      <c r="B23" s="4">
        <v>406863.4</v>
      </c>
      <c r="C23" s="2">
        <v>272059.2</v>
      </c>
      <c r="D23" s="4">
        <v>137437.20000000001</v>
      </c>
      <c r="E23" s="2">
        <v>5303.8</v>
      </c>
      <c r="F23" s="4">
        <v>8529.9</v>
      </c>
      <c r="G23" s="2">
        <v>19805</v>
      </c>
      <c r="H23" s="4">
        <v>51946.1</v>
      </c>
      <c r="I23" s="2">
        <v>9009.9</v>
      </c>
      <c r="J23" s="4">
        <v>6801.5</v>
      </c>
      <c r="K23" s="2">
        <v>150034</v>
      </c>
      <c r="L23" s="4">
        <v>213505.6</v>
      </c>
      <c r="M23" s="2">
        <v>18037.599999999999</v>
      </c>
      <c r="N23" s="100" t="s">
        <v>103</v>
      </c>
      <c r="O23" s="2">
        <v>148181.6</v>
      </c>
      <c r="P23" s="4">
        <v>1441542.4000000004</v>
      </c>
      <c r="Q23" s="87"/>
      <c r="R23" s="87"/>
      <c r="S23" s="87"/>
      <c r="T23" s="87"/>
    </row>
    <row r="24" spans="1:23" x14ac:dyDescent="0.2">
      <c r="A24" s="55"/>
      <c r="B24" s="42"/>
      <c r="C24" s="43"/>
      <c r="D24" s="42"/>
      <c r="E24" s="43"/>
      <c r="F24" s="42"/>
      <c r="G24" s="43"/>
      <c r="H24" s="42"/>
      <c r="I24" s="43"/>
      <c r="J24" s="42"/>
      <c r="K24" s="43"/>
      <c r="L24" s="42"/>
      <c r="M24" s="95"/>
      <c r="N24" s="99"/>
      <c r="O24" s="48"/>
      <c r="P24" s="44"/>
      <c r="Q24" s="48"/>
      <c r="R24" s="10"/>
      <c r="S24" s="33"/>
      <c r="T24" s="33"/>
    </row>
    <row r="25" spans="1:23" s="47" customFormat="1" hidden="1" x14ac:dyDescent="0.2">
      <c r="A25" s="56" t="s">
        <v>71</v>
      </c>
      <c r="B25" s="45">
        <v>277531.20000000007</v>
      </c>
      <c r="C25" s="46">
        <v>172381.29999999996</v>
      </c>
      <c r="D25" s="45">
        <v>93403.200000000012</v>
      </c>
      <c r="E25" s="46">
        <v>717.99999999999989</v>
      </c>
      <c r="F25" s="45">
        <v>230</v>
      </c>
      <c r="G25" s="46">
        <v>31870.5</v>
      </c>
      <c r="H25" s="45">
        <v>56223.5</v>
      </c>
      <c r="I25" s="46">
        <v>10091.099999999999</v>
      </c>
      <c r="J25" s="45">
        <v>27345.300000000003</v>
      </c>
      <c r="K25" s="46">
        <v>62213.7</v>
      </c>
      <c r="L25" s="42">
        <v>178597.6</v>
      </c>
      <c r="M25" s="48">
        <v>7570.6</v>
      </c>
      <c r="N25" s="99">
        <v>32.699999999999889</v>
      </c>
      <c r="O25" s="48">
        <v>40802.100000000006</v>
      </c>
      <c r="P25" s="44">
        <f>SUM(B25:O25)</f>
        <v>959010.79999999981</v>
      </c>
      <c r="Q25" s="48"/>
      <c r="R25" s="10"/>
      <c r="S25" s="33"/>
      <c r="T25" s="33"/>
      <c r="V25" s="21"/>
      <c r="W25" s="21"/>
    </row>
    <row r="26" spans="1:23" hidden="1" x14ac:dyDescent="0.2">
      <c r="A26" s="55"/>
      <c r="B26" s="45"/>
      <c r="C26" s="46"/>
      <c r="D26" s="45"/>
      <c r="E26" s="46"/>
      <c r="F26" s="45"/>
      <c r="G26" s="92"/>
      <c r="H26" s="45"/>
      <c r="I26" s="46"/>
      <c r="J26" s="45"/>
      <c r="K26" s="46"/>
      <c r="L26" s="42"/>
      <c r="M26" s="95"/>
      <c r="N26" s="99"/>
      <c r="O26" s="48"/>
      <c r="P26" s="44"/>
      <c r="Q26" s="33"/>
      <c r="R26" s="33"/>
      <c r="S26" s="33"/>
      <c r="T26" s="33"/>
    </row>
    <row r="27" spans="1:23" hidden="1" x14ac:dyDescent="0.2">
      <c r="A27" s="56" t="s">
        <v>75</v>
      </c>
      <c r="B27" s="42">
        <v>322161.30000000005</v>
      </c>
      <c r="C27" s="43">
        <v>200069.49999999997</v>
      </c>
      <c r="D27" s="42">
        <v>138016.40000000002</v>
      </c>
      <c r="E27" s="43">
        <v>1118.7000000000003</v>
      </c>
      <c r="F27" s="42">
        <v>1430</v>
      </c>
      <c r="G27" s="43">
        <v>7591.1</v>
      </c>
      <c r="H27" s="42">
        <v>48811.099999999991</v>
      </c>
      <c r="I27" s="43">
        <v>11006.099999999999</v>
      </c>
      <c r="J27" s="42">
        <v>28700.899999999998</v>
      </c>
      <c r="K27" s="43">
        <v>64129.799999999996</v>
      </c>
      <c r="L27" s="42">
        <v>172005</v>
      </c>
      <c r="M27" s="48">
        <v>8212.7000000000007</v>
      </c>
      <c r="N27" s="99">
        <v>2197.2999999999988</v>
      </c>
      <c r="O27" s="48">
        <v>93667.9</v>
      </c>
      <c r="P27" s="44">
        <f>SUM(B27:O27)</f>
        <v>1099117.8</v>
      </c>
      <c r="Q27" s="33"/>
      <c r="R27" s="33"/>
      <c r="S27" s="33"/>
      <c r="T27" s="33"/>
    </row>
    <row r="28" spans="1:23" hidden="1" x14ac:dyDescent="0.2">
      <c r="A28" s="55" t="s">
        <v>72</v>
      </c>
      <c r="B28" s="42">
        <v>324693.09999999998</v>
      </c>
      <c r="C28" s="43">
        <v>207216.19999999998</v>
      </c>
      <c r="D28" s="42">
        <v>135180.99999999994</v>
      </c>
      <c r="E28" s="43">
        <v>1608.3</v>
      </c>
      <c r="F28" s="42">
        <v>1904.8</v>
      </c>
      <c r="G28" s="92" t="s">
        <v>3</v>
      </c>
      <c r="H28" s="42">
        <v>47608.2</v>
      </c>
      <c r="I28" s="43">
        <v>8442.7999999999993</v>
      </c>
      <c r="J28" s="42">
        <v>22174.100000000002</v>
      </c>
      <c r="K28" s="43">
        <v>64040.999999999993</v>
      </c>
      <c r="L28" s="42">
        <v>233211.80000000002</v>
      </c>
      <c r="M28" s="48">
        <v>15155.099999999999</v>
      </c>
      <c r="N28" s="99">
        <v>-5013.2</v>
      </c>
      <c r="O28" s="48">
        <v>37072.399999999994</v>
      </c>
      <c r="P28" s="44">
        <f>SUM(B28:O28)</f>
        <v>1093295.5999999999</v>
      </c>
      <c r="Q28" s="33"/>
      <c r="R28" s="33"/>
      <c r="S28" s="33"/>
      <c r="T28" s="33"/>
    </row>
    <row r="29" spans="1:23" x14ac:dyDescent="0.2">
      <c r="A29" s="55" t="s">
        <v>95</v>
      </c>
      <c r="B29" s="42">
        <v>343422.09999999992</v>
      </c>
      <c r="C29" s="43">
        <v>216634.59999999998</v>
      </c>
      <c r="D29" s="42">
        <v>132907.30000000005</v>
      </c>
      <c r="E29" s="43">
        <v>1411.8</v>
      </c>
      <c r="F29" s="42">
        <v>200</v>
      </c>
      <c r="G29" s="92" t="s">
        <v>3</v>
      </c>
      <c r="H29" s="42">
        <v>47008.600000000006</v>
      </c>
      <c r="I29" s="43">
        <v>8065.6</v>
      </c>
      <c r="J29" s="42">
        <v>23839.200000000001</v>
      </c>
      <c r="K29" s="43">
        <v>97088.099999999991</v>
      </c>
      <c r="L29" s="42">
        <v>173085.40000000002</v>
      </c>
      <c r="M29" s="48">
        <v>20594.5</v>
      </c>
      <c r="N29" s="99">
        <v>107.89999999999984</v>
      </c>
      <c r="O29" s="48">
        <v>118946.9</v>
      </c>
      <c r="P29" s="44">
        <f>SUM(B29:O29)</f>
        <v>1183311.9999999998</v>
      </c>
      <c r="Q29" s="33"/>
      <c r="R29" s="33"/>
      <c r="S29" s="33"/>
      <c r="T29" s="33"/>
    </row>
    <row r="30" spans="1:23" x14ac:dyDescent="0.2">
      <c r="A30" s="55" t="s">
        <v>74</v>
      </c>
      <c r="B30" s="42">
        <v>360175.89999999991</v>
      </c>
      <c r="C30" s="43">
        <v>225312.40000000002</v>
      </c>
      <c r="D30" s="42">
        <v>134561.49999999997</v>
      </c>
      <c r="E30" s="43">
        <v>1446.5</v>
      </c>
      <c r="F30" s="42">
        <v>430</v>
      </c>
      <c r="G30" s="92" t="s">
        <v>3</v>
      </c>
      <c r="H30" s="42">
        <v>51086.3</v>
      </c>
      <c r="I30" s="43">
        <v>9056.5</v>
      </c>
      <c r="J30" s="42">
        <v>22059.600000000002</v>
      </c>
      <c r="K30" s="43">
        <v>89788.900000000009</v>
      </c>
      <c r="L30" s="42">
        <v>185759.59999999998</v>
      </c>
      <c r="M30" s="48">
        <v>21766.899999999998</v>
      </c>
      <c r="N30" s="99">
        <v>-40.700000000000188</v>
      </c>
      <c r="O30" s="48">
        <v>116613.4</v>
      </c>
      <c r="P30" s="44">
        <f>SUM(B30:O30)</f>
        <v>1218016.7999999998</v>
      </c>
      <c r="Q30" s="33"/>
      <c r="R30" s="33"/>
      <c r="S30" s="33"/>
      <c r="T30" s="33"/>
    </row>
    <row r="31" spans="1:23" x14ac:dyDescent="0.2">
      <c r="A31" s="55"/>
      <c r="B31" s="42"/>
      <c r="C31" s="43"/>
      <c r="D31" s="42"/>
      <c r="E31" s="43"/>
      <c r="F31" s="42"/>
      <c r="G31" s="92"/>
      <c r="H31" s="42"/>
      <c r="I31" s="43"/>
      <c r="J31" s="42"/>
      <c r="K31" s="43"/>
      <c r="L31" s="42"/>
      <c r="M31" s="95"/>
      <c r="N31" s="99"/>
      <c r="O31" s="48"/>
      <c r="P31" s="44"/>
      <c r="Q31" s="33"/>
      <c r="R31" s="33"/>
      <c r="S31" s="33"/>
      <c r="T31" s="33"/>
    </row>
    <row r="32" spans="1:23" x14ac:dyDescent="0.2">
      <c r="A32" s="56" t="s">
        <v>76</v>
      </c>
      <c r="B32" s="4">
        <v>346196.9</v>
      </c>
      <c r="C32" s="2">
        <v>245102.8</v>
      </c>
      <c r="D32" s="4">
        <v>149514.79999999999</v>
      </c>
      <c r="E32" s="43">
        <v>1164.5999999999999</v>
      </c>
      <c r="F32" s="42">
        <v>430</v>
      </c>
      <c r="G32" s="43" t="s">
        <v>3</v>
      </c>
      <c r="H32" s="4">
        <v>44576.7</v>
      </c>
      <c r="I32" s="43">
        <v>7987.7</v>
      </c>
      <c r="J32" s="42">
        <v>28923.4</v>
      </c>
      <c r="K32" s="43">
        <v>100768.8</v>
      </c>
      <c r="L32" s="42">
        <v>189667.8</v>
      </c>
      <c r="M32" s="22">
        <v>16378.5</v>
      </c>
      <c r="N32" s="101">
        <v>-3003.7999999999997</v>
      </c>
      <c r="O32" s="48">
        <v>116934.9</v>
      </c>
      <c r="P32" s="44">
        <v>1244643.0999999999</v>
      </c>
      <c r="Q32" s="33"/>
      <c r="R32" s="33"/>
      <c r="S32" s="33"/>
      <c r="T32" s="33"/>
    </row>
    <row r="33" spans="1:20" ht="15.75" x14ac:dyDescent="0.25">
      <c r="A33" s="55" t="s">
        <v>72</v>
      </c>
      <c r="B33" s="4">
        <v>376790.5</v>
      </c>
      <c r="C33" s="2">
        <v>245749.99999999997</v>
      </c>
      <c r="D33" s="4">
        <v>145441.79999999999</v>
      </c>
      <c r="E33" s="2">
        <v>1983.8</v>
      </c>
      <c r="F33" s="4">
        <v>250</v>
      </c>
      <c r="G33" s="43" t="s">
        <v>3</v>
      </c>
      <c r="H33" s="4">
        <v>47204.4</v>
      </c>
      <c r="I33" s="2">
        <v>8690.2999999999993</v>
      </c>
      <c r="J33" s="4">
        <v>19697.099999999999</v>
      </c>
      <c r="K33" s="2">
        <v>102707.5</v>
      </c>
      <c r="L33" s="42">
        <v>193171.39999999997</v>
      </c>
      <c r="M33" s="22">
        <v>16946.7</v>
      </c>
      <c r="N33" s="101">
        <v>-3731.8</v>
      </c>
      <c r="O33" s="48">
        <v>127374.9</v>
      </c>
      <c r="P33" s="4">
        <v>1282276.5999999999</v>
      </c>
      <c r="Q33" s="60"/>
      <c r="R33" s="60"/>
      <c r="S33" s="60"/>
      <c r="T33" s="60"/>
    </row>
    <row r="34" spans="1:20" ht="15.75" x14ac:dyDescent="0.25">
      <c r="A34" s="55" t="s">
        <v>73</v>
      </c>
      <c r="B34" s="4">
        <v>379036.2</v>
      </c>
      <c r="C34" s="2">
        <v>240115.10000000003</v>
      </c>
      <c r="D34" s="4">
        <v>148158.5</v>
      </c>
      <c r="E34" s="2">
        <v>2127.3000000000002</v>
      </c>
      <c r="F34" s="4">
        <v>230</v>
      </c>
      <c r="G34" s="43" t="s">
        <v>3</v>
      </c>
      <c r="H34" s="4">
        <v>52447.200000000004</v>
      </c>
      <c r="I34" s="2">
        <v>9825.5</v>
      </c>
      <c r="J34" s="4">
        <v>14050.2</v>
      </c>
      <c r="K34" s="2">
        <v>123903.5</v>
      </c>
      <c r="L34" s="42">
        <v>193246.4</v>
      </c>
      <c r="M34" s="22">
        <v>23804.1</v>
      </c>
      <c r="N34" s="100" t="s">
        <v>65</v>
      </c>
      <c r="O34" s="48">
        <v>129730.4</v>
      </c>
      <c r="P34" s="4">
        <v>1310451.8</v>
      </c>
      <c r="Q34" s="63"/>
      <c r="R34" s="63"/>
      <c r="S34" s="63"/>
      <c r="T34" s="63"/>
    </row>
    <row r="35" spans="1:20" ht="15.75" x14ac:dyDescent="0.25">
      <c r="A35" s="55" t="s">
        <v>82</v>
      </c>
      <c r="B35" s="4">
        <v>415996.5</v>
      </c>
      <c r="C35" s="2">
        <v>242322.4</v>
      </c>
      <c r="D35" s="4">
        <v>163209.70000000001</v>
      </c>
      <c r="E35" s="2">
        <v>1669.5</v>
      </c>
      <c r="F35" s="4">
        <v>230</v>
      </c>
      <c r="G35" s="77" t="s">
        <v>3</v>
      </c>
      <c r="H35" s="4">
        <v>48722.8</v>
      </c>
      <c r="I35" s="2">
        <v>9410.5</v>
      </c>
      <c r="J35" s="4">
        <v>17620.400000000001</v>
      </c>
      <c r="K35" s="2">
        <v>147751.79999999999</v>
      </c>
      <c r="L35" s="42">
        <v>205273.60000000001</v>
      </c>
      <c r="M35" s="2">
        <v>25746.6</v>
      </c>
      <c r="N35" s="100" t="s">
        <v>68</v>
      </c>
      <c r="O35" s="48">
        <v>124895.5</v>
      </c>
      <c r="P35" s="4">
        <v>1400638.4</v>
      </c>
      <c r="Q35" s="83"/>
      <c r="R35" s="83"/>
      <c r="S35" s="83"/>
      <c r="T35" s="83"/>
    </row>
    <row r="36" spans="1:20" ht="15.75" x14ac:dyDescent="0.25">
      <c r="A36" s="55"/>
      <c r="B36" s="4"/>
      <c r="C36" s="2"/>
      <c r="D36" s="4"/>
      <c r="E36" s="2"/>
      <c r="F36" s="4"/>
      <c r="G36" s="77"/>
      <c r="H36" s="4"/>
      <c r="I36" s="2"/>
      <c r="J36" s="4"/>
      <c r="K36" s="2"/>
      <c r="L36" s="42"/>
      <c r="M36" s="22"/>
      <c r="N36" s="100"/>
      <c r="O36" s="48"/>
      <c r="P36" s="4"/>
      <c r="Q36" s="74"/>
      <c r="R36" s="74"/>
      <c r="S36" s="74"/>
      <c r="T36" s="74"/>
    </row>
    <row r="37" spans="1:20" ht="15.75" x14ac:dyDescent="0.25">
      <c r="A37" s="56" t="s">
        <v>114</v>
      </c>
      <c r="B37" s="4">
        <v>376660.5</v>
      </c>
      <c r="C37" s="2">
        <v>250210.89999999997</v>
      </c>
      <c r="D37" s="4">
        <v>148154.4</v>
      </c>
      <c r="E37" s="2">
        <v>1196</v>
      </c>
      <c r="F37" s="4">
        <v>1133.5999999999999</v>
      </c>
      <c r="G37" s="77">
        <v>1123.2</v>
      </c>
      <c r="H37" s="4">
        <v>53071.5</v>
      </c>
      <c r="I37" s="2">
        <v>10155.5</v>
      </c>
      <c r="J37" s="4">
        <v>14779</v>
      </c>
      <c r="K37" s="2">
        <v>146245.4</v>
      </c>
      <c r="L37" s="42">
        <v>215597.6</v>
      </c>
      <c r="M37" s="2">
        <v>11497.7</v>
      </c>
      <c r="N37" s="100" t="s">
        <v>105</v>
      </c>
      <c r="O37" s="48">
        <v>133743.4</v>
      </c>
      <c r="P37" s="4">
        <v>1359037.7</v>
      </c>
      <c r="Q37" s="87"/>
      <c r="R37" s="87"/>
      <c r="S37" s="87"/>
      <c r="T37" s="87"/>
    </row>
    <row r="38" spans="1:20" ht="15.75" x14ac:dyDescent="0.25">
      <c r="A38" s="55" t="s">
        <v>78</v>
      </c>
      <c r="B38" s="4">
        <v>387103.1</v>
      </c>
      <c r="C38" s="2">
        <v>259299.3</v>
      </c>
      <c r="D38" s="4">
        <v>135754.29999999999</v>
      </c>
      <c r="E38" s="2">
        <v>4973.3</v>
      </c>
      <c r="F38" s="4">
        <v>2203.8000000000002</v>
      </c>
      <c r="G38" s="77">
        <v>20000</v>
      </c>
      <c r="H38" s="4">
        <v>43529.599999999999</v>
      </c>
      <c r="I38" s="2">
        <v>10359.799999999999</v>
      </c>
      <c r="J38" s="4">
        <v>13963.3</v>
      </c>
      <c r="K38" s="2">
        <v>139562.5</v>
      </c>
      <c r="L38" s="42">
        <v>215514.2</v>
      </c>
      <c r="M38" s="2">
        <v>19632</v>
      </c>
      <c r="N38" s="100" t="s">
        <v>108</v>
      </c>
      <c r="O38" s="48">
        <v>139287.30000000002</v>
      </c>
      <c r="P38" s="4">
        <v>1383302.0000000002</v>
      </c>
      <c r="Q38" s="87"/>
      <c r="R38" s="87"/>
      <c r="S38" s="87"/>
      <c r="T38" s="87"/>
    </row>
    <row r="39" spans="1:20" ht="15.75" x14ac:dyDescent="0.25">
      <c r="A39" s="55" t="s">
        <v>96</v>
      </c>
      <c r="B39" s="4">
        <v>405686.5</v>
      </c>
      <c r="C39" s="2">
        <v>263529.89999999997</v>
      </c>
      <c r="D39" s="4">
        <v>140973.40000000002</v>
      </c>
      <c r="E39" s="2">
        <v>4632.1000000000004</v>
      </c>
      <c r="F39" s="4">
        <v>2466.6999999999998</v>
      </c>
      <c r="G39" s="2">
        <v>5849.9</v>
      </c>
      <c r="H39" s="4">
        <v>38185.300000000003</v>
      </c>
      <c r="I39" s="2">
        <v>10291.799999999999</v>
      </c>
      <c r="J39" s="4">
        <v>8875.2999999999993</v>
      </c>
      <c r="K39" s="2">
        <v>135266.6</v>
      </c>
      <c r="L39" s="42">
        <v>215438.7</v>
      </c>
      <c r="M39" s="2">
        <v>26685.3</v>
      </c>
      <c r="N39" s="100" t="s">
        <v>111</v>
      </c>
      <c r="O39" s="48">
        <v>149776.20000000001</v>
      </c>
      <c r="P39" s="4">
        <v>1400045.6</v>
      </c>
      <c r="Q39" s="87"/>
      <c r="R39" s="87"/>
      <c r="S39" s="87"/>
      <c r="T39" s="87"/>
    </row>
    <row r="40" spans="1:20" ht="15.75" x14ac:dyDescent="0.25">
      <c r="A40" s="55" t="s">
        <v>102</v>
      </c>
      <c r="B40" s="4">
        <v>406863.4</v>
      </c>
      <c r="C40" s="2">
        <v>272059.2</v>
      </c>
      <c r="D40" s="4">
        <v>137437.20000000001</v>
      </c>
      <c r="E40" s="2">
        <v>5303.8</v>
      </c>
      <c r="F40" s="4">
        <v>8529.9</v>
      </c>
      <c r="G40" s="2">
        <v>19805</v>
      </c>
      <c r="H40" s="4">
        <v>51946.1</v>
      </c>
      <c r="I40" s="2">
        <v>9009.9</v>
      </c>
      <c r="J40" s="4">
        <v>6801.5</v>
      </c>
      <c r="K40" s="2">
        <v>150034</v>
      </c>
      <c r="L40" s="4">
        <v>213505.6</v>
      </c>
      <c r="M40" s="2">
        <v>18037.599999999999</v>
      </c>
      <c r="N40" s="100" t="s">
        <v>103</v>
      </c>
      <c r="O40" s="2">
        <v>148181.6</v>
      </c>
      <c r="P40" s="4">
        <v>1441542.4000000004</v>
      </c>
      <c r="Q40" s="87"/>
      <c r="R40" s="87"/>
      <c r="S40" s="87"/>
      <c r="T40" s="87"/>
    </row>
    <row r="41" spans="1:20" ht="15.75" x14ac:dyDescent="0.25">
      <c r="A41" s="55"/>
      <c r="B41" s="4"/>
      <c r="C41" s="2"/>
      <c r="D41" s="4"/>
      <c r="E41" s="2"/>
      <c r="F41" s="4"/>
      <c r="G41" s="2"/>
      <c r="H41" s="4"/>
      <c r="I41" s="2"/>
      <c r="J41" s="4"/>
      <c r="K41" s="2"/>
      <c r="L41" s="4"/>
      <c r="M41" s="2"/>
      <c r="N41" s="100"/>
      <c r="O41" s="2"/>
      <c r="P41" s="4"/>
      <c r="Q41" s="106"/>
      <c r="R41" s="106"/>
      <c r="S41" s="106"/>
      <c r="T41" s="106"/>
    </row>
    <row r="42" spans="1:20" ht="15.75" x14ac:dyDescent="0.25">
      <c r="A42" s="55" t="s">
        <v>122</v>
      </c>
      <c r="B42" s="4">
        <v>396552.5</v>
      </c>
      <c r="C42" s="4">
        <v>276030</v>
      </c>
      <c r="D42" s="4">
        <v>119698.7</v>
      </c>
      <c r="E42" s="4">
        <v>5382</v>
      </c>
      <c r="F42" s="4">
        <v>8565.2000000000007</v>
      </c>
      <c r="G42" s="4">
        <v>71864.5</v>
      </c>
      <c r="H42" s="4">
        <v>56605</v>
      </c>
      <c r="I42" s="4">
        <v>9451</v>
      </c>
      <c r="J42" s="4">
        <v>7517.2</v>
      </c>
      <c r="K42" s="4">
        <v>148879.5</v>
      </c>
      <c r="L42" s="4">
        <v>222189.4</v>
      </c>
      <c r="M42" s="4">
        <v>11870.4</v>
      </c>
      <c r="N42" s="100" t="s">
        <v>121</v>
      </c>
      <c r="O42" s="4">
        <v>159337.80000000002</v>
      </c>
      <c r="P42" s="4">
        <v>1487328.0999999996</v>
      </c>
      <c r="Q42" s="110"/>
      <c r="R42" s="110"/>
      <c r="S42" s="110"/>
      <c r="T42" s="110"/>
    </row>
    <row r="43" spans="1:20" ht="15.75" x14ac:dyDescent="0.25">
      <c r="A43" s="55" t="s">
        <v>127</v>
      </c>
      <c r="B43" s="2">
        <v>414931.7</v>
      </c>
      <c r="C43" s="4">
        <v>269610.3</v>
      </c>
      <c r="D43" s="111">
        <v>115399.09999999999</v>
      </c>
      <c r="E43" s="42">
        <v>1924.6</v>
      </c>
      <c r="F43" s="42">
        <v>8610.4</v>
      </c>
      <c r="G43" s="42">
        <v>101025.7</v>
      </c>
      <c r="H43" s="2">
        <v>47685.4</v>
      </c>
      <c r="I43" s="42">
        <v>17003.599999999999</v>
      </c>
      <c r="J43" s="42">
        <v>2654.6</v>
      </c>
      <c r="K43" s="42">
        <v>143107</v>
      </c>
      <c r="L43" s="44">
        <v>224810.5</v>
      </c>
      <c r="M43" s="109">
        <v>17493.3</v>
      </c>
      <c r="N43" s="101">
        <v>-6318.3999999999915</v>
      </c>
      <c r="O43" s="111">
        <v>181984.30000000002</v>
      </c>
      <c r="P43" s="44">
        <v>1539922.1</v>
      </c>
      <c r="Q43" s="110"/>
      <c r="R43" s="110"/>
      <c r="S43" s="110"/>
      <c r="T43" s="110"/>
    </row>
    <row r="44" spans="1:20" ht="15.75" x14ac:dyDescent="0.25">
      <c r="A44" s="55" t="s">
        <v>96</v>
      </c>
      <c r="B44" s="4">
        <f>416455.1+15756.1+7907.7+111</f>
        <v>440229.89999999997</v>
      </c>
      <c r="C44" s="4">
        <f>242880+18024.4</f>
        <v>260904.4</v>
      </c>
      <c r="D44" s="4">
        <f>12067+94911+65.7+984.5</f>
        <v>108028.2</v>
      </c>
      <c r="E44" s="4">
        <v>3677.6</v>
      </c>
      <c r="F44" s="4">
        <v>9113.9</v>
      </c>
      <c r="G44" s="4">
        <v>118763.8</v>
      </c>
      <c r="H44" s="4">
        <f>37858.9+6287.8+7211.9</f>
        <v>51358.600000000006</v>
      </c>
      <c r="I44" s="4">
        <v>13416.9</v>
      </c>
      <c r="J44" s="4">
        <v>934</v>
      </c>
      <c r="K44" s="4">
        <v>139965.1</v>
      </c>
      <c r="L44" s="4">
        <v>224795</v>
      </c>
      <c r="M44" s="4">
        <v>21976.799999999999</v>
      </c>
      <c r="N44" s="4">
        <f>128406.8-118763.8-665.7-5033-31.4-4818.8</f>
        <v>-905.900000000001</v>
      </c>
      <c r="O44" s="4">
        <f>52688.8-7211.9-7907.7+1434.4+148476.4</f>
        <v>187480</v>
      </c>
      <c r="P44" s="4">
        <f>SUM(B44:O44)</f>
        <v>1579738.3</v>
      </c>
      <c r="Q44" s="110"/>
      <c r="R44" s="110"/>
      <c r="S44" s="110"/>
      <c r="T44" s="110"/>
    </row>
    <row r="45" spans="1:20" ht="15.75" x14ac:dyDescent="0.25">
      <c r="A45" s="55" t="s">
        <v>102</v>
      </c>
      <c r="B45" s="4">
        <f>462183.7+23932.8+111+11279.7</f>
        <v>497507.2</v>
      </c>
      <c r="C45" s="4">
        <f>235254.4+20378.8</f>
        <v>255633.19999999998</v>
      </c>
      <c r="D45" s="4">
        <f>81510.5+12389+985.8+62.3</f>
        <v>94947.6</v>
      </c>
      <c r="E45" s="4">
        <v>2909.7</v>
      </c>
      <c r="F45" s="4">
        <v>8653</v>
      </c>
      <c r="G45" s="4">
        <v>87064.1</v>
      </c>
      <c r="H45" s="4">
        <f>8084.8+41529.8+9284.7</f>
        <v>58899.3</v>
      </c>
      <c r="I45" s="4">
        <v>16378.7</v>
      </c>
      <c r="J45" s="4">
        <v>973.7</v>
      </c>
      <c r="K45" s="4">
        <v>139935.4</v>
      </c>
      <c r="L45" s="4">
        <v>224498.3</v>
      </c>
      <c r="M45" s="4">
        <v>26055.200000000001</v>
      </c>
      <c r="N45" s="4">
        <f>96779-87064.1-468.7-5107.2-31.4-4936.7</f>
        <v>-829.10000000000582</v>
      </c>
      <c r="O45" s="4">
        <f>52437.7-9284.7-11279.7+1748.7+160447.5</f>
        <v>194069.5</v>
      </c>
      <c r="P45" s="4">
        <f t="shared" ref="P45" si="1">SUM(B45:O45)</f>
        <v>1606695.7999999998</v>
      </c>
      <c r="Q45" s="110"/>
      <c r="R45" s="110"/>
      <c r="S45" s="110"/>
      <c r="T45" s="110"/>
    </row>
    <row r="46" spans="1:20" x14ac:dyDescent="0.2">
      <c r="A46" s="5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3"/>
      <c r="R46" s="33"/>
      <c r="S46" s="33"/>
      <c r="T46" s="33"/>
    </row>
    <row r="47" spans="1:20" hidden="1" x14ac:dyDescent="0.2">
      <c r="A47" s="55" t="s">
        <v>57</v>
      </c>
      <c r="B47" s="42">
        <v>147133.20000000001</v>
      </c>
      <c r="C47" s="43">
        <v>85917.499999999985</v>
      </c>
      <c r="D47" s="42">
        <v>43196.1</v>
      </c>
      <c r="E47" s="43">
        <v>644.9</v>
      </c>
      <c r="F47" s="42">
        <v>44</v>
      </c>
      <c r="G47" s="43">
        <v>1804</v>
      </c>
      <c r="H47" s="42">
        <v>8605.0999999999985</v>
      </c>
      <c r="I47" s="43">
        <v>6646.2999999999993</v>
      </c>
      <c r="J47" s="42">
        <v>12638.900000000001</v>
      </c>
      <c r="K47" s="43">
        <v>23113.4</v>
      </c>
      <c r="L47" s="42">
        <v>32824.899999999994</v>
      </c>
      <c r="M47" s="95">
        <v>14695.8</v>
      </c>
      <c r="N47" s="99">
        <v>-475.59999999999997</v>
      </c>
      <c r="O47" s="48">
        <v>58982.2</v>
      </c>
      <c r="P47" s="44">
        <f t="shared" ref="P47:P88" si="2">SUM(B47:O47)</f>
        <v>435770.70000000007</v>
      </c>
      <c r="Q47" s="33"/>
      <c r="R47" s="33"/>
      <c r="S47" s="33"/>
      <c r="T47" s="33"/>
    </row>
    <row r="48" spans="1:20" hidden="1" x14ac:dyDescent="0.2">
      <c r="A48" s="55" t="s">
        <v>48</v>
      </c>
      <c r="B48" s="42">
        <v>146632.79999999993</v>
      </c>
      <c r="C48" s="43">
        <v>88840.799999999988</v>
      </c>
      <c r="D48" s="42">
        <v>51628.89999999998</v>
      </c>
      <c r="E48" s="43">
        <v>1226.8999999999999</v>
      </c>
      <c r="F48" s="42">
        <v>294</v>
      </c>
      <c r="G48" s="43">
        <v>1000</v>
      </c>
      <c r="H48" s="42">
        <v>8390.2000000000007</v>
      </c>
      <c r="I48" s="43">
        <v>5328.1</v>
      </c>
      <c r="J48" s="42">
        <v>13198.7</v>
      </c>
      <c r="K48" s="43">
        <v>21733.699999999997</v>
      </c>
      <c r="L48" s="42">
        <v>34821.4</v>
      </c>
      <c r="M48" s="95">
        <v>14327.099999999999</v>
      </c>
      <c r="N48" s="99">
        <v>-118.10000000000002</v>
      </c>
      <c r="O48" s="48">
        <v>59157.899999999994</v>
      </c>
      <c r="P48" s="44">
        <f t="shared" si="2"/>
        <v>446462.39999999991</v>
      </c>
      <c r="Q48" s="33"/>
      <c r="R48" s="33"/>
      <c r="S48" s="33"/>
      <c r="T48" s="33"/>
    </row>
    <row r="49" spans="1:20" hidden="1" x14ac:dyDescent="0.2">
      <c r="A49" s="55" t="s">
        <v>49</v>
      </c>
      <c r="B49" s="42">
        <v>158956.1</v>
      </c>
      <c r="C49" s="43">
        <v>88787.5</v>
      </c>
      <c r="D49" s="42">
        <v>59399.799999999988</v>
      </c>
      <c r="E49" s="43">
        <v>798.5</v>
      </c>
      <c r="F49" s="42">
        <v>294</v>
      </c>
      <c r="G49" s="43">
        <v>1000</v>
      </c>
      <c r="H49" s="42">
        <v>8187.2000000000007</v>
      </c>
      <c r="I49" s="43">
        <v>5997.5</v>
      </c>
      <c r="J49" s="42">
        <v>11842.8</v>
      </c>
      <c r="K49" s="43">
        <v>27821.300000000003</v>
      </c>
      <c r="L49" s="42">
        <v>35343.100000000006</v>
      </c>
      <c r="M49" s="95">
        <v>14042.7</v>
      </c>
      <c r="N49" s="99">
        <v>88.30000000000004</v>
      </c>
      <c r="O49" s="48">
        <v>57907</v>
      </c>
      <c r="P49" s="44">
        <f t="shared" si="2"/>
        <v>470465.80000000005</v>
      </c>
      <c r="Q49" s="33"/>
      <c r="R49" s="33"/>
      <c r="S49" s="33"/>
      <c r="T49" s="33"/>
    </row>
    <row r="50" spans="1:20" hidden="1" x14ac:dyDescent="0.2">
      <c r="A50" s="55" t="s">
        <v>50</v>
      </c>
      <c r="B50" s="42">
        <v>151552.40000000002</v>
      </c>
      <c r="C50" s="43">
        <v>88117.100000000035</v>
      </c>
      <c r="D50" s="42">
        <v>54265.899999999994</v>
      </c>
      <c r="E50" s="43">
        <v>944.89999999999986</v>
      </c>
      <c r="F50" s="42">
        <v>294</v>
      </c>
      <c r="G50" s="43">
        <v>1000</v>
      </c>
      <c r="H50" s="42">
        <v>10565.8</v>
      </c>
      <c r="I50" s="43">
        <v>6503.8</v>
      </c>
      <c r="J50" s="42">
        <v>12215.2</v>
      </c>
      <c r="K50" s="43">
        <v>25249.1</v>
      </c>
      <c r="L50" s="42">
        <v>37020.399999999994</v>
      </c>
      <c r="M50" s="95">
        <v>8965.7000000000007</v>
      </c>
      <c r="N50" s="99">
        <v>183.80000000000004</v>
      </c>
      <c r="O50" s="48">
        <v>65058.8</v>
      </c>
      <c r="P50" s="44">
        <f t="shared" si="2"/>
        <v>461936.89999999997</v>
      </c>
      <c r="Q50" s="33"/>
      <c r="R50" s="33"/>
      <c r="S50" s="33"/>
      <c r="T50" s="33"/>
    </row>
    <row r="51" spans="1:20" hidden="1" x14ac:dyDescent="0.2">
      <c r="A51" s="55" t="s">
        <v>51</v>
      </c>
      <c r="B51" s="42">
        <v>147094.6</v>
      </c>
      <c r="C51" s="43">
        <v>89354.3</v>
      </c>
      <c r="D51" s="42">
        <v>51391.599999999984</v>
      </c>
      <c r="E51" s="43">
        <v>872.80000000000007</v>
      </c>
      <c r="F51" s="42">
        <v>294</v>
      </c>
      <c r="G51" s="92" t="s">
        <v>3</v>
      </c>
      <c r="H51" s="42">
        <v>12115.5</v>
      </c>
      <c r="I51" s="43">
        <v>4997.4000000000005</v>
      </c>
      <c r="J51" s="42">
        <v>16610.400000000001</v>
      </c>
      <c r="K51" s="43">
        <v>24010.900000000005</v>
      </c>
      <c r="L51" s="42">
        <v>37656.799999999996</v>
      </c>
      <c r="M51" s="95">
        <v>10311.200000000001</v>
      </c>
      <c r="N51" s="99">
        <v>-228.89999999999964</v>
      </c>
      <c r="O51" s="48">
        <v>63345.2</v>
      </c>
      <c r="P51" s="44">
        <f t="shared" si="2"/>
        <v>457825.80000000005</v>
      </c>
      <c r="Q51" s="33"/>
      <c r="R51" s="33"/>
      <c r="S51" s="33"/>
      <c r="T51" s="33"/>
    </row>
    <row r="52" spans="1:20" hidden="1" x14ac:dyDescent="0.2">
      <c r="A52" s="55" t="s">
        <v>46</v>
      </c>
      <c r="B52" s="42">
        <v>152474.20000000001</v>
      </c>
      <c r="C52" s="43">
        <v>86596.6</v>
      </c>
      <c r="D52" s="42">
        <v>53258.199999999983</v>
      </c>
      <c r="E52" s="43">
        <v>1239</v>
      </c>
      <c r="F52" s="42">
        <v>250</v>
      </c>
      <c r="G52" s="43">
        <v>1474.9</v>
      </c>
      <c r="H52" s="42">
        <v>12477.300000000003</v>
      </c>
      <c r="I52" s="43">
        <v>5614.9</v>
      </c>
      <c r="J52" s="42">
        <v>15336.5</v>
      </c>
      <c r="K52" s="43">
        <v>28737.400000000005</v>
      </c>
      <c r="L52" s="42">
        <v>37655.500000000007</v>
      </c>
      <c r="M52" s="95">
        <v>12540</v>
      </c>
      <c r="N52" s="99">
        <v>518.50000000000023</v>
      </c>
      <c r="O52" s="48">
        <v>67494</v>
      </c>
      <c r="P52" s="44">
        <f t="shared" si="2"/>
        <v>475667.00000000006</v>
      </c>
      <c r="Q52" s="33"/>
      <c r="R52" s="33"/>
      <c r="S52" s="33"/>
      <c r="T52" s="33"/>
    </row>
    <row r="53" spans="1:20" hidden="1" x14ac:dyDescent="0.2">
      <c r="A53" s="56" t="s">
        <v>52</v>
      </c>
      <c r="B53" s="42">
        <v>157957.39999999997</v>
      </c>
      <c r="C53" s="43">
        <v>90365.2</v>
      </c>
      <c r="D53" s="42">
        <v>53263.299999999959</v>
      </c>
      <c r="E53" s="43">
        <v>635.6</v>
      </c>
      <c r="F53" s="42">
        <v>844</v>
      </c>
      <c r="G53" s="43">
        <v>2806.3</v>
      </c>
      <c r="H53" s="42">
        <v>12129.999999999996</v>
      </c>
      <c r="I53" s="43">
        <v>5507.2999999999993</v>
      </c>
      <c r="J53" s="42">
        <v>15168.7</v>
      </c>
      <c r="K53" s="43">
        <v>28529.1</v>
      </c>
      <c r="L53" s="42">
        <v>39121.985000000001</v>
      </c>
      <c r="M53" s="95">
        <v>13785.399999999998</v>
      </c>
      <c r="N53" s="99">
        <v>-33.999999999999993</v>
      </c>
      <c r="O53" s="48">
        <v>66043.5</v>
      </c>
      <c r="P53" s="44">
        <f t="shared" si="2"/>
        <v>486123.78499999986</v>
      </c>
      <c r="Q53" s="33"/>
      <c r="R53" s="33"/>
      <c r="S53" s="33"/>
      <c r="T53" s="33"/>
    </row>
    <row r="54" spans="1:20" hidden="1" x14ac:dyDescent="0.2">
      <c r="A54" s="57" t="s">
        <v>53</v>
      </c>
      <c r="B54" s="42">
        <v>167207</v>
      </c>
      <c r="C54" s="43">
        <v>91903.89999999998</v>
      </c>
      <c r="D54" s="42">
        <v>58606.800000000054</v>
      </c>
      <c r="E54" s="43">
        <v>1006.6</v>
      </c>
      <c r="F54" s="42">
        <v>900</v>
      </c>
      <c r="G54" s="43">
        <v>6000</v>
      </c>
      <c r="H54" s="42">
        <v>14529.100000000002</v>
      </c>
      <c r="I54" s="43">
        <v>4611.7</v>
      </c>
      <c r="J54" s="42">
        <v>14884.099999999999</v>
      </c>
      <c r="K54" s="43">
        <v>27114.2</v>
      </c>
      <c r="L54" s="42">
        <v>39117.299999999996</v>
      </c>
      <c r="M54" s="95">
        <v>15193.600000000002</v>
      </c>
      <c r="N54" s="99">
        <v>-1619.7999999999997</v>
      </c>
      <c r="O54" s="48">
        <v>66384.3</v>
      </c>
      <c r="P54" s="44">
        <f t="shared" si="2"/>
        <v>505838.79999999993</v>
      </c>
      <c r="Q54" s="33"/>
      <c r="R54" s="33"/>
      <c r="S54" s="33"/>
      <c r="T54" s="33"/>
    </row>
    <row r="55" spans="1:20" hidden="1" x14ac:dyDescent="0.2">
      <c r="A55" s="55" t="s">
        <v>54</v>
      </c>
      <c r="B55" s="42">
        <v>172053.90000000002</v>
      </c>
      <c r="C55" s="43">
        <v>93967.900000000009</v>
      </c>
      <c r="D55" s="42">
        <v>63151.69999999999</v>
      </c>
      <c r="E55" s="43">
        <v>383.4</v>
      </c>
      <c r="F55" s="42">
        <v>550</v>
      </c>
      <c r="G55" s="43">
        <v>10622.1</v>
      </c>
      <c r="H55" s="42">
        <v>12500.700000000004</v>
      </c>
      <c r="I55" s="43">
        <v>4075.7</v>
      </c>
      <c r="J55" s="42">
        <v>32357.599999999999</v>
      </c>
      <c r="K55" s="43">
        <v>27827.299999999996</v>
      </c>
      <c r="L55" s="42">
        <v>39113.599999999999</v>
      </c>
      <c r="M55" s="95">
        <v>17031</v>
      </c>
      <c r="N55" s="99">
        <v>-179.09999999999994</v>
      </c>
      <c r="O55" s="48">
        <v>69173.5</v>
      </c>
      <c r="P55" s="44">
        <f t="shared" si="2"/>
        <v>542629.30000000005</v>
      </c>
      <c r="Q55" s="33"/>
      <c r="R55" s="33"/>
      <c r="S55" s="33"/>
      <c r="T55" s="33"/>
    </row>
    <row r="56" spans="1:20" hidden="1" x14ac:dyDescent="0.2">
      <c r="A56" s="55" t="s">
        <v>55</v>
      </c>
      <c r="B56" s="42">
        <v>175966.6</v>
      </c>
      <c r="C56" s="43">
        <v>95961.4</v>
      </c>
      <c r="D56" s="42">
        <v>59571.199999999997</v>
      </c>
      <c r="E56" s="43">
        <v>1511.6999999999998</v>
      </c>
      <c r="F56" s="42">
        <v>550</v>
      </c>
      <c r="G56" s="43">
        <v>5778.8</v>
      </c>
      <c r="H56" s="42">
        <v>11713.700000000004</v>
      </c>
      <c r="I56" s="43">
        <v>4883.1000000000004</v>
      </c>
      <c r="J56" s="42">
        <v>29204</v>
      </c>
      <c r="K56" s="43">
        <v>27742.3</v>
      </c>
      <c r="L56" s="42">
        <v>39109.100000000006</v>
      </c>
      <c r="M56" s="95">
        <v>19111.300000000003</v>
      </c>
      <c r="N56" s="99">
        <v>70.899999999999935</v>
      </c>
      <c r="O56" s="48">
        <v>73138.7</v>
      </c>
      <c r="P56" s="44">
        <f t="shared" si="2"/>
        <v>544312.80000000005</v>
      </c>
      <c r="Q56" s="33"/>
      <c r="R56" s="33"/>
      <c r="S56" s="33"/>
      <c r="T56" s="33"/>
    </row>
    <row r="57" spans="1:20" hidden="1" x14ac:dyDescent="0.2">
      <c r="A57" s="55" t="s">
        <v>56</v>
      </c>
      <c r="B57" s="42">
        <v>177066</v>
      </c>
      <c r="C57" s="43">
        <v>98628.900000000009</v>
      </c>
      <c r="D57" s="42">
        <v>63066.3</v>
      </c>
      <c r="E57" s="43">
        <v>606.30000000000007</v>
      </c>
      <c r="F57" s="42">
        <v>550</v>
      </c>
      <c r="G57" s="43">
        <v>5508.8</v>
      </c>
      <c r="H57" s="42">
        <v>12718.699999999997</v>
      </c>
      <c r="I57" s="43">
        <v>5170.8999999999996</v>
      </c>
      <c r="J57" s="42">
        <v>22880.800000000003</v>
      </c>
      <c r="K57" s="43">
        <v>29356.899999999998</v>
      </c>
      <c r="L57" s="42">
        <v>39109.699999999997</v>
      </c>
      <c r="M57" s="95">
        <v>20951.600000000006</v>
      </c>
      <c r="N57" s="99">
        <v>151.6</v>
      </c>
      <c r="O57" s="48">
        <v>73563.399999999994</v>
      </c>
      <c r="P57" s="44">
        <f t="shared" si="2"/>
        <v>549329.9</v>
      </c>
      <c r="Q57" s="33"/>
      <c r="R57" s="33"/>
      <c r="S57" s="33"/>
      <c r="T57" s="33"/>
    </row>
    <row r="58" spans="1:20" hidden="1" x14ac:dyDescent="0.2">
      <c r="A58" s="55" t="s">
        <v>45</v>
      </c>
      <c r="B58" s="42">
        <v>191381.50000000003</v>
      </c>
      <c r="C58" s="43">
        <v>99286.999999999985</v>
      </c>
      <c r="D58" s="42">
        <v>62928.999999999956</v>
      </c>
      <c r="E58" s="43">
        <v>603.5</v>
      </c>
      <c r="F58" s="42">
        <v>550</v>
      </c>
      <c r="G58" s="92" t="s">
        <v>3</v>
      </c>
      <c r="H58" s="42">
        <v>14305</v>
      </c>
      <c r="I58" s="43">
        <v>5052.6000000000004</v>
      </c>
      <c r="J58" s="42">
        <v>24400</v>
      </c>
      <c r="K58" s="43">
        <v>30009.400000000009</v>
      </c>
      <c r="L58" s="42">
        <v>41916.799999999996</v>
      </c>
      <c r="M58" s="95">
        <v>18433.2</v>
      </c>
      <c r="N58" s="99">
        <v>311.60000000000002</v>
      </c>
      <c r="O58" s="48">
        <v>72950</v>
      </c>
      <c r="P58" s="44">
        <f t="shared" si="2"/>
        <v>562129.59999999986</v>
      </c>
      <c r="Q58" s="33"/>
      <c r="R58" s="33"/>
      <c r="S58" s="33"/>
      <c r="T58" s="33"/>
    </row>
    <row r="59" spans="1:20" hidden="1" x14ac:dyDescent="0.2">
      <c r="A59" s="55"/>
      <c r="B59" s="42"/>
      <c r="C59" s="43"/>
      <c r="D59" s="42"/>
      <c r="E59" s="43"/>
      <c r="F59" s="42"/>
      <c r="G59" s="92"/>
      <c r="H59" s="42"/>
      <c r="I59" s="43"/>
      <c r="J59" s="42"/>
      <c r="K59" s="43"/>
      <c r="L59" s="42"/>
      <c r="M59" s="95"/>
      <c r="N59" s="99"/>
      <c r="O59" s="48"/>
      <c r="P59" s="44"/>
      <c r="Q59" s="33"/>
      <c r="R59" s="33"/>
      <c r="S59" s="33"/>
      <c r="T59" s="33"/>
    </row>
    <row r="60" spans="1:20" hidden="1" x14ac:dyDescent="0.2">
      <c r="A60" s="55" t="s">
        <v>58</v>
      </c>
      <c r="B60" s="42">
        <v>189029.30000000005</v>
      </c>
      <c r="C60" s="43">
        <v>98272.999999999985</v>
      </c>
      <c r="D60" s="42">
        <v>63087.999999999985</v>
      </c>
      <c r="E60" s="43">
        <v>822.1</v>
      </c>
      <c r="F60" s="42">
        <v>250</v>
      </c>
      <c r="G60" s="92" t="s">
        <v>3</v>
      </c>
      <c r="H60" s="42">
        <v>16240.700000000004</v>
      </c>
      <c r="I60" s="43">
        <v>5416.2999999999993</v>
      </c>
      <c r="J60" s="42">
        <v>20570.199999999997</v>
      </c>
      <c r="K60" s="43">
        <v>27662.7</v>
      </c>
      <c r="L60" s="42">
        <v>41912.300000000003</v>
      </c>
      <c r="M60" s="95">
        <v>20037.8</v>
      </c>
      <c r="N60" s="99">
        <v>-425.29999999999995</v>
      </c>
      <c r="O60" s="48">
        <v>72262.5</v>
      </c>
      <c r="P60" s="44">
        <f t="shared" si="2"/>
        <v>555139.60000000009</v>
      </c>
      <c r="Q60" s="33"/>
      <c r="R60" s="33"/>
      <c r="S60" s="33"/>
      <c r="T60" s="33"/>
    </row>
    <row r="61" spans="1:20" hidden="1" x14ac:dyDescent="0.2">
      <c r="A61" s="55" t="s">
        <v>48</v>
      </c>
      <c r="B61" s="42">
        <v>185013.2</v>
      </c>
      <c r="C61" s="43">
        <v>100057.7</v>
      </c>
      <c r="D61" s="42">
        <v>63707</v>
      </c>
      <c r="E61" s="43">
        <v>513.09999999999991</v>
      </c>
      <c r="F61" s="42">
        <v>250</v>
      </c>
      <c r="G61" s="92" t="s">
        <v>3</v>
      </c>
      <c r="H61" s="42">
        <v>18072.8</v>
      </c>
      <c r="I61" s="43">
        <v>5613.6</v>
      </c>
      <c r="J61" s="42">
        <v>20922.100000000002</v>
      </c>
      <c r="K61" s="43">
        <v>27916.6</v>
      </c>
      <c r="L61" s="42">
        <v>41908.200000000004</v>
      </c>
      <c r="M61" s="95">
        <v>21148.7</v>
      </c>
      <c r="N61" s="99">
        <v>297.3</v>
      </c>
      <c r="O61" s="48">
        <v>72192.399999999994</v>
      </c>
      <c r="P61" s="44">
        <f t="shared" si="2"/>
        <v>557612.69999999995</v>
      </c>
      <c r="Q61" s="33"/>
      <c r="R61" s="33"/>
      <c r="S61" s="33"/>
      <c r="T61" s="33"/>
    </row>
    <row r="62" spans="1:20" hidden="1" x14ac:dyDescent="0.2">
      <c r="A62" s="55" t="s">
        <v>49</v>
      </c>
      <c r="B62" s="42">
        <v>193487.00000000003</v>
      </c>
      <c r="C62" s="43">
        <v>99341.599999999991</v>
      </c>
      <c r="D62" s="42">
        <v>67743</v>
      </c>
      <c r="E62" s="43">
        <v>596.49999999999989</v>
      </c>
      <c r="F62" s="42">
        <v>650</v>
      </c>
      <c r="G62" s="92" t="s">
        <v>3</v>
      </c>
      <c r="H62" s="42">
        <v>17668.999999999993</v>
      </c>
      <c r="I62" s="43">
        <v>6239.7999999999993</v>
      </c>
      <c r="J62" s="42">
        <v>17902.900000000001</v>
      </c>
      <c r="K62" s="43">
        <v>28111.9</v>
      </c>
      <c r="L62" s="42">
        <v>49158.8</v>
      </c>
      <c r="M62" s="95">
        <v>10940.9</v>
      </c>
      <c r="N62" s="99">
        <v>704.4</v>
      </c>
      <c r="O62" s="48">
        <v>68053.399999999994</v>
      </c>
      <c r="P62" s="44">
        <f t="shared" si="2"/>
        <v>560599.20000000007</v>
      </c>
      <c r="Q62" s="33"/>
      <c r="R62" s="33"/>
      <c r="S62" s="33"/>
      <c r="T62" s="33"/>
    </row>
    <row r="63" spans="1:20" hidden="1" x14ac:dyDescent="0.2">
      <c r="A63" s="55" t="s">
        <v>50</v>
      </c>
      <c r="B63" s="42">
        <v>188760.3</v>
      </c>
      <c r="C63" s="43">
        <v>102392.59999999999</v>
      </c>
      <c r="D63" s="42">
        <v>69117.299999999974</v>
      </c>
      <c r="E63" s="43">
        <v>473.50000000000006</v>
      </c>
      <c r="F63" s="42">
        <v>250</v>
      </c>
      <c r="G63" s="92" t="s">
        <v>3</v>
      </c>
      <c r="H63" s="42">
        <v>17006.8</v>
      </c>
      <c r="I63" s="43">
        <v>5937.3</v>
      </c>
      <c r="J63" s="42">
        <v>16534.8</v>
      </c>
      <c r="K63" s="43">
        <v>36224.19999999999</v>
      </c>
      <c r="L63" s="42">
        <v>49160.1</v>
      </c>
      <c r="M63" s="95">
        <v>13386.5</v>
      </c>
      <c r="N63" s="99">
        <v>208.7000000000009</v>
      </c>
      <c r="O63" s="48">
        <v>68114.899999999994</v>
      </c>
      <c r="P63" s="44">
        <f t="shared" si="2"/>
        <v>567566.99999999988</v>
      </c>
      <c r="Q63" s="33"/>
      <c r="R63" s="33"/>
      <c r="S63" s="33"/>
      <c r="T63" s="33"/>
    </row>
    <row r="64" spans="1:20" hidden="1" x14ac:dyDescent="0.2">
      <c r="A64" s="55" t="s">
        <v>51</v>
      </c>
      <c r="B64" s="42">
        <v>187407.80000000005</v>
      </c>
      <c r="C64" s="43">
        <v>105164.2</v>
      </c>
      <c r="D64" s="42">
        <v>68803.400000000023</v>
      </c>
      <c r="E64" s="43">
        <v>585.6</v>
      </c>
      <c r="F64" s="42">
        <v>250</v>
      </c>
      <c r="G64" s="92" t="s">
        <v>3</v>
      </c>
      <c r="H64" s="42">
        <v>20411.300000000003</v>
      </c>
      <c r="I64" s="43">
        <v>5181.6000000000004</v>
      </c>
      <c r="J64" s="42">
        <v>18313.5</v>
      </c>
      <c r="K64" s="43">
        <v>34014</v>
      </c>
      <c r="L64" s="42">
        <v>50850.499999999993</v>
      </c>
      <c r="M64" s="95">
        <v>12562.6</v>
      </c>
      <c r="N64" s="99">
        <v>432.6</v>
      </c>
      <c r="O64" s="48">
        <v>70019.100000000006</v>
      </c>
      <c r="P64" s="44">
        <f t="shared" si="2"/>
        <v>573996.19999999995</v>
      </c>
      <c r="Q64" s="33"/>
      <c r="R64" s="33"/>
      <c r="S64" s="33"/>
      <c r="T64" s="33"/>
    </row>
    <row r="65" spans="1:23" hidden="1" x14ac:dyDescent="0.2">
      <c r="A65" s="55" t="s">
        <v>46</v>
      </c>
      <c r="B65" s="42">
        <v>189677.49999999997</v>
      </c>
      <c r="C65" s="43">
        <v>106663.59999999998</v>
      </c>
      <c r="D65" s="42">
        <v>68982.700000000012</v>
      </c>
      <c r="E65" s="43">
        <v>509.40000000000003</v>
      </c>
      <c r="F65" s="42">
        <v>250</v>
      </c>
      <c r="G65" s="92" t="s">
        <v>3</v>
      </c>
      <c r="H65" s="42">
        <v>21121.899999999998</v>
      </c>
      <c r="I65" s="43">
        <v>7416.3</v>
      </c>
      <c r="J65" s="42">
        <v>16926.8</v>
      </c>
      <c r="K65" s="43">
        <v>37042.699999999997</v>
      </c>
      <c r="L65" s="42">
        <v>60352.9</v>
      </c>
      <c r="M65" s="95">
        <v>15173.199999999999</v>
      </c>
      <c r="N65" s="99">
        <v>890.00000000000023</v>
      </c>
      <c r="O65" s="48">
        <v>66951</v>
      </c>
      <c r="P65" s="44">
        <f t="shared" si="2"/>
        <v>591958.00000000012</v>
      </c>
      <c r="Q65" s="33"/>
      <c r="R65" s="33"/>
      <c r="S65" s="33"/>
      <c r="T65" s="33"/>
    </row>
    <row r="66" spans="1:23" s="47" customFormat="1" hidden="1" x14ac:dyDescent="0.2">
      <c r="A66" s="56" t="s">
        <v>52</v>
      </c>
      <c r="B66" s="45">
        <v>187572.40000000002</v>
      </c>
      <c r="C66" s="46">
        <v>107222.40000000001</v>
      </c>
      <c r="D66" s="45">
        <v>70338.299999999988</v>
      </c>
      <c r="E66" s="46">
        <v>397.7</v>
      </c>
      <c r="F66" s="45">
        <v>250</v>
      </c>
      <c r="G66" s="92" t="s">
        <v>3</v>
      </c>
      <c r="H66" s="45">
        <v>20394.200000000004</v>
      </c>
      <c r="I66" s="46">
        <v>7058.2</v>
      </c>
      <c r="J66" s="45">
        <v>16754</v>
      </c>
      <c r="K66" s="46">
        <v>31841.699999999997</v>
      </c>
      <c r="L66" s="42">
        <v>61343.499999999993</v>
      </c>
      <c r="M66" s="95">
        <v>14673.1</v>
      </c>
      <c r="N66" s="99">
        <v>615.1000000000007</v>
      </c>
      <c r="O66" s="48">
        <v>66860.600000000006</v>
      </c>
      <c r="P66" s="44">
        <f t="shared" si="2"/>
        <v>585321.20000000007</v>
      </c>
      <c r="Q66" s="33"/>
      <c r="R66" s="33"/>
      <c r="S66" s="33"/>
      <c r="T66" s="33"/>
      <c r="V66" s="21"/>
      <c r="W66" s="21"/>
    </row>
    <row r="67" spans="1:23" hidden="1" x14ac:dyDescent="0.2">
      <c r="A67" s="57" t="s">
        <v>53</v>
      </c>
      <c r="B67" s="42">
        <v>196651.80000000002</v>
      </c>
      <c r="C67" s="43">
        <v>105039.89999999998</v>
      </c>
      <c r="D67" s="42">
        <v>71610.799999999988</v>
      </c>
      <c r="E67" s="43">
        <v>571.1</v>
      </c>
      <c r="F67" s="42">
        <v>250</v>
      </c>
      <c r="G67" s="92" t="s">
        <v>3</v>
      </c>
      <c r="H67" s="42">
        <v>20792.5</v>
      </c>
      <c r="I67" s="43">
        <v>7525.7</v>
      </c>
      <c r="J67" s="42">
        <v>15730.4</v>
      </c>
      <c r="K67" s="43">
        <v>34910.100000000006</v>
      </c>
      <c r="L67" s="42">
        <v>64051.700000000004</v>
      </c>
      <c r="M67" s="95">
        <v>16460.8</v>
      </c>
      <c r="N67" s="99">
        <v>434.9</v>
      </c>
      <c r="O67" s="48">
        <v>65413.8</v>
      </c>
      <c r="P67" s="44">
        <f t="shared" si="2"/>
        <v>599443.50000000012</v>
      </c>
      <c r="Q67" s="33"/>
      <c r="R67" s="33"/>
      <c r="S67" s="33"/>
      <c r="T67" s="33"/>
    </row>
    <row r="68" spans="1:23" hidden="1" x14ac:dyDescent="0.2">
      <c r="A68" s="55" t="s">
        <v>54</v>
      </c>
      <c r="B68" s="42">
        <v>218751.30000000005</v>
      </c>
      <c r="C68" s="43">
        <v>101272.9</v>
      </c>
      <c r="D68" s="42">
        <v>70998.700000000012</v>
      </c>
      <c r="E68" s="43">
        <v>567.19999999999993</v>
      </c>
      <c r="F68" s="42">
        <v>250</v>
      </c>
      <c r="G68" s="92" t="s">
        <v>3</v>
      </c>
      <c r="H68" s="42">
        <v>21198.800000000003</v>
      </c>
      <c r="I68" s="43">
        <v>7648.5000000000009</v>
      </c>
      <c r="J68" s="42">
        <v>14750.699999999999</v>
      </c>
      <c r="K68" s="43">
        <v>37309.800000000003</v>
      </c>
      <c r="L68" s="42">
        <v>64261.3</v>
      </c>
      <c r="M68" s="95">
        <v>18787.999999999996</v>
      </c>
      <c r="N68" s="99">
        <v>729.79999999999984</v>
      </c>
      <c r="O68" s="48">
        <v>67320.600000000006</v>
      </c>
      <c r="P68" s="44">
        <f t="shared" si="2"/>
        <v>623847.60000000009</v>
      </c>
      <c r="Q68" s="33"/>
      <c r="R68" s="33"/>
      <c r="S68" s="33"/>
      <c r="T68" s="33"/>
    </row>
    <row r="69" spans="1:23" hidden="1" x14ac:dyDescent="0.2">
      <c r="A69" s="55" t="s">
        <v>55</v>
      </c>
      <c r="B69" s="42">
        <v>208587.40000000002</v>
      </c>
      <c r="C69" s="43">
        <v>110084.7</v>
      </c>
      <c r="D69" s="42">
        <v>78159.5</v>
      </c>
      <c r="E69" s="43">
        <v>937.19999999999993</v>
      </c>
      <c r="F69" s="42">
        <v>250</v>
      </c>
      <c r="G69" s="92" t="s">
        <v>3</v>
      </c>
      <c r="H69" s="42">
        <v>21230.6</v>
      </c>
      <c r="I69" s="43">
        <v>6992.2999999999993</v>
      </c>
      <c r="J69" s="42">
        <v>11770.199999999999</v>
      </c>
      <c r="K69" s="43">
        <v>37126.300000000003</v>
      </c>
      <c r="L69" s="42">
        <v>64257</v>
      </c>
      <c r="M69" s="95">
        <v>20748.8</v>
      </c>
      <c r="N69" s="99">
        <v>-971.89999999999964</v>
      </c>
      <c r="O69" s="48">
        <v>69611.100000000006</v>
      </c>
      <c r="P69" s="44">
        <f t="shared" si="2"/>
        <v>628783.19999999995</v>
      </c>
      <c r="Q69" s="33"/>
      <c r="R69" s="33"/>
      <c r="S69" s="33"/>
      <c r="T69" s="33"/>
    </row>
    <row r="70" spans="1:23" hidden="1" x14ac:dyDescent="0.2">
      <c r="A70" s="55" t="s">
        <v>56</v>
      </c>
      <c r="B70" s="42">
        <v>199910.80000000002</v>
      </c>
      <c r="C70" s="43">
        <v>115495.1</v>
      </c>
      <c r="D70" s="42">
        <v>78415.100000000006</v>
      </c>
      <c r="E70" s="43">
        <v>1000.5999999999999</v>
      </c>
      <c r="F70" s="42">
        <v>250</v>
      </c>
      <c r="G70" s="92" t="s">
        <v>3</v>
      </c>
      <c r="H70" s="42">
        <v>23258.600000000002</v>
      </c>
      <c r="I70" s="43">
        <v>9097.2000000000007</v>
      </c>
      <c r="J70" s="42">
        <v>21657.3</v>
      </c>
      <c r="K70" s="43">
        <v>37392.799999999996</v>
      </c>
      <c r="L70" s="42">
        <v>64161.5</v>
      </c>
      <c r="M70" s="95">
        <v>22811.799999999996</v>
      </c>
      <c r="N70" s="99">
        <v>-1843.7999999999995</v>
      </c>
      <c r="O70" s="48">
        <v>70607</v>
      </c>
      <c r="P70" s="44">
        <f t="shared" si="2"/>
        <v>642214</v>
      </c>
      <c r="Q70" s="33"/>
      <c r="R70" s="33"/>
      <c r="S70" s="33"/>
      <c r="T70" s="33"/>
    </row>
    <row r="71" spans="1:23" hidden="1" x14ac:dyDescent="0.2">
      <c r="A71" s="55" t="s">
        <v>45</v>
      </c>
      <c r="B71" s="42">
        <v>226504.30000000002</v>
      </c>
      <c r="C71" s="43">
        <v>116535.90000000001</v>
      </c>
      <c r="D71" s="42">
        <v>81175.299999999988</v>
      </c>
      <c r="E71" s="43">
        <v>1234.8999999999999</v>
      </c>
      <c r="F71" s="42">
        <v>400</v>
      </c>
      <c r="G71" s="92" t="s">
        <v>3</v>
      </c>
      <c r="H71" s="42">
        <v>23913.5</v>
      </c>
      <c r="I71" s="43">
        <v>8608.5999999999985</v>
      </c>
      <c r="J71" s="42">
        <v>33663.599999999999</v>
      </c>
      <c r="K71" s="43">
        <v>36237.599999999999</v>
      </c>
      <c r="L71" s="42">
        <v>69695</v>
      </c>
      <c r="M71" s="95">
        <v>21190.100000000002</v>
      </c>
      <c r="N71" s="99">
        <v>1123.9000000000001</v>
      </c>
      <c r="O71" s="48">
        <v>69028</v>
      </c>
      <c r="P71" s="44">
        <f t="shared" si="2"/>
        <v>689310.7</v>
      </c>
      <c r="Q71" s="33"/>
      <c r="R71" s="33"/>
      <c r="S71" s="33"/>
      <c r="T71" s="33"/>
    </row>
    <row r="72" spans="1:23" hidden="1" x14ac:dyDescent="0.2">
      <c r="A72" s="57"/>
      <c r="B72" s="42"/>
      <c r="C72" s="43"/>
      <c r="D72" s="42"/>
      <c r="E72" s="43"/>
      <c r="F72" s="42"/>
      <c r="G72" s="92"/>
      <c r="H72" s="42"/>
      <c r="I72" s="43"/>
      <c r="J72" s="42"/>
      <c r="K72" s="43"/>
      <c r="L72" s="42"/>
      <c r="M72" s="95"/>
      <c r="N72" s="99"/>
      <c r="O72" s="48"/>
      <c r="P72" s="44"/>
      <c r="Q72" s="33"/>
      <c r="R72" s="33"/>
      <c r="S72" s="33"/>
      <c r="T72" s="33"/>
    </row>
    <row r="73" spans="1:23" hidden="1" x14ac:dyDescent="0.2">
      <c r="A73" s="55" t="s">
        <v>59</v>
      </c>
      <c r="B73" s="42">
        <v>226785.69999999995</v>
      </c>
      <c r="C73" s="43">
        <v>115031.49999999999</v>
      </c>
      <c r="D73" s="42">
        <v>83433.399999999994</v>
      </c>
      <c r="E73" s="43">
        <v>1327.3</v>
      </c>
      <c r="F73" s="42">
        <v>700</v>
      </c>
      <c r="G73" s="92" t="s">
        <v>3</v>
      </c>
      <c r="H73" s="42">
        <v>23544.199999999997</v>
      </c>
      <c r="I73" s="43">
        <v>7594.2000000000007</v>
      </c>
      <c r="J73" s="42">
        <v>30691.9</v>
      </c>
      <c r="K73" s="43">
        <v>35732.400000000009</v>
      </c>
      <c r="L73" s="42">
        <v>69706.3</v>
      </c>
      <c r="M73" s="95">
        <v>22144.2</v>
      </c>
      <c r="N73" s="99">
        <v>1334.9</v>
      </c>
      <c r="O73" s="48">
        <v>70471.899999999994</v>
      </c>
      <c r="P73" s="44">
        <f t="shared" si="2"/>
        <v>688497.9</v>
      </c>
      <c r="Q73" s="33"/>
      <c r="R73" s="33"/>
      <c r="S73" s="33"/>
      <c r="T73" s="33"/>
    </row>
    <row r="74" spans="1:23" hidden="1" x14ac:dyDescent="0.2">
      <c r="A74" s="55" t="s">
        <v>48</v>
      </c>
      <c r="B74" s="42">
        <v>230514.80000000008</v>
      </c>
      <c r="C74" s="43">
        <v>116386.20000000003</v>
      </c>
      <c r="D74" s="42">
        <v>83596.400000000023</v>
      </c>
      <c r="E74" s="43">
        <v>1141.8</v>
      </c>
      <c r="F74" s="42">
        <v>700</v>
      </c>
      <c r="G74" s="92" t="s">
        <v>3</v>
      </c>
      <c r="H74" s="42">
        <v>25529</v>
      </c>
      <c r="I74" s="43">
        <v>8040.2999999999993</v>
      </c>
      <c r="J74" s="42">
        <v>30818</v>
      </c>
      <c r="K74" s="43">
        <v>35653.4</v>
      </c>
      <c r="L74" s="42">
        <v>73234.799999999988</v>
      </c>
      <c r="M74" s="95">
        <v>15912.8</v>
      </c>
      <c r="N74" s="99">
        <v>906</v>
      </c>
      <c r="O74" s="48">
        <v>72951</v>
      </c>
      <c r="P74" s="44">
        <f t="shared" si="2"/>
        <v>695384.50000000023</v>
      </c>
      <c r="Q74" s="33"/>
      <c r="R74" s="33"/>
      <c r="S74" s="33"/>
      <c r="T74" s="33"/>
    </row>
    <row r="75" spans="1:23" hidden="1" x14ac:dyDescent="0.2">
      <c r="A75" s="55" t="s">
        <v>49</v>
      </c>
      <c r="B75" s="42">
        <v>243881.79999999996</v>
      </c>
      <c r="C75" s="43">
        <v>121262.00000000001</v>
      </c>
      <c r="D75" s="42">
        <v>82919.399999999907</v>
      </c>
      <c r="E75" s="43">
        <v>1962.6</v>
      </c>
      <c r="F75" s="42">
        <v>1120</v>
      </c>
      <c r="G75" s="43">
        <v>30.6</v>
      </c>
      <c r="H75" s="42">
        <v>25001.8</v>
      </c>
      <c r="I75" s="43">
        <v>9623.5</v>
      </c>
      <c r="J75" s="42">
        <v>32319.000000000004</v>
      </c>
      <c r="K75" s="43">
        <v>33546.700000000004</v>
      </c>
      <c r="L75" s="42">
        <v>77502.3</v>
      </c>
      <c r="M75" s="95">
        <v>10329.4</v>
      </c>
      <c r="N75" s="99">
        <v>1438.3</v>
      </c>
      <c r="O75" s="48">
        <v>67919.899999999994</v>
      </c>
      <c r="P75" s="44">
        <f t="shared" si="2"/>
        <v>708857.29999999993</v>
      </c>
      <c r="Q75" s="33"/>
      <c r="R75" s="33"/>
      <c r="S75" s="33"/>
      <c r="T75" s="33"/>
    </row>
    <row r="76" spans="1:23" hidden="1" x14ac:dyDescent="0.2">
      <c r="A76" s="55" t="s">
        <v>50</v>
      </c>
      <c r="B76" s="42">
        <v>235781.09999999998</v>
      </c>
      <c r="C76" s="43">
        <v>124560.40000000004</v>
      </c>
      <c r="D76" s="42">
        <v>81903.400000000009</v>
      </c>
      <c r="E76" s="43">
        <v>1355.6999999999998</v>
      </c>
      <c r="F76" s="42">
        <v>1050</v>
      </c>
      <c r="G76" s="92" t="s">
        <v>3</v>
      </c>
      <c r="H76" s="42">
        <v>26065.900000000005</v>
      </c>
      <c r="I76" s="43">
        <v>9237.9000000000015</v>
      </c>
      <c r="J76" s="42">
        <v>29731.600000000002</v>
      </c>
      <c r="K76" s="43">
        <v>40011.5</v>
      </c>
      <c r="L76" s="42">
        <v>81216.299999999988</v>
      </c>
      <c r="M76" s="95">
        <v>5652</v>
      </c>
      <c r="N76" s="99">
        <v>1642.6000000000006</v>
      </c>
      <c r="O76" s="48">
        <v>68354.399999999994</v>
      </c>
      <c r="P76" s="44">
        <f t="shared" si="2"/>
        <v>706562.8</v>
      </c>
      <c r="Q76" s="33"/>
      <c r="R76" s="33"/>
      <c r="S76" s="33"/>
      <c r="T76" s="33"/>
    </row>
    <row r="77" spans="1:23" hidden="1" x14ac:dyDescent="0.2">
      <c r="A77" s="55" t="s">
        <v>51</v>
      </c>
      <c r="B77" s="42">
        <v>225789.7</v>
      </c>
      <c r="C77" s="43">
        <v>121514.30000000002</v>
      </c>
      <c r="D77" s="42">
        <v>82362.099999999962</v>
      </c>
      <c r="E77" s="43">
        <v>1393.5</v>
      </c>
      <c r="F77" s="42">
        <v>1550</v>
      </c>
      <c r="G77" s="92" t="s">
        <v>3</v>
      </c>
      <c r="H77" s="42">
        <v>23800.9</v>
      </c>
      <c r="I77" s="43">
        <v>9214.2000000000007</v>
      </c>
      <c r="J77" s="42">
        <v>23896.199999999997</v>
      </c>
      <c r="K77" s="43">
        <v>35952.400000000001</v>
      </c>
      <c r="L77" s="42">
        <v>81205.5</v>
      </c>
      <c r="M77" s="95">
        <v>6902.7</v>
      </c>
      <c r="N77" s="99">
        <v>-550.39999999999941</v>
      </c>
      <c r="O77" s="48">
        <v>70527.600000000006</v>
      </c>
      <c r="P77" s="44">
        <f t="shared" si="2"/>
        <v>683558.7</v>
      </c>
      <c r="Q77" s="33"/>
      <c r="R77" s="33"/>
      <c r="S77" s="33"/>
      <c r="T77" s="33"/>
    </row>
    <row r="78" spans="1:23" hidden="1" x14ac:dyDescent="0.2">
      <c r="A78" s="55" t="s">
        <v>46</v>
      </c>
      <c r="B78" s="42">
        <v>238376.80000000005</v>
      </c>
      <c r="C78" s="43">
        <v>126025.79999999997</v>
      </c>
      <c r="D78" s="42">
        <v>86114.9</v>
      </c>
      <c r="E78" s="43">
        <v>1492</v>
      </c>
      <c r="F78" s="42">
        <v>1050</v>
      </c>
      <c r="G78" s="92" t="s">
        <v>3</v>
      </c>
      <c r="H78" s="42">
        <v>24223.999999999993</v>
      </c>
      <c r="I78" s="43">
        <v>8547.6000000000022</v>
      </c>
      <c r="J78" s="42">
        <v>24891</v>
      </c>
      <c r="K78" s="43">
        <v>37032.600000000006</v>
      </c>
      <c r="L78" s="42">
        <v>85821</v>
      </c>
      <c r="M78" s="95">
        <v>8391.7999999999993</v>
      </c>
      <c r="N78" s="99">
        <v>181.8</v>
      </c>
      <c r="O78" s="48">
        <v>70952.3</v>
      </c>
      <c r="P78" s="44">
        <f t="shared" si="2"/>
        <v>713101.60000000009</v>
      </c>
      <c r="Q78" s="33"/>
      <c r="R78" s="33"/>
      <c r="S78" s="33"/>
      <c r="T78" s="33"/>
    </row>
    <row r="79" spans="1:23" s="49" customFormat="1" hidden="1" x14ac:dyDescent="0.2">
      <c r="A79" s="56" t="s">
        <v>52</v>
      </c>
      <c r="B79" s="44">
        <v>246537.7</v>
      </c>
      <c r="C79" s="48">
        <v>129963</v>
      </c>
      <c r="D79" s="44">
        <v>85926.399999999994</v>
      </c>
      <c r="E79" s="48">
        <v>1078.3999999999999</v>
      </c>
      <c r="F79" s="44">
        <v>1450</v>
      </c>
      <c r="G79" s="48">
        <v>127.1</v>
      </c>
      <c r="H79" s="44">
        <v>22486.300000000003</v>
      </c>
      <c r="I79" s="48">
        <v>10740.2</v>
      </c>
      <c r="J79" s="44">
        <v>29026.800000000003</v>
      </c>
      <c r="K79" s="48">
        <v>39069.899999999994</v>
      </c>
      <c r="L79" s="42">
        <v>85809.8</v>
      </c>
      <c r="M79" s="95">
        <v>11443.999999999998</v>
      </c>
      <c r="N79" s="99">
        <v>68.299999999999983</v>
      </c>
      <c r="O79" s="48">
        <v>70897.3</v>
      </c>
      <c r="P79" s="44">
        <f t="shared" si="2"/>
        <v>734625.20000000019</v>
      </c>
      <c r="Q79" s="33"/>
      <c r="R79" s="33"/>
      <c r="S79" s="33"/>
      <c r="T79" s="33"/>
      <c r="V79" s="21"/>
      <c r="W79" s="21"/>
    </row>
    <row r="80" spans="1:23" s="47" customFormat="1" hidden="1" x14ac:dyDescent="0.2">
      <c r="A80" s="57" t="s">
        <v>53</v>
      </c>
      <c r="B80" s="45">
        <v>260957.19999999995</v>
      </c>
      <c r="C80" s="46">
        <v>134263.90000000002</v>
      </c>
      <c r="D80" s="45">
        <v>84036</v>
      </c>
      <c r="E80" s="46">
        <v>1163.6000000000001</v>
      </c>
      <c r="F80" s="45">
        <v>950</v>
      </c>
      <c r="G80" s="46">
        <v>598.6</v>
      </c>
      <c r="H80" s="45">
        <v>23271.4</v>
      </c>
      <c r="I80" s="46">
        <v>8351.2000000000007</v>
      </c>
      <c r="J80" s="45">
        <v>27179.4</v>
      </c>
      <c r="K80" s="46">
        <v>36289.300000000003</v>
      </c>
      <c r="L80" s="42">
        <v>85765.099999999991</v>
      </c>
      <c r="M80" s="95">
        <v>13484.4</v>
      </c>
      <c r="N80" s="99">
        <v>-345.19999999999948</v>
      </c>
      <c r="O80" s="48">
        <v>77201.600000000006</v>
      </c>
      <c r="P80" s="44">
        <f t="shared" si="2"/>
        <v>753166.5</v>
      </c>
      <c r="Q80" s="33"/>
      <c r="R80" s="33"/>
      <c r="S80" s="33"/>
      <c r="T80" s="33"/>
      <c r="V80" s="21"/>
      <c r="W80" s="21"/>
    </row>
    <row r="81" spans="1:23" hidden="1" x14ac:dyDescent="0.2">
      <c r="A81" s="55" t="s">
        <v>54</v>
      </c>
      <c r="B81" s="42">
        <v>266036.5</v>
      </c>
      <c r="C81" s="43">
        <v>134944.70000000001</v>
      </c>
      <c r="D81" s="42">
        <v>87639.60000000002</v>
      </c>
      <c r="E81" s="43">
        <v>1671.4000000000003</v>
      </c>
      <c r="F81" s="42">
        <v>550</v>
      </c>
      <c r="G81" s="92" t="s">
        <v>3</v>
      </c>
      <c r="H81" s="42">
        <v>24892.799999999999</v>
      </c>
      <c r="I81" s="43">
        <v>8200.6</v>
      </c>
      <c r="J81" s="42">
        <v>26983.399999999998</v>
      </c>
      <c r="K81" s="43">
        <v>37379.599999999999</v>
      </c>
      <c r="L81" s="42">
        <v>85756.4</v>
      </c>
      <c r="M81" s="95">
        <v>15328.399999999998</v>
      </c>
      <c r="N81" s="99">
        <v>965.1</v>
      </c>
      <c r="O81" s="48">
        <v>75870</v>
      </c>
      <c r="P81" s="44">
        <f t="shared" si="2"/>
        <v>766218.5</v>
      </c>
      <c r="Q81" s="33"/>
      <c r="R81" s="33"/>
      <c r="S81" s="33"/>
      <c r="T81" s="33"/>
    </row>
    <row r="82" spans="1:23" hidden="1" x14ac:dyDescent="0.2">
      <c r="A82" s="55" t="s">
        <v>55</v>
      </c>
      <c r="B82" s="42">
        <v>259714.99999999994</v>
      </c>
      <c r="C82" s="43">
        <v>138672.1</v>
      </c>
      <c r="D82" s="42">
        <v>85571.400000000023</v>
      </c>
      <c r="E82" s="43">
        <v>689.6</v>
      </c>
      <c r="F82" s="42">
        <v>610</v>
      </c>
      <c r="G82" s="43">
        <v>3740.2</v>
      </c>
      <c r="H82" s="42">
        <v>26282.9</v>
      </c>
      <c r="I82" s="43">
        <v>7967.1</v>
      </c>
      <c r="J82" s="42">
        <v>28540.700000000004</v>
      </c>
      <c r="K82" s="43">
        <v>40353.199999999997</v>
      </c>
      <c r="L82" s="42">
        <v>85745.9</v>
      </c>
      <c r="M82" s="95">
        <v>18416.7</v>
      </c>
      <c r="N82" s="99">
        <v>1238.3000000000009</v>
      </c>
      <c r="O82" s="48">
        <v>81153.100000000006</v>
      </c>
      <c r="P82" s="44">
        <f t="shared" si="2"/>
        <v>778696.2</v>
      </c>
      <c r="Q82" s="33"/>
      <c r="R82" s="33"/>
      <c r="S82" s="33"/>
      <c r="T82" s="33"/>
    </row>
    <row r="83" spans="1:23" hidden="1" x14ac:dyDescent="0.2">
      <c r="A83" s="55" t="s">
        <v>56</v>
      </c>
      <c r="B83" s="42">
        <v>270386.2</v>
      </c>
      <c r="C83" s="43">
        <v>136402.20000000001</v>
      </c>
      <c r="D83" s="42">
        <v>88843.6</v>
      </c>
      <c r="E83" s="43">
        <v>1802.6000000000001</v>
      </c>
      <c r="F83" s="42">
        <v>610</v>
      </c>
      <c r="G83" s="92" t="s">
        <v>3</v>
      </c>
      <c r="H83" s="42">
        <v>25964.399999999994</v>
      </c>
      <c r="I83" s="43">
        <v>7609.7</v>
      </c>
      <c r="J83" s="42">
        <v>24621.9</v>
      </c>
      <c r="K83" s="43">
        <v>46726.1</v>
      </c>
      <c r="L83" s="42">
        <v>85734.799999999988</v>
      </c>
      <c r="M83" s="95">
        <v>21176.799999999999</v>
      </c>
      <c r="N83" s="99">
        <v>1812.1</v>
      </c>
      <c r="O83" s="48">
        <v>82168.100000000006</v>
      </c>
      <c r="P83" s="44">
        <f t="shared" si="2"/>
        <v>793858.5</v>
      </c>
      <c r="Q83" s="33"/>
      <c r="R83" s="33"/>
      <c r="S83" s="33"/>
      <c r="T83" s="33"/>
    </row>
    <row r="84" spans="1:23" hidden="1" x14ac:dyDescent="0.2">
      <c r="A84" s="55" t="s">
        <v>45</v>
      </c>
      <c r="B84" s="42">
        <v>290409</v>
      </c>
      <c r="C84" s="43">
        <v>143615.40000000002</v>
      </c>
      <c r="D84" s="42">
        <v>89591.3</v>
      </c>
      <c r="E84" s="43">
        <v>1128.8</v>
      </c>
      <c r="F84" s="42">
        <v>530</v>
      </c>
      <c r="G84" s="92" t="s">
        <v>3</v>
      </c>
      <c r="H84" s="42">
        <v>30906.599999999988</v>
      </c>
      <c r="I84" s="43">
        <v>5456.4</v>
      </c>
      <c r="J84" s="42">
        <v>27042.2</v>
      </c>
      <c r="K84" s="43">
        <v>50485.599999999991</v>
      </c>
      <c r="L84" s="42">
        <v>97362.8</v>
      </c>
      <c r="M84" s="95">
        <v>22695.399999999998</v>
      </c>
      <c r="N84" s="99">
        <v>113.79999999999987</v>
      </c>
      <c r="O84" s="48">
        <v>81209.600000000006</v>
      </c>
      <c r="P84" s="44">
        <f t="shared" si="2"/>
        <v>840546.9</v>
      </c>
      <c r="Q84" s="33"/>
      <c r="R84" s="33"/>
      <c r="S84" s="33"/>
      <c r="T84" s="33"/>
    </row>
    <row r="85" spans="1:23" hidden="1" x14ac:dyDescent="0.2">
      <c r="A85" s="55"/>
      <c r="B85" s="42"/>
      <c r="C85" s="43"/>
      <c r="D85" s="42"/>
      <c r="E85" s="43"/>
      <c r="F85" s="42"/>
      <c r="G85" s="92"/>
      <c r="H85" s="42"/>
      <c r="I85" s="43"/>
      <c r="J85" s="42"/>
      <c r="K85" s="43"/>
      <c r="L85" s="42"/>
      <c r="M85" s="95"/>
      <c r="N85" s="99"/>
      <c r="O85" s="48"/>
      <c r="P85" s="44"/>
      <c r="Q85" s="33"/>
      <c r="R85" s="33"/>
      <c r="S85" s="33"/>
      <c r="T85" s="33"/>
    </row>
    <row r="86" spans="1:23" s="47" customFormat="1" hidden="1" x14ac:dyDescent="0.2">
      <c r="A86" s="55" t="s">
        <v>60</v>
      </c>
      <c r="B86" s="45">
        <v>291073.00000000006</v>
      </c>
      <c r="C86" s="46">
        <v>143819.4</v>
      </c>
      <c r="D86" s="45">
        <v>72736.799999999988</v>
      </c>
      <c r="E86" s="46">
        <v>2248.7000000000003</v>
      </c>
      <c r="F86" s="45">
        <v>230</v>
      </c>
      <c r="G86" s="92" t="s">
        <v>3</v>
      </c>
      <c r="H86" s="45">
        <v>33888.69999999999</v>
      </c>
      <c r="I86" s="46">
        <v>4751.6000000000004</v>
      </c>
      <c r="J86" s="45">
        <v>41326.6</v>
      </c>
      <c r="K86" s="46">
        <v>44614.499999999993</v>
      </c>
      <c r="L86" s="42">
        <v>97456.700000000012</v>
      </c>
      <c r="M86" s="95">
        <v>24765.699999999997</v>
      </c>
      <c r="N86" s="99">
        <v>485.09999999999991</v>
      </c>
      <c r="O86" s="48">
        <v>78622.5</v>
      </c>
      <c r="P86" s="44">
        <f t="shared" si="2"/>
        <v>836019.29999999993</v>
      </c>
      <c r="Q86" s="33"/>
      <c r="R86" s="33"/>
      <c r="S86" s="33"/>
      <c r="T86" s="33"/>
      <c r="V86" s="21"/>
      <c r="W86" s="21"/>
    </row>
    <row r="87" spans="1:23" s="47" customFormat="1" hidden="1" x14ac:dyDescent="0.2">
      <c r="A87" s="55" t="s">
        <v>48</v>
      </c>
      <c r="B87" s="45">
        <v>288017.09999999998</v>
      </c>
      <c r="C87" s="46">
        <v>143864.79999999999</v>
      </c>
      <c r="D87" s="45">
        <v>75994.299999999988</v>
      </c>
      <c r="E87" s="46">
        <v>1700</v>
      </c>
      <c r="F87" s="45">
        <v>230</v>
      </c>
      <c r="G87" s="46">
        <v>1723.4</v>
      </c>
      <c r="H87" s="45">
        <v>32249.100000000006</v>
      </c>
      <c r="I87" s="46">
        <v>4930.3</v>
      </c>
      <c r="J87" s="45">
        <v>35054.399999999994</v>
      </c>
      <c r="K87" s="46">
        <v>49423.19999999999</v>
      </c>
      <c r="L87" s="42">
        <v>100368.1</v>
      </c>
      <c r="M87" s="95">
        <v>19326.399999999998</v>
      </c>
      <c r="N87" s="99">
        <v>1150.6999999999989</v>
      </c>
      <c r="O87" s="48">
        <v>87752.2</v>
      </c>
      <c r="P87" s="44">
        <f t="shared" si="2"/>
        <v>841783.99999999988</v>
      </c>
      <c r="Q87" s="33"/>
      <c r="R87" s="33"/>
      <c r="S87" s="33"/>
      <c r="T87" s="33"/>
      <c r="V87" s="21"/>
      <c r="W87" s="21"/>
    </row>
    <row r="88" spans="1:23" s="47" customFormat="1" hidden="1" x14ac:dyDescent="0.2">
      <c r="A88" s="55" t="s">
        <v>49</v>
      </c>
      <c r="B88" s="45">
        <v>299115.59999999998</v>
      </c>
      <c r="C88" s="46">
        <v>148875.6</v>
      </c>
      <c r="D88" s="45">
        <v>73793.099999999948</v>
      </c>
      <c r="E88" s="46">
        <v>1290.3</v>
      </c>
      <c r="F88" s="45">
        <v>230</v>
      </c>
      <c r="G88" s="46">
        <v>3410.3</v>
      </c>
      <c r="H88" s="45">
        <v>32020.199999999997</v>
      </c>
      <c r="I88" s="46">
        <v>5617.3</v>
      </c>
      <c r="J88" s="45">
        <v>29368</v>
      </c>
      <c r="K88" s="46">
        <v>39002.5</v>
      </c>
      <c r="L88" s="42">
        <v>116593.8</v>
      </c>
      <c r="M88" s="95">
        <v>12874.099999999999</v>
      </c>
      <c r="N88" s="99">
        <v>2503.1</v>
      </c>
      <c r="O88" s="48">
        <v>80878.8</v>
      </c>
      <c r="P88" s="44">
        <f t="shared" si="2"/>
        <v>845572.7</v>
      </c>
      <c r="Q88" s="33"/>
      <c r="R88" s="33"/>
      <c r="S88" s="33"/>
      <c r="T88" s="33"/>
      <c r="V88" s="21"/>
      <c r="W88" s="21"/>
    </row>
    <row r="89" spans="1:23" s="47" customFormat="1" hidden="1" x14ac:dyDescent="0.2">
      <c r="A89" s="55" t="s">
        <v>50</v>
      </c>
      <c r="B89" s="45">
        <v>293297.40000000002</v>
      </c>
      <c r="C89" s="46">
        <v>148399.20000000001</v>
      </c>
      <c r="D89" s="45">
        <v>73402.400000000009</v>
      </c>
      <c r="E89" s="46">
        <v>1990.2999999999997</v>
      </c>
      <c r="F89" s="45">
        <v>230</v>
      </c>
      <c r="G89" s="46">
        <v>4017</v>
      </c>
      <c r="H89" s="45">
        <v>28873.900000000009</v>
      </c>
      <c r="I89" s="46">
        <v>7165.1999999999989</v>
      </c>
      <c r="J89" s="45">
        <v>32355.199999999997</v>
      </c>
      <c r="K89" s="46">
        <v>43570.299999999996</v>
      </c>
      <c r="L89" s="42">
        <v>117737.7</v>
      </c>
      <c r="M89" s="95">
        <v>11700.6</v>
      </c>
      <c r="N89" s="99">
        <v>636.49999999999966</v>
      </c>
      <c r="O89" s="48">
        <v>76617.600000000006</v>
      </c>
      <c r="P89" s="44">
        <f t="shared" ref="P89:P125" si="3">SUM(B89:O89)</f>
        <v>839993.29999999993</v>
      </c>
      <c r="Q89" s="33"/>
      <c r="R89" s="33"/>
      <c r="S89" s="33"/>
      <c r="T89" s="33"/>
      <c r="V89" s="21"/>
      <c r="W89" s="21"/>
    </row>
    <row r="90" spans="1:23" s="47" customFormat="1" hidden="1" x14ac:dyDescent="0.2">
      <c r="A90" s="55" t="s">
        <v>51</v>
      </c>
      <c r="B90" s="45">
        <v>290555.29999999993</v>
      </c>
      <c r="C90" s="46">
        <v>153186.70000000001</v>
      </c>
      <c r="D90" s="45">
        <v>72428.700000000041</v>
      </c>
      <c r="E90" s="46">
        <v>1634.3</v>
      </c>
      <c r="F90" s="45">
        <v>230</v>
      </c>
      <c r="G90" s="46">
        <v>8850.7999999999993</v>
      </c>
      <c r="H90" s="45">
        <v>31143.199999999997</v>
      </c>
      <c r="I90" s="46">
        <v>6206.9</v>
      </c>
      <c r="J90" s="45">
        <v>33662.700000000004</v>
      </c>
      <c r="K90" s="46">
        <v>41594.699999999997</v>
      </c>
      <c r="L90" s="42">
        <v>117729.1</v>
      </c>
      <c r="M90" s="95">
        <v>14594.6</v>
      </c>
      <c r="N90" s="99">
        <v>3238.1000000000004</v>
      </c>
      <c r="O90" s="48">
        <v>80233.8</v>
      </c>
      <c r="P90" s="44">
        <f t="shared" si="3"/>
        <v>855288.89999999979</v>
      </c>
      <c r="Q90" s="33"/>
      <c r="R90" s="33"/>
      <c r="S90" s="33"/>
      <c r="T90" s="33"/>
      <c r="V90" s="21"/>
      <c r="W90" s="21"/>
    </row>
    <row r="91" spans="1:23" s="47" customFormat="1" hidden="1" x14ac:dyDescent="0.2">
      <c r="A91" s="55" t="s">
        <v>46</v>
      </c>
      <c r="B91" s="45">
        <v>289668.60000000009</v>
      </c>
      <c r="C91" s="46">
        <v>159995.19999999995</v>
      </c>
      <c r="D91" s="45">
        <v>77435.999999999985</v>
      </c>
      <c r="E91" s="46">
        <v>1811.1</v>
      </c>
      <c r="F91" s="45">
        <v>230</v>
      </c>
      <c r="G91" s="46">
        <v>21978.1</v>
      </c>
      <c r="H91" s="45">
        <v>29909.600000000006</v>
      </c>
      <c r="I91" s="46">
        <v>6361.1</v>
      </c>
      <c r="J91" s="45">
        <v>28131.5</v>
      </c>
      <c r="K91" s="46">
        <v>39056.400000000001</v>
      </c>
      <c r="L91" s="42">
        <v>117718.9</v>
      </c>
      <c r="M91" s="95">
        <v>17607.399999999998</v>
      </c>
      <c r="N91" s="99">
        <v>3235.7999999999993</v>
      </c>
      <c r="O91" s="48">
        <v>78910</v>
      </c>
      <c r="P91" s="44">
        <f t="shared" si="3"/>
        <v>872049.70000000007</v>
      </c>
      <c r="Q91" s="33"/>
      <c r="R91" s="33"/>
      <c r="S91" s="33"/>
      <c r="T91" s="33"/>
      <c r="V91" s="21"/>
      <c r="W91" s="21"/>
    </row>
    <row r="92" spans="1:23" s="47" customFormat="1" hidden="1" x14ac:dyDescent="0.2">
      <c r="A92" s="56" t="s">
        <v>52</v>
      </c>
      <c r="B92" s="45">
        <v>291422.09999999998</v>
      </c>
      <c r="C92" s="46">
        <v>164987.99999999994</v>
      </c>
      <c r="D92" s="45">
        <v>91316.5</v>
      </c>
      <c r="E92" s="46">
        <v>661.6</v>
      </c>
      <c r="F92" s="45">
        <v>230</v>
      </c>
      <c r="G92" s="46">
        <v>28323</v>
      </c>
      <c r="H92" s="45">
        <v>31971.599999999999</v>
      </c>
      <c r="I92" s="46">
        <v>7435.7</v>
      </c>
      <c r="J92" s="45">
        <v>22824.6</v>
      </c>
      <c r="K92" s="46">
        <v>42413.599999999999</v>
      </c>
      <c r="L92" s="42">
        <v>117709.1</v>
      </c>
      <c r="M92" s="95">
        <v>20758.199999999997</v>
      </c>
      <c r="N92" s="99">
        <v>7.3999999999996078</v>
      </c>
      <c r="O92" s="48">
        <v>78974.8</v>
      </c>
      <c r="P92" s="44">
        <f t="shared" si="3"/>
        <v>899036.19999999972</v>
      </c>
      <c r="Q92" s="33"/>
      <c r="R92" s="33"/>
      <c r="S92" s="33"/>
      <c r="T92" s="33"/>
      <c r="V92" s="21"/>
      <c r="W92" s="21"/>
    </row>
    <row r="93" spans="1:23" s="47" customFormat="1" hidden="1" x14ac:dyDescent="0.2">
      <c r="A93" s="57" t="s">
        <v>53</v>
      </c>
      <c r="B93" s="45">
        <v>295830.29999999993</v>
      </c>
      <c r="C93" s="46">
        <v>171611.79999999993</v>
      </c>
      <c r="D93" s="45">
        <v>86856.8</v>
      </c>
      <c r="E93" s="46">
        <v>1011.4999999999999</v>
      </c>
      <c r="F93" s="45">
        <v>230</v>
      </c>
      <c r="G93" s="46">
        <v>30701.8</v>
      </c>
      <c r="H93" s="45">
        <v>31207.999999999996</v>
      </c>
      <c r="I93" s="46">
        <v>8465</v>
      </c>
      <c r="J93" s="45">
        <v>27124.500000000004</v>
      </c>
      <c r="K93" s="46">
        <v>41757.4</v>
      </c>
      <c r="L93" s="42">
        <v>117698.50000000001</v>
      </c>
      <c r="M93" s="95">
        <v>24366</v>
      </c>
      <c r="N93" s="99">
        <v>5.2000000000009123</v>
      </c>
      <c r="O93" s="48">
        <v>78544.600000000006</v>
      </c>
      <c r="P93" s="44">
        <f t="shared" si="3"/>
        <v>915411.39999999991</v>
      </c>
      <c r="Q93" s="33"/>
      <c r="R93" s="33"/>
      <c r="S93" s="33"/>
      <c r="T93" s="33"/>
      <c r="V93" s="21"/>
      <c r="W93" s="21"/>
    </row>
    <row r="94" spans="1:23" s="47" customFormat="1" hidden="1" x14ac:dyDescent="0.2">
      <c r="A94" s="55" t="s">
        <v>54</v>
      </c>
      <c r="B94" s="45">
        <v>274579.49999999988</v>
      </c>
      <c r="C94" s="46">
        <v>173612.59999999998</v>
      </c>
      <c r="D94" s="45">
        <v>83235.099999999991</v>
      </c>
      <c r="E94" s="46">
        <v>1928.8999999999999</v>
      </c>
      <c r="F94" s="45">
        <v>230</v>
      </c>
      <c r="G94" s="46">
        <v>41135.1</v>
      </c>
      <c r="H94" s="45">
        <v>30933.400000000005</v>
      </c>
      <c r="I94" s="46">
        <v>8199.5</v>
      </c>
      <c r="J94" s="45">
        <v>30423.899999999998</v>
      </c>
      <c r="K94" s="46">
        <v>41451.9</v>
      </c>
      <c r="L94" s="42">
        <v>117688.70000000001</v>
      </c>
      <c r="M94" s="95">
        <v>27652.300000000003</v>
      </c>
      <c r="N94" s="99">
        <v>308.19999999999993</v>
      </c>
      <c r="O94" s="48">
        <v>78821.899999999994</v>
      </c>
      <c r="P94" s="44">
        <f t="shared" si="3"/>
        <v>910200.99999999988</v>
      </c>
      <c r="Q94" s="33"/>
      <c r="R94" s="33"/>
      <c r="S94" s="33"/>
      <c r="T94" s="33"/>
      <c r="V94" s="21"/>
      <c r="W94" s="21"/>
    </row>
    <row r="95" spans="1:23" s="47" customFormat="1" hidden="1" x14ac:dyDescent="0.2">
      <c r="A95" s="55" t="s">
        <v>55</v>
      </c>
      <c r="B95" s="45">
        <v>282512.10000000003</v>
      </c>
      <c r="C95" s="46">
        <v>172202.30000000002</v>
      </c>
      <c r="D95" s="45">
        <v>83808.89999999998</v>
      </c>
      <c r="E95" s="46">
        <v>1231.5</v>
      </c>
      <c r="F95" s="45">
        <v>230</v>
      </c>
      <c r="G95" s="46">
        <v>34479.800000000003</v>
      </c>
      <c r="H95" s="45">
        <v>35383.699999999997</v>
      </c>
      <c r="I95" s="46">
        <v>9151.2000000000007</v>
      </c>
      <c r="J95" s="45">
        <v>29507.8</v>
      </c>
      <c r="K95" s="46">
        <v>46518.7</v>
      </c>
      <c r="L95" s="42">
        <v>117677.9</v>
      </c>
      <c r="M95" s="95">
        <v>31090.799999999999</v>
      </c>
      <c r="N95" s="99">
        <v>760.19999999999982</v>
      </c>
      <c r="O95" s="48">
        <v>81749.5</v>
      </c>
      <c r="P95" s="44">
        <f t="shared" si="3"/>
        <v>926304.4</v>
      </c>
      <c r="Q95" s="33"/>
      <c r="R95" s="33"/>
      <c r="S95" s="33"/>
      <c r="T95" s="33"/>
      <c r="V95" s="21"/>
      <c r="W95" s="21"/>
    </row>
    <row r="96" spans="1:23" s="47" customFormat="1" hidden="1" x14ac:dyDescent="0.2">
      <c r="A96" s="55" t="s">
        <v>56</v>
      </c>
      <c r="B96" s="45">
        <v>266449.59999999998</v>
      </c>
      <c r="C96" s="46">
        <v>177129.00000000003</v>
      </c>
      <c r="D96" s="45">
        <v>85868.799999999959</v>
      </c>
      <c r="E96" s="46">
        <v>765.20000000000016</v>
      </c>
      <c r="F96" s="45">
        <v>230</v>
      </c>
      <c r="G96" s="46">
        <v>38992.799999999996</v>
      </c>
      <c r="H96" s="45">
        <v>37156.9</v>
      </c>
      <c r="I96" s="46">
        <v>9256.7000000000007</v>
      </c>
      <c r="J96" s="45">
        <v>34346.299999999996</v>
      </c>
      <c r="K96" s="46">
        <v>54902.900000000009</v>
      </c>
      <c r="L96" s="42">
        <v>117667.6</v>
      </c>
      <c r="M96" s="95">
        <v>33981.200000000004</v>
      </c>
      <c r="N96" s="99">
        <v>809.70000000000073</v>
      </c>
      <c r="O96" s="48">
        <v>82383.399999999994</v>
      </c>
      <c r="P96" s="44">
        <f t="shared" si="3"/>
        <v>939940.09999999986</v>
      </c>
      <c r="Q96" s="33"/>
      <c r="R96" s="33"/>
      <c r="S96" s="33"/>
      <c r="T96" s="33"/>
      <c r="V96" s="21"/>
      <c r="W96" s="21"/>
    </row>
    <row r="97" spans="1:23" s="47" customFormat="1" hidden="1" x14ac:dyDescent="0.2">
      <c r="A97" s="55" t="s">
        <v>45</v>
      </c>
      <c r="B97" s="45">
        <v>283537.99999999994</v>
      </c>
      <c r="C97" s="46">
        <v>178588.99999999997</v>
      </c>
      <c r="D97" s="45">
        <v>89107.6</v>
      </c>
      <c r="E97" s="46">
        <v>570.1</v>
      </c>
      <c r="F97" s="45">
        <v>230</v>
      </c>
      <c r="G97" s="46">
        <v>23887.599999999999</v>
      </c>
      <c r="H97" s="45">
        <v>32980.200000000004</v>
      </c>
      <c r="I97" s="46">
        <v>6981.7999999999993</v>
      </c>
      <c r="J97" s="45">
        <v>38665.200000000004</v>
      </c>
      <c r="K97" s="46">
        <v>50036.000000000007</v>
      </c>
      <c r="L97" s="42">
        <v>117656.69999999998</v>
      </c>
      <c r="M97" s="95">
        <v>30401</v>
      </c>
      <c r="N97" s="99">
        <v>617.30000000000041</v>
      </c>
      <c r="O97" s="48">
        <v>83487.7</v>
      </c>
      <c r="P97" s="44">
        <f t="shared" si="3"/>
        <v>936748.19999999972</v>
      </c>
      <c r="Q97" s="33"/>
      <c r="R97" s="33"/>
      <c r="S97" s="33"/>
      <c r="T97" s="33"/>
      <c r="V97" s="21"/>
      <c r="W97" s="21"/>
    </row>
    <row r="98" spans="1:23" s="47" customFormat="1" hidden="1" x14ac:dyDescent="0.2">
      <c r="A98" s="57"/>
      <c r="B98" s="45"/>
      <c r="C98" s="46"/>
      <c r="D98" s="45"/>
      <c r="E98" s="46"/>
      <c r="F98" s="45"/>
      <c r="G98" s="46"/>
      <c r="H98" s="45"/>
      <c r="I98" s="46"/>
      <c r="J98" s="45"/>
      <c r="K98" s="46"/>
      <c r="L98" s="42"/>
      <c r="M98" s="95"/>
      <c r="N98" s="99"/>
      <c r="O98" s="48"/>
      <c r="P98" s="44"/>
      <c r="Q98" s="33"/>
      <c r="R98" s="33"/>
      <c r="S98" s="33"/>
      <c r="T98" s="33"/>
      <c r="V98" s="21"/>
      <c r="W98" s="21"/>
    </row>
    <row r="99" spans="1:23" s="47" customFormat="1" hidden="1" x14ac:dyDescent="0.2">
      <c r="A99" s="55" t="s">
        <v>47</v>
      </c>
      <c r="B99" s="45">
        <v>290839.20000000007</v>
      </c>
      <c r="C99" s="46">
        <v>167955.89999999997</v>
      </c>
      <c r="D99" s="45">
        <v>97165.6</v>
      </c>
      <c r="E99" s="46">
        <v>855.69999999999993</v>
      </c>
      <c r="F99" s="45">
        <v>230</v>
      </c>
      <c r="G99" s="46">
        <v>17905.5</v>
      </c>
      <c r="H99" s="45">
        <v>37983.000000000007</v>
      </c>
      <c r="I99" s="46">
        <v>8935.9000000000015</v>
      </c>
      <c r="J99" s="45">
        <v>35210.9</v>
      </c>
      <c r="K99" s="46">
        <v>53883.600000000006</v>
      </c>
      <c r="L99" s="42">
        <v>117646.3</v>
      </c>
      <c r="M99" s="95">
        <v>33758.199999999997</v>
      </c>
      <c r="N99" s="99">
        <v>716.60000000000093</v>
      </c>
      <c r="O99" s="48">
        <v>86124.7</v>
      </c>
      <c r="P99" s="44">
        <f t="shared" si="3"/>
        <v>949211.1</v>
      </c>
      <c r="Q99" s="33"/>
      <c r="R99" s="33"/>
      <c r="S99" s="33"/>
      <c r="T99" s="33"/>
      <c r="V99" s="21"/>
      <c r="W99" s="21"/>
    </row>
    <row r="100" spans="1:23" s="47" customFormat="1" hidden="1" x14ac:dyDescent="0.2">
      <c r="A100" s="55" t="s">
        <v>48</v>
      </c>
      <c r="B100" s="45">
        <v>286835.5</v>
      </c>
      <c r="C100" s="46">
        <v>168079.6</v>
      </c>
      <c r="D100" s="45">
        <v>100592.29999999999</v>
      </c>
      <c r="E100" s="46">
        <v>1134</v>
      </c>
      <c r="F100" s="45">
        <v>230</v>
      </c>
      <c r="G100" s="46">
        <v>28977.9</v>
      </c>
      <c r="H100" s="45">
        <v>40467.599999999999</v>
      </c>
      <c r="I100" s="46">
        <v>8492.0999999999985</v>
      </c>
      <c r="J100" s="45">
        <v>28885.1</v>
      </c>
      <c r="K100" s="46">
        <v>56918.8</v>
      </c>
      <c r="L100" s="42">
        <v>122193.60000000001</v>
      </c>
      <c r="M100" s="95">
        <v>26064.9</v>
      </c>
      <c r="N100" s="99">
        <v>791.9</v>
      </c>
      <c r="O100" s="48">
        <v>90243.4</v>
      </c>
      <c r="P100" s="44">
        <f t="shared" si="3"/>
        <v>959906.7</v>
      </c>
      <c r="Q100" s="33"/>
      <c r="R100" s="33"/>
      <c r="S100" s="33"/>
      <c r="T100" s="33"/>
      <c r="V100" s="21"/>
      <c r="W100" s="21"/>
    </row>
    <row r="101" spans="1:23" s="47" customFormat="1" hidden="1" x14ac:dyDescent="0.2">
      <c r="A101" s="55" t="s">
        <v>49</v>
      </c>
      <c r="B101" s="45">
        <v>277531.20000000007</v>
      </c>
      <c r="C101" s="46">
        <v>172381.29999999996</v>
      </c>
      <c r="D101" s="45">
        <v>93403.200000000012</v>
      </c>
      <c r="E101" s="46">
        <v>717.99999999999989</v>
      </c>
      <c r="F101" s="45">
        <v>230</v>
      </c>
      <c r="G101" s="46">
        <v>31870.5</v>
      </c>
      <c r="H101" s="45">
        <v>56223.5</v>
      </c>
      <c r="I101" s="46">
        <v>10091.099999999999</v>
      </c>
      <c r="J101" s="45">
        <v>27345.300000000003</v>
      </c>
      <c r="K101" s="46">
        <v>62213.7</v>
      </c>
      <c r="L101" s="42">
        <v>134289.1</v>
      </c>
      <c r="M101" s="95">
        <v>7570.6</v>
      </c>
      <c r="N101" s="99">
        <v>32.699999999999889</v>
      </c>
      <c r="O101" s="48">
        <v>85110.6</v>
      </c>
      <c r="P101" s="44">
        <f t="shared" si="3"/>
        <v>959010.79999999981</v>
      </c>
      <c r="Q101" s="33"/>
      <c r="R101" s="33"/>
      <c r="S101" s="33"/>
      <c r="T101" s="33"/>
      <c r="V101" s="21"/>
      <c r="W101" s="21"/>
    </row>
    <row r="102" spans="1:23" s="47" customFormat="1" hidden="1" x14ac:dyDescent="0.2">
      <c r="A102" s="55" t="s">
        <v>50</v>
      </c>
      <c r="B102" s="45">
        <v>277496.50000000012</v>
      </c>
      <c r="C102" s="46">
        <v>173139</v>
      </c>
      <c r="D102" s="45">
        <v>96935.799999999959</v>
      </c>
      <c r="E102" s="46">
        <v>628.69999999999993</v>
      </c>
      <c r="F102" s="45">
        <v>230</v>
      </c>
      <c r="G102" s="46">
        <v>42523.3</v>
      </c>
      <c r="H102" s="45">
        <v>34654.6</v>
      </c>
      <c r="I102" s="46">
        <v>10053.099999999999</v>
      </c>
      <c r="J102" s="45">
        <v>25979.200000000004</v>
      </c>
      <c r="K102" s="46">
        <v>70689</v>
      </c>
      <c r="L102" s="42">
        <v>134278.39999999999</v>
      </c>
      <c r="M102" s="95">
        <v>9105</v>
      </c>
      <c r="N102" s="99">
        <v>205.89999999999975</v>
      </c>
      <c r="O102" s="48">
        <v>77035.899999999994</v>
      </c>
      <c r="P102" s="44">
        <f t="shared" si="3"/>
        <v>952954.4</v>
      </c>
      <c r="Q102" s="33"/>
      <c r="R102" s="33"/>
      <c r="S102" s="33"/>
      <c r="T102" s="33"/>
      <c r="V102" s="21"/>
      <c r="W102" s="21"/>
    </row>
    <row r="103" spans="1:23" s="47" customFormat="1" hidden="1" x14ac:dyDescent="0.2">
      <c r="A103" s="55" t="s">
        <v>51</v>
      </c>
      <c r="B103" s="45">
        <v>279081</v>
      </c>
      <c r="C103" s="46">
        <v>171321.9</v>
      </c>
      <c r="D103" s="45">
        <v>97639.900000000009</v>
      </c>
      <c r="E103" s="46">
        <v>1425.7</v>
      </c>
      <c r="F103" s="45">
        <v>1230</v>
      </c>
      <c r="G103" s="46">
        <v>52308</v>
      </c>
      <c r="H103" s="45">
        <v>32658.2</v>
      </c>
      <c r="I103" s="46">
        <v>6547.5000000000009</v>
      </c>
      <c r="J103" s="45">
        <v>22903.100000000002</v>
      </c>
      <c r="K103" s="46">
        <v>68426.7</v>
      </c>
      <c r="L103" s="42">
        <v>134269.09999999998</v>
      </c>
      <c r="M103" s="95">
        <v>11060.199999999999</v>
      </c>
      <c r="N103" s="99">
        <v>112.70000000000036</v>
      </c>
      <c r="O103" s="48">
        <v>79860.100000000006</v>
      </c>
      <c r="P103" s="44">
        <f t="shared" si="3"/>
        <v>958844.09999999974</v>
      </c>
      <c r="Q103" s="33"/>
      <c r="R103" s="33"/>
      <c r="S103" s="33"/>
      <c r="T103" s="33"/>
      <c r="V103" s="21"/>
      <c r="W103" s="21"/>
    </row>
    <row r="104" spans="1:23" s="47" customFormat="1" hidden="1" x14ac:dyDescent="0.2">
      <c r="A104" s="55" t="s">
        <v>46</v>
      </c>
      <c r="B104" s="45">
        <v>273929.89999999997</v>
      </c>
      <c r="C104" s="46">
        <v>173807.60000000003</v>
      </c>
      <c r="D104" s="45">
        <v>102015.79999999999</v>
      </c>
      <c r="E104" s="46">
        <v>1338.3</v>
      </c>
      <c r="F104" s="45">
        <v>730</v>
      </c>
      <c r="G104" s="46">
        <v>60060.100000000006</v>
      </c>
      <c r="H104" s="45">
        <v>31742.6</v>
      </c>
      <c r="I104" s="46">
        <v>7214.2000000000007</v>
      </c>
      <c r="J104" s="45">
        <v>22638.800000000003</v>
      </c>
      <c r="K104" s="46">
        <v>78012.399999999994</v>
      </c>
      <c r="L104" s="42">
        <v>134259.40000000002</v>
      </c>
      <c r="M104" s="95">
        <v>12766.1</v>
      </c>
      <c r="N104" s="99">
        <v>243.7999999999999</v>
      </c>
      <c r="O104" s="48">
        <v>83757.799999999988</v>
      </c>
      <c r="P104" s="44">
        <f t="shared" si="3"/>
        <v>982516.8</v>
      </c>
      <c r="Q104" s="33"/>
      <c r="R104" s="33"/>
      <c r="S104" s="33"/>
      <c r="T104" s="33"/>
      <c r="V104" s="21"/>
      <c r="W104" s="21"/>
    </row>
    <row r="105" spans="1:23" s="47" customFormat="1" hidden="1" x14ac:dyDescent="0.2">
      <c r="A105" s="56" t="s">
        <v>52</v>
      </c>
      <c r="B105" s="45">
        <v>279872.20000000007</v>
      </c>
      <c r="C105" s="46">
        <v>171147.59999999995</v>
      </c>
      <c r="D105" s="45">
        <v>110807.5</v>
      </c>
      <c r="E105" s="46">
        <v>1059</v>
      </c>
      <c r="F105" s="45">
        <v>730</v>
      </c>
      <c r="G105" s="46">
        <v>54159.9</v>
      </c>
      <c r="H105" s="45">
        <v>35758.100000000006</v>
      </c>
      <c r="I105" s="46">
        <v>8429</v>
      </c>
      <c r="J105" s="45">
        <v>19663.100000000002</v>
      </c>
      <c r="K105" s="46">
        <v>66663.799999999988</v>
      </c>
      <c r="L105" s="42">
        <v>145442.4</v>
      </c>
      <c r="M105" s="95">
        <v>14668</v>
      </c>
      <c r="N105" s="99">
        <v>-1331.6999999999994</v>
      </c>
      <c r="O105" s="48">
        <v>86623.4</v>
      </c>
      <c r="P105" s="44">
        <f t="shared" si="3"/>
        <v>993692.3</v>
      </c>
      <c r="Q105" s="33"/>
      <c r="R105" s="33"/>
      <c r="S105" s="33"/>
      <c r="T105" s="33"/>
      <c r="V105" s="21"/>
      <c r="W105" s="21"/>
    </row>
    <row r="106" spans="1:23" s="47" customFormat="1" hidden="1" x14ac:dyDescent="0.2">
      <c r="A106" s="57" t="s">
        <v>53</v>
      </c>
      <c r="B106" s="45">
        <v>291353.00000000006</v>
      </c>
      <c r="C106" s="46">
        <v>171850.99999999997</v>
      </c>
      <c r="D106" s="45">
        <v>122533.10000000003</v>
      </c>
      <c r="E106" s="46">
        <v>890.59999999999991</v>
      </c>
      <c r="F106" s="45">
        <v>730</v>
      </c>
      <c r="G106" s="46">
        <v>42538</v>
      </c>
      <c r="H106" s="45">
        <v>30945.599999999999</v>
      </c>
      <c r="I106" s="46">
        <v>8883.2000000000007</v>
      </c>
      <c r="J106" s="45">
        <v>17402.400000000001</v>
      </c>
      <c r="K106" s="46">
        <v>71446.5</v>
      </c>
      <c r="L106" s="42">
        <v>145432.70000000001</v>
      </c>
      <c r="M106" s="95">
        <v>16709.7</v>
      </c>
      <c r="N106" s="99">
        <v>-1151.4000000000001</v>
      </c>
      <c r="O106" s="48">
        <v>87674.1</v>
      </c>
      <c r="P106" s="44">
        <f t="shared" si="3"/>
        <v>1007238.5</v>
      </c>
      <c r="Q106" s="33"/>
      <c r="R106" s="33"/>
      <c r="S106" s="33"/>
      <c r="T106" s="33"/>
      <c r="V106" s="21"/>
      <c r="W106" s="21"/>
    </row>
    <row r="107" spans="1:23" s="47" customFormat="1" hidden="1" x14ac:dyDescent="0.2">
      <c r="A107" s="55" t="s">
        <v>54</v>
      </c>
      <c r="B107" s="45">
        <v>293980.7</v>
      </c>
      <c r="C107" s="46">
        <v>171145.4</v>
      </c>
      <c r="D107" s="45">
        <v>125493.39999999998</v>
      </c>
      <c r="E107" s="46">
        <v>898.90000000000009</v>
      </c>
      <c r="F107" s="45">
        <v>500</v>
      </c>
      <c r="G107" s="46">
        <v>29462.9</v>
      </c>
      <c r="H107" s="45">
        <v>31514.299999999996</v>
      </c>
      <c r="I107" s="46">
        <v>10100.700000000001</v>
      </c>
      <c r="J107" s="45">
        <v>14680.300000000001</v>
      </c>
      <c r="K107" s="46">
        <v>60502.900000000009</v>
      </c>
      <c r="L107" s="42">
        <v>145422.79999999999</v>
      </c>
      <c r="M107" s="95">
        <v>18133.500000000004</v>
      </c>
      <c r="N107" s="99">
        <v>-542.79999999999995</v>
      </c>
      <c r="O107" s="48">
        <v>86630.6</v>
      </c>
      <c r="P107" s="44">
        <f t="shared" si="3"/>
        <v>987923.6</v>
      </c>
      <c r="Q107" s="33"/>
      <c r="R107" s="33"/>
      <c r="S107" s="33"/>
      <c r="T107" s="33"/>
      <c r="V107" s="21"/>
      <c r="W107" s="21"/>
    </row>
    <row r="108" spans="1:23" s="47" customFormat="1" hidden="1" x14ac:dyDescent="0.2">
      <c r="A108" s="55" t="s">
        <v>55</v>
      </c>
      <c r="B108" s="45">
        <v>292793.6999999999</v>
      </c>
      <c r="C108" s="46">
        <v>175792.3</v>
      </c>
      <c r="D108" s="45">
        <v>123242.3</v>
      </c>
      <c r="E108" s="46">
        <v>1079.9000000000001</v>
      </c>
      <c r="F108" s="45">
        <v>730</v>
      </c>
      <c r="G108" s="46">
        <v>15843.4</v>
      </c>
      <c r="H108" s="45">
        <v>45900.399999999994</v>
      </c>
      <c r="I108" s="46">
        <v>8197.4</v>
      </c>
      <c r="J108" s="45">
        <v>19189.199999999997</v>
      </c>
      <c r="K108" s="46">
        <v>64818.400000000009</v>
      </c>
      <c r="L108" s="42">
        <v>145412.4</v>
      </c>
      <c r="M108" s="95">
        <v>19170</v>
      </c>
      <c r="N108" s="99">
        <v>1074.799999999997</v>
      </c>
      <c r="O108" s="48">
        <v>87690.5</v>
      </c>
      <c r="P108" s="44">
        <f t="shared" si="3"/>
        <v>1000934.7000000001</v>
      </c>
      <c r="Q108" s="33"/>
      <c r="R108" s="33"/>
      <c r="S108" s="33"/>
      <c r="T108" s="33"/>
      <c r="V108" s="21"/>
      <c r="W108" s="21"/>
    </row>
    <row r="109" spans="1:23" s="47" customFormat="1" hidden="1" x14ac:dyDescent="0.2">
      <c r="A109" s="55" t="s">
        <v>56</v>
      </c>
      <c r="B109" s="45">
        <v>293338.90000000002</v>
      </c>
      <c r="C109" s="46">
        <v>186639.59999999998</v>
      </c>
      <c r="D109" s="45">
        <v>118476.09999999999</v>
      </c>
      <c r="E109" s="46">
        <v>1863.1</v>
      </c>
      <c r="F109" s="45">
        <v>430</v>
      </c>
      <c r="G109" s="46">
        <v>9145.9</v>
      </c>
      <c r="H109" s="45">
        <v>32077.999999999996</v>
      </c>
      <c r="I109" s="46">
        <v>9095.6</v>
      </c>
      <c r="J109" s="45">
        <v>30171.7</v>
      </c>
      <c r="K109" s="46">
        <v>69376.799999999988</v>
      </c>
      <c r="L109" s="42">
        <v>145402</v>
      </c>
      <c r="M109" s="95">
        <v>20646.900000000001</v>
      </c>
      <c r="N109" s="99">
        <v>4053.7999999999965</v>
      </c>
      <c r="O109" s="48">
        <v>88704.9</v>
      </c>
      <c r="P109" s="44">
        <f t="shared" si="3"/>
        <v>1009423.3</v>
      </c>
      <c r="Q109" s="33"/>
      <c r="R109" s="33"/>
      <c r="S109" s="33"/>
      <c r="T109" s="33"/>
      <c r="V109" s="21"/>
      <c r="W109" s="21"/>
    </row>
    <row r="110" spans="1:23" s="47" customFormat="1" hidden="1" x14ac:dyDescent="0.2">
      <c r="A110" s="55" t="s">
        <v>45</v>
      </c>
      <c r="B110" s="45">
        <v>315397.3000000001</v>
      </c>
      <c r="C110" s="46">
        <v>194074.10000000003</v>
      </c>
      <c r="D110" s="45">
        <v>126093.49999999999</v>
      </c>
      <c r="E110" s="46">
        <v>1801.0000000000002</v>
      </c>
      <c r="F110" s="45">
        <v>430</v>
      </c>
      <c r="G110" s="92" t="s">
        <v>3</v>
      </c>
      <c r="H110" s="45">
        <v>33508</v>
      </c>
      <c r="I110" s="46">
        <v>9660.5</v>
      </c>
      <c r="J110" s="45">
        <v>32270.799999999999</v>
      </c>
      <c r="K110" s="46">
        <v>62971.7</v>
      </c>
      <c r="L110" s="42">
        <v>162470.70000000001</v>
      </c>
      <c r="M110" s="95">
        <v>20813.100000000002</v>
      </c>
      <c r="N110" s="99">
        <v>4358.7000000000007</v>
      </c>
      <c r="O110" s="48">
        <v>80834.7</v>
      </c>
      <c r="P110" s="44">
        <f t="shared" si="3"/>
        <v>1044684.1</v>
      </c>
      <c r="Q110" s="33"/>
      <c r="R110" s="33"/>
      <c r="S110" s="33"/>
      <c r="T110" s="33"/>
      <c r="V110" s="21"/>
      <c r="W110" s="21"/>
    </row>
    <row r="111" spans="1:23" s="47" customFormat="1" hidden="1" x14ac:dyDescent="0.2">
      <c r="A111" s="57"/>
      <c r="B111" s="45"/>
      <c r="C111" s="46"/>
      <c r="D111" s="45"/>
      <c r="E111" s="46"/>
      <c r="F111" s="45"/>
      <c r="G111" s="92"/>
      <c r="H111" s="45"/>
      <c r="I111" s="46"/>
      <c r="J111" s="45"/>
      <c r="K111" s="46"/>
      <c r="L111" s="42"/>
      <c r="M111" s="95"/>
      <c r="N111" s="99"/>
      <c r="O111" s="48"/>
      <c r="P111" s="44"/>
      <c r="Q111" s="33"/>
      <c r="R111" s="33"/>
      <c r="S111" s="33"/>
      <c r="T111" s="33"/>
      <c r="V111" s="21"/>
      <c r="W111" s="21"/>
    </row>
    <row r="112" spans="1:23" hidden="1" x14ac:dyDescent="0.2">
      <c r="A112" s="55" t="s">
        <v>61</v>
      </c>
      <c r="B112" s="42">
        <v>314355.3</v>
      </c>
      <c r="C112" s="43">
        <v>196412.90000000002</v>
      </c>
      <c r="D112" s="42">
        <v>131988.90000000002</v>
      </c>
      <c r="E112" s="43">
        <v>1106.8000000000002</v>
      </c>
      <c r="F112" s="42">
        <v>1430</v>
      </c>
      <c r="G112" s="43">
        <v>586.9</v>
      </c>
      <c r="H112" s="42">
        <v>34056</v>
      </c>
      <c r="I112" s="43">
        <v>13243.399999999998</v>
      </c>
      <c r="J112" s="42">
        <v>31935.7</v>
      </c>
      <c r="K112" s="43">
        <v>68564.5</v>
      </c>
      <c r="L112" s="42">
        <v>162460.1</v>
      </c>
      <c r="M112" s="95">
        <v>22701.600000000002</v>
      </c>
      <c r="N112" s="99">
        <v>-295.80000000000069</v>
      </c>
      <c r="O112" s="48">
        <v>90663.1</v>
      </c>
      <c r="P112" s="44">
        <f t="shared" si="3"/>
        <v>1069209.4000000001</v>
      </c>
      <c r="Q112" s="33"/>
      <c r="R112" s="33"/>
      <c r="S112" s="33"/>
      <c r="T112" s="33"/>
    </row>
    <row r="113" spans="1:20" hidden="1" x14ac:dyDescent="0.2">
      <c r="A113" s="55" t="s">
        <v>69</v>
      </c>
      <c r="B113" s="42">
        <v>320530.79999999993</v>
      </c>
      <c r="C113" s="43">
        <v>193232.80000000002</v>
      </c>
      <c r="D113" s="42">
        <v>146959.40000000002</v>
      </c>
      <c r="E113" s="43">
        <v>1023.4000000000001</v>
      </c>
      <c r="F113" s="42">
        <v>1430</v>
      </c>
      <c r="G113" s="43">
        <v>11950.7</v>
      </c>
      <c r="H113" s="42">
        <v>26800.900000000009</v>
      </c>
      <c r="I113" s="43">
        <v>13352.4</v>
      </c>
      <c r="J113" s="42">
        <v>31572.800000000003</v>
      </c>
      <c r="K113" s="43">
        <v>69500.799999999988</v>
      </c>
      <c r="L113" s="42">
        <v>162448.9</v>
      </c>
      <c r="M113" s="48">
        <v>24801.3</v>
      </c>
      <c r="N113" s="99">
        <v>3838.2999999999975</v>
      </c>
      <c r="O113" s="48">
        <v>97240.3</v>
      </c>
      <c r="P113" s="44">
        <f t="shared" si="3"/>
        <v>1104682.8</v>
      </c>
      <c r="Q113" s="33"/>
      <c r="R113" s="33"/>
      <c r="S113" s="33"/>
      <c r="T113" s="33"/>
    </row>
    <row r="114" spans="1:20" hidden="1" x14ac:dyDescent="0.2">
      <c r="A114" s="55" t="s">
        <v>77</v>
      </c>
      <c r="B114" s="42">
        <v>322161.30000000005</v>
      </c>
      <c r="C114" s="43">
        <v>200069.49999999997</v>
      </c>
      <c r="D114" s="42">
        <v>138016.40000000002</v>
      </c>
      <c r="E114" s="43">
        <v>1118.7000000000003</v>
      </c>
      <c r="F114" s="42">
        <v>1430</v>
      </c>
      <c r="G114" s="43">
        <v>7591.1</v>
      </c>
      <c r="H114" s="42">
        <v>48811.099999999991</v>
      </c>
      <c r="I114" s="43">
        <v>11006.099999999999</v>
      </c>
      <c r="J114" s="42">
        <v>28700.899999999998</v>
      </c>
      <c r="K114" s="43">
        <v>64129.799999999996</v>
      </c>
      <c r="L114" s="42">
        <v>172005</v>
      </c>
      <c r="M114" s="48">
        <v>8212.7000000000007</v>
      </c>
      <c r="N114" s="99">
        <v>2197.2999999999988</v>
      </c>
      <c r="O114" s="48">
        <v>93667.9</v>
      </c>
      <c r="P114" s="44">
        <f t="shared" si="3"/>
        <v>1099117.8</v>
      </c>
      <c r="Q114" s="33"/>
      <c r="R114" s="33"/>
      <c r="S114" s="33"/>
      <c r="T114" s="33"/>
    </row>
    <row r="115" spans="1:20" hidden="1" x14ac:dyDescent="0.2">
      <c r="A115" s="55" t="s">
        <v>88</v>
      </c>
      <c r="B115" s="42">
        <v>325202.30000000005</v>
      </c>
      <c r="C115" s="43">
        <v>211141.69999999995</v>
      </c>
      <c r="D115" s="42">
        <v>144498.9</v>
      </c>
      <c r="E115" s="43">
        <v>1135.3</v>
      </c>
      <c r="F115" s="42">
        <v>430</v>
      </c>
      <c r="G115" s="43">
        <v>710.4</v>
      </c>
      <c r="H115" s="42">
        <v>31130.799999999999</v>
      </c>
      <c r="I115" s="43">
        <v>11371.4</v>
      </c>
      <c r="J115" s="42">
        <v>24906.100000000002</v>
      </c>
      <c r="K115" s="43">
        <v>57243.500000000007</v>
      </c>
      <c r="L115" s="42">
        <v>171993.90000000002</v>
      </c>
      <c r="M115" s="48">
        <v>10963.900000000001</v>
      </c>
      <c r="N115" s="99">
        <v>148.49999999999932</v>
      </c>
      <c r="O115" s="48">
        <v>89461</v>
      </c>
      <c r="P115" s="44">
        <f t="shared" si="3"/>
        <v>1080337.7000000002</v>
      </c>
      <c r="Q115" s="33"/>
      <c r="R115" s="33"/>
      <c r="S115" s="33"/>
      <c r="T115" s="33"/>
    </row>
    <row r="116" spans="1:20" hidden="1" x14ac:dyDescent="0.2">
      <c r="A116" s="55" t="s">
        <v>90</v>
      </c>
      <c r="B116" s="42">
        <v>330456.99999999988</v>
      </c>
      <c r="C116" s="43">
        <v>211021.00000000003</v>
      </c>
      <c r="D116" s="42">
        <v>138074.9</v>
      </c>
      <c r="E116" s="43">
        <v>1457.7</v>
      </c>
      <c r="F116" s="42">
        <v>430</v>
      </c>
      <c r="G116" s="92" t="s">
        <v>3</v>
      </c>
      <c r="H116" s="42">
        <v>34143.800000000003</v>
      </c>
      <c r="I116" s="43">
        <v>9097.2000000000007</v>
      </c>
      <c r="J116" s="42">
        <v>23383.099999999995</v>
      </c>
      <c r="K116" s="43">
        <v>62889.8</v>
      </c>
      <c r="L116" s="42">
        <v>171985</v>
      </c>
      <c r="M116" s="48">
        <v>13824.600000000002</v>
      </c>
      <c r="N116" s="99">
        <v>731.39999999999782</v>
      </c>
      <c r="O116" s="48">
        <v>92866.299999999988</v>
      </c>
      <c r="P116" s="44">
        <f t="shared" si="3"/>
        <v>1090361.7999999998</v>
      </c>
      <c r="Q116" s="33"/>
      <c r="R116" s="33"/>
      <c r="S116" s="33"/>
      <c r="T116" s="33"/>
    </row>
    <row r="117" spans="1:20" hidden="1" x14ac:dyDescent="0.2">
      <c r="A117" s="55" t="s">
        <v>92</v>
      </c>
      <c r="B117" s="42">
        <v>324693.09999999998</v>
      </c>
      <c r="C117" s="43">
        <v>207216.19999999998</v>
      </c>
      <c r="D117" s="42">
        <v>135180.99999999994</v>
      </c>
      <c r="E117" s="43">
        <v>1608.3</v>
      </c>
      <c r="F117" s="42">
        <v>1904.8</v>
      </c>
      <c r="G117" s="92" t="s">
        <v>3</v>
      </c>
      <c r="H117" s="42">
        <v>47608.2</v>
      </c>
      <c r="I117" s="43">
        <v>8442.7999999999993</v>
      </c>
      <c r="J117" s="42">
        <v>22174.100000000002</v>
      </c>
      <c r="K117" s="43">
        <v>64040.999999999993</v>
      </c>
      <c r="L117" s="42">
        <v>233211.80000000002</v>
      </c>
      <c r="M117" s="48">
        <v>15155.099999999999</v>
      </c>
      <c r="N117" s="99">
        <v>-5013.2</v>
      </c>
      <c r="O117" s="48">
        <v>37072.399999999994</v>
      </c>
      <c r="P117" s="44">
        <f t="shared" si="3"/>
        <v>1093295.5999999999</v>
      </c>
      <c r="Q117" s="33"/>
      <c r="R117" s="33"/>
      <c r="S117" s="33"/>
      <c r="T117" s="33"/>
    </row>
    <row r="118" spans="1:20" hidden="1" x14ac:dyDescent="0.2">
      <c r="A118" s="55" t="s">
        <v>93</v>
      </c>
      <c r="B118" s="42">
        <v>329900.59999999998</v>
      </c>
      <c r="C118" s="43">
        <v>202877.4</v>
      </c>
      <c r="D118" s="42">
        <v>139475.70000000004</v>
      </c>
      <c r="E118" s="43">
        <v>1271.1000000000001</v>
      </c>
      <c r="F118" s="42">
        <v>1930</v>
      </c>
      <c r="G118" s="92" t="s">
        <v>3</v>
      </c>
      <c r="H118" s="42">
        <v>37699.39999999998</v>
      </c>
      <c r="I118" s="43">
        <v>9384</v>
      </c>
      <c r="J118" s="42">
        <v>27952.999999999996</v>
      </c>
      <c r="K118" s="43">
        <v>93196.400000000023</v>
      </c>
      <c r="L118" s="42">
        <v>173123.90000000002</v>
      </c>
      <c r="M118" s="48">
        <v>16218.6</v>
      </c>
      <c r="N118" s="99">
        <v>3331.7999999999997</v>
      </c>
      <c r="O118" s="48">
        <v>111777.9</v>
      </c>
      <c r="P118" s="44">
        <f t="shared" si="3"/>
        <v>1148139.8</v>
      </c>
      <c r="Q118" s="33"/>
      <c r="R118" s="33"/>
      <c r="S118" s="33"/>
      <c r="T118" s="33"/>
    </row>
    <row r="119" spans="1:20" hidden="1" x14ac:dyDescent="0.2">
      <c r="A119" s="55" t="s">
        <v>94</v>
      </c>
      <c r="B119" s="42">
        <v>340755.1</v>
      </c>
      <c r="C119" s="43">
        <v>209466.10000000006</v>
      </c>
      <c r="D119" s="42">
        <v>133853.5</v>
      </c>
      <c r="E119" s="43">
        <v>821.90000000000009</v>
      </c>
      <c r="F119" s="42">
        <v>430</v>
      </c>
      <c r="G119" s="92" t="s">
        <v>3</v>
      </c>
      <c r="H119" s="42">
        <v>36248.800000000003</v>
      </c>
      <c r="I119" s="43">
        <v>8481.4</v>
      </c>
      <c r="J119" s="42">
        <v>26682.2</v>
      </c>
      <c r="K119" s="43">
        <v>97191.5</v>
      </c>
      <c r="L119" s="42">
        <v>173114.40000000002</v>
      </c>
      <c r="M119" s="48">
        <v>18653.5</v>
      </c>
      <c r="N119" s="99">
        <v>-700.30000000000041</v>
      </c>
      <c r="O119" s="48">
        <v>117384.1</v>
      </c>
      <c r="P119" s="44">
        <f t="shared" si="3"/>
        <v>1162382.2000000002</v>
      </c>
      <c r="Q119" s="33"/>
      <c r="R119" s="33"/>
      <c r="S119" s="33"/>
      <c r="T119" s="33"/>
    </row>
    <row r="120" spans="1:20" hidden="1" x14ac:dyDescent="0.2">
      <c r="A120" s="55" t="s">
        <v>95</v>
      </c>
      <c r="B120" s="42">
        <v>343422.09999999992</v>
      </c>
      <c r="C120" s="43">
        <v>216634.59999999998</v>
      </c>
      <c r="D120" s="42">
        <v>132907.30000000005</v>
      </c>
      <c r="E120" s="43">
        <v>1411.8</v>
      </c>
      <c r="F120" s="42">
        <v>200</v>
      </c>
      <c r="G120" s="92" t="s">
        <v>3</v>
      </c>
      <c r="H120" s="42">
        <v>47008.600000000006</v>
      </c>
      <c r="I120" s="43">
        <v>8065.6</v>
      </c>
      <c r="J120" s="42">
        <v>23839.200000000001</v>
      </c>
      <c r="K120" s="43">
        <v>97088.099999999991</v>
      </c>
      <c r="L120" s="42">
        <v>173085.40000000002</v>
      </c>
      <c r="M120" s="48">
        <v>20594.5</v>
      </c>
      <c r="N120" s="99">
        <v>107.89999999999984</v>
      </c>
      <c r="O120" s="48">
        <v>118946.9</v>
      </c>
      <c r="P120" s="44">
        <f t="shared" si="3"/>
        <v>1183311.9999999998</v>
      </c>
      <c r="Q120" s="33"/>
      <c r="R120" s="33"/>
      <c r="S120" s="33"/>
      <c r="T120" s="33"/>
    </row>
    <row r="121" spans="1:20" hidden="1" x14ac:dyDescent="0.2">
      <c r="A121" s="55" t="s">
        <v>97</v>
      </c>
      <c r="B121" s="42">
        <v>350118.8</v>
      </c>
      <c r="C121" s="43">
        <v>215374.80000000002</v>
      </c>
      <c r="D121" s="42">
        <v>135931.29999999999</v>
      </c>
      <c r="E121" s="43">
        <v>1657.5000000000002</v>
      </c>
      <c r="F121" s="42">
        <v>430</v>
      </c>
      <c r="G121" s="92" t="s">
        <v>3</v>
      </c>
      <c r="H121" s="42">
        <v>29615.399999999998</v>
      </c>
      <c r="I121" s="43">
        <v>9945</v>
      </c>
      <c r="J121" s="42">
        <v>26203.8</v>
      </c>
      <c r="K121" s="43">
        <v>93801</v>
      </c>
      <c r="L121" s="42">
        <v>173073.8</v>
      </c>
      <c r="M121" s="48">
        <v>22401.499999999996</v>
      </c>
      <c r="N121" s="99">
        <v>-731.69999999999845</v>
      </c>
      <c r="O121" s="48">
        <v>121245.40000000001</v>
      </c>
      <c r="P121" s="44">
        <f t="shared" si="3"/>
        <v>1179066.5999999999</v>
      </c>
      <c r="Q121" s="33"/>
      <c r="R121" s="33"/>
      <c r="S121" s="33"/>
      <c r="T121" s="33"/>
    </row>
    <row r="122" spans="1:20" hidden="1" x14ac:dyDescent="0.2">
      <c r="A122" s="55" t="s">
        <v>99</v>
      </c>
      <c r="B122" s="42">
        <v>343609.69999999995</v>
      </c>
      <c r="C122" s="43">
        <v>223458.1</v>
      </c>
      <c r="D122" s="42">
        <v>132448.29999999999</v>
      </c>
      <c r="E122" s="43">
        <v>1156.8</v>
      </c>
      <c r="F122" s="42">
        <v>430</v>
      </c>
      <c r="G122" s="92" t="s">
        <v>3</v>
      </c>
      <c r="H122" s="42">
        <v>38063.500000000015</v>
      </c>
      <c r="I122" s="43">
        <v>10511.900000000001</v>
      </c>
      <c r="J122" s="42">
        <v>24332.000000000004</v>
      </c>
      <c r="K122" s="43">
        <v>94747.3</v>
      </c>
      <c r="L122" s="42">
        <v>175995.2</v>
      </c>
      <c r="M122" s="48">
        <v>24831.399999999998</v>
      </c>
      <c r="N122" s="99">
        <v>308.69999999999817</v>
      </c>
      <c r="O122" s="48">
        <v>118470.09999999999</v>
      </c>
      <c r="P122" s="44">
        <f t="shared" si="3"/>
        <v>1188363</v>
      </c>
      <c r="Q122" s="33"/>
      <c r="R122" s="33"/>
      <c r="S122" s="33"/>
      <c r="T122" s="33"/>
    </row>
    <row r="123" spans="1:20" hidden="1" x14ac:dyDescent="0.2">
      <c r="A123" s="55" t="s">
        <v>101</v>
      </c>
      <c r="B123" s="42">
        <v>360175.89999999991</v>
      </c>
      <c r="C123" s="43">
        <v>225312.40000000002</v>
      </c>
      <c r="D123" s="42">
        <v>134561.49999999997</v>
      </c>
      <c r="E123" s="43">
        <v>1446.5</v>
      </c>
      <c r="F123" s="42">
        <v>430</v>
      </c>
      <c r="G123" s="92" t="s">
        <v>3</v>
      </c>
      <c r="H123" s="42">
        <v>51086.3</v>
      </c>
      <c r="I123" s="43">
        <v>9056.5</v>
      </c>
      <c r="J123" s="42">
        <v>22059.600000000002</v>
      </c>
      <c r="K123" s="43">
        <v>89788.900000000009</v>
      </c>
      <c r="L123" s="42">
        <v>185759.59999999998</v>
      </c>
      <c r="M123" s="48">
        <v>21766.899999999998</v>
      </c>
      <c r="N123" s="99">
        <v>-40.700000000000188</v>
      </c>
      <c r="O123" s="48">
        <v>116613.4</v>
      </c>
      <c r="P123" s="44">
        <f t="shared" si="3"/>
        <v>1218016.7999999998</v>
      </c>
      <c r="Q123" s="33"/>
      <c r="R123" s="33"/>
      <c r="S123" s="33"/>
      <c r="T123" s="33"/>
    </row>
    <row r="124" spans="1:20" hidden="1" x14ac:dyDescent="0.2">
      <c r="A124" s="57"/>
      <c r="B124" s="42"/>
      <c r="C124" s="43"/>
      <c r="D124" s="42"/>
      <c r="E124" s="43"/>
      <c r="F124" s="42"/>
      <c r="G124" s="92"/>
      <c r="H124" s="42"/>
      <c r="I124" s="43"/>
      <c r="J124" s="42"/>
      <c r="K124" s="43"/>
      <c r="L124" s="42"/>
      <c r="M124" s="95"/>
      <c r="N124" s="99"/>
      <c r="O124" s="48"/>
      <c r="P124" s="44"/>
      <c r="Q124" s="33"/>
      <c r="R124" s="33"/>
      <c r="S124" s="33"/>
      <c r="T124" s="33"/>
    </row>
    <row r="125" spans="1:20" hidden="1" x14ac:dyDescent="0.2">
      <c r="A125" s="55" t="s">
        <v>83</v>
      </c>
      <c r="B125" s="42">
        <v>344496.59999999992</v>
      </c>
      <c r="C125" s="43">
        <v>231102</v>
      </c>
      <c r="D125" s="42">
        <v>134492.79999999999</v>
      </c>
      <c r="E125" s="43">
        <v>979</v>
      </c>
      <c r="F125" s="42">
        <v>430</v>
      </c>
      <c r="G125" s="92" t="s">
        <v>3</v>
      </c>
      <c r="H125" s="42">
        <v>36549.5</v>
      </c>
      <c r="I125" s="43">
        <v>10394.200000000001</v>
      </c>
      <c r="J125" s="42">
        <v>26613.999999999996</v>
      </c>
      <c r="K125" s="43">
        <v>99764.6</v>
      </c>
      <c r="L125" s="42">
        <v>185457.7</v>
      </c>
      <c r="M125" s="48">
        <v>23367.8</v>
      </c>
      <c r="N125" s="99">
        <v>-367.70000000000181</v>
      </c>
      <c r="O125" s="48">
        <v>120915.7</v>
      </c>
      <c r="P125" s="44">
        <f t="shared" si="3"/>
        <v>1214196.2</v>
      </c>
      <c r="Q125" s="33"/>
      <c r="R125" s="33"/>
      <c r="S125" s="33"/>
      <c r="T125" s="33"/>
    </row>
    <row r="126" spans="1:20" hidden="1" x14ac:dyDescent="0.2">
      <c r="A126" s="55" t="s">
        <v>117</v>
      </c>
      <c r="B126" s="42">
        <v>331084.7</v>
      </c>
      <c r="C126" s="43">
        <v>244551.5</v>
      </c>
      <c r="D126" s="42">
        <v>147292.29999999999</v>
      </c>
      <c r="E126" s="43">
        <v>836.4</v>
      </c>
      <c r="F126" s="42">
        <v>430</v>
      </c>
      <c r="G126" s="92">
        <v>100.9</v>
      </c>
      <c r="H126" s="42">
        <v>36951.1</v>
      </c>
      <c r="I126" s="43">
        <v>7641.8</v>
      </c>
      <c r="J126" s="42">
        <v>36611.300000000003</v>
      </c>
      <c r="K126" s="43">
        <v>92448.2</v>
      </c>
      <c r="L126" s="42">
        <v>185426.9</v>
      </c>
      <c r="M126" s="48">
        <v>24102</v>
      </c>
      <c r="N126" s="99">
        <v>6559</v>
      </c>
      <c r="O126" s="48">
        <v>123613.7</v>
      </c>
      <c r="P126" s="44">
        <f>SUM(B126:O126)</f>
        <v>1237649.8</v>
      </c>
      <c r="Q126" s="33"/>
      <c r="R126" s="33"/>
      <c r="S126" s="33"/>
      <c r="T126" s="33"/>
    </row>
    <row r="127" spans="1:20" hidden="1" x14ac:dyDescent="0.2">
      <c r="A127" s="55" t="s">
        <v>119</v>
      </c>
      <c r="B127" s="4">
        <v>346196.9</v>
      </c>
      <c r="C127" s="2">
        <v>245102.8</v>
      </c>
      <c r="D127" s="4">
        <v>149514.79999999999</v>
      </c>
      <c r="E127" s="43">
        <v>1164.5999999999999</v>
      </c>
      <c r="F127" s="42">
        <v>430</v>
      </c>
      <c r="G127" s="43" t="s">
        <v>3</v>
      </c>
      <c r="H127" s="4">
        <v>44576.7</v>
      </c>
      <c r="I127" s="43">
        <v>7987.7</v>
      </c>
      <c r="J127" s="42">
        <v>28923.4</v>
      </c>
      <c r="K127" s="43">
        <v>100768.8</v>
      </c>
      <c r="L127" s="42">
        <v>189667.8</v>
      </c>
      <c r="M127" s="48">
        <v>16378.5</v>
      </c>
      <c r="N127" s="101">
        <v>-3003.7999999999997</v>
      </c>
      <c r="O127" s="48">
        <v>116934.9</v>
      </c>
      <c r="P127" s="44">
        <v>1244643.0999999999</v>
      </c>
      <c r="Q127" s="33"/>
      <c r="R127" s="33"/>
      <c r="S127" s="33"/>
      <c r="T127" s="33"/>
    </row>
    <row r="128" spans="1:20" ht="15.75" hidden="1" x14ac:dyDescent="0.25">
      <c r="A128" s="55" t="s">
        <v>123</v>
      </c>
      <c r="B128" s="4">
        <v>358041.9</v>
      </c>
      <c r="C128" s="2">
        <v>248495</v>
      </c>
      <c r="D128" s="4">
        <v>162015.79999999999</v>
      </c>
      <c r="E128" s="2">
        <v>1392.1</v>
      </c>
      <c r="F128" s="4">
        <v>430</v>
      </c>
      <c r="G128" s="2" t="s">
        <v>3</v>
      </c>
      <c r="H128" s="4">
        <v>37820.6</v>
      </c>
      <c r="I128" s="2">
        <v>7465.8</v>
      </c>
      <c r="J128" s="4">
        <v>23495.599999999999</v>
      </c>
      <c r="K128" s="2">
        <v>107327.7</v>
      </c>
      <c r="L128" s="42">
        <v>190120.8</v>
      </c>
      <c r="M128" s="48">
        <v>15472.3</v>
      </c>
      <c r="N128" s="101">
        <v>938.99999999999966</v>
      </c>
      <c r="O128" s="48">
        <v>120858.1</v>
      </c>
      <c r="P128" s="4">
        <v>1273874.7</v>
      </c>
      <c r="Q128" s="58"/>
      <c r="R128" s="58"/>
      <c r="S128" s="58"/>
      <c r="T128" s="58"/>
    </row>
    <row r="129" spans="1:20" ht="15.75" hidden="1" x14ac:dyDescent="0.25">
      <c r="A129" s="55" t="s">
        <v>126</v>
      </c>
      <c r="B129" s="4">
        <v>357861.7</v>
      </c>
      <c r="C129" s="2">
        <v>249050.69999999998</v>
      </c>
      <c r="D129" s="4">
        <v>147762.20000000001</v>
      </c>
      <c r="E129" s="2">
        <v>1045</v>
      </c>
      <c r="F129" s="4">
        <v>480</v>
      </c>
      <c r="G129" s="2">
        <v>24.3</v>
      </c>
      <c r="H129" s="4">
        <v>36232.400000000001</v>
      </c>
      <c r="I129" s="2">
        <v>6780.4</v>
      </c>
      <c r="J129" s="4">
        <v>25618.3</v>
      </c>
      <c r="K129" s="2">
        <v>101540.2</v>
      </c>
      <c r="L129" s="42">
        <v>190121.30000000002</v>
      </c>
      <c r="M129" s="48">
        <v>17198.5</v>
      </c>
      <c r="N129" s="101">
        <v>-1872.5000000000005</v>
      </c>
      <c r="O129" s="48">
        <v>124103.5</v>
      </c>
      <c r="P129" s="4">
        <v>1255946</v>
      </c>
      <c r="Q129" s="59"/>
      <c r="R129" s="59"/>
      <c r="S129" s="59"/>
      <c r="T129" s="59"/>
    </row>
    <row r="130" spans="1:20" ht="15.75" hidden="1" x14ac:dyDescent="0.25">
      <c r="A130" s="55" t="s">
        <v>128</v>
      </c>
      <c r="B130" s="4">
        <v>376790.5</v>
      </c>
      <c r="C130" s="2">
        <v>245749.99999999997</v>
      </c>
      <c r="D130" s="4">
        <v>145441.79999999999</v>
      </c>
      <c r="E130" s="2">
        <v>1983.8</v>
      </c>
      <c r="F130" s="4">
        <v>250</v>
      </c>
      <c r="G130" s="77" t="s">
        <v>3</v>
      </c>
      <c r="H130" s="4">
        <v>47204.4</v>
      </c>
      <c r="I130" s="2">
        <v>8690.2999999999993</v>
      </c>
      <c r="J130" s="4">
        <v>19697.099999999999</v>
      </c>
      <c r="K130" s="2">
        <v>102707.5</v>
      </c>
      <c r="L130" s="42">
        <v>193171.39999999997</v>
      </c>
      <c r="M130" s="48">
        <v>16946.7</v>
      </c>
      <c r="N130" s="101">
        <v>-3731.8</v>
      </c>
      <c r="O130" s="48">
        <v>127374.9</v>
      </c>
      <c r="P130" s="4">
        <v>1282276.5999999999</v>
      </c>
      <c r="Q130" s="60"/>
      <c r="R130" s="60"/>
      <c r="S130" s="60"/>
      <c r="T130" s="60"/>
    </row>
    <row r="131" spans="1:20" ht="15.75" hidden="1" x14ac:dyDescent="0.25">
      <c r="A131" s="56" t="s">
        <v>129</v>
      </c>
      <c r="B131" s="4">
        <v>377981.3</v>
      </c>
      <c r="C131" s="2">
        <v>254265.7</v>
      </c>
      <c r="D131" s="4">
        <v>167466.6</v>
      </c>
      <c r="E131" s="2">
        <v>1297.8</v>
      </c>
      <c r="F131" s="4">
        <v>280</v>
      </c>
      <c r="G131" s="77" t="s">
        <v>3</v>
      </c>
      <c r="H131" s="4">
        <v>42575.700000000004</v>
      </c>
      <c r="I131" s="2">
        <v>9695.1</v>
      </c>
      <c r="J131" s="4">
        <v>21321.7</v>
      </c>
      <c r="K131" s="2">
        <v>108565.8</v>
      </c>
      <c r="L131" s="42">
        <v>193278.2</v>
      </c>
      <c r="M131" s="48">
        <v>18872.8</v>
      </c>
      <c r="N131" s="100" t="s">
        <v>63</v>
      </c>
      <c r="O131" s="48">
        <v>130648.79999999999</v>
      </c>
      <c r="P131" s="4">
        <v>1321531.9999999998</v>
      </c>
      <c r="Q131" s="61"/>
      <c r="R131" s="61"/>
      <c r="S131" s="61"/>
      <c r="T131" s="61"/>
    </row>
    <row r="132" spans="1:20" ht="15.75" hidden="1" x14ac:dyDescent="0.25">
      <c r="A132" s="57" t="s">
        <v>132</v>
      </c>
      <c r="B132" s="4">
        <v>384305.89999999997</v>
      </c>
      <c r="C132" s="2">
        <v>253518.1</v>
      </c>
      <c r="D132" s="4">
        <v>159011.4</v>
      </c>
      <c r="E132" s="2">
        <v>1441.4</v>
      </c>
      <c r="F132" s="4">
        <v>280</v>
      </c>
      <c r="G132" s="77" t="s">
        <v>3</v>
      </c>
      <c r="H132" s="4">
        <v>43531.9</v>
      </c>
      <c r="I132" s="2">
        <v>6237.9</v>
      </c>
      <c r="J132" s="4">
        <v>15180.1</v>
      </c>
      <c r="K132" s="2">
        <v>125445.1</v>
      </c>
      <c r="L132" s="42">
        <v>193266.9</v>
      </c>
      <c r="M132" s="2">
        <v>21790.5</v>
      </c>
      <c r="N132" s="100" t="s">
        <v>64</v>
      </c>
      <c r="O132" s="48">
        <v>129298.2</v>
      </c>
      <c r="P132" s="4">
        <v>1328505.2999999998</v>
      </c>
      <c r="Q132" s="62"/>
      <c r="R132" s="62"/>
      <c r="S132" s="62"/>
      <c r="T132" s="62"/>
    </row>
    <row r="133" spans="1:20" ht="15.75" hidden="1" x14ac:dyDescent="0.25">
      <c r="A133" s="55" t="s">
        <v>81</v>
      </c>
      <c r="B133" s="4">
        <v>379036.2</v>
      </c>
      <c r="C133" s="2">
        <v>240115.10000000003</v>
      </c>
      <c r="D133" s="4">
        <v>148158.5</v>
      </c>
      <c r="E133" s="2">
        <v>2127.3000000000002</v>
      </c>
      <c r="F133" s="4">
        <v>230</v>
      </c>
      <c r="G133" s="77" t="s">
        <v>3</v>
      </c>
      <c r="H133" s="4">
        <v>52447.200000000004</v>
      </c>
      <c r="I133" s="2">
        <v>9825.5</v>
      </c>
      <c r="J133" s="4">
        <v>14050.2</v>
      </c>
      <c r="K133" s="2">
        <v>123903.5</v>
      </c>
      <c r="L133" s="42">
        <v>193246.4</v>
      </c>
      <c r="M133" s="2">
        <v>23804.1</v>
      </c>
      <c r="N133" s="100" t="s">
        <v>65</v>
      </c>
      <c r="O133" s="48">
        <v>129730.4</v>
      </c>
      <c r="P133" s="4">
        <v>1310451.8</v>
      </c>
      <c r="Q133" s="63"/>
      <c r="R133" s="63"/>
      <c r="S133" s="63"/>
      <c r="T133" s="63"/>
    </row>
    <row r="134" spans="1:20" ht="15.75" hidden="1" x14ac:dyDescent="0.25">
      <c r="A134" s="55" t="s">
        <v>134</v>
      </c>
      <c r="B134" s="4">
        <v>408984.8</v>
      </c>
      <c r="C134" s="2">
        <v>240428.7</v>
      </c>
      <c r="D134" s="4">
        <v>154115.9</v>
      </c>
      <c r="E134" s="2">
        <v>2114.6</v>
      </c>
      <c r="F134" s="4">
        <v>230</v>
      </c>
      <c r="G134" s="77" t="s">
        <v>3</v>
      </c>
      <c r="H134" s="4">
        <v>40929.5</v>
      </c>
      <c r="I134" s="2">
        <v>11710.6</v>
      </c>
      <c r="J134" s="4">
        <v>16765.2</v>
      </c>
      <c r="K134" s="2">
        <v>126249.4</v>
      </c>
      <c r="L134" s="42">
        <v>195355.2</v>
      </c>
      <c r="M134" s="2">
        <v>25230</v>
      </c>
      <c r="N134" s="102">
        <v>-5464.9000000000005</v>
      </c>
      <c r="O134" s="48">
        <v>131705</v>
      </c>
      <c r="P134" s="4">
        <v>1348354.0000000002</v>
      </c>
      <c r="Q134" s="63"/>
      <c r="R134" s="63"/>
      <c r="S134" s="63"/>
      <c r="T134" s="63"/>
    </row>
    <row r="135" spans="1:20" ht="15.75" hidden="1" x14ac:dyDescent="0.25">
      <c r="A135" s="55" t="s">
        <v>135</v>
      </c>
      <c r="B135" s="4">
        <v>396016.9</v>
      </c>
      <c r="C135" s="2">
        <v>240056.8</v>
      </c>
      <c r="D135" s="4">
        <v>145251.5</v>
      </c>
      <c r="E135" s="2">
        <v>2101.8000000000002</v>
      </c>
      <c r="F135" s="4">
        <v>230</v>
      </c>
      <c r="G135" s="77">
        <v>1537.5</v>
      </c>
      <c r="H135" s="4">
        <v>44767.199999999997</v>
      </c>
      <c r="I135" s="2">
        <v>10074.700000000001</v>
      </c>
      <c r="J135" s="4">
        <v>15167.6</v>
      </c>
      <c r="K135" s="2">
        <v>119264.9</v>
      </c>
      <c r="L135" s="42">
        <v>196825.8</v>
      </c>
      <c r="M135" s="2">
        <v>27592.400000000001</v>
      </c>
      <c r="N135" s="102">
        <f>-4000.8-1537.5</f>
        <v>-5538.3</v>
      </c>
      <c r="O135" s="48">
        <v>132106.20000000001</v>
      </c>
      <c r="P135" s="4">
        <v>1325455</v>
      </c>
      <c r="Q135" s="63"/>
      <c r="R135" s="63"/>
      <c r="S135" s="63"/>
      <c r="T135" s="63"/>
    </row>
    <row r="136" spans="1:20" ht="15.75" x14ac:dyDescent="0.25">
      <c r="A136" s="55" t="s">
        <v>136</v>
      </c>
      <c r="B136" s="4">
        <v>415996.5</v>
      </c>
      <c r="C136" s="2">
        <v>242322.4</v>
      </c>
      <c r="D136" s="4">
        <v>163209.70000000001</v>
      </c>
      <c r="E136" s="2">
        <v>1669.5</v>
      </c>
      <c r="F136" s="4">
        <v>230</v>
      </c>
      <c r="G136" s="77" t="s">
        <v>3</v>
      </c>
      <c r="H136" s="4">
        <v>48722.8</v>
      </c>
      <c r="I136" s="2">
        <v>9410.5</v>
      </c>
      <c r="J136" s="4">
        <v>17620.400000000001</v>
      </c>
      <c r="K136" s="2">
        <v>147751.79999999999</v>
      </c>
      <c r="L136" s="42">
        <v>205273.60000000001</v>
      </c>
      <c r="M136" s="2">
        <v>25746.6</v>
      </c>
      <c r="N136" s="100" t="s">
        <v>68</v>
      </c>
      <c r="O136" s="48">
        <v>124895.5</v>
      </c>
      <c r="P136" s="4">
        <v>1400638.4</v>
      </c>
      <c r="Q136" s="71"/>
      <c r="R136" s="71"/>
      <c r="S136" s="71"/>
      <c r="T136" s="71"/>
    </row>
    <row r="137" spans="1:20" ht="15.75" x14ac:dyDescent="0.25">
      <c r="A137" s="55"/>
      <c r="B137" s="88"/>
      <c r="C137" s="86"/>
      <c r="D137" s="88"/>
      <c r="E137" s="91"/>
      <c r="F137" s="89"/>
      <c r="G137" s="91"/>
      <c r="H137" s="88"/>
      <c r="I137" s="91"/>
      <c r="J137" s="89"/>
      <c r="K137" s="91"/>
      <c r="L137" s="42"/>
      <c r="M137" s="96"/>
      <c r="N137" s="100"/>
      <c r="O137" s="48"/>
      <c r="P137" s="90"/>
      <c r="Q137" s="71"/>
      <c r="R137" s="71"/>
      <c r="S137" s="71"/>
      <c r="T137" s="71"/>
    </row>
    <row r="138" spans="1:20" ht="15.75" x14ac:dyDescent="0.25">
      <c r="A138" s="55" t="s">
        <v>85</v>
      </c>
      <c r="B138" s="4">
        <v>399790.9</v>
      </c>
      <c r="C138" s="2">
        <v>242433.99999999997</v>
      </c>
      <c r="D138" s="4">
        <v>157848.29999999999</v>
      </c>
      <c r="E138" s="2">
        <v>1257.5</v>
      </c>
      <c r="F138" s="4">
        <v>730</v>
      </c>
      <c r="G138" s="77">
        <v>462.2</v>
      </c>
      <c r="H138" s="4">
        <v>37339.199999999997</v>
      </c>
      <c r="I138" s="2">
        <v>10765</v>
      </c>
      <c r="J138" s="4">
        <v>14643.7</v>
      </c>
      <c r="K138" s="2">
        <v>141157.4</v>
      </c>
      <c r="L138" s="42">
        <v>205212.79999999999</v>
      </c>
      <c r="M138" s="2">
        <v>29053.4</v>
      </c>
      <c r="N138" s="100" t="s">
        <v>104</v>
      </c>
      <c r="O138" s="48">
        <v>127203.20000000001</v>
      </c>
      <c r="P138" s="4">
        <v>1360208.8999999997</v>
      </c>
      <c r="Q138" s="72"/>
      <c r="R138" s="72"/>
      <c r="S138" s="72"/>
      <c r="T138" s="72"/>
    </row>
    <row r="139" spans="1:20" ht="15.75" x14ac:dyDescent="0.25">
      <c r="A139" s="55" t="s">
        <v>86</v>
      </c>
      <c r="B139" s="4">
        <v>399374.19999999995</v>
      </c>
      <c r="C139" s="2">
        <v>249711.80000000002</v>
      </c>
      <c r="D139" s="4">
        <v>153754.1</v>
      </c>
      <c r="E139" s="2">
        <v>1416.6</v>
      </c>
      <c r="F139" s="4">
        <v>630</v>
      </c>
      <c r="G139" s="77" t="s">
        <v>3</v>
      </c>
      <c r="H139" s="4">
        <v>36855.400000000009</v>
      </c>
      <c r="I139" s="2">
        <v>11042.3</v>
      </c>
      <c r="J139" s="4">
        <v>16076</v>
      </c>
      <c r="K139" s="2">
        <v>147647.69999999998</v>
      </c>
      <c r="L139" s="42">
        <v>210500.9</v>
      </c>
      <c r="M139" s="2">
        <v>23074.3</v>
      </c>
      <c r="N139" s="100" t="s">
        <v>70</v>
      </c>
      <c r="O139" s="48">
        <v>129678.3</v>
      </c>
      <c r="P139" s="4">
        <v>1374609.9000000001</v>
      </c>
      <c r="Q139" s="73"/>
      <c r="R139" s="73"/>
      <c r="S139" s="73"/>
      <c r="T139" s="73"/>
    </row>
    <row r="140" spans="1:20" ht="15.75" x14ac:dyDescent="0.25">
      <c r="A140" s="55" t="s">
        <v>84</v>
      </c>
      <c r="B140" s="4">
        <v>376660.5</v>
      </c>
      <c r="C140" s="2">
        <v>250210.89999999997</v>
      </c>
      <c r="D140" s="4">
        <v>148154.4</v>
      </c>
      <c r="E140" s="2">
        <v>1196</v>
      </c>
      <c r="F140" s="4">
        <v>1133.5999999999999</v>
      </c>
      <c r="G140" s="77">
        <v>1123.2</v>
      </c>
      <c r="H140" s="4">
        <v>53071.5</v>
      </c>
      <c r="I140" s="2">
        <v>10155.5</v>
      </c>
      <c r="J140" s="4">
        <v>14779</v>
      </c>
      <c r="K140" s="2">
        <v>146245.4</v>
      </c>
      <c r="L140" s="42">
        <v>215597.6</v>
      </c>
      <c r="M140" s="2">
        <v>11497.7</v>
      </c>
      <c r="N140" s="100" t="s">
        <v>105</v>
      </c>
      <c r="O140" s="48">
        <v>133743.4</v>
      </c>
      <c r="P140" s="4">
        <v>1359037.7</v>
      </c>
      <c r="Q140" s="74"/>
      <c r="R140" s="74"/>
      <c r="S140" s="74"/>
      <c r="T140" s="74"/>
    </row>
    <row r="141" spans="1:20" ht="15.75" x14ac:dyDescent="0.25">
      <c r="A141" s="55" t="s">
        <v>89</v>
      </c>
      <c r="B141" s="4">
        <v>392569.7</v>
      </c>
      <c r="C141" s="2">
        <v>255847.09999999998</v>
      </c>
      <c r="D141" s="4">
        <v>156577.29999999999</v>
      </c>
      <c r="E141" s="2">
        <v>4460.1000000000004</v>
      </c>
      <c r="F141" s="4">
        <v>930</v>
      </c>
      <c r="G141" s="77">
        <v>10000</v>
      </c>
      <c r="H141" s="4">
        <v>34637.699999999997</v>
      </c>
      <c r="I141" s="2">
        <v>11071.3</v>
      </c>
      <c r="J141" s="4">
        <v>16144</v>
      </c>
      <c r="K141" s="2">
        <v>147867.70000000001</v>
      </c>
      <c r="L141" s="42">
        <v>215585.7</v>
      </c>
      <c r="M141" s="2">
        <v>14661.5</v>
      </c>
      <c r="N141" s="100" t="s">
        <v>106</v>
      </c>
      <c r="O141" s="48">
        <v>131013.1</v>
      </c>
      <c r="P141" s="4">
        <v>1386389.9000000001</v>
      </c>
      <c r="Q141" s="2"/>
      <c r="R141" s="75"/>
      <c r="S141" s="75"/>
      <c r="T141" s="75"/>
    </row>
    <row r="142" spans="1:20" ht="15.75" x14ac:dyDescent="0.25">
      <c r="A142" s="55" t="s">
        <v>91</v>
      </c>
      <c r="B142" s="4">
        <v>411354.5</v>
      </c>
      <c r="C142" s="2">
        <v>255546.2</v>
      </c>
      <c r="D142" s="4">
        <v>142297.60000000001</v>
      </c>
      <c r="E142" s="2">
        <v>5451</v>
      </c>
      <c r="F142" s="4">
        <v>1433.8</v>
      </c>
      <c r="G142" s="77">
        <v>1260.5</v>
      </c>
      <c r="H142" s="4">
        <v>33105.4</v>
      </c>
      <c r="I142" s="2">
        <v>10273.6</v>
      </c>
      <c r="J142" s="4">
        <v>15287.4</v>
      </c>
      <c r="K142" s="2">
        <v>136901.5</v>
      </c>
      <c r="L142" s="42">
        <v>215587</v>
      </c>
      <c r="M142" s="2">
        <v>16481.2</v>
      </c>
      <c r="N142" s="100" t="s">
        <v>107</v>
      </c>
      <c r="O142" s="48">
        <v>134197.9</v>
      </c>
      <c r="P142" s="4">
        <v>1373638.9000000001</v>
      </c>
      <c r="Q142" s="76"/>
      <c r="R142" s="76"/>
      <c r="S142" s="76"/>
      <c r="T142" s="76"/>
    </row>
    <row r="143" spans="1:20" ht="15.75" x14ac:dyDescent="0.25">
      <c r="A143" s="55" t="s">
        <v>78</v>
      </c>
      <c r="B143" s="4">
        <v>387103.1</v>
      </c>
      <c r="C143" s="2">
        <v>259299.3</v>
      </c>
      <c r="D143" s="4">
        <v>135754.29999999999</v>
      </c>
      <c r="E143" s="2">
        <v>4973.3</v>
      </c>
      <c r="F143" s="4">
        <v>2203.8000000000002</v>
      </c>
      <c r="G143" s="77">
        <v>20000</v>
      </c>
      <c r="H143" s="4">
        <v>43529.599999999999</v>
      </c>
      <c r="I143" s="2">
        <v>10359.799999999999</v>
      </c>
      <c r="J143" s="4">
        <v>13963.3</v>
      </c>
      <c r="K143" s="2">
        <v>139562.5</v>
      </c>
      <c r="L143" s="42">
        <v>215514.2</v>
      </c>
      <c r="M143" s="2">
        <v>19632</v>
      </c>
      <c r="N143" s="100" t="s">
        <v>108</v>
      </c>
      <c r="O143" s="48">
        <v>139287.30000000002</v>
      </c>
      <c r="P143" s="4">
        <v>1383302.0000000002</v>
      </c>
      <c r="Q143" s="79"/>
      <c r="R143" s="79"/>
      <c r="S143" s="79"/>
      <c r="T143" s="79"/>
    </row>
    <row r="144" spans="1:20" ht="15.75" x14ac:dyDescent="0.25">
      <c r="A144" s="55" t="s">
        <v>79</v>
      </c>
      <c r="B144" s="4">
        <v>394165.4</v>
      </c>
      <c r="C144" s="2">
        <v>265852</v>
      </c>
      <c r="D144" s="4">
        <v>143495.79999999999</v>
      </c>
      <c r="E144" s="2">
        <v>3761.9</v>
      </c>
      <c r="F144" s="4">
        <v>2433.9</v>
      </c>
      <c r="G144" s="77">
        <v>6000</v>
      </c>
      <c r="H144" s="4">
        <v>40188.5</v>
      </c>
      <c r="I144" s="2">
        <v>11731.1</v>
      </c>
      <c r="J144" s="4">
        <v>12530.8</v>
      </c>
      <c r="K144" s="2">
        <v>135310.6</v>
      </c>
      <c r="L144" s="42">
        <v>215504.2</v>
      </c>
      <c r="M144" s="2">
        <v>22518.6</v>
      </c>
      <c r="N144" s="100" t="s">
        <v>109</v>
      </c>
      <c r="O144" s="48">
        <v>143333.70000000001</v>
      </c>
      <c r="P144" s="4">
        <v>1389157.3</v>
      </c>
      <c r="Q144" s="80"/>
      <c r="R144" s="80"/>
      <c r="S144" s="80"/>
      <c r="T144" s="80"/>
    </row>
    <row r="145" spans="1:20" ht="15.75" x14ac:dyDescent="0.25">
      <c r="A145" s="55" t="s">
        <v>80</v>
      </c>
      <c r="B145" s="4">
        <v>403546.7</v>
      </c>
      <c r="C145" s="2">
        <v>263741.7</v>
      </c>
      <c r="D145" s="4">
        <v>148982.19999999998</v>
      </c>
      <c r="E145" s="2">
        <v>6117.3</v>
      </c>
      <c r="F145" s="4">
        <v>2434.6</v>
      </c>
      <c r="G145" s="77">
        <v>8000</v>
      </c>
      <c r="H145" s="4">
        <v>34613.600000000006</v>
      </c>
      <c r="I145" s="2">
        <v>11551.8</v>
      </c>
      <c r="J145" s="4">
        <v>12551</v>
      </c>
      <c r="K145" s="2">
        <v>142073</v>
      </c>
      <c r="L145" s="42">
        <v>215449.9</v>
      </c>
      <c r="M145" s="2">
        <v>23313</v>
      </c>
      <c r="N145" s="100" t="s">
        <v>110</v>
      </c>
      <c r="O145" s="48">
        <v>145517.6</v>
      </c>
      <c r="P145" s="4">
        <v>1414099.2000000002</v>
      </c>
      <c r="Q145" s="81"/>
      <c r="R145" s="81"/>
      <c r="S145" s="81"/>
      <c r="T145" s="81"/>
    </row>
    <row r="146" spans="1:20" ht="15.75" x14ac:dyDescent="0.25">
      <c r="A146" s="55" t="s">
        <v>96</v>
      </c>
      <c r="B146" s="4">
        <v>405686.5</v>
      </c>
      <c r="C146" s="2">
        <v>263529.89999999997</v>
      </c>
      <c r="D146" s="4">
        <v>140973.40000000002</v>
      </c>
      <c r="E146" s="2">
        <v>4632.1000000000004</v>
      </c>
      <c r="F146" s="4">
        <v>2466.6999999999998</v>
      </c>
      <c r="G146" s="2">
        <v>5849.9</v>
      </c>
      <c r="H146" s="4">
        <v>38185.300000000003</v>
      </c>
      <c r="I146" s="2">
        <v>10291.799999999999</v>
      </c>
      <c r="J146" s="4">
        <v>8875.2999999999993</v>
      </c>
      <c r="K146" s="2">
        <v>135266.6</v>
      </c>
      <c r="L146" s="42">
        <v>215438.7</v>
      </c>
      <c r="M146" s="2">
        <v>26685.3</v>
      </c>
      <c r="N146" s="100" t="s">
        <v>111</v>
      </c>
      <c r="O146" s="48">
        <v>149776.20000000001</v>
      </c>
      <c r="P146" s="4">
        <v>1400045.6</v>
      </c>
      <c r="Q146" s="82"/>
      <c r="R146" s="82"/>
      <c r="S146" s="82"/>
      <c r="T146" s="82"/>
    </row>
    <row r="147" spans="1:20" ht="15.75" x14ac:dyDescent="0.25">
      <c r="A147" s="55" t="s">
        <v>98</v>
      </c>
      <c r="B147" s="4">
        <v>437534.30000000005</v>
      </c>
      <c r="C147" s="2">
        <v>270862.8</v>
      </c>
      <c r="D147" s="4">
        <v>135456.1</v>
      </c>
      <c r="E147" s="2">
        <v>4735.1000000000004</v>
      </c>
      <c r="F147" s="4">
        <v>2471.1</v>
      </c>
      <c r="G147" s="2">
        <v>1000</v>
      </c>
      <c r="H147" s="4">
        <v>34147.799999999996</v>
      </c>
      <c r="I147" s="2">
        <v>10711.6</v>
      </c>
      <c r="J147" s="4">
        <v>5914.8</v>
      </c>
      <c r="K147" s="2">
        <v>132616.1</v>
      </c>
      <c r="L147" s="4">
        <v>215393.5</v>
      </c>
      <c r="M147" s="2">
        <v>30989.8</v>
      </c>
      <c r="N147" s="100" t="s">
        <v>112</v>
      </c>
      <c r="O147" s="2">
        <v>155103.40000000002</v>
      </c>
      <c r="P147" s="4">
        <v>1430014.6</v>
      </c>
      <c r="Q147" s="2"/>
      <c r="R147" s="84"/>
      <c r="S147" s="84"/>
      <c r="T147" s="84"/>
    </row>
    <row r="148" spans="1:20" ht="15.75" x14ac:dyDescent="0.25">
      <c r="A148" s="55" t="s">
        <v>100</v>
      </c>
      <c r="B148" s="4">
        <v>401235.20000000001</v>
      </c>
      <c r="C148" s="2">
        <v>263979.09999999998</v>
      </c>
      <c r="D148" s="4">
        <v>144450.00000000003</v>
      </c>
      <c r="E148" s="2">
        <v>2557.5</v>
      </c>
      <c r="F148" s="4">
        <v>7496.9</v>
      </c>
      <c r="G148" s="2">
        <v>16192.3</v>
      </c>
      <c r="H148" s="4">
        <v>43312.6</v>
      </c>
      <c r="I148" s="2">
        <v>9363.9</v>
      </c>
      <c r="J148" s="4">
        <v>5820.6</v>
      </c>
      <c r="K148" s="2">
        <v>154302.79999999999</v>
      </c>
      <c r="L148" s="4">
        <v>217801.9</v>
      </c>
      <c r="M148" s="2">
        <v>20422.599999999999</v>
      </c>
      <c r="N148" s="100" t="s">
        <v>113</v>
      </c>
      <c r="O148" s="2">
        <v>144959.5</v>
      </c>
      <c r="P148" s="4">
        <v>1429179.9000000001</v>
      </c>
      <c r="Q148" s="85"/>
      <c r="R148" s="85"/>
      <c r="S148" s="85"/>
      <c r="T148" s="85"/>
    </row>
    <row r="149" spans="1:20" ht="15.75" x14ac:dyDescent="0.25">
      <c r="A149" s="55" t="s">
        <v>102</v>
      </c>
      <c r="B149" s="4">
        <v>406863.4</v>
      </c>
      <c r="C149" s="2">
        <v>272059.2</v>
      </c>
      <c r="D149" s="4">
        <v>137437.20000000001</v>
      </c>
      <c r="E149" s="2">
        <v>5303.8</v>
      </c>
      <c r="F149" s="4">
        <v>8529.9</v>
      </c>
      <c r="G149" s="2">
        <v>19805</v>
      </c>
      <c r="H149" s="4">
        <v>51946.1</v>
      </c>
      <c r="I149" s="2">
        <v>9009.9</v>
      </c>
      <c r="J149" s="4">
        <v>6801.5</v>
      </c>
      <c r="K149" s="2">
        <v>150034</v>
      </c>
      <c r="L149" s="4">
        <v>213505.6</v>
      </c>
      <c r="M149" s="2">
        <v>18037.599999999999</v>
      </c>
      <c r="N149" s="100" t="s">
        <v>103</v>
      </c>
      <c r="O149" s="2">
        <v>148181.6</v>
      </c>
      <c r="P149" s="4">
        <v>1441542.4000000004</v>
      </c>
      <c r="Q149" s="87"/>
      <c r="R149" s="87"/>
      <c r="S149" s="87"/>
      <c r="T149" s="87"/>
    </row>
    <row r="150" spans="1:20" ht="15.75" x14ac:dyDescent="0.25">
      <c r="A150" s="55"/>
      <c r="B150" s="4"/>
      <c r="C150" s="2"/>
      <c r="D150" s="4"/>
      <c r="E150" s="2"/>
      <c r="F150" s="4"/>
      <c r="G150" s="2"/>
      <c r="H150" s="4"/>
      <c r="I150" s="2"/>
      <c r="J150" s="4"/>
      <c r="K150" s="2"/>
      <c r="L150" s="4"/>
      <c r="M150" s="2"/>
      <c r="N150" s="100"/>
      <c r="O150" s="2"/>
      <c r="P150" s="4"/>
      <c r="Q150" s="87"/>
      <c r="R150" s="87"/>
      <c r="S150" s="87"/>
      <c r="T150" s="87"/>
    </row>
    <row r="151" spans="1:20" ht="15.75" x14ac:dyDescent="0.25">
      <c r="A151" s="55" t="s">
        <v>125</v>
      </c>
      <c r="B151" s="4">
        <f>372551.8+20628.3+9190.7+110.7</f>
        <v>402481.5</v>
      </c>
      <c r="C151" s="4">
        <f>240521+26735.7</f>
        <v>267256.7</v>
      </c>
      <c r="D151" s="4">
        <f>119504.1+15199+1403.1+62.1</f>
        <v>136168.30000000002</v>
      </c>
      <c r="E151" s="4">
        <v>3483.2</v>
      </c>
      <c r="F151" s="4">
        <v>8541.4</v>
      </c>
      <c r="G151" s="4">
        <v>37716.6</v>
      </c>
      <c r="H151" s="4">
        <f>2709.5+38766.2+3314.6</f>
        <v>44790.299999999996</v>
      </c>
      <c r="I151" s="4">
        <v>10289.5</v>
      </c>
      <c r="J151" s="4">
        <v>7911.3</v>
      </c>
      <c r="K151" s="4">
        <v>147014.70000000001</v>
      </c>
      <c r="L151" s="4">
        <v>217322</v>
      </c>
      <c r="M151" s="4">
        <v>21688.2</v>
      </c>
      <c r="N151" s="4">
        <f>179.2+38555.1-10334.4-31.4-37716.6</f>
        <v>-9348.1000000000058</v>
      </c>
      <c r="O151" s="4">
        <f>35963.5-3314.6-9190.7+127549.5+942.2</f>
        <v>151949.90000000002</v>
      </c>
      <c r="P151" s="4">
        <f t="shared" ref="P151" si="4">SUM(B151:O151)</f>
        <v>1447265.5</v>
      </c>
      <c r="Q151" s="105"/>
      <c r="R151" s="105"/>
      <c r="S151" s="105"/>
      <c r="T151" s="105"/>
    </row>
    <row r="152" spans="1:20" ht="15.75" x14ac:dyDescent="0.25">
      <c r="A152" s="55" t="s">
        <v>118</v>
      </c>
      <c r="B152" s="4">
        <f>380985.3+15180.9+9418.3+110.8</f>
        <v>405695.3</v>
      </c>
      <c r="C152" s="4">
        <f>233480.7+28538.7</f>
        <v>262019.40000000002</v>
      </c>
      <c r="D152" s="4">
        <f>116101.4+19582.2+1341.8+62.5</f>
        <v>137087.9</v>
      </c>
      <c r="E152" s="4">
        <v>3770.8</v>
      </c>
      <c r="F152" s="4">
        <v>8535.4</v>
      </c>
      <c r="G152" s="4">
        <v>44452.800000000003</v>
      </c>
      <c r="H152" s="4">
        <f>1687.8+43195.1+4338.4</f>
        <v>49221.3</v>
      </c>
      <c r="I152" s="4">
        <v>9924.2999999999993</v>
      </c>
      <c r="J152" s="4">
        <v>8703.4</v>
      </c>
      <c r="K152" s="4">
        <v>144711</v>
      </c>
      <c r="L152" s="4">
        <v>216346.4</v>
      </c>
      <c r="M152" s="4">
        <v>22714.3</v>
      </c>
      <c r="N152" s="4">
        <f>-54.1+47780-10314-31.4-44452.8</f>
        <v>-7072.3000000000029</v>
      </c>
      <c r="O152" s="4">
        <f>37152.6-4338.4-9418.3+130031.8+946.8</f>
        <v>154374.5</v>
      </c>
      <c r="P152" s="4">
        <f t="shared" ref="P152" si="5">SUM(B152:O152)</f>
        <v>1460484.5</v>
      </c>
      <c r="Q152" s="106"/>
      <c r="R152" s="106"/>
      <c r="S152" s="106"/>
      <c r="T152" s="106"/>
    </row>
    <row r="153" spans="1:20" ht="15.75" x14ac:dyDescent="0.25">
      <c r="A153" s="55" t="s">
        <v>120</v>
      </c>
      <c r="B153" s="4">
        <f>367081.6+17520.6+11839.4+110.9</f>
        <v>396552.5</v>
      </c>
      <c r="C153" s="4">
        <f>246211+29819</f>
        <v>276030</v>
      </c>
      <c r="D153" s="4">
        <f>100293.5+18036.7+1303.6+64.9</f>
        <v>119698.7</v>
      </c>
      <c r="E153" s="4">
        <v>5382</v>
      </c>
      <c r="F153" s="4">
        <v>8565.2000000000007</v>
      </c>
      <c r="G153" s="4">
        <v>71864.5</v>
      </c>
      <c r="H153" s="4">
        <f>11560.7+39707.5+5336.8</f>
        <v>56605</v>
      </c>
      <c r="I153" s="4">
        <v>9451</v>
      </c>
      <c r="J153" s="4">
        <v>7517.2</v>
      </c>
      <c r="K153" s="4">
        <v>148879.5</v>
      </c>
      <c r="L153" s="4">
        <v>222189.4</v>
      </c>
      <c r="M153" s="4">
        <v>11870.4</v>
      </c>
      <c r="N153" s="4">
        <f>-79.2+74970.4-9610.4-31.4-71864.5</f>
        <v>-6615.1000000000058</v>
      </c>
      <c r="O153" s="4">
        <f>43047.9-5336.8-11839.4+132155+1311.1</f>
        <v>159337.80000000002</v>
      </c>
      <c r="P153" s="4">
        <f t="shared" ref="P153" si="6">SUM(B153:O153)</f>
        <v>1487328.0999999996</v>
      </c>
      <c r="Q153" s="107"/>
      <c r="R153" s="107"/>
      <c r="S153" s="107"/>
      <c r="T153" s="107"/>
    </row>
    <row r="154" spans="1:20" s="108" customFormat="1" ht="15.75" x14ac:dyDescent="0.25">
      <c r="A154" s="55" t="s">
        <v>124</v>
      </c>
      <c r="B154" s="4">
        <f>380956.7+20982.6+5498+111</f>
        <v>407548.3</v>
      </c>
      <c r="C154" s="4">
        <f>246235.8+26535.5</f>
        <v>272771.3</v>
      </c>
      <c r="D154" s="4">
        <f>106777.7+16158.3+1098.8+65.6</f>
        <v>124100.40000000001</v>
      </c>
      <c r="E154" s="4">
        <v>4183.8</v>
      </c>
      <c r="F154" s="4">
        <v>9276.2999999999993</v>
      </c>
      <c r="G154" s="4">
        <v>75220.3</v>
      </c>
      <c r="H154" s="4">
        <f>2766.2+37981.4+4729.9</f>
        <v>45477.5</v>
      </c>
      <c r="I154" s="4">
        <v>10415.5</v>
      </c>
      <c r="J154" s="4">
        <v>2945.7</v>
      </c>
      <c r="K154" s="4">
        <v>151565.20000000001</v>
      </c>
      <c r="L154" s="4">
        <v>217768.3</v>
      </c>
      <c r="M154" s="4">
        <v>15811.7</v>
      </c>
      <c r="N154" s="4">
        <f>986.9+83161.6-10996.2-31.4-75220.3-3308.3</f>
        <v>-5407.6999999999944</v>
      </c>
      <c r="O154" s="4">
        <f>36938.7-4729.9-5498+135563.4+1105.9</f>
        <v>163380.09999999998</v>
      </c>
      <c r="P154" s="4">
        <f t="shared" ref="P154" si="7">SUM(B154:O154)</f>
        <v>1495056.7000000002</v>
      </c>
      <c r="Q154" s="107"/>
      <c r="R154" s="107"/>
      <c r="S154" s="107"/>
      <c r="T154" s="107"/>
    </row>
    <row r="155" spans="1:20" x14ac:dyDescent="0.2">
      <c r="A155" s="55" t="s">
        <v>87</v>
      </c>
      <c r="B155" s="4">
        <f>375382.9+15725.4+9801.4+111</f>
        <v>401020.70000000007</v>
      </c>
      <c r="C155" s="4">
        <f>254373.2+24170</f>
        <v>278543.2</v>
      </c>
      <c r="D155" s="4">
        <f>95244.2+16436.9+1212.6+64.2</f>
        <v>112957.90000000001</v>
      </c>
      <c r="E155" s="4">
        <v>3384.3</v>
      </c>
      <c r="F155" s="4">
        <v>9295.2000000000007</v>
      </c>
      <c r="G155" s="4">
        <v>90016</v>
      </c>
      <c r="H155" s="4">
        <f>3101.5+40119.2+4977.3</f>
        <v>48198</v>
      </c>
      <c r="I155" s="4">
        <f>15243.3-13</f>
        <v>15230.3</v>
      </c>
      <c r="J155" s="4">
        <v>2738.4</v>
      </c>
      <c r="K155" s="4">
        <v>155149.9</v>
      </c>
      <c r="L155" s="4">
        <v>217726.3</v>
      </c>
      <c r="M155" s="4">
        <v>18578.400000000001</v>
      </c>
      <c r="N155" s="4">
        <f>30.4+97952.8-10919.4-31.4-90016-3326.5</f>
        <v>-6310.0999999999913</v>
      </c>
      <c r="O155" s="4">
        <f>40653.4-4977.3-9801.4+136822+873.6</f>
        <v>163570.30000000002</v>
      </c>
      <c r="P155" s="4">
        <f>SUM(B155:O155)</f>
        <v>1510098.8</v>
      </c>
      <c r="Q155" s="33"/>
      <c r="R155" s="33"/>
      <c r="S155" s="33"/>
      <c r="T155" s="33"/>
    </row>
    <row r="156" spans="1:20" x14ac:dyDescent="0.2">
      <c r="A156" s="55" t="s">
        <v>127</v>
      </c>
      <c r="B156" s="4">
        <f>368985.6+33899.7+11935.4+111</f>
        <v>414931.7</v>
      </c>
      <c r="C156" s="4">
        <f>248133.3+21477</f>
        <v>269610.3</v>
      </c>
      <c r="D156" s="4">
        <f>98237.6+15650.9+1446.4+64.2</f>
        <v>115399.09999999999</v>
      </c>
      <c r="E156" s="4">
        <v>1924.6</v>
      </c>
      <c r="F156" s="4">
        <v>8610.4</v>
      </c>
      <c r="G156" s="4">
        <v>101025.7</v>
      </c>
      <c r="H156" s="4">
        <f>5212.8+36475.7+5996.9</f>
        <v>47685.4</v>
      </c>
      <c r="I156" s="4">
        <v>17003.599999999999</v>
      </c>
      <c r="J156" s="4">
        <v>2654.6</v>
      </c>
      <c r="K156" s="4">
        <v>143107</v>
      </c>
      <c r="L156" s="4">
        <v>224810.5</v>
      </c>
      <c r="M156" s="4">
        <v>17493.3</v>
      </c>
      <c r="N156" s="4">
        <f>-104.6+110653.1-10810-31.4-101025.7-4999.8</f>
        <v>-6318.3999999999915</v>
      </c>
      <c r="O156" s="4">
        <f>57692.3-5996.9-11935.4+140436.6+1787.7</f>
        <v>181984.30000000002</v>
      </c>
      <c r="P156" s="4">
        <f>SUM(B156:O156)</f>
        <v>1539922.1</v>
      </c>
      <c r="Q156" s="33"/>
      <c r="R156" s="33"/>
      <c r="S156" s="33"/>
      <c r="T156" s="33"/>
    </row>
    <row r="157" spans="1:20" s="114" customFormat="1" ht="15" x14ac:dyDescent="0.25">
      <c r="A157" s="112" t="s">
        <v>130</v>
      </c>
      <c r="B157" s="4">
        <f>381820.8+16744.3+11500+111</f>
        <v>410176.1</v>
      </c>
      <c r="C157" s="4">
        <f>238477.6+19746.8</f>
        <v>258224.4</v>
      </c>
      <c r="D157" s="4">
        <f>95572.3+12589.2+1417.3+64.4</f>
        <v>109643.2</v>
      </c>
      <c r="E157" s="4">
        <v>1132.5</v>
      </c>
      <c r="F157" s="4">
        <v>9780.2000000000007</v>
      </c>
      <c r="G157" s="4">
        <v>112764.5</v>
      </c>
      <c r="H157" s="4">
        <f>3816.4+42959.7+6593</f>
        <v>53369.1</v>
      </c>
      <c r="I157" s="4">
        <v>17794.8</v>
      </c>
      <c r="J157" s="4">
        <v>2250.6999999999998</v>
      </c>
      <c r="K157" s="4">
        <v>143986.79999999999</v>
      </c>
      <c r="L157" s="4">
        <v>225543.2</v>
      </c>
      <c r="M157" s="4">
        <v>20988.2</v>
      </c>
      <c r="N157" s="4">
        <f>-265.7+122410.8-112764.5-31.4-10924-5033.2</f>
        <v>-6607.9999999999936</v>
      </c>
      <c r="O157" s="4">
        <f>52856.7-6593-11500+140806.3+2106.6</f>
        <v>177676.6</v>
      </c>
      <c r="P157" s="4">
        <f>SUM(B157:O157)</f>
        <v>1536722.2999999998</v>
      </c>
      <c r="Q157" s="113"/>
      <c r="R157" s="113"/>
      <c r="S157" s="113"/>
      <c r="T157" s="113"/>
    </row>
    <row r="158" spans="1:20" s="114" customFormat="1" ht="15" x14ac:dyDescent="0.25">
      <c r="A158" s="112" t="s">
        <v>131</v>
      </c>
      <c r="B158" s="4">
        <f>413258.3+16857.6+7738.8+111</f>
        <v>437965.69999999995</v>
      </c>
      <c r="C158" s="4">
        <f>235186.1+17632.8</f>
        <v>252818.9</v>
      </c>
      <c r="D158" s="4">
        <f>89371.5+12719+65+889.5</f>
        <v>103045</v>
      </c>
      <c r="E158" s="4">
        <v>2169.6999999999998</v>
      </c>
      <c r="F158" s="4">
        <v>9844.6</v>
      </c>
      <c r="G158" s="4">
        <v>101933.5</v>
      </c>
      <c r="H158" s="4">
        <f>3872.1+38204.1+6941.9</f>
        <v>49018.1</v>
      </c>
      <c r="I158" s="4">
        <v>16660.8</v>
      </c>
      <c r="J158" s="4">
        <v>916.6</v>
      </c>
      <c r="K158" s="4">
        <v>137165.5</v>
      </c>
      <c r="L158" s="4">
        <v>225003.1</v>
      </c>
      <c r="M158" s="4">
        <v>24325.7</v>
      </c>
      <c r="N158" s="4">
        <f>-2568.3+111560.7-101933.5-31.4-11041.6-5014.8</f>
        <v>-9028.9000000000051</v>
      </c>
      <c r="O158" s="4">
        <f>50789-6941.9-7738.8+144405.9+1608.5</f>
        <v>182122.69999999998</v>
      </c>
      <c r="P158" s="4">
        <f>SUM(B158:O158)</f>
        <v>1533961</v>
      </c>
      <c r="Q158" s="113"/>
      <c r="R158" s="113"/>
      <c r="S158" s="113"/>
      <c r="T158" s="113"/>
    </row>
    <row r="159" spans="1:20" s="114" customFormat="1" ht="15" x14ac:dyDescent="0.25">
      <c r="A159" s="112" t="s">
        <v>96</v>
      </c>
      <c r="B159" s="4">
        <f>416455.1+15756.1+7907.7+111</f>
        <v>440229.89999999997</v>
      </c>
      <c r="C159" s="4">
        <f>242880+18024.4</f>
        <v>260904.4</v>
      </c>
      <c r="D159" s="4">
        <f>12067+94911+65.7+984.5</f>
        <v>108028.2</v>
      </c>
      <c r="E159" s="4">
        <v>3677.6</v>
      </c>
      <c r="F159" s="4">
        <v>9113.9</v>
      </c>
      <c r="G159" s="4">
        <v>118763.8</v>
      </c>
      <c r="H159" s="4">
        <f>37858.9+6287.8+7211.9</f>
        <v>51358.600000000006</v>
      </c>
      <c r="I159" s="4">
        <v>13416.9</v>
      </c>
      <c r="J159" s="4">
        <v>934</v>
      </c>
      <c r="K159" s="4">
        <v>139965.1</v>
      </c>
      <c r="L159" s="4">
        <v>224795</v>
      </c>
      <c r="M159" s="4">
        <v>21976.799999999999</v>
      </c>
      <c r="N159" s="4">
        <f>128406.8-118763.8-665.7-5033-31.4-4818.8</f>
        <v>-905.900000000001</v>
      </c>
      <c r="O159" s="4">
        <f>52688.8-7211.9-7907.7+1434.4+148476.4</f>
        <v>187480</v>
      </c>
      <c r="P159" s="4">
        <f>SUM(B159:O159)</f>
        <v>1579738.3</v>
      </c>
      <c r="Q159" s="113"/>
      <c r="R159" s="113"/>
      <c r="S159" s="113"/>
      <c r="T159" s="113"/>
    </row>
    <row r="160" spans="1:20" s="114" customFormat="1" ht="15" x14ac:dyDescent="0.25">
      <c r="A160" s="112" t="s">
        <v>98</v>
      </c>
      <c r="B160" s="4">
        <f>415733+19805.2+111+10289.1</f>
        <v>445938.3</v>
      </c>
      <c r="C160" s="4">
        <f>17906.8+246717.5</f>
        <v>264624.3</v>
      </c>
      <c r="D160" s="4">
        <f>11991.3+90470.8+936.1+64.4</f>
        <v>103462.6</v>
      </c>
      <c r="E160" s="4">
        <v>2861.3</v>
      </c>
      <c r="F160" s="4">
        <v>9018.9</v>
      </c>
      <c r="G160" s="4">
        <v>126993.60000000001</v>
      </c>
      <c r="H160" s="4">
        <f>35210.2+7628.9+2560.6</f>
        <v>45399.7</v>
      </c>
      <c r="I160" s="4">
        <v>14489.5</v>
      </c>
      <c r="J160" s="4">
        <v>945.6</v>
      </c>
      <c r="K160" s="4">
        <v>142544.6</v>
      </c>
      <c r="L160" s="4">
        <v>224774.2</v>
      </c>
      <c r="M160" s="4">
        <v>24782.2</v>
      </c>
      <c r="N160" s="4">
        <f>136663.8-126993.6-568.5-4861.5-5061-31.4</f>
        <v>-852.20000000001744</v>
      </c>
      <c r="O160" s="4">
        <f>56224.5-7628.9-10289.1+113.1+149792.1</f>
        <v>188211.7</v>
      </c>
      <c r="P160" s="4">
        <f t="shared" ref="P160" si="8">SUM(B160:O160)</f>
        <v>1593194.2999999998</v>
      </c>
      <c r="Q160" s="113"/>
      <c r="R160" s="113"/>
      <c r="S160" s="113"/>
      <c r="T160" s="113"/>
    </row>
    <row r="161" spans="1:20" s="114" customFormat="1" ht="15" x14ac:dyDescent="0.25">
      <c r="A161" s="112" t="s">
        <v>100</v>
      </c>
      <c r="B161" s="4">
        <f>438712.1+23903.4+111+10208.9</f>
        <v>472935.4</v>
      </c>
      <c r="C161" s="4">
        <f>239190.1+16280.3</f>
        <v>255470.4</v>
      </c>
      <c r="D161" s="4">
        <f>89438.3+11958.5+875+62.6</f>
        <v>102334.40000000001</v>
      </c>
      <c r="E161" s="4">
        <v>1931.3</v>
      </c>
      <c r="F161" s="4">
        <v>10236</v>
      </c>
      <c r="G161" s="4">
        <v>102347.1</v>
      </c>
      <c r="H161" s="4">
        <f>4656.6+36664.7+7708.4</f>
        <v>49029.7</v>
      </c>
      <c r="I161" s="4">
        <v>15706.6</v>
      </c>
      <c r="J161" s="4">
        <v>944.1</v>
      </c>
      <c r="K161" s="4">
        <v>150685.4</v>
      </c>
      <c r="L161" s="4">
        <v>225240.8</v>
      </c>
      <c r="M161" s="4">
        <v>28733.5</v>
      </c>
      <c r="N161" s="4">
        <f>112044.8-102347.1+170.3-5088.7-6899.2-31.4</f>
        <v>-2151.3000000000034</v>
      </c>
      <c r="O161" s="4">
        <f>50278.9-7708.4-10208.9+1752.3+154742.5</f>
        <v>188856.4</v>
      </c>
      <c r="P161" s="4">
        <f t="shared" ref="P161" si="9">SUM(B161:O161)</f>
        <v>1602299.7999999998</v>
      </c>
      <c r="Q161" s="113"/>
      <c r="R161" s="113"/>
      <c r="S161" s="113"/>
      <c r="T161" s="113"/>
    </row>
    <row r="162" spans="1:20" s="114" customFormat="1" ht="15" x14ac:dyDescent="0.25">
      <c r="A162" s="112" t="s">
        <v>102</v>
      </c>
      <c r="B162" s="4">
        <f>462183.7+23932.8+111+11279.7</f>
        <v>497507.2</v>
      </c>
      <c r="C162" s="4">
        <f>235254.4+20378.8</f>
        <v>255633.19999999998</v>
      </c>
      <c r="D162" s="4">
        <f>81510.5+12389+985.8+62.3</f>
        <v>94947.6</v>
      </c>
      <c r="E162" s="4">
        <v>2909.7</v>
      </c>
      <c r="F162" s="4">
        <v>8653</v>
      </c>
      <c r="G162" s="4">
        <v>87064.1</v>
      </c>
      <c r="H162" s="4">
        <f>8084.8+41529.8+9284.7</f>
        <v>58899.3</v>
      </c>
      <c r="I162" s="4">
        <v>16378.7</v>
      </c>
      <c r="J162" s="4">
        <v>973.7</v>
      </c>
      <c r="K162" s="4">
        <v>139935.4</v>
      </c>
      <c r="L162" s="4">
        <v>224498.3</v>
      </c>
      <c r="M162" s="4">
        <v>26055.200000000001</v>
      </c>
      <c r="N162" s="4">
        <f>96779-87064.1-468.7-5107.2-31.4-4936.7</f>
        <v>-829.10000000000582</v>
      </c>
      <c r="O162" s="4">
        <f>52437.7-9284.7-11279.7+1748.7+160447.5</f>
        <v>194069.5</v>
      </c>
      <c r="P162" s="4">
        <f t="shared" ref="P162" si="10">SUM(B162:O162)</f>
        <v>1606695.7999999998</v>
      </c>
      <c r="Q162" s="113"/>
      <c r="R162" s="113"/>
      <c r="S162" s="113"/>
      <c r="T162" s="113"/>
    </row>
    <row r="163" spans="1:20" x14ac:dyDescent="0.2">
      <c r="A163" s="65"/>
      <c r="B163" s="5"/>
      <c r="C163" s="67"/>
      <c r="D163" s="5"/>
      <c r="E163" s="3"/>
      <c r="F163" s="5"/>
      <c r="G163" s="93"/>
      <c r="H163" s="5"/>
      <c r="I163" s="3"/>
      <c r="J163" s="5"/>
      <c r="K163" s="3"/>
      <c r="L163" s="94"/>
      <c r="M163" s="97"/>
      <c r="N163" s="103"/>
      <c r="O163" s="104"/>
      <c r="P163" s="41"/>
      <c r="Q163" s="33"/>
      <c r="R163" s="33"/>
    </row>
    <row r="164" spans="1:20" x14ac:dyDescent="0.2">
      <c r="A164" s="16"/>
      <c r="B164" s="17"/>
      <c r="C164" s="2"/>
      <c r="D164" s="17"/>
      <c r="E164" s="17"/>
      <c r="F164" s="17"/>
      <c r="G164" s="17"/>
      <c r="H164" s="17"/>
      <c r="I164" s="17"/>
      <c r="J164" s="17"/>
      <c r="K164" s="17"/>
      <c r="L164" s="18"/>
      <c r="M164" s="66"/>
      <c r="N164" s="19"/>
      <c r="O164" s="18"/>
      <c r="P164" s="20"/>
      <c r="Q164" s="33"/>
      <c r="R164" s="33"/>
    </row>
    <row r="165" spans="1:20" x14ac:dyDescent="0.2">
      <c r="A165" s="115" t="s">
        <v>66</v>
      </c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8"/>
      <c r="M165" s="68"/>
      <c r="N165" s="69"/>
      <c r="O165" s="68"/>
      <c r="P165" s="70"/>
    </row>
    <row r="166" spans="1:20" x14ac:dyDescent="0.2">
      <c r="A166" s="2"/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</row>
    <row r="168" spans="1:20" x14ac:dyDescent="0.2">
      <c r="N168" s="50"/>
      <c r="P168" s="51"/>
    </row>
    <row r="169" spans="1:20" x14ac:dyDescent="0.2">
      <c r="N169" s="50"/>
      <c r="P169" s="51"/>
    </row>
  </sheetData>
  <mergeCells count="3">
    <mergeCell ref="A5:P5"/>
    <mergeCell ref="B166:P166"/>
    <mergeCell ref="A4:P4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50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ii3-2 sitbanquepassif</vt:lpstr>
      <vt:lpstr>'ii3-2 sitbanquepassif'!Print_Area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MUGABEKAZI Stella</cp:lastModifiedBy>
  <cp:lastPrinted>2016-09-14T06:52:58Z</cp:lastPrinted>
  <dcterms:created xsi:type="dcterms:W3CDTF">2000-09-13T05:55:37Z</dcterms:created>
  <dcterms:modified xsi:type="dcterms:W3CDTF">2017-03-09T09:09:02Z</dcterms:modified>
</cp:coreProperties>
</file>