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Statistiques Monnaie et Crédit\Bullmens  (M3) Janvier 2017 francais\"/>
    </mc:Choice>
  </mc:AlternateContent>
  <bookViews>
    <workbookView xWindow="2640" yWindow="2370" windowWidth="6705" windowHeight="2160"/>
  </bookViews>
  <sheets>
    <sheet name="ii5-1sitconso des etsfinactif" sheetId="1" r:id="rId1"/>
  </sheets>
  <definedNames>
    <definedName name="_xlnm.Print_Area" localSheetId="0">'ii5-1sitconso des etsfinactif'!$A$1:$K$256</definedName>
    <definedName name="Zone_impres_MI">'ii5-1sitconso des etsfinactif'!$A$1:$K$16</definedName>
  </definedNames>
  <calcPr calcId="152511"/>
</workbook>
</file>

<file path=xl/calcChain.xml><?xml version="1.0" encoding="utf-8"?>
<calcChain xmlns="http://schemas.openxmlformats.org/spreadsheetml/2006/main">
  <c r="I250" i="1" l="1"/>
  <c r="J250" i="1"/>
  <c r="K248" i="1" l="1"/>
  <c r="J248" i="1"/>
  <c r="D250" i="1"/>
  <c r="C250" i="1"/>
  <c r="B250" i="1"/>
  <c r="K250" i="1" l="1"/>
  <c r="K25" i="1" l="1"/>
  <c r="J25" i="1"/>
  <c r="I25" i="1"/>
  <c r="D25" i="1"/>
  <c r="C25" i="1"/>
  <c r="B25" i="1"/>
  <c r="K209" i="1"/>
  <c r="J209" i="1"/>
  <c r="I209" i="1"/>
  <c r="D209" i="1"/>
  <c r="C209" i="1"/>
  <c r="B209" i="1"/>
  <c r="I248" i="1"/>
  <c r="D248" i="1"/>
  <c r="C248" i="1"/>
  <c r="B248" i="1"/>
  <c r="J247" i="1" l="1"/>
  <c r="I247" i="1"/>
  <c r="D247" i="1"/>
  <c r="K247" i="1" s="1"/>
  <c r="C247" i="1"/>
  <c r="B247" i="1"/>
  <c r="J246" i="1" l="1"/>
  <c r="I246" i="1"/>
  <c r="D246" i="1"/>
  <c r="C246" i="1"/>
  <c r="B246" i="1"/>
  <c r="K246" i="1" s="1"/>
  <c r="J191" i="1" l="1"/>
  <c r="K191" i="1" s="1"/>
  <c r="I191" i="1"/>
  <c r="D191" i="1"/>
  <c r="C191" i="1"/>
  <c r="B191" i="1"/>
  <c r="I245" i="1" l="1"/>
  <c r="J245" i="1" l="1"/>
  <c r="D245" i="1"/>
  <c r="C245" i="1"/>
  <c r="B245" i="1"/>
  <c r="K245" i="1" s="1"/>
  <c r="J244" i="1" l="1"/>
  <c r="I244" i="1"/>
  <c r="D244" i="1"/>
  <c r="C244" i="1"/>
  <c r="B244" i="1"/>
  <c r="K244" i="1" l="1"/>
  <c r="J243" i="1"/>
  <c r="I243" i="1"/>
  <c r="D243" i="1"/>
  <c r="C243" i="1"/>
  <c r="B243" i="1"/>
  <c r="K243" i="1" l="1"/>
  <c r="J49" i="1"/>
  <c r="I49" i="1"/>
  <c r="D49" i="1"/>
  <c r="C49" i="1"/>
  <c r="B49" i="1"/>
  <c r="K49" i="1" s="1"/>
  <c r="J48" i="1"/>
  <c r="I48" i="1"/>
  <c r="C48" i="1"/>
  <c r="B48" i="1"/>
  <c r="K48" i="1" l="1"/>
  <c r="D242" i="1"/>
  <c r="J242" i="1"/>
  <c r="I242" i="1"/>
  <c r="C242" i="1"/>
  <c r="B242" i="1"/>
  <c r="K242" i="1" l="1"/>
  <c r="J241" i="1"/>
  <c r="I241" i="1"/>
  <c r="C241" i="1"/>
  <c r="B241" i="1"/>
  <c r="K241" i="1" l="1"/>
  <c r="J240" i="1" l="1"/>
  <c r="I240" i="1"/>
  <c r="C240" i="1"/>
  <c r="B240" i="1"/>
  <c r="K240" i="1" l="1"/>
  <c r="J239" i="1" l="1"/>
  <c r="I239" i="1"/>
  <c r="C239" i="1"/>
  <c r="B239" i="1"/>
  <c r="K239" i="1" l="1"/>
  <c r="J46" i="1" l="1"/>
  <c r="I46" i="1"/>
  <c r="C46" i="1"/>
  <c r="B46" i="1"/>
  <c r="K46" i="1" s="1"/>
  <c r="J238" i="1" l="1"/>
  <c r="I238" i="1"/>
  <c r="C238" i="1"/>
  <c r="B238" i="1"/>
  <c r="K238" i="1" l="1"/>
  <c r="J237" i="1" l="1"/>
  <c r="I237" i="1"/>
  <c r="C237" i="1"/>
  <c r="B237" i="1"/>
  <c r="J24" i="1" l="1"/>
  <c r="I24" i="1"/>
  <c r="C24" i="1"/>
  <c r="B24" i="1"/>
  <c r="K24" i="1" s="1"/>
  <c r="K237" i="1" l="1"/>
  <c r="J45" i="1" l="1"/>
  <c r="I45" i="1"/>
  <c r="H45" i="1"/>
  <c r="C45" i="1"/>
  <c r="B45" i="1"/>
  <c r="K45" i="1" l="1"/>
  <c r="B235" i="1"/>
  <c r="J235" i="1"/>
  <c r="I235" i="1"/>
  <c r="C235" i="1"/>
  <c r="K235" i="1" l="1"/>
  <c r="J234" i="1" l="1"/>
  <c r="I234" i="1"/>
  <c r="C234" i="1"/>
  <c r="B234" i="1"/>
  <c r="H234" i="1" l="1"/>
  <c r="K234" i="1" l="1"/>
  <c r="J233" i="1" l="1"/>
  <c r="I233" i="1"/>
  <c r="B233" i="1"/>
  <c r="H233" i="1" l="1"/>
  <c r="C233" i="1"/>
  <c r="K233" i="1" s="1"/>
  <c r="J44" i="1" l="1"/>
  <c r="I44" i="1"/>
  <c r="H44" i="1"/>
  <c r="C44" i="1"/>
  <c r="B44" i="1"/>
  <c r="I232" i="1"/>
  <c r="J232" i="1"/>
  <c r="C232" i="1"/>
  <c r="B232" i="1"/>
  <c r="K44" i="1" l="1"/>
  <c r="H232" i="1"/>
  <c r="K232" i="1" s="1"/>
  <c r="J231" i="1" l="1"/>
  <c r="I231" i="1"/>
  <c r="B231" i="1"/>
  <c r="H231" i="1" l="1"/>
  <c r="C231" i="1"/>
  <c r="K231" i="1" s="1"/>
  <c r="J230" i="1" l="1"/>
  <c r="I230" i="1"/>
  <c r="C230" i="1"/>
  <c r="B230" i="1"/>
  <c r="H230" i="1" l="1"/>
  <c r="K230" i="1"/>
  <c r="J229" i="1" l="1"/>
  <c r="I229" i="1"/>
  <c r="B229" i="1"/>
  <c r="C229" i="1"/>
  <c r="J43" i="1" l="1"/>
  <c r="I43" i="1"/>
  <c r="H43" i="1"/>
  <c r="C43" i="1"/>
  <c r="B43" i="1"/>
  <c r="K43" i="1" l="1"/>
  <c r="H229" i="1"/>
  <c r="K229" i="1" s="1"/>
  <c r="J228" i="1" l="1"/>
  <c r="I228" i="1"/>
  <c r="B228" i="1"/>
  <c r="H228" i="1"/>
  <c r="C228" i="1"/>
  <c r="K228" i="1" l="1"/>
  <c r="C227" i="1"/>
  <c r="J227" i="1"/>
  <c r="I227" i="1"/>
  <c r="B227" i="1"/>
  <c r="H227" i="1" l="1"/>
  <c r="K227" i="1"/>
  <c r="C226" i="1" l="1"/>
  <c r="J226" i="1"/>
  <c r="I226" i="1"/>
  <c r="B226" i="1"/>
  <c r="H226" i="1" l="1"/>
  <c r="K226" i="1" s="1"/>
  <c r="J225" i="1" l="1"/>
  <c r="I225" i="1"/>
  <c r="C225" i="1"/>
  <c r="B225" i="1"/>
  <c r="H225" i="1" l="1"/>
  <c r="K225" i="1" s="1"/>
  <c r="C224" i="1" l="1"/>
  <c r="J224" i="1"/>
  <c r="I224" i="1"/>
  <c r="B224" i="1"/>
  <c r="H224" i="1" l="1"/>
  <c r="K224" i="1"/>
  <c r="J23" i="1" l="1"/>
  <c r="I23" i="1"/>
  <c r="H23" i="1"/>
  <c r="C23" i="1"/>
  <c r="B23" i="1"/>
  <c r="K23" i="1" l="1"/>
  <c r="B196" i="1"/>
  <c r="E196" i="1"/>
  <c r="H196" i="1"/>
  <c r="I196" i="1"/>
  <c r="J196" i="1"/>
  <c r="J41" i="1"/>
  <c r="I41" i="1"/>
  <c r="H41" i="1"/>
  <c r="C41" i="1"/>
  <c r="B41" i="1"/>
  <c r="J40" i="1"/>
  <c r="I40" i="1"/>
  <c r="H40" i="1"/>
  <c r="C40" i="1"/>
  <c r="B40" i="1"/>
  <c r="J222" i="1"/>
  <c r="I222" i="1"/>
  <c r="B222" i="1"/>
  <c r="C222" i="1"/>
  <c r="H222" i="1"/>
  <c r="K222" i="1" l="1"/>
  <c r="K196" i="1"/>
  <c r="K40" i="1"/>
  <c r="K41" i="1"/>
  <c r="J221" i="1"/>
  <c r="I221" i="1"/>
  <c r="B221" i="1"/>
  <c r="C221" i="1"/>
  <c r="H221" i="1"/>
  <c r="K221" i="1" l="1"/>
  <c r="J220" i="1"/>
  <c r="I220" i="1"/>
  <c r="B220" i="1"/>
  <c r="C220" i="1"/>
  <c r="I219" i="1"/>
  <c r="H220" i="1"/>
  <c r="K220" i="1" l="1"/>
  <c r="J39" i="1" l="1"/>
  <c r="I39" i="1"/>
  <c r="H39" i="1"/>
  <c r="B39" i="1"/>
  <c r="K39" i="1" s="1"/>
  <c r="J219" i="1" l="1"/>
  <c r="H219" i="1"/>
  <c r="C219" i="1"/>
  <c r="B219" i="1"/>
  <c r="K219" i="1" l="1"/>
  <c r="J218" i="1" l="1"/>
  <c r="I218" i="1"/>
  <c r="B218" i="1"/>
  <c r="K218" i="1" s="1"/>
  <c r="H218" i="1"/>
  <c r="J217" i="1" l="1"/>
  <c r="I217" i="1"/>
  <c r="B217" i="1"/>
  <c r="H217" i="1" l="1"/>
  <c r="K217" i="1"/>
  <c r="J216" i="1" l="1"/>
  <c r="I216" i="1"/>
  <c r="B216" i="1"/>
  <c r="H216" i="1"/>
  <c r="J38" i="1" l="1"/>
  <c r="I38" i="1"/>
  <c r="H38" i="1"/>
  <c r="B38" i="1"/>
  <c r="K216" i="1"/>
  <c r="K38" i="1" l="1"/>
  <c r="J215" i="1"/>
  <c r="I215" i="1"/>
  <c r="B215" i="1"/>
  <c r="H215" i="1"/>
  <c r="K215" i="1" l="1"/>
  <c r="J214" i="1" l="1"/>
  <c r="I214" i="1"/>
  <c r="B214" i="1"/>
  <c r="H214" i="1"/>
  <c r="K214" i="1" l="1"/>
  <c r="B36" i="1" l="1"/>
  <c r="K36" i="1" s="1"/>
  <c r="J35" i="1"/>
  <c r="I35" i="1"/>
  <c r="H35" i="1"/>
  <c r="C35" i="1"/>
  <c r="B35" i="1"/>
  <c r="J213" i="1"/>
  <c r="I213" i="1"/>
  <c r="B213" i="1"/>
  <c r="H213" i="1"/>
  <c r="K35" i="1" l="1"/>
  <c r="K213" i="1"/>
  <c r="J212" i="1" l="1"/>
  <c r="I212" i="1"/>
  <c r="H212" i="1"/>
  <c r="B212" i="1"/>
  <c r="I211" i="1"/>
  <c r="K212" i="1" l="1"/>
  <c r="B22" i="1" l="1"/>
  <c r="K22" i="1" s="1"/>
  <c r="B211" i="1"/>
  <c r="K211" i="1" s="1"/>
  <c r="B208" i="1"/>
  <c r="K208" i="1" s="1"/>
  <c r="B207" i="1"/>
  <c r="K207" i="1" s="1"/>
  <c r="J206" i="1" l="1"/>
  <c r="I206" i="1"/>
  <c r="B206" i="1"/>
  <c r="J34" i="1" l="1"/>
  <c r="I34" i="1"/>
  <c r="H34" i="1"/>
  <c r="E34" i="1"/>
  <c r="D34" i="1"/>
  <c r="C34" i="1"/>
  <c r="B34" i="1"/>
  <c r="H206" i="1"/>
  <c r="C206" i="1"/>
  <c r="K206" i="1" l="1"/>
  <c r="K34" i="1"/>
  <c r="J205" i="1"/>
  <c r="I205" i="1"/>
  <c r="C205" i="1"/>
  <c r="B205" i="1"/>
  <c r="H205" i="1"/>
  <c r="E205" i="1" l="1"/>
  <c r="K205" i="1" s="1"/>
  <c r="J204" i="1" l="1"/>
  <c r="I204" i="1"/>
  <c r="H204" i="1"/>
  <c r="C204" i="1"/>
  <c r="B204" i="1"/>
  <c r="E204" i="1" l="1"/>
  <c r="K204" i="1" s="1"/>
  <c r="J203" i="1" l="1"/>
  <c r="I203" i="1"/>
  <c r="H203" i="1"/>
  <c r="E203" i="1"/>
  <c r="B203" i="1"/>
  <c r="K203" i="1" l="1"/>
  <c r="I202" i="1" l="1"/>
  <c r="J202" i="1"/>
  <c r="H202" i="1"/>
  <c r="B202" i="1"/>
  <c r="E202" i="1" l="1"/>
  <c r="C202" i="1"/>
  <c r="K202" i="1" l="1"/>
  <c r="C201" i="1"/>
  <c r="J201" i="1"/>
  <c r="I201" i="1"/>
  <c r="H201" i="1"/>
  <c r="B201" i="1"/>
  <c r="E201" i="1" l="1"/>
  <c r="K201" i="1" s="1"/>
  <c r="I200" i="1" l="1"/>
  <c r="J200" i="1"/>
  <c r="H200" i="1"/>
  <c r="B200" i="1"/>
  <c r="E200" i="1" l="1"/>
  <c r="C200" i="1"/>
  <c r="K200" i="1" l="1"/>
  <c r="J199" i="1"/>
  <c r="I199" i="1"/>
  <c r="B199" i="1"/>
  <c r="H199" i="1"/>
  <c r="E199" i="1" l="1"/>
  <c r="C199" i="1"/>
  <c r="K199" i="1" l="1"/>
  <c r="J198" i="1"/>
  <c r="I198" i="1"/>
  <c r="H198" i="1"/>
  <c r="B198" i="1"/>
  <c r="E198" i="1"/>
  <c r="J21" i="1" l="1"/>
  <c r="I21" i="1"/>
  <c r="H21" i="1"/>
  <c r="E21" i="1"/>
  <c r="C21" i="1"/>
  <c r="B21" i="1"/>
  <c r="K21" i="1" l="1"/>
  <c r="C198" i="1"/>
  <c r="K198" i="1" s="1"/>
  <c r="J32" i="1" l="1"/>
  <c r="I32" i="1"/>
  <c r="H32" i="1"/>
  <c r="E32" i="1"/>
  <c r="C32" i="1"/>
  <c r="B32" i="1"/>
  <c r="K32" i="1" l="1"/>
  <c r="C197" i="1"/>
  <c r="J197" i="1"/>
  <c r="I197" i="1"/>
  <c r="H197" i="1"/>
  <c r="B197" i="1"/>
  <c r="E197" i="1" l="1"/>
  <c r="K197" i="1" s="1"/>
  <c r="H195" i="1" l="1"/>
  <c r="I195" i="1"/>
  <c r="J195" i="1"/>
  <c r="B195" i="1"/>
  <c r="E195" i="1"/>
  <c r="D195" i="1"/>
  <c r="K195" i="1" l="1"/>
  <c r="J194" i="1" l="1"/>
  <c r="I194" i="1"/>
  <c r="H194" i="1"/>
  <c r="B194" i="1"/>
  <c r="E194" i="1" l="1"/>
  <c r="D194" i="1"/>
  <c r="K194" i="1" l="1"/>
  <c r="H193" i="1"/>
  <c r="J193" i="1"/>
  <c r="I193" i="1"/>
  <c r="B193" i="1"/>
  <c r="E193" i="1" l="1"/>
  <c r="D193" i="1"/>
  <c r="K193" i="1" l="1"/>
  <c r="J192" i="1"/>
  <c r="I192" i="1"/>
  <c r="H192" i="1"/>
  <c r="B192" i="1"/>
  <c r="E192" i="1" l="1"/>
  <c r="D192" i="1"/>
  <c r="K192" i="1" l="1"/>
  <c r="J190" i="1"/>
  <c r="I190" i="1"/>
  <c r="H190" i="1"/>
  <c r="B190" i="1"/>
  <c r="E190" i="1"/>
  <c r="D190" i="1" l="1"/>
  <c r="K190" i="1" s="1"/>
  <c r="J189" i="1" l="1"/>
  <c r="I189" i="1"/>
  <c r="H189" i="1"/>
  <c r="B189" i="1"/>
  <c r="E189" i="1" l="1"/>
  <c r="D189" i="1"/>
  <c r="K189" i="1" l="1"/>
  <c r="H188" i="1"/>
  <c r="J188" i="1"/>
  <c r="I188" i="1"/>
  <c r="B188" i="1"/>
  <c r="E188" i="1"/>
  <c r="D188" i="1" l="1"/>
  <c r="K188" i="1" s="1"/>
  <c r="J187" i="1" l="1"/>
  <c r="I187" i="1"/>
  <c r="H187" i="1"/>
  <c r="B187" i="1"/>
  <c r="E187" i="1"/>
  <c r="D187" i="1" l="1"/>
  <c r="K187" i="1" s="1"/>
  <c r="J186" i="1" l="1"/>
  <c r="I186" i="1"/>
  <c r="H186" i="1"/>
  <c r="B186" i="1"/>
  <c r="E186" i="1" l="1"/>
  <c r="D186" i="1"/>
  <c r="K186" i="1" l="1"/>
  <c r="H185" i="1"/>
  <c r="J185" i="1"/>
  <c r="I185" i="1"/>
  <c r="B185" i="1"/>
  <c r="E185" i="1"/>
  <c r="D185" i="1" l="1"/>
  <c r="K185" i="1" s="1"/>
  <c r="J20" i="1" l="1"/>
  <c r="I20" i="1"/>
  <c r="H20" i="1"/>
  <c r="E20" i="1"/>
  <c r="D20" i="1"/>
  <c r="B20" i="1"/>
  <c r="K20" i="1" l="1"/>
  <c r="J183" i="1"/>
  <c r="I183" i="1"/>
  <c r="H183" i="1"/>
  <c r="B183" i="1"/>
  <c r="E183" i="1"/>
  <c r="D183" i="1" l="1"/>
  <c r="K183" i="1" l="1"/>
  <c r="J182" i="1" l="1"/>
  <c r="I182" i="1"/>
  <c r="H182" i="1"/>
  <c r="B182" i="1"/>
  <c r="E182" i="1"/>
  <c r="D182" i="1" l="1"/>
  <c r="K182" i="1" s="1"/>
  <c r="I181" i="1" l="1"/>
  <c r="J181" i="1"/>
  <c r="H181" i="1"/>
  <c r="E181" i="1"/>
  <c r="D181" i="1"/>
  <c r="B181" i="1"/>
  <c r="K181" i="1" l="1"/>
  <c r="J180" i="1"/>
  <c r="I180" i="1"/>
  <c r="H180" i="1"/>
  <c r="B180" i="1"/>
  <c r="E180" i="1"/>
  <c r="D180" i="1" l="1"/>
  <c r="K180" i="1" s="1"/>
  <c r="J179" i="1" l="1"/>
  <c r="I179" i="1"/>
  <c r="H179" i="1"/>
  <c r="B179" i="1"/>
  <c r="E179" i="1" l="1"/>
  <c r="D179" i="1"/>
  <c r="K179" i="1" l="1"/>
  <c r="J178" i="1"/>
  <c r="I178" i="1"/>
  <c r="H178" i="1"/>
  <c r="B178" i="1"/>
  <c r="E178" i="1" l="1"/>
  <c r="D178" i="1"/>
  <c r="K178" i="1" l="1"/>
  <c r="J177" i="1" l="1"/>
  <c r="I177" i="1"/>
  <c r="B177" i="1"/>
  <c r="E177" i="1"/>
  <c r="H177" i="1"/>
  <c r="D177" i="1" l="1"/>
  <c r="K177" i="1" s="1"/>
  <c r="J176" i="1" l="1"/>
  <c r="I176" i="1"/>
  <c r="H176" i="1"/>
  <c r="B176" i="1"/>
  <c r="E176" i="1" l="1"/>
  <c r="D176" i="1"/>
  <c r="K176" i="1" l="1"/>
  <c r="J175" i="1"/>
  <c r="I175" i="1"/>
  <c r="B175" i="1"/>
  <c r="H175" i="1"/>
  <c r="E175" i="1" l="1"/>
  <c r="D175" i="1"/>
  <c r="K175" i="1" l="1"/>
  <c r="I174" i="1"/>
  <c r="J174" i="1"/>
  <c r="H174" i="1"/>
  <c r="B174" i="1"/>
  <c r="E174" i="1" l="1"/>
  <c r="D174" i="1"/>
  <c r="K174" i="1" l="1"/>
  <c r="J173" i="1"/>
  <c r="I173" i="1"/>
  <c r="H173" i="1"/>
  <c r="B173" i="1"/>
  <c r="E173" i="1"/>
  <c r="D173" i="1" l="1"/>
  <c r="K173" i="1" s="1"/>
  <c r="I172" i="1" l="1"/>
  <c r="J172" i="1"/>
  <c r="H172" i="1"/>
  <c r="B172" i="1"/>
  <c r="E172" i="1" l="1"/>
  <c r="D172" i="1"/>
  <c r="K172" i="1" l="1"/>
  <c r="J28" i="1"/>
  <c r="I28" i="1"/>
  <c r="H28" i="1"/>
  <c r="E28" i="1"/>
  <c r="D28" i="1"/>
  <c r="B28" i="1"/>
  <c r="K28" i="1" l="1"/>
  <c r="J19" i="1"/>
  <c r="I19" i="1"/>
  <c r="H19" i="1"/>
  <c r="E19" i="1"/>
  <c r="D19" i="1"/>
  <c r="B19" i="1"/>
  <c r="K19" i="1" l="1"/>
  <c r="I169" i="1"/>
  <c r="J169" i="1"/>
  <c r="H169" i="1"/>
  <c r="B169" i="1"/>
  <c r="E169" i="1"/>
  <c r="D169" i="1" l="1"/>
  <c r="K169" i="1" s="1"/>
  <c r="B168" i="1" l="1"/>
  <c r="J168" i="1"/>
  <c r="I168" i="1"/>
  <c r="H168" i="1"/>
  <c r="E168" i="1"/>
  <c r="D168" i="1" l="1"/>
  <c r="K168" i="1" s="1"/>
  <c r="H167" i="1" l="1"/>
  <c r="J167" i="1"/>
  <c r="I167" i="1"/>
  <c r="E167" i="1"/>
  <c r="B167" i="1"/>
  <c r="D167" i="1"/>
  <c r="K167" i="1" l="1"/>
  <c r="J166" i="1"/>
  <c r="I166" i="1"/>
  <c r="H166" i="1"/>
  <c r="B166" i="1"/>
  <c r="E166" i="1"/>
  <c r="D166" i="1"/>
  <c r="J165" i="1"/>
  <c r="I165" i="1"/>
  <c r="H165" i="1"/>
  <c r="E165" i="1"/>
  <c r="B165" i="1"/>
  <c r="D165" i="1"/>
  <c r="J164" i="1"/>
  <c r="I164" i="1"/>
  <c r="H164" i="1"/>
  <c r="B164" i="1"/>
  <c r="E164" i="1"/>
  <c r="D164" i="1"/>
  <c r="B27" i="1"/>
  <c r="D27" i="1"/>
  <c r="E27" i="1"/>
  <c r="H27" i="1"/>
  <c r="I27" i="1"/>
  <c r="J27" i="1"/>
  <c r="J163" i="1"/>
  <c r="I163" i="1"/>
  <c r="H163" i="1"/>
  <c r="B163" i="1"/>
  <c r="E163" i="1"/>
  <c r="D163" i="1"/>
  <c r="H162" i="1"/>
  <c r="J162" i="1"/>
  <c r="I162" i="1"/>
  <c r="B162" i="1"/>
  <c r="D162" i="1"/>
  <c r="E162" i="1"/>
  <c r="J161" i="1"/>
  <c r="I161" i="1"/>
  <c r="H161" i="1"/>
  <c r="B161" i="1"/>
  <c r="E161" i="1"/>
  <c r="D161" i="1"/>
  <c r="J160" i="1"/>
  <c r="I160" i="1"/>
  <c r="H160" i="1"/>
  <c r="B160" i="1"/>
  <c r="E160" i="1"/>
  <c r="D160" i="1"/>
  <c r="J159" i="1"/>
  <c r="I159" i="1"/>
  <c r="H159" i="1"/>
  <c r="B159" i="1"/>
  <c r="E159" i="1"/>
  <c r="D159" i="1"/>
  <c r="B18" i="1"/>
  <c r="D18" i="1"/>
  <c r="E18" i="1"/>
  <c r="H18" i="1"/>
  <c r="I18" i="1"/>
  <c r="J18" i="1"/>
  <c r="J158" i="1"/>
  <c r="I158" i="1"/>
  <c r="H158" i="1"/>
  <c r="B158" i="1"/>
  <c r="E158" i="1"/>
  <c r="D158" i="1"/>
  <c r="B156" i="1"/>
  <c r="D156" i="1"/>
  <c r="E156" i="1"/>
  <c r="H156" i="1"/>
  <c r="I156" i="1"/>
  <c r="J156" i="1"/>
  <c r="J155" i="1"/>
  <c r="I155" i="1"/>
  <c r="H155" i="1"/>
  <c r="B155" i="1"/>
  <c r="E155" i="1"/>
  <c r="D155" i="1"/>
  <c r="J154" i="1"/>
  <c r="I154" i="1"/>
  <c r="H154" i="1"/>
  <c r="B154" i="1"/>
  <c r="E154" i="1"/>
  <c r="E152" i="1"/>
  <c r="D154" i="1"/>
  <c r="J153" i="1"/>
  <c r="I153" i="1"/>
  <c r="H153" i="1"/>
  <c r="B153" i="1"/>
  <c r="E153" i="1"/>
  <c r="D153" i="1"/>
  <c r="J152" i="1"/>
  <c r="I152" i="1"/>
  <c r="H152" i="1"/>
  <c r="B152" i="1"/>
  <c r="D152" i="1"/>
  <c r="J151" i="1"/>
  <c r="I151" i="1"/>
  <c r="H151" i="1"/>
  <c r="B151" i="1"/>
  <c r="D151" i="1"/>
  <c r="E151" i="1"/>
  <c r="J150" i="1"/>
  <c r="I150" i="1"/>
  <c r="H150" i="1"/>
  <c r="B150" i="1"/>
  <c r="D150" i="1"/>
  <c r="E150" i="1"/>
  <c r="J149" i="1"/>
  <c r="I149" i="1"/>
  <c r="H149" i="1"/>
  <c r="B149" i="1"/>
  <c r="D149" i="1"/>
  <c r="E149" i="1"/>
  <c r="J148" i="1"/>
  <c r="I148" i="1"/>
  <c r="H148" i="1"/>
  <c r="B148" i="1"/>
  <c r="D148" i="1"/>
  <c r="E148" i="1"/>
  <c r="J147" i="1"/>
  <c r="I147" i="1"/>
  <c r="H147" i="1"/>
  <c r="E147" i="1"/>
  <c r="B147" i="1"/>
  <c r="D147" i="1"/>
  <c r="J146" i="1"/>
  <c r="I146" i="1"/>
  <c r="H146" i="1"/>
  <c r="E146" i="1"/>
  <c r="B146" i="1"/>
  <c r="D146" i="1"/>
  <c r="J145" i="1"/>
  <c r="I145" i="1"/>
  <c r="B145" i="1"/>
  <c r="E145" i="1"/>
  <c r="H145" i="1"/>
  <c r="D145" i="1"/>
  <c r="B17" i="1"/>
  <c r="D17" i="1"/>
  <c r="E17" i="1"/>
  <c r="H17" i="1"/>
  <c r="I17" i="1"/>
  <c r="J17" i="1"/>
  <c r="J143" i="1"/>
  <c r="I143" i="1"/>
  <c r="H143" i="1"/>
  <c r="B143" i="1"/>
  <c r="E143" i="1"/>
  <c r="D143" i="1"/>
  <c r="J142" i="1"/>
  <c r="I142" i="1"/>
  <c r="I141" i="1"/>
  <c r="H142" i="1"/>
  <c r="E142" i="1"/>
  <c r="D142" i="1"/>
  <c r="B142" i="1"/>
  <c r="G142" i="1"/>
  <c r="C142" i="1"/>
  <c r="K80" i="1"/>
  <c r="K79" i="1"/>
  <c r="K83" i="1"/>
  <c r="K84" i="1"/>
  <c r="K90" i="1"/>
  <c r="K82" i="1"/>
  <c r="K81" i="1"/>
  <c r="B51" i="1"/>
  <c r="C51" i="1"/>
  <c r="D51" i="1"/>
  <c r="E51" i="1"/>
  <c r="G51" i="1"/>
  <c r="H51" i="1"/>
  <c r="I51" i="1"/>
  <c r="J51" i="1"/>
  <c r="B52" i="1"/>
  <c r="C52" i="1"/>
  <c r="D52" i="1"/>
  <c r="E52" i="1"/>
  <c r="F52" i="1"/>
  <c r="G52" i="1"/>
  <c r="H52" i="1"/>
  <c r="I52" i="1"/>
  <c r="J52" i="1"/>
  <c r="B53" i="1"/>
  <c r="C53" i="1"/>
  <c r="D53" i="1"/>
  <c r="E53" i="1"/>
  <c r="F53" i="1"/>
  <c r="G53" i="1"/>
  <c r="H53" i="1"/>
  <c r="J53" i="1"/>
  <c r="B54" i="1"/>
  <c r="C54" i="1"/>
  <c r="D54" i="1"/>
  <c r="E54" i="1"/>
  <c r="F54" i="1"/>
  <c r="G54" i="1"/>
  <c r="H54" i="1"/>
  <c r="I54" i="1"/>
  <c r="J54" i="1"/>
  <c r="B55" i="1"/>
  <c r="C55" i="1"/>
  <c r="D55" i="1"/>
  <c r="E55" i="1"/>
  <c r="F55" i="1"/>
  <c r="G55" i="1"/>
  <c r="H55" i="1"/>
  <c r="I55" i="1"/>
  <c r="J55" i="1"/>
  <c r="K85" i="1"/>
  <c r="K86" i="1"/>
  <c r="K87" i="1"/>
  <c r="K88" i="1"/>
  <c r="C141" i="1"/>
  <c r="J141" i="1"/>
  <c r="H141" i="1"/>
  <c r="B141" i="1"/>
  <c r="E141" i="1"/>
  <c r="J140" i="1"/>
  <c r="I140" i="1"/>
  <c r="C140" i="1"/>
  <c r="B140" i="1"/>
  <c r="H140" i="1"/>
  <c r="E140" i="1"/>
  <c r="J139" i="1"/>
  <c r="I139" i="1"/>
  <c r="H139" i="1"/>
  <c r="C139" i="1"/>
  <c r="B139" i="1"/>
  <c r="E139" i="1"/>
  <c r="C138" i="1"/>
  <c r="J138" i="1"/>
  <c r="I138" i="1"/>
  <c r="H138" i="1"/>
  <c r="E138" i="1"/>
  <c r="B138" i="1"/>
  <c r="E137" i="1"/>
  <c r="K137" i="1" s="1"/>
  <c r="J136" i="1"/>
  <c r="I136" i="1"/>
  <c r="H136" i="1"/>
  <c r="E136" i="1"/>
  <c r="B136" i="1"/>
  <c r="C136" i="1"/>
  <c r="J135" i="1"/>
  <c r="I135" i="1"/>
  <c r="H135" i="1"/>
  <c r="E135" i="1"/>
  <c r="C135" i="1"/>
  <c r="B135" i="1"/>
  <c r="G135" i="1"/>
  <c r="J134" i="1"/>
  <c r="I134" i="1"/>
  <c r="H134" i="1"/>
  <c r="E134" i="1"/>
  <c r="C134" i="1"/>
  <c r="B134" i="1"/>
  <c r="G134" i="1"/>
  <c r="J133" i="1"/>
  <c r="I133" i="1"/>
  <c r="H133" i="1"/>
  <c r="E133" i="1"/>
  <c r="B133" i="1"/>
  <c r="C133" i="1"/>
  <c r="J132" i="1"/>
  <c r="I132" i="1"/>
  <c r="H132" i="1"/>
  <c r="B132" i="1"/>
  <c r="C132" i="1"/>
  <c r="J130" i="1"/>
  <c r="I130" i="1"/>
  <c r="H130" i="1"/>
  <c r="B130" i="1"/>
  <c r="C130" i="1"/>
  <c r="G130" i="1"/>
  <c r="B129" i="1"/>
  <c r="C129" i="1"/>
  <c r="G129" i="1"/>
  <c r="H129" i="1"/>
  <c r="I129" i="1"/>
  <c r="J129" i="1"/>
  <c r="J128" i="1"/>
  <c r="I128" i="1"/>
  <c r="H128" i="1"/>
  <c r="B128" i="1"/>
  <c r="G128" i="1"/>
  <c r="J127" i="1"/>
  <c r="I127" i="1"/>
  <c r="H127" i="1"/>
  <c r="B127" i="1"/>
  <c r="G127" i="1"/>
  <c r="J126" i="1"/>
  <c r="I126" i="1"/>
  <c r="H126" i="1"/>
  <c r="B126" i="1"/>
  <c r="G126" i="1"/>
  <c r="J125" i="1"/>
  <c r="I125" i="1"/>
  <c r="H125" i="1"/>
  <c r="B125" i="1"/>
  <c r="G125" i="1"/>
  <c r="J124" i="1"/>
  <c r="I124" i="1"/>
  <c r="H124" i="1"/>
  <c r="B124" i="1"/>
  <c r="G124" i="1"/>
  <c r="G123" i="1"/>
  <c r="J123" i="1"/>
  <c r="I123" i="1"/>
  <c r="H123" i="1"/>
  <c r="B123" i="1"/>
  <c r="J122" i="1"/>
  <c r="I122" i="1"/>
  <c r="B122" i="1"/>
  <c r="H122" i="1"/>
  <c r="J121" i="1"/>
  <c r="I121" i="1"/>
  <c r="H121" i="1"/>
  <c r="B121" i="1"/>
  <c r="G121" i="1"/>
  <c r="J120" i="1"/>
  <c r="I120" i="1"/>
  <c r="H120" i="1"/>
  <c r="B120" i="1"/>
  <c r="G120" i="1"/>
  <c r="G119" i="1"/>
  <c r="J119" i="1"/>
  <c r="I119" i="1"/>
  <c r="H119" i="1"/>
  <c r="B119" i="1"/>
  <c r="J117" i="1"/>
  <c r="I117" i="1"/>
  <c r="H117" i="1"/>
  <c r="G117" i="1"/>
  <c r="B117" i="1"/>
  <c r="J116" i="1"/>
  <c r="I116" i="1"/>
  <c r="H116" i="1"/>
  <c r="B116" i="1"/>
  <c r="G116" i="1"/>
  <c r="J115" i="1"/>
  <c r="I115" i="1"/>
  <c r="H115" i="1"/>
  <c r="B115" i="1"/>
  <c r="G115" i="1"/>
  <c r="J114" i="1"/>
  <c r="I114" i="1"/>
  <c r="H114" i="1"/>
  <c r="B114" i="1"/>
  <c r="G114" i="1"/>
  <c r="B113" i="1"/>
  <c r="G113" i="1"/>
  <c r="H113" i="1"/>
  <c r="J113" i="1"/>
  <c r="I113" i="1"/>
  <c r="J112" i="1"/>
  <c r="I112" i="1"/>
  <c r="H112" i="1"/>
  <c r="B112" i="1"/>
  <c r="G112" i="1"/>
  <c r="G110" i="1"/>
  <c r="J110" i="1"/>
  <c r="I110" i="1"/>
  <c r="H110" i="1"/>
  <c r="J111" i="1"/>
  <c r="I111" i="1"/>
  <c r="H111" i="1"/>
  <c r="C111" i="1"/>
  <c r="B111" i="1"/>
  <c r="G111" i="1"/>
  <c r="C110" i="1"/>
  <c r="B110" i="1"/>
  <c r="J109" i="1"/>
  <c r="I109" i="1"/>
  <c r="G109" i="1"/>
  <c r="B109" i="1"/>
  <c r="H109" i="1"/>
  <c r="C109" i="1"/>
  <c r="J108" i="1"/>
  <c r="I108" i="1"/>
  <c r="G108" i="1"/>
  <c r="B108" i="1"/>
  <c r="H108" i="1"/>
  <c r="C108" i="1"/>
  <c r="J107" i="1"/>
  <c r="I107" i="1"/>
  <c r="H107" i="1"/>
  <c r="B107" i="1"/>
  <c r="G107" i="1"/>
  <c r="C107" i="1"/>
  <c r="J106" i="1"/>
  <c r="I106" i="1"/>
  <c r="H106" i="1"/>
  <c r="C106" i="1"/>
  <c r="B106" i="1"/>
  <c r="G106" i="1"/>
  <c r="J104" i="1"/>
  <c r="I104" i="1"/>
  <c r="H104" i="1"/>
  <c r="C104" i="1"/>
  <c r="B104" i="1"/>
  <c r="E104" i="1"/>
  <c r="G104" i="1"/>
  <c r="J103" i="1"/>
  <c r="I103" i="1"/>
  <c r="G103" i="1"/>
  <c r="C103" i="1"/>
  <c r="B103" i="1"/>
  <c r="H103" i="1"/>
  <c r="E103" i="1"/>
  <c r="J102" i="1"/>
  <c r="I102" i="1"/>
  <c r="H102" i="1"/>
  <c r="G102" i="1"/>
  <c r="E102" i="1"/>
  <c r="C102" i="1"/>
  <c r="B102" i="1"/>
  <c r="J101" i="1"/>
  <c r="I101" i="1"/>
  <c r="H101" i="1"/>
  <c r="G101" i="1"/>
  <c r="B101" i="1"/>
  <c r="E101" i="1"/>
  <c r="J100" i="1"/>
  <c r="I100" i="1"/>
  <c r="H100" i="1"/>
  <c r="E100" i="1"/>
  <c r="B100" i="1"/>
  <c r="G100" i="1"/>
  <c r="F100" i="1"/>
  <c r="J99" i="1"/>
  <c r="I99" i="1"/>
  <c r="H99" i="1"/>
  <c r="G99" i="1"/>
  <c r="F99" i="1"/>
  <c r="E99" i="1"/>
  <c r="B99" i="1"/>
  <c r="J98" i="1"/>
  <c r="I98" i="1"/>
  <c r="H98" i="1"/>
  <c r="G98" i="1"/>
  <c r="B98" i="1"/>
  <c r="E98" i="1"/>
  <c r="F98" i="1"/>
  <c r="J97" i="1"/>
  <c r="I97" i="1"/>
  <c r="H97" i="1"/>
  <c r="G97" i="1"/>
  <c r="E97" i="1"/>
  <c r="B97" i="1"/>
  <c r="F97" i="1"/>
  <c r="J96" i="1"/>
  <c r="I96" i="1"/>
  <c r="H96" i="1"/>
  <c r="E96" i="1"/>
  <c r="B96" i="1"/>
  <c r="G96" i="1"/>
  <c r="F96" i="1"/>
  <c r="J95" i="1"/>
  <c r="I95" i="1"/>
  <c r="H95" i="1"/>
  <c r="G95" i="1"/>
  <c r="E95" i="1"/>
  <c r="B95" i="1"/>
  <c r="J94" i="1"/>
  <c r="F95" i="1"/>
  <c r="I94" i="1"/>
  <c r="G94" i="1"/>
  <c r="F94" i="1"/>
  <c r="E94" i="1"/>
  <c r="B94" i="1"/>
  <c r="H94" i="1"/>
  <c r="J93" i="1"/>
  <c r="I93" i="1"/>
  <c r="H93" i="1"/>
  <c r="G93" i="1"/>
  <c r="F93" i="1"/>
  <c r="E93" i="1"/>
  <c r="B93" i="1"/>
  <c r="K89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B71" i="1"/>
  <c r="C71" i="1"/>
  <c r="D71" i="1"/>
  <c r="E71" i="1"/>
  <c r="F71" i="1"/>
  <c r="G71" i="1"/>
  <c r="H71" i="1"/>
  <c r="I71" i="1"/>
  <c r="J71" i="1"/>
  <c r="K72" i="1"/>
  <c r="B73" i="1"/>
  <c r="E73" i="1"/>
  <c r="F73" i="1"/>
  <c r="G73" i="1"/>
  <c r="H73" i="1"/>
  <c r="I73" i="1"/>
  <c r="J73" i="1"/>
  <c r="B74" i="1"/>
  <c r="E74" i="1"/>
  <c r="F74" i="1"/>
  <c r="G74" i="1"/>
  <c r="H74" i="1"/>
  <c r="I74" i="1"/>
  <c r="J74" i="1"/>
  <c r="B56" i="1"/>
  <c r="C56" i="1"/>
  <c r="D56" i="1"/>
  <c r="E56" i="1"/>
  <c r="F56" i="1"/>
  <c r="G56" i="1"/>
  <c r="H56" i="1"/>
  <c r="I56" i="1"/>
  <c r="J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76" i="1"/>
  <c r="C76" i="1"/>
  <c r="E76" i="1"/>
  <c r="G76" i="1"/>
  <c r="H76" i="1"/>
  <c r="I76" i="1"/>
  <c r="J76" i="1"/>
  <c r="F76" i="1"/>
  <c r="J75" i="1"/>
  <c r="I75" i="1"/>
  <c r="H75" i="1"/>
  <c r="G75" i="1"/>
  <c r="C75" i="1"/>
  <c r="B75" i="1"/>
  <c r="E75" i="1"/>
  <c r="F75" i="1"/>
  <c r="J62" i="1"/>
  <c r="I62" i="1"/>
  <c r="B62" i="1"/>
  <c r="H62" i="1"/>
  <c r="G62" i="1"/>
  <c r="F62" i="1"/>
  <c r="E62" i="1"/>
  <c r="C62" i="1"/>
  <c r="D62" i="1"/>
  <c r="K132" i="1" l="1"/>
  <c r="K140" i="1"/>
  <c r="K54" i="1"/>
  <c r="K133" i="1"/>
  <c r="K55" i="1"/>
  <c r="K53" i="1"/>
  <c r="K96" i="1"/>
  <c r="K98" i="1"/>
  <c r="K150" i="1"/>
  <c r="K155" i="1"/>
  <c r="K57" i="1"/>
  <c r="K97" i="1"/>
  <c r="K109" i="1"/>
  <c r="K123" i="1"/>
  <c r="K125" i="1"/>
  <c r="K127" i="1"/>
  <c r="K138" i="1"/>
  <c r="K154" i="1"/>
  <c r="K61" i="1"/>
  <c r="K59" i="1"/>
  <c r="K74" i="1"/>
  <c r="K18" i="1"/>
  <c r="K62" i="1"/>
  <c r="K75" i="1"/>
  <c r="K76" i="1"/>
  <c r="K60" i="1"/>
  <c r="K58" i="1"/>
  <c r="K56" i="1"/>
  <c r="K73" i="1"/>
  <c r="K99" i="1"/>
  <c r="K101" i="1"/>
  <c r="K102" i="1"/>
  <c r="K147" i="1"/>
  <c r="K27" i="1"/>
  <c r="K165" i="1"/>
  <c r="K166" i="1"/>
  <c r="K94" i="1"/>
  <c r="K107" i="1"/>
  <c r="K129" i="1"/>
  <c r="K148" i="1"/>
  <c r="K153" i="1"/>
  <c r="K160" i="1"/>
  <c r="K93" i="1"/>
  <c r="K100" i="1"/>
  <c r="K111" i="1"/>
  <c r="K112" i="1"/>
  <c r="K114" i="1"/>
  <c r="K116" i="1"/>
  <c r="K119" i="1"/>
  <c r="K121" i="1"/>
  <c r="K124" i="1"/>
  <c r="K126" i="1"/>
  <c r="K128" i="1"/>
  <c r="K145" i="1"/>
  <c r="K146" i="1"/>
  <c r="K152" i="1"/>
  <c r="K163" i="1"/>
  <c r="K71" i="1"/>
  <c r="K69" i="1"/>
  <c r="K67" i="1"/>
  <c r="K65" i="1"/>
  <c r="K104" i="1"/>
  <c r="K108" i="1"/>
  <c r="K130" i="1"/>
  <c r="K135" i="1"/>
  <c r="K139" i="1"/>
  <c r="K51" i="1"/>
  <c r="K143" i="1"/>
  <c r="K149" i="1"/>
  <c r="K158" i="1"/>
  <c r="K161" i="1"/>
  <c r="K70" i="1"/>
  <c r="K68" i="1"/>
  <c r="K66" i="1"/>
  <c r="K95" i="1"/>
  <c r="K103" i="1"/>
  <c r="K106" i="1"/>
  <c r="K110" i="1"/>
  <c r="K113" i="1"/>
  <c r="K115" i="1"/>
  <c r="K117" i="1"/>
  <c r="K120" i="1"/>
  <c r="K122" i="1"/>
  <c r="K134" i="1"/>
  <c r="K136" i="1"/>
  <c r="K141" i="1"/>
  <c r="K52" i="1"/>
  <c r="K142" i="1"/>
  <c r="K17" i="1"/>
  <c r="K151" i="1"/>
  <c r="K156" i="1"/>
  <c r="K159" i="1"/>
  <c r="K162" i="1"/>
  <c r="K164" i="1"/>
</calcChain>
</file>

<file path=xl/sharedStrings.xml><?xml version="1.0" encoding="utf-8"?>
<sst xmlns="http://schemas.openxmlformats.org/spreadsheetml/2006/main" count="484" uniqueCount="114">
  <si>
    <t>ACTIF</t>
  </si>
  <si>
    <t xml:space="preserve"> </t>
  </si>
  <si>
    <t>Réserves</t>
  </si>
  <si>
    <t>Autres</t>
  </si>
  <si>
    <t>Créances</t>
  </si>
  <si>
    <t xml:space="preserve">Créances </t>
  </si>
  <si>
    <t>TOTAL</t>
  </si>
  <si>
    <t>créances</t>
  </si>
  <si>
    <t>sur les</t>
  </si>
  <si>
    <t>sur</t>
  </si>
  <si>
    <t>sur le</t>
  </si>
  <si>
    <t>actifs</t>
  </si>
  <si>
    <t>sur le secteur</t>
  </si>
  <si>
    <t xml:space="preserve">autres </t>
  </si>
  <si>
    <t>admini-</t>
  </si>
  <si>
    <t>agences</t>
  </si>
  <si>
    <t xml:space="preserve">   secteur</t>
  </si>
  <si>
    <t>bancaire</t>
  </si>
  <si>
    <t>établissements</t>
  </si>
  <si>
    <t>strations</t>
  </si>
  <si>
    <t>gouverne-</t>
  </si>
  <si>
    <t>privé</t>
  </si>
  <si>
    <t>financiers</t>
  </si>
  <si>
    <t>locales</t>
  </si>
  <si>
    <t>mentales</t>
  </si>
  <si>
    <t>-</t>
  </si>
  <si>
    <t>(1): Y compris les données de la CAMOFI à partir de décembre 1996.</t>
  </si>
  <si>
    <t xml:space="preserve">                Rubriques</t>
  </si>
  <si>
    <t xml:space="preserve">          décembre</t>
  </si>
  <si>
    <t xml:space="preserve">          septembre</t>
  </si>
  <si>
    <t xml:space="preserve">           juin</t>
  </si>
  <si>
    <t xml:space="preserve">           décembre</t>
  </si>
  <si>
    <t>Période</t>
  </si>
  <si>
    <t xml:space="preserve">           septembre</t>
  </si>
  <si>
    <t>2002  janvier</t>
  </si>
  <si>
    <t xml:space="preserve">          août</t>
  </si>
  <si>
    <t xml:space="preserve">          octobre</t>
  </si>
  <si>
    <t xml:space="preserve">          novembre</t>
  </si>
  <si>
    <t>2003 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</si>
  <si>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</si>
  <si>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</si>
  <si>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</si>
  <si>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</si>
  <si>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</si>
  <si>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</si>
  <si>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 février</t>
  </si>
  <si>
    <t xml:space="preserve">           mars</t>
  </si>
  <si>
    <t xml:space="preserve">           avril</t>
  </si>
  <si>
    <t xml:space="preserve">           mai</t>
  </si>
  <si>
    <t xml:space="preserve">           juillet</t>
  </si>
  <si>
    <t xml:space="preserve">           août</t>
  </si>
  <si>
    <t xml:space="preserve">           octobre</t>
  </si>
  <si>
    <t xml:space="preserve">           novembre</t>
  </si>
  <si>
    <t>2005 janvier</t>
  </si>
  <si>
    <t>2006 janvier</t>
  </si>
  <si>
    <t xml:space="preserve">                         II.6.1</t>
  </si>
  <si>
    <t>2007 janvier</t>
  </si>
  <si>
    <t>2008 janvier</t>
  </si>
  <si>
    <t>2004  janvier</t>
  </si>
  <si>
    <t>2009 janvier</t>
  </si>
  <si>
    <t>centrale</t>
  </si>
  <si>
    <t>l'admini-</t>
  </si>
  <si>
    <t>stration</t>
  </si>
  <si>
    <t>2010 janvier</t>
  </si>
  <si>
    <t>2011 janvier</t>
  </si>
  <si>
    <t xml:space="preserve">      Créances sur</t>
  </si>
  <si>
    <t xml:space="preserve">        les sociétés</t>
  </si>
  <si>
    <t xml:space="preserve">      à participation</t>
  </si>
  <si>
    <t xml:space="preserve">        publique</t>
  </si>
  <si>
    <t xml:space="preserve">                     (en millions de BIF)</t>
  </si>
  <si>
    <t>2012 janvier</t>
  </si>
  <si>
    <t>2010  juin</t>
  </si>
  <si>
    <t>2013</t>
  </si>
  <si>
    <t>2010  décembre</t>
  </si>
  <si>
    <t>2014</t>
  </si>
  <si>
    <t xml:space="preserve">           Juin</t>
  </si>
  <si>
    <t xml:space="preserve">          Septembre</t>
  </si>
  <si>
    <t xml:space="preserve">          Décembre</t>
  </si>
  <si>
    <t>2014  Mars</t>
  </si>
  <si>
    <t>2015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</si>
  <si>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</si>
  <si>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</si>
  <si>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</si>
  <si>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</si>
  <si>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</si>
  <si>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</si>
  <si>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</si>
  <si>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</si>
  <si>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</si>
  <si>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</si>
  <si>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>2015 Janvier</t>
  </si>
  <si>
    <t>2013 Septembre</t>
  </si>
  <si>
    <t>2013 Décembre</t>
  </si>
  <si>
    <t>2012  Décembre</t>
  </si>
  <si>
    <t>2016 Janvier</t>
  </si>
  <si>
    <t>2015</t>
  </si>
  <si>
    <t>2014 Février</t>
  </si>
  <si>
    <t>2014 Mars</t>
  </si>
  <si>
    <t>2016  Mars</t>
  </si>
  <si>
    <t>2013  Mars</t>
  </si>
  <si>
    <t>2014 Avril</t>
  </si>
  <si>
    <t>2014 Mai</t>
  </si>
  <si>
    <t>2014  Juin</t>
  </si>
  <si>
    <t>2013  Juin</t>
  </si>
  <si>
    <t xml:space="preserve">                                 SITUATION AGREGEE DES ETABLISSEMENTS FINANCIERS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</si>
  <si>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</si>
  <si>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</si>
  <si>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</si>
  <si>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</si>
  <si>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</si>
  <si>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</si>
  <si>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</si>
  <si>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>Source: Compilé sur base des données des établissements financiers</t>
  </si>
  <si>
    <t>2017 Janvier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</si>
</sst>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.0_)"/>
    <numFmt numFmtId="166" formatCode="#,##0.0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85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4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164" fontId="1" fillId="0" borderId="0" xfId="0" applyFont="1"/>
    <xf numFmtId="164" fontId="1" fillId="0" borderId="2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4" fontId="1" fillId="0" borderId="2" xfId="0" applyFont="1" applyBorder="1"/>
    <xf numFmtId="164" fontId="2" fillId="0" borderId="0" xfId="0" applyNumberFormat="1" applyFont="1" applyBorder="1" applyAlignment="1" applyProtection="1">
      <alignment horizontal="right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" fillId="0" borderId="0" xfId="0" applyFont="1" applyAlignment="1">
      <alignment horizontal="center"/>
    </xf>
    <xf numFmtId="164" fontId="1" fillId="0" borderId="3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center"/>
    </xf>
    <xf numFmtId="166" fontId="1" fillId="0" borderId="11" xfId="0" applyNumberFormat="1" applyFont="1" applyBorder="1" applyAlignment="1" applyProtection="1">
      <alignment horizontal="center"/>
    </xf>
    <xf numFmtId="164" fontId="1" fillId="0" borderId="5" xfId="0" applyFont="1" applyBorder="1"/>
    <xf numFmtId="164" fontId="1" fillId="0" borderId="5" xfId="0" applyFont="1" applyBorder="1" applyAlignment="1">
      <alignment horizontal="right"/>
    </xf>
    <xf numFmtId="164" fontId="1" fillId="0" borderId="5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4" fontId="1" fillId="0" borderId="7" xfId="0" applyFont="1" applyBorder="1"/>
    <xf numFmtId="164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6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right"/>
    </xf>
    <xf numFmtId="166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right"/>
    </xf>
    <xf numFmtId="164" fontId="1" fillId="0" borderId="9" xfId="0" applyFont="1" applyBorder="1" applyAlignment="1">
      <alignment horizontal="right"/>
    </xf>
    <xf numFmtId="164" fontId="1" fillId="0" borderId="4" xfId="0" applyFont="1" applyBorder="1" applyAlignment="1">
      <alignment horizontal="righ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right"/>
    </xf>
    <xf numFmtId="164" fontId="1" fillId="0" borderId="4" xfId="0" applyFont="1" applyBorder="1"/>
    <xf numFmtId="164" fontId="1" fillId="0" borderId="7" xfId="0" applyNumberFormat="1" applyFont="1" applyBorder="1" applyAlignment="1" applyProtection="1">
      <alignment horizontal="left"/>
    </xf>
    <xf numFmtId="164" fontId="1" fillId="0" borderId="10" xfId="0" applyNumberFormat="1" applyFont="1" applyBorder="1" applyAlignment="1" applyProtection="1">
      <alignment horizontal="right"/>
    </xf>
    <xf numFmtId="164" fontId="1" fillId="0" borderId="2" xfId="0" applyNumberFormat="1" applyFont="1" applyBorder="1" applyAlignment="1" applyProtection="1">
      <alignment horizontal="right"/>
    </xf>
    <xf numFmtId="164" fontId="1" fillId="0" borderId="7" xfId="0" quotePrefix="1" applyNumberFormat="1" applyFont="1" applyBorder="1" applyAlignment="1" applyProtection="1">
      <alignment horizontal="left"/>
    </xf>
    <xf numFmtId="164" fontId="1" fillId="0" borderId="2" xfId="0" applyFont="1" applyBorder="1" applyAlignment="1">
      <alignment horizontal="right"/>
    </xf>
    <xf numFmtId="166" fontId="1" fillId="0" borderId="7" xfId="0" applyNumberFormat="1" applyFont="1" applyBorder="1" applyAlignment="1" applyProtection="1">
      <alignment horizontal="right"/>
    </xf>
    <xf numFmtId="1" fontId="1" fillId="0" borderId="7" xfId="0" applyNumberFormat="1" applyFont="1" applyFill="1" applyBorder="1" applyAlignment="1" applyProtection="1">
      <alignment horizontal="left"/>
    </xf>
    <xf numFmtId="164" fontId="1" fillId="0" borderId="0" xfId="0" applyFont="1" applyAlignment="1">
      <alignment horizontal="right"/>
    </xf>
    <xf numFmtId="164" fontId="3" fillId="0" borderId="7" xfId="0" applyNumberFormat="1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right"/>
    </xf>
    <xf numFmtId="164" fontId="1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left"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 applyProtection="1">
      <alignment horizontal="right"/>
    </xf>
    <xf numFmtId="164" fontId="1" fillId="0" borderId="0" xfId="0" applyFont="1" applyBorder="1"/>
    <xf numFmtId="166" fontId="1" fillId="0" borderId="0" xfId="0" applyNumberFormat="1" applyFont="1" applyAlignment="1">
      <alignment horizontal="center"/>
    </xf>
    <xf numFmtId="166" fontId="1" fillId="0" borderId="10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66" fontId="1" fillId="0" borderId="2" xfId="0" applyNumberFormat="1" applyFont="1" applyBorder="1" applyAlignment="1">
      <alignment horizontal="center"/>
    </xf>
    <xf numFmtId="164" fontId="1" fillId="0" borderId="0" xfId="0" applyFont="1" applyAlignment="1"/>
    <xf numFmtId="164" fontId="1" fillId="0" borderId="7" xfId="0" applyFont="1" applyBorder="1" applyAlignment="1">
      <alignment horizontal="right"/>
    </xf>
    <xf numFmtId="164" fontId="1" fillId="0" borderId="1" xfId="0" applyFont="1" applyBorder="1" applyAlignment="1">
      <alignment horizontal="left"/>
    </xf>
    <xf numFmtId="166" fontId="1" fillId="0" borderId="9" xfId="0" applyNumberFormat="1" applyFont="1" applyBorder="1" applyAlignment="1">
      <alignment horizontal="center"/>
    </xf>
    <xf numFmtId="164" fontId="1" fillId="0" borderId="8" xfId="0" applyFont="1" applyBorder="1" applyAlignment="1">
      <alignment horizontal="right"/>
    </xf>
    <xf numFmtId="166" fontId="1" fillId="0" borderId="11" xfId="0" applyNumberFormat="1" applyFont="1" applyBorder="1" applyAlignment="1" applyProtection="1">
      <alignment horizontal="right"/>
    </xf>
    <xf numFmtId="164" fontId="1" fillId="0" borderId="0" xfId="0" applyFont="1"/>
    <xf numFmtId="164" fontId="1" fillId="0" borderId="7" xfId="0" applyNumberFormat="1" applyFont="1" applyBorder="1" applyAlignment="1" applyProtection="1">
      <alignment horizontal="left"/>
    </xf>
    <xf numFmtId="166" fontId="1" fillId="0" borderId="7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10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>
      <alignment horizontal="right"/>
    </xf>
    <xf numFmtId="164" fontId="2" fillId="0" borderId="7" xfId="0" applyFont="1" applyBorder="1"/>
    <xf numFmtId="164" fontId="2" fillId="0" borderId="3" xfId="0" applyNumberFormat="1" applyFont="1" applyBorder="1" applyAlignment="1" applyProtection="1">
      <alignment horizontal="left"/>
    </xf>
    <xf numFmtId="166" fontId="2" fillId="0" borderId="7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28575</xdr:rowOff>
    </xdr:from>
    <xdr:to>
      <xdr:col>1</xdr:col>
      <xdr:colOff>9525</xdr:colOff>
      <xdr:row>14</xdr:row>
      <xdr:rowOff>190500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323975"/>
          <a:ext cx="19050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255"/>
  <sheetViews>
    <sheetView showGridLines="0" tabSelected="1" view="pageBreakPreview" zoomScale="60" zoomScaleNormal="100"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A20" sqref="A20:XFD20"/>
    </sheetView>
  </sheetViews>
  <sheetFormatPr defaultColWidth="9.77734375" defaultRowHeight="12.75" x14ac:dyDescent="0.2"/>
  <cols>
    <col min="1" max="1" width="22.44140625" style="5" customWidth="1"/>
    <col min="2" max="2" width="9.5546875" style="48" customWidth="1"/>
    <col min="3" max="3" width="10.5546875" style="48" customWidth="1"/>
    <col min="4" max="4" width="10.88671875" style="16" bestFit="1" customWidth="1"/>
    <col min="5" max="5" width="8.21875" style="48" customWidth="1"/>
    <col min="6" max="6" width="8.6640625" style="16" hidden="1" customWidth="1"/>
    <col min="7" max="7" width="9.44140625" style="16" customWidth="1"/>
    <col min="8" max="8" width="12.77734375" style="16" customWidth="1"/>
    <col min="9" max="9" width="9.77734375" style="16" customWidth="1"/>
    <col min="10" max="10" width="10.5546875" style="16" customWidth="1"/>
    <col min="11" max="11" width="9.77734375" style="59" customWidth="1"/>
    <col min="12" max="12" width="4.44140625" style="5" customWidth="1"/>
    <col min="13" max="13" width="18.33203125" style="5" customWidth="1"/>
    <col min="14" max="16384" width="9.77734375" style="5"/>
  </cols>
  <sheetData>
    <row r="1" spans="1:11" x14ac:dyDescent="0.2">
      <c r="A1" s="1"/>
      <c r="B1" s="2"/>
      <c r="C1" s="2"/>
      <c r="D1" s="3"/>
      <c r="E1" s="2"/>
      <c r="F1" s="3"/>
      <c r="G1" s="3"/>
      <c r="H1" s="3"/>
      <c r="I1" s="3"/>
      <c r="J1" s="3"/>
      <c r="K1" s="4"/>
    </row>
    <row r="2" spans="1:11" x14ac:dyDescent="0.2">
      <c r="A2" s="6"/>
      <c r="B2" s="7"/>
      <c r="C2" s="7"/>
      <c r="D2" s="8"/>
      <c r="E2" s="7"/>
      <c r="F2" s="8"/>
      <c r="G2" s="8"/>
      <c r="H2" s="8"/>
      <c r="I2" s="8"/>
      <c r="J2" s="8"/>
      <c r="K2" s="9"/>
    </row>
    <row r="3" spans="1:11" x14ac:dyDescent="0.2">
      <c r="A3" s="10"/>
      <c r="B3" s="11" t="s">
        <v>0</v>
      </c>
      <c r="C3" s="12"/>
      <c r="D3" s="13"/>
      <c r="E3" s="12"/>
      <c r="F3" s="13"/>
      <c r="G3" s="13"/>
      <c r="H3" s="13"/>
      <c r="I3" s="13"/>
      <c r="J3" s="13"/>
      <c r="K3" s="14"/>
    </row>
    <row r="4" spans="1:11" x14ac:dyDescent="0.2">
      <c r="A4" s="10"/>
      <c r="B4" s="12"/>
      <c r="C4" s="12"/>
      <c r="D4" s="13"/>
      <c r="E4" s="12"/>
      <c r="F4" s="13"/>
      <c r="G4" s="13"/>
      <c r="H4" s="13"/>
      <c r="I4" s="13"/>
      <c r="J4" s="15" t="s">
        <v>55</v>
      </c>
      <c r="K4" s="14"/>
    </row>
    <row r="5" spans="1:11" ht="15.75" customHeight="1" x14ac:dyDescent="0.2">
      <c r="A5" s="82" t="s">
        <v>104</v>
      </c>
      <c r="B5" s="83"/>
      <c r="C5" s="83"/>
      <c r="D5" s="83"/>
      <c r="E5" s="83"/>
      <c r="F5" s="83"/>
      <c r="G5" s="83"/>
      <c r="H5" s="83"/>
      <c r="I5" s="83"/>
      <c r="J5" s="83"/>
      <c r="K5" s="84"/>
    </row>
    <row r="6" spans="1:11" s="16" customFormat="1" ht="15.75" customHeight="1" x14ac:dyDescent="0.2">
      <c r="A6" s="82" t="s">
        <v>69</v>
      </c>
      <c r="B6" s="83"/>
      <c r="C6" s="83"/>
      <c r="D6" s="83"/>
      <c r="E6" s="83"/>
      <c r="F6" s="83"/>
      <c r="G6" s="83"/>
      <c r="H6" s="83"/>
      <c r="I6" s="83"/>
      <c r="J6" s="83"/>
      <c r="K6" s="84"/>
    </row>
    <row r="7" spans="1:11" x14ac:dyDescent="0.2">
      <c r="A7" s="82"/>
      <c r="B7" s="83"/>
      <c r="C7" s="83"/>
      <c r="D7" s="83"/>
      <c r="E7" s="83"/>
      <c r="F7" s="83"/>
      <c r="G7" s="83"/>
      <c r="H7" s="83"/>
      <c r="I7" s="83"/>
      <c r="J7" s="83"/>
      <c r="K7" s="84"/>
    </row>
    <row r="8" spans="1:11" x14ac:dyDescent="0.2">
      <c r="A8" s="17"/>
      <c r="B8" s="18"/>
      <c r="C8" s="18"/>
      <c r="D8" s="19"/>
      <c r="E8" s="18"/>
      <c r="F8" s="19"/>
      <c r="G8" s="19"/>
      <c r="H8" s="19"/>
      <c r="I8" s="19"/>
      <c r="J8" s="19"/>
      <c r="K8" s="20"/>
    </row>
    <row r="9" spans="1:11" x14ac:dyDescent="0.2">
      <c r="A9" s="21"/>
      <c r="B9" s="22"/>
      <c r="C9" s="22"/>
      <c r="D9" s="23"/>
      <c r="E9" s="22"/>
      <c r="F9" s="24"/>
      <c r="G9" s="23"/>
      <c r="H9" s="24"/>
      <c r="I9" s="23"/>
      <c r="J9" s="24"/>
      <c r="K9" s="25"/>
    </row>
    <row r="10" spans="1:11" x14ac:dyDescent="0.2">
      <c r="A10" s="79" t="s">
        <v>27</v>
      </c>
      <c r="B10" s="27" t="s">
        <v>2</v>
      </c>
      <c r="C10" s="27" t="s">
        <v>3</v>
      </c>
      <c r="D10" s="27" t="s">
        <v>4</v>
      </c>
      <c r="E10" s="27" t="s">
        <v>4</v>
      </c>
      <c r="F10" s="8" t="s">
        <v>4</v>
      </c>
      <c r="G10" s="28" t="s">
        <v>5</v>
      </c>
      <c r="H10" s="29" t="s">
        <v>65</v>
      </c>
      <c r="I10" s="27" t="s">
        <v>4</v>
      </c>
      <c r="J10" s="8" t="s">
        <v>3</v>
      </c>
      <c r="K10" s="81" t="s">
        <v>6</v>
      </c>
    </row>
    <row r="11" spans="1:11" x14ac:dyDescent="0.2">
      <c r="A11" s="79"/>
      <c r="B11" s="31" t="s">
        <v>1</v>
      </c>
      <c r="C11" s="28" t="s">
        <v>7</v>
      </c>
      <c r="D11" s="28" t="s">
        <v>8</v>
      </c>
      <c r="E11" s="27" t="s">
        <v>9</v>
      </c>
      <c r="F11" s="8" t="s">
        <v>8</v>
      </c>
      <c r="G11" s="28" t="s">
        <v>8</v>
      </c>
      <c r="H11" s="8" t="s">
        <v>66</v>
      </c>
      <c r="I11" s="27" t="s">
        <v>10</v>
      </c>
      <c r="J11" s="8" t="s">
        <v>11</v>
      </c>
      <c r="K11" s="81" t="s">
        <v>0</v>
      </c>
    </row>
    <row r="12" spans="1:11" x14ac:dyDescent="0.2">
      <c r="A12" s="79"/>
      <c r="B12" s="31" t="s">
        <v>1</v>
      </c>
      <c r="C12" s="28" t="s">
        <v>12</v>
      </c>
      <c r="D12" s="28" t="s">
        <v>13</v>
      </c>
      <c r="E12" s="27" t="s">
        <v>61</v>
      </c>
      <c r="F12" s="8" t="s">
        <v>14</v>
      </c>
      <c r="G12" s="28" t="s">
        <v>15</v>
      </c>
      <c r="H12" s="8" t="s">
        <v>67</v>
      </c>
      <c r="I12" s="27" t="s">
        <v>16</v>
      </c>
      <c r="J12" s="13"/>
      <c r="K12" s="30" t="s">
        <v>1</v>
      </c>
    </row>
    <row r="13" spans="1:11" x14ac:dyDescent="0.2">
      <c r="A13" s="79"/>
      <c r="B13" s="31"/>
      <c r="C13" s="28" t="s">
        <v>17</v>
      </c>
      <c r="D13" s="28" t="s">
        <v>18</v>
      </c>
      <c r="E13" s="27" t="s">
        <v>62</v>
      </c>
      <c r="F13" s="8" t="s">
        <v>19</v>
      </c>
      <c r="G13" s="28" t="s">
        <v>20</v>
      </c>
      <c r="H13" s="8" t="s">
        <v>68</v>
      </c>
      <c r="I13" s="27" t="s">
        <v>21</v>
      </c>
      <c r="J13" s="13"/>
      <c r="K13" s="32"/>
    </row>
    <row r="14" spans="1:11" x14ac:dyDescent="0.2">
      <c r="A14" s="79" t="s">
        <v>32</v>
      </c>
      <c r="B14" s="31"/>
      <c r="C14" s="31"/>
      <c r="D14" s="28" t="s">
        <v>22</v>
      </c>
      <c r="E14" s="27" t="s">
        <v>60</v>
      </c>
      <c r="F14" s="8" t="s">
        <v>23</v>
      </c>
      <c r="G14" s="28" t="s">
        <v>24</v>
      </c>
      <c r="H14" s="8"/>
      <c r="I14" s="27"/>
      <c r="J14" s="13"/>
      <c r="K14" s="32"/>
    </row>
    <row r="15" spans="1:11" ht="15.75" customHeight="1" x14ac:dyDescent="0.2">
      <c r="A15" s="33"/>
      <c r="B15" s="34"/>
      <c r="C15" s="34"/>
      <c r="D15" s="27"/>
      <c r="E15" s="35"/>
      <c r="F15" s="8"/>
      <c r="G15" s="27"/>
      <c r="H15" s="8"/>
      <c r="I15" s="27"/>
      <c r="J15" s="8"/>
      <c r="K15" s="30"/>
    </row>
    <row r="16" spans="1:11" s="40" customFormat="1" x14ac:dyDescent="0.2">
      <c r="A16" s="21"/>
      <c r="B16" s="36"/>
      <c r="C16" s="37"/>
      <c r="D16" s="38"/>
      <c r="E16" s="39"/>
      <c r="F16" s="38"/>
      <c r="G16" s="23"/>
      <c r="H16" s="23"/>
      <c r="I16" s="24"/>
      <c r="J16" s="38"/>
      <c r="K16" s="25"/>
    </row>
    <row r="17" spans="1:11" ht="12" hidden="1" customHeight="1" x14ac:dyDescent="0.2">
      <c r="A17" s="47">
        <v>2008</v>
      </c>
      <c r="B17" s="42">
        <f>368.4+1042.3</f>
        <v>1410.6999999999998</v>
      </c>
      <c r="C17" s="7">
        <v>450</v>
      </c>
      <c r="D17" s="43">
        <f>0+11</f>
        <v>11</v>
      </c>
      <c r="E17" s="34">
        <f>833.8</f>
        <v>833.8</v>
      </c>
      <c r="F17" s="34" t="s">
        <v>25</v>
      </c>
      <c r="G17" s="34">
        <v>615.9</v>
      </c>
      <c r="H17" s="34">
        <f>166.6+176.1</f>
        <v>342.7</v>
      </c>
      <c r="I17" s="7">
        <f>12723.8+781.9+14884.8+758.3</f>
        <v>29148.799999999999</v>
      </c>
      <c r="J17" s="45">
        <f>967.8+3396.8</f>
        <v>4364.6000000000004</v>
      </c>
      <c r="K17" s="46">
        <f>SUM(B17:J17)</f>
        <v>37177.5</v>
      </c>
    </row>
    <row r="18" spans="1:11" ht="11.25" hidden="1" customHeight="1" x14ac:dyDescent="0.2">
      <c r="A18" s="47">
        <v>2009</v>
      </c>
      <c r="B18" s="60">
        <f>762.5+957.7</f>
        <v>1720.2</v>
      </c>
      <c r="C18" s="57">
        <v>750</v>
      </c>
      <c r="D18" s="61">
        <f>0+11</f>
        <v>11</v>
      </c>
      <c r="E18" s="46">
        <f>68.2+833.8</f>
        <v>902</v>
      </c>
      <c r="F18" s="46" t="s">
        <v>25</v>
      </c>
      <c r="G18" s="46">
        <v>657</v>
      </c>
      <c r="H18" s="46">
        <f>24.4+728.3+10.8</f>
        <v>763.49999999999989</v>
      </c>
      <c r="I18" s="57">
        <f>15766.6+857.8+16123.7+1007.3</f>
        <v>33755.4</v>
      </c>
      <c r="J18" s="62">
        <f>1070.7+3901.4</f>
        <v>4972.1000000000004</v>
      </c>
      <c r="K18" s="46">
        <f>SUM(B18:J18)</f>
        <v>43531.199999999997</v>
      </c>
    </row>
    <row r="19" spans="1:11" ht="12" hidden="1" customHeight="1" x14ac:dyDescent="0.2">
      <c r="A19" s="47">
        <v>2010</v>
      </c>
      <c r="B19" s="60">
        <f>841.1+1512.2</f>
        <v>2353.3000000000002</v>
      </c>
      <c r="C19" s="57">
        <v>450</v>
      </c>
      <c r="D19" s="61">
        <f t="shared" ref="D19:D20" si="0">0+11</f>
        <v>11</v>
      </c>
      <c r="E19" s="46">
        <f>42.8+833.8</f>
        <v>876.59999999999991</v>
      </c>
      <c r="F19" s="46" t="s">
        <v>25</v>
      </c>
      <c r="G19" s="46">
        <v>142.9</v>
      </c>
      <c r="H19" s="46">
        <f>10.7+899.1+10.8</f>
        <v>920.6</v>
      </c>
      <c r="I19" s="57">
        <f>22636.8+1125.9+21489.7+1344.7-10.8</f>
        <v>46586.299999999996</v>
      </c>
      <c r="J19" s="62">
        <f>1288+3698.5</f>
        <v>4986.5</v>
      </c>
      <c r="K19" s="46">
        <f t="shared" ref="K19" si="1">SUM(B19:J19)</f>
        <v>56327.199999999997</v>
      </c>
    </row>
    <row r="20" spans="1:11" ht="12" hidden="1" customHeight="1" x14ac:dyDescent="0.2">
      <c r="A20" s="47">
        <v>2011</v>
      </c>
      <c r="B20" s="60">
        <f>768.5+300.7</f>
        <v>1069.2</v>
      </c>
      <c r="C20" s="46" t="s">
        <v>25</v>
      </c>
      <c r="D20" s="61">
        <f t="shared" si="0"/>
        <v>11</v>
      </c>
      <c r="E20" s="46">
        <f>833.8+16.4</f>
        <v>850.19999999999993</v>
      </c>
      <c r="F20" s="46" t="s">
        <v>25</v>
      </c>
      <c r="G20" s="46">
        <v>261.8</v>
      </c>
      <c r="H20" s="46">
        <f>953.9+10.8+2.9</f>
        <v>967.59999999999991</v>
      </c>
      <c r="I20" s="57">
        <f>24663.4+1793.5-10.8+28573.4+1431.6</f>
        <v>56451.1</v>
      </c>
      <c r="J20" s="62">
        <f>1642.6+3576.2</f>
        <v>5218.7999999999993</v>
      </c>
      <c r="K20" s="46">
        <f t="shared" ref="K20" si="2">SUM(B20:J20)</f>
        <v>64829.7</v>
      </c>
    </row>
    <row r="21" spans="1:11" ht="12" customHeight="1" x14ac:dyDescent="0.2">
      <c r="A21" s="47">
        <v>2012</v>
      </c>
      <c r="B21" s="60">
        <f>834.8+2150</f>
        <v>2984.8</v>
      </c>
      <c r="C21" s="57">
        <f>200+2000</f>
        <v>2200</v>
      </c>
      <c r="D21" s="61">
        <v>11</v>
      </c>
      <c r="E21" s="61">
        <f t="shared" ref="E21" si="3">833.8+2.8</f>
        <v>836.59999999999991</v>
      </c>
      <c r="F21" s="61"/>
      <c r="G21" s="46">
        <v>693.3</v>
      </c>
      <c r="H21" s="46">
        <f>828.6+9.8</f>
        <v>838.4</v>
      </c>
      <c r="I21" s="57">
        <f>23295.6+2107.6+32276.8+1570.8</f>
        <v>59250.8</v>
      </c>
      <c r="J21" s="62">
        <f>2020.7+3396.8</f>
        <v>5417.5</v>
      </c>
      <c r="K21" s="46">
        <f t="shared" ref="K21" si="4">SUM(B21:J21)</f>
        <v>72232.400000000009</v>
      </c>
    </row>
    <row r="22" spans="1:11" ht="12" customHeight="1" x14ac:dyDescent="0.2">
      <c r="A22" s="44" t="s">
        <v>72</v>
      </c>
      <c r="B22" s="60">
        <f>957.1+578.4</f>
        <v>1535.5</v>
      </c>
      <c r="C22" s="57">
        <v>200</v>
      </c>
      <c r="D22" s="61">
        <v>11</v>
      </c>
      <c r="E22" s="61" t="s">
        <v>25</v>
      </c>
      <c r="F22" s="46" t="s">
        <v>25</v>
      </c>
      <c r="G22" s="46">
        <v>609.79999999999995</v>
      </c>
      <c r="H22" s="46">
        <v>603.79999999999995</v>
      </c>
      <c r="I22" s="57">
        <v>73440</v>
      </c>
      <c r="J22" s="62">
        <v>6708.5</v>
      </c>
      <c r="K22" s="46">
        <f t="shared" ref="K22" si="5">SUM(B22:J22)</f>
        <v>83108.600000000006</v>
      </c>
    </row>
    <row r="23" spans="1:11" ht="12" customHeight="1" x14ac:dyDescent="0.2">
      <c r="A23" s="44" t="s">
        <v>74</v>
      </c>
      <c r="B23" s="60">
        <f>1118+1606.3</f>
        <v>2724.3</v>
      </c>
      <c r="C23" s="57">
        <f>67.2+2000</f>
        <v>2067.1999999999998</v>
      </c>
      <c r="D23" s="61">
        <v>11</v>
      </c>
      <c r="E23" s="61" t="s">
        <v>25</v>
      </c>
      <c r="F23" s="61" t="s">
        <v>25</v>
      </c>
      <c r="G23" s="61" t="s">
        <v>25</v>
      </c>
      <c r="H23" s="67">
        <f>596.9</f>
        <v>596.9</v>
      </c>
      <c r="I23" s="48">
        <f>34705.1+2259.5+48504.7+2000.1</f>
        <v>87469.4</v>
      </c>
      <c r="J23" s="62">
        <f>4936.3+4127.9</f>
        <v>9064.2000000000007</v>
      </c>
      <c r="K23" s="46">
        <f t="shared" ref="K23" si="6">SUM(B23:J23)</f>
        <v>101932.99999999999</v>
      </c>
    </row>
    <row r="24" spans="1:11" ht="12" customHeight="1" x14ac:dyDescent="0.2">
      <c r="A24" s="44" t="s">
        <v>95</v>
      </c>
      <c r="B24" s="60">
        <f>4382.3+1895</f>
        <v>6277.3</v>
      </c>
      <c r="C24" s="57">
        <f>9496.7+2277.7</f>
        <v>11774.400000000001</v>
      </c>
      <c r="D24" s="61">
        <v>11</v>
      </c>
      <c r="E24" s="61">
        <v>23.2</v>
      </c>
      <c r="F24" s="61" t="s">
        <v>25</v>
      </c>
      <c r="G24" s="61" t="s">
        <v>25</v>
      </c>
      <c r="H24" s="67">
        <v>528.20000000000005</v>
      </c>
      <c r="I24" s="48">
        <f>34565.4+109.2+51966.9</f>
        <v>86641.5</v>
      </c>
      <c r="J24" s="62">
        <f>5641.4+8565</f>
        <v>14206.4</v>
      </c>
      <c r="K24" s="46">
        <f t="shared" ref="K24" si="7">SUM(B24:J24)</f>
        <v>119462</v>
      </c>
    </row>
    <row r="25" spans="1:11" s="72" customFormat="1" x14ac:dyDescent="0.2">
      <c r="A25" s="44" t="s">
        <v>111</v>
      </c>
      <c r="B25" s="76">
        <f>3429.8+1877.7</f>
        <v>5307.5</v>
      </c>
      <c r="C25" s="75">
        <f>8792.4+1851.7</f>
        <v>10644.1</v>
      </c>
      <c r="D25" s="77">
        <f>11+301.8</f>
        <v>312.8</v>
      </c>
      <c r="E25" s="77">
        <v>51.1</v>
      </c>
      <c r="F25" s="77"/>
      <c r="G25" s="77" t="s">
        <v>25</v>
      </c>
      <c r="H25" s="67">
        <v>507.1</v>
      </c>
      <c r="I25" s="48">
        <f>39719.7+109.2+62493.2</f>
        <v>102322.09999999999</v>
      </c>
      <c r="J25" s="78">
        <f>10705+8356.1</f>
        <v>19061.099999999999</v>
      </c>
      <c r="K25" s="74">
        <f>SUM(B25:J25)</f>
        <v>138205.79999999999</v>
      </c>
    </row>
    <row r="26" spans="1:11" ht="11.25" customHeight="1" x14ac:dyDescent="0.2">
      <c r="A26" s="41"/>
      <c r="B26" s="60"/>
      <c r="C26" s="57"/>
      <c r="D26" s="61"/>
      <c r="E26" s="46"/>
      <c r="F26" s="46"/>
      <c r="G26" s="46"/>
      <c r="H26" s="46"/>
      <c r="I26" s="57"/>
      <c r="J26" s="62"/>
      <c r="K26" s="46"/>
    </row>
    <row r="27" spans="1:11" ht="12" hidden="1" customHeight="1" x14ac:dyDescent="0.2">
      <c r="A27" s="41" t="s">
        <v>71</v>
      </c>
      <c r="B27" s="60">
        <f>1325.2+356.7</f>
        <v>1681.9</v>
      </c>
      <c r="C27" s="57">
        <v>950</v>
      </c>
      <c r="D27" s="61">
        <f>0+11</f>
        <v>11</v>
      </c>
      <c r="E27" s="46">
        <f>57.5+833.8</f>
        <v>891.3</v>
      </c>
      <c r="F27" s="46" t="s">
        <v>25</v>
      </c>
      <c r="G27" s="46">
        <v>579.79999999999995</v>
      </c>
      <c r="H27" s="46">
        <f>17.6+680.9+10.8</f>
        <v>709.3</v>
      </c>
      <c r="I27" s="57">
        <f>18048.9+1025.8+16765.2+1525.1</f>
        <v>37365</v>
      </c>
      <c r="J27" s="62">
        <f>1177.8+3082.4</f>
        <v>4260.2</v>
      </c>
      <c r="K27" s="46">
        <f>SUM(B27:J27)</f>
        <v>46448.5</v>
      </c>
    </row>
    <row r="28" spans="1:11" ht="12" hidden="1" customHeight="1" x14ac:dyDescent="0.2">
      <c r="A28" s="41" t="s">
        <v>73</v>
      </c>
      <c r="B28" s="60">
        <f>841.1+1512.2</f>
        <v>2353.3000000000002</v>
      </c>
      <c r="C28" s="57">
        <v>450</v>
      </c>
      <c r="D28" s="61">
        <f t="shared" ref="D28" si="8">0+11</f>
        <v>11</v>
      </c>
      <c r="E28" s="46">
        <f>42.8+833.8</f>
        <v>876.59999999999991</v>
      </c>
      <c r="F28" s="46" t="s">
        <v>25</v>
      </c>
      <c r="G28" s="46">
        <v>142.9</v>
      </c>
      <c r="H28" s="46">
        <f>10.7+899.1+10.8</f>
        <v>920.6</v>
      </c>
      <c r="I28" s="57">
        <f>22636.8+1125.9+21489.7+1344.7-10.8</f>
        <v>46586.299999999996</v>
      </c>
      <c r="J28" s="62">
        <f>1288+3698.5</f>
        <v>4986.5</v>
      </c>
      <c r="K28" s="46">
        <f t="shared" ref="K28" si="9">SUM(B28:J28)</f>
        <v>56327.199999999997</v>
      </c>
    </row>
    <row r="29" spans="1:11" ht="12" hidden="1" customHeight="1" x14ac:dyDescent="0.2">
      <c r="A29" s="41"/>
      <c r="B29" s="60"/>
      <c r="C29" s="57"/>
      <c r="D29" s="61"/>
      <c r="E29" s="46"/>
      <c r="F29" s="46"/>
      <c r="G29" s="46"/>
      <c r="H29" s="46"/>
      <c r="I29" s="57"/>
      <c r="J29" s="62"/>
      <c r="K29" s="46"/>
    </row>
    <row r="30" spans="1:11" s="72" customFormat="1" ht="12" hidden="1" customHeight="1" x14ac:dyDescent="0.2">
      <c r="A30" s="73"/>
      <c r="B30" s="76"/>
      <c r="C30" s="75"/>
      <c r="D30" s="77"/>
      <c r="E30" s="74"/>
      <c r="F30" s="74"/>
      <c r="G30" s="74"/>
      <c r="H30" s="74"/>
      <c r="I30" s="75"/>
      <c r="J30" s="78"/>
      <c r="K30" s="74"/>
    </row>
    <row r="31" spans="1:11" ht="12" hidden="1" customHeight="1" x14ac:dyDescent="0.2">
      <c r="A31" s="41"/>
      <c r="B31" s="60"/>
      <c r="C31" s="57"/>
      <c r="D31" s="61"/>
      <c r="E31" s="46"/>
      <c r="F31" s="46"/>
      <c r="G31" s="46"/>
      <c r="H31" s="46"/>
      <c r="I31" s="57"/>
      <c r="J31" s="62"/>
      <c r="K31" s="46"/>
    </row>
    <row r="32" spans="1:11" ht="12" hidden="1" customHeight="1" x14ac:dyDescent="0.2">
      <c r="A32" s="41" t="s">
        <v>93</v>
      </c>
      <c r="B32" s="60">
        <f>834.8+2150</f>
        <v>2984.8</v>
      </c>
      <c r="C32" s="57">
        <f>200+2000</f>
        <v>2200</v>
      </c>
      <c r="D32" s="61">
        <v>11</v>
      </c>
      <c r="E32" s="61">
        <f t="shared" ref="E32" si="10">833.8+2.8</f>
        <v>836.59999999999991</v>
      </c>
      <c r="F32" s="61"/>
      <c r="G32" s="46">
        <v>693.3</v>
      </c>
      <c r="H32" s="46">
        <f>828.6+9.8</f>
        <v>838.4</v>
      </c>
      <c r="I32" s="57">
        <f>23295.6+2107.6+32276.8+1570.8</f>
        <v>59250.8</v>
      </c>
      <c r="J32" s="62">
        <f>2020.7+3396.8</f>
        <v>5417.5</v>
      </c>
      <c r="K32" s="46">
        <f t="shared" ref="K32" si="11">SUM(B32:J32)</f>
        <v>72232.400000000009</v>
      </c>
    </row>
    <row r="33" spans="1:11" ht="12" hidden="1" customHeight="1" x14ac:dyDescent="0.2">
      <c r="A33" s="73" t="s">
        <v>99</v>
      </c>
      <c r="B33" s="76">
        <v>1437.3000000000002</v>
      </c>
      <c r="C33" s="75">
        <v>2200</v>
      </c>
      <c r="D33" s="77">
        <v>11</v>
      </c>
      <c r="E33" s="77">
        <v>329.8</v>
      </c>
      <c r="F33" s="74" t="s">
        <v>25</v>
      </c>
      <c r="G33" s="74">
        <v>659.3</v>
      </c>
      <c r="H33" s="74">
        <v>803.69999999999993</v>
      </c>
      <c r="I33" s="75">
        <v>61557.000000000007</v>
      </c>
      <c r="J33" s="78">
        <v>5974.5</v>
      </c>
      <c r="K33" s="74">
        <v>72972.600000000006</v>
      </c>
    </row>
    <row r="34" spans="1:11" ht="12" hidden="1" customHeight="1" x14ac:dyDescent="0.2">
      <c r="A34" s="73" t="s">
        <v>103</v>
      </c>
      <c r="B34" s="60">
        <f>588.8+860.7</f>
        <v>1449.5</v>
      </c>
      <c r="C34" s="57">
        <f>200+1000</f>
        <v>1200</v>
      </c>
      <c r="D34" s="61">
        <f>11+700</f>
        <v>711</v>
      </c>
      <c r="E34" s="61">
        <f>2.8</f>
        <v>2.8</v>
      </c>
      <c r="F34" s="46" t="s">
        <v>25</v>
      </c>
      <c r="G34" s="46">
        <v>1041.2</v>
      </c>
      <c r="H34" s="46">
        <f>760.1+8.4</f>
        <v>768.5</v>
      </c>
      <c r="I34" s="57">
        <f>25310.6+2222.7+34641.4+1643.7</f>
        <v>63818.399999999994</v>
      </c>
      <c r="J34" s="62">
        <f>2282.3+3893.7</f>
        <v>6176</v>
      </c>
      <c r="K34" s="46">
        <f t="shared" ref="K34" si="12">SUM(B34:J34)</f>
        <v>75167.399999999994</v>
      </c>
    </row>
    <row r="35" spans="1:11" ht="12" hidden="1" customHeight="1" x14ac:dyDescent="0.2">
      <c r="A35" s="41" t="s">
        <v>91</v>
      </c>
      <c r="B35" s="60">
        <f>780.2+225.1</f>
        <v>1005.3000000000001</v>
      </c>
      <c r="C35" s="57">
        <f>200</f>
        <v>200</v>
      </c>
      <c r="D35" s="61">
        <v>11</v>
      </c>
      <c r="E35" s="46" t="s">
        <v>25</v>
      </c>
      <c r="F35" s="46" t="s">
        <v>25</v>
      </c>
      <c r="G35" s="46">
        <v>550.70000000000005</v>
      </c>
      <c r="H35" s="46">
        <f>596.9+7.7</f>
        <v>604.6</v>
      </c>
      <c r="I35" s="57">
        <f>28418.1+2395+37243.4+1686.4</f>
        <v>69742.899999999994</v>
      </c>
      <c r="J35" s="62">
        <f>2692.4+3908.7</f>
        <v>6601.1</v>
      </c>
      <c r="K35" s="46">
        <f t="shared" ref="K35" si="13">SUM(B35:J35)</f>
        <v>78715.600000000006</v>
      </c>
    </row>
    <row r="36" spans="1:11" ht="12" hidden="1" customHeight="1" x14ac:dyDescent="0.2">
      <c r="A36" s="41" t="s">
        <v>92</v>
      </c>
      <c r="B36" s="60">
        <f>957.1+578.4</f>
        <v>1535.5</v>
      </c>
      <c r="C36" s="57">
        <v>200</v>
      </c>
      <c r="D36" s="61">
        <v>11</v>
      </c>
      <c r="E36" s="61" t="s">
        <v>25</v>
      </c>
      <c r="F36" s="46" t="s">
        <v>25</v>
      </c>
      <c r="G36" s="46">
        <v>609.79999999999995</v>
      </c>
      <c r="H36" s="46">
        <v>603.79999999999995</v>
      </c>
      <c r="I36" s="57">
        <v>73440</v>
      </c>
      <c r="J36" s="62">
        <v>6708.5</v>
      </c>
      <c r="K36" s="46">
        <f t="shared" ref="K36" si="14">SUM(B36:J36)</f>
        <v>83108.600000000006</v>
      </c>
    </row>
    <row r="37" spans="1:11" ht="12" hidden="1" customHeight="1" x14ac:dyDescent="0.2">
      <c r="A37" s="41"/>
      <c r="B37" s="60"/>
      <c r="C37" s="57"/>
      <c r="D37" s="61"/>
      <c r="E37" s="61"/>
      <c r="F37" s="46"/>
      <c r="G37" s="46"/>
      <c r="H37" s="46"/>
      <c r="I37" s="57"/>
      <c r="J37" s="62"/>
      <c r="K37" s="46"/>
    </row>
    <row r="38" spans="1:11" ht="12" customHeight="1" x14ac:dyDescent="0.2">
      <c r="A38" s="41" t="s">
        <v>78</v>
      </c>
      <c r="B38" s="60">
        <f>585+590.9</f>
        <v>1175.9000000000001</v>
      </c>
      <c r="C38" s="57">
        <v>200</v>
      </c>
      <c r="D38" s="61">
        <v>11</v>
      </c>
      <c r="E38" s="61" t="s">
        <v>25</v>
      </c>
      <c r="F38" s="46" t="s">
        <v>25</v>
      </c>
      <c r="G38" s="46">
        <v>461.5</v>
      </c>
      <c r="H38" s="67">
        <f>596.9+5.3</f>
        <v>602.19999999999993</v>
      </c>
      <c r="I38" s="48">
        <f>31088.4+2480.6+40219.2+1928.8</f>
        <v>75717</v>
      </c>
      <c r="J38" s="62">
        <f>3987.7+3599.8</f>
        <v>7587.5</v>
      </c>
      <c r="K38" s="46">
        <f t="shared" ref="K38" si="15">SUM(B38:J38)</f>
        <v>85755.1</v>
      </c>
    </row>
    <row r="39" spans="1:11" ht="12" customHeight="1" x14ac:dyDescent="0.2">
      <c r="A39" s="41" t="s">
        <v>75</v>
      </c>
      <c r="B39" s="60">
        <f>599.1+1182</f>
        <v>1781.1</v>
      </c>
      <c r="C39" s="57">
        <v>250</v>
      </c>
      <c r="D39" s="61">
        <v>11</v>
      </c>
      <c r="E39" s="61">
        <v>73.2</v>
      </c>
      <c r="F39" s="46" t="s">
        <v>25</v>
      </c>
      <c r="G39" s="46">
        <v>444.8</v>
      </c>
      <c r="H39" s="67">
        <f>596.9+4.1</f>
        <v>601</v>
      </c>
      <c r="I39" s="48">
        <f>32155.3+2375.6+43072.5+2027.3</f>
        <v>79630.7</v>
      </c>
      <c r="J39" s="62">
        <f>4314.7+3949.9</f>
        <v>8264.6</v>
      </c>
      <c r="K39" s="46">
        <f t="shared" ref="K39" si="16">SUM(B39:J39)</f>
        <v>91056.400000000009</v>
      </c>
    </row>
    <row r="40" spans="1:11" ht="12" customHeight="1" x14ac:dyDescent="0.2">
      <c r="A40" s="41" t="s">
        <v>76</v>
      </c>
      <c r="B40" s="60">
        <f>1727.7+690.3</f>
        <v>2418</v>
      </c>
      <c r="C40" s="57">
        <f>67.2</f>
        <v>67.2</v>
      </c>
      <c r="D40" s="61">
        <v>11</v>
      </c>
      <c r="E40" s="61" t="s">
        <v>25</v>
      </c>
      <c r="F40" s="46" t="s">
        <v>25</v>
      </c>
      <c r="G40" s="46">
        <v>401.1</v>
      </c>
      <c r="H40" s="67">
        <f>596.9+3.2</f>
        <v>600.1</v>
      </c>
      <c r="I40" s="48">
        <f>33413.7+2521.6+46095.6+2061.7</f>
        <v>84092.599999999991</v>
      </c>
      <c r="J40" s="62">
        <f>4131+4225.5</f>
        <v>8356.5</v>
      </c>
      <c r="K40" s="46">
        <f t="shared" ref="K40" si="17">SUM(B40:J40)</f>
        <v>95946.499999999985</v>
      </c>
    </row>
    <row r="41" spans="1:11" ht="12" customHeight="1" x14ac:dyDescent="0.2">
      <c r="A41" s="41" t="s">
        <v>77</v>
      </c>
      <c r="B41" s="60">
        <f>1118+1606.3</f>
        <v>2724.3</v>
      </c>
      <c r="C41" s="57">
        <f>67.2+2000</f>
        <v>2067.1999999999998</v>
      </c>
      <c r="D41" s="61">
        <v>11</v>
      </c>
      <c r="E41" s="61" t="s">
        <v>25</v>
      </c>
      <c r="F41" s="61" t="s">
        <v>25</v>
      </c>
      <c r="G41" s="61" t="s">
        <v>25</v>
      </c>
      <c r="H41" s="67">
        <f>596.9</f>
        <v>596.9</v>
      </c>
      <c r="I41" s="48">
        <f>34705.1+2259.5+48504.7+2000.1</f>
        <v>87469.4</v>
      </c>
      <c r="J41" s="62">
        <f>4936.3+4127.9</f>
        <v>9064.2000000000007</v>
      </c>
      <c r="K41" s="46">
        <f t="shared" ref="K41" si="18">SUM(B41:J41)</f>
        <v>101932.99999999999</v>
      </c>
    </row>
    <row r="42" spans="1:11" ht="12" customHeight="1" x14ac:dyDescent="0.2">
      <c r="A42" s="41"/>
      <c r="B42" s="60"/>
      <c r="C42" s="57"/>
      <c r="D42" s="61"/>
      <c r="E42" s="61"/>
      <c r="F42" s="61"/>
      <c r="G42" s="61"/>
      <c r="H42" s="67"/>
      <c r="I42" s="48"/>
      <c r="J42" s="62"/>
      <c r="K42" s="46"/>
    </row>
    <row r="43" spans="1:11" ht="12" customHeight="1" x14ac:dyDescent="0.2">
      <c r="A43" s="41" t="s">
        <v>79</v>
      </c>
      <c r="B43" s="60">
        <f>828.4+917.3</f>
        <v>1745.6999999999998</v>
      </c>
      <c r="C43" s="57">
        <f>67.2+1915.8+850</f>
        <v>2833</v>
      </c>
      <c r="D43" s="61">
        <v>11</v>
      </c>
      <c r="E43" s="61" t="s">
        <v>25</v>
      </c>
      <c r="F43" s="61" t="s">
        <v>25</v>
      </c>
      <c r="G43" s="61" t="s">
        <v>25</v>
      </c>
      <c r="H43" s="67">
        <f>596.9</f>
        <v>596.9</v>
      </c>
      <c r="I43" s="48">
        <f>36312.8+195.4+48593.1+2182.3</f>
        <v>87283.6</v>
      </c>
      <c r="J43" s="62">
        <f>5758.4+4660.3</f>
        <v>10418.700000000001</v>
      </c>
      <c r="K43" s="46">
        <f t="shared" ref="K43" si="19">SUM(B43:J43)</f>
        <v>102888.90000000001</v>
      </c>
    </row>
    <row r="44" spans="1:11" ht="12" customHeight="1" x14ac:dyDescent="0.2">
      <c r="A44" s="41" t="s">
        <v>82</v>
      </c>
      <c r="B44" s="60">
        <f>2516+913.1</f>
        <v>3429.1</v>
      </c>
      <c r="C44" s="57">
        <f>67.2+5715.8</f>
        <v>5783</v>
      </c>
      <c r="D44" s="61">
        <v>11</v>
      </c>
      <c r="E44" s="61" t="s">
        <v>25</v>
      </c>
      <c r="F44" s="61" t="s">
        <v>25</v>
      </c>
      <c r="G44" s="61" t="s">
        <v>25</v>
      </c>
      <c r="H44" s="67">
        <f t="shared" ref="H44:H45" si="20">596.9</f>
        <v>596.9</v>
      </c>
      <c r="I44" s="48">
        <f>36351.6+175.1+47957.6+2358.5</f>
        <v>86842.799999999988</v>
      </c>
      <c r="J44" s="62">
        <f>5668.1+4925.4</f>
        <v>10593.5</v>
      </c>
      <c r="K44" s="46">
        <f t="shared" ref="K44" si="21">SUM(B44:J44)</f>
        <v>107256.29999999999</v>
      </c>
    </row>
    <row r="45" spans="1:11" ht="12" customHeight="1" x14ac:dyDescent="0.2">
      <c r="A45" s="41" t="s">
        <v>76</v>
      </c>
      <c r="B45" s="60">
        <f>1874.5+2539.6</f>
        <v>4414.1000000000004</v>
      </c>
      <c r="C45" s="57">
        <f>67.2+9215.8</f>
        <v>9283</v>
      </c>
      <c r="D45" s="61">
        <v>11</v>
      </c>
      <c r="E45" s="61" t="s">
        <v>25</v>
      </c>
      <c r="F45" s="61" t="s">
        <v>25</v>
      </c>
      <c r="G45" s="61" t="s">
        <v>25</v>
      </c>
      <c r="H45" s="67">
        <f t="shared" si="20"/>
        <v>596.9</v>
      </c>
      <c r="I45" s="48">
        <f>36279.6+145.3+48529.2+2518.5</f>
        <v>87472.6</v>
      </c>
      <c r="J45" s="62">
        <f>5467.1+5304.4</f>
        <v>10771.5</v>
      </c>
      <c r="K45" s="46">
        <f t="shared" ref="K45" si="22">SUM(B45:J45)</f>
        <v>112549.1</v>
      </c>
    </row>
    <row r="46" spans="1:11" ht="12" customHeight="1" x14ac:dyDescent="0.2">
      <c r="A46" s="41" t="s">
        <v>77</v>
      </c>
      <c r="B46" s="60">
        <f>4382.3+1895</f>
        <v>6277.3</v>
      </c>
      <c r="C46" s="57">
        <f>9496.7+2277.7</f>
        <v>11774.400000000001</v>
      </c>
      <c r="D46" s="61">
        <v>11</v>
      </c>
      <c r="E46" s="61">
        <v>23.2</v>
      </c>
      <c r="F46" s="61" t="s">
        <v>25</v>
      </c>
      <c r="G46" s="61" t="s">
        <v>25</v>
      </c>
      <c r="H46" s="67">
        <v>528.20000000000005</v>
      </c>
      <c r="I46" s="48">
        <f>34565.4+109.2+51966.9</f>
        <v>86641.5</v>
      </c>
      <c r="J46" s="62">
        <f>5641.4+8565</f>
        <v>14206.4</v>
      </c>
      <c r="K46" s="46">
        <f t="shared" ref="K46" si="23">SUM(B46:J46)</f>
        <v>119462</v>
      </c>
    </row>
    <row r="47" spans="1:11" ht="12" customHeight="1" x14ac:dyDescent="0.2">
      <c r="A47" s="41"/>
      <c r="B47" s="60"/>
      <c r="C47" s="57"/>
      <c r="D47" s="61"/>
      <c r="E47" s="61"/>
      <c r="F47" s="61"/>
      <c r="G47" s="61"/>
      <c r="H47" s="67"/>
      <c r="I47" s="48"/>
      <c r="J47" s="62"/>
      <c r="K47" s="46"/>
    </row>
    <row r="48" spans="1:11" s="72" customFormat="1" ht="12" customHeight="1" x14ac:dyDescent="0.2">
      <c r="A48" s="73" t="s">
        <v>98</v>
      </c>
      <c r="B48" s="76">
        <f>4199.2+3080.4</f>
        <v>7279.6</v>
      </c>
      <c r="C48" s="75">
        <f>9626.5+1929.9</f>
        <v>11556.4</v>
      </c>
      <c r="D48" s="77">
        <v>11</v>
      </c>
      <c r="E48" s="77">
        <v>24.4</v>
      </c>
      <c r="F48" s="77" t="s">
        <v>25</v>
      </c>
      <c r="G48" s="77" t="s">
        <v>25</v>
      </c>
      <c r="H48" s="67">
        <v>528.20000000000005</v>
      </c>
      <c r="I48" s="48">
        <f>35901.9+109.2+54174.4</f>
        <v>90185.5</v>
      </c>
      <c r="J48" s="78">
        <f>7431.5+9854.5</f>
        <v>17286</v>
      </c>
      <c r="K48" s="74">
        <f t="shared" ref="K48" si="24">SUM(B48:J48)</f>
        <v>126871.1</v>
      </c>
    </row>
    <row r="49" spans="1:11" s="72" customFormat="1" ht="12" customHeight="1" x14ac:dyDescent="0.2">
      <c r="A49" s="73" t="s">
        <v>82</v>
      </c>
      <c r="B49" s="76">
        <f>1067.9+1364.3</f>
        <v>2432.1999999999998</v>
      </c>
      <c r="C49" s="75">
        <f>8060.6+2543.1</f>
        <v>10603.7</v>
      </c>
      <c r="D49" s="77">
        <f>300+11</f>
        <v>311</v>
      </c>
      <c r="E49" s="77">
        <v>33.299999999999997</v>
      </c>
      <c r="F49" s="77"/>
      <c r="G49" s="77" t="s">
        <v>25</v>
      </c>
      <c r="H49" s="67">
        <v>507.1</v>
      </c>
      <c r="I49" s="48">
        <f>39158.3+109.2+57202.6</f>
        <v>96470.1</v>
      </c>
      <c r="J49" s="78">
        <f>10109+7163.4</f>
        <v>17272.400000000001</v>
      </c>
      <c r="K49" s="74">
        <f t="shared" ref="K49" si="25">SUM(B49:J49)</f>
        <v>127629.80000000002</v>
      </c>
    </row>
    <row r="50" spans="1:11" ht="12" hidden="1" customHeight="1" x14ac:dyDescent="0.2">
      <c r="A50" s="41"/>
      <c r="B50" s="60"/>
      <c r="C50" s="57"/>
      <c r="D50" s="61"/>
      <c r="E50" s="61"/>
      <c r="F50" s="61"/>
      <c r="G50" s="46"/>
      <c r="H50" s="46"/>
      <c r="I50" s="57"/>
      <c r="J50" s="62"/>
      <c r="K50" s="46"/>
    </row>
    <row r="51" spans="1:11" hidden="1" x14ac:dyDescent="0.2">
      <c r="A51" s="41" t="s">
        <v>34</v>
      </c>
      <c r="B51" s="60">
        <f>22.6+250.5+116.2+15+59.6</f>
        <v>463.90000000000003</v>
      </c>
      <c r="C51" s="57">
        <f>739+59.2</f>
        <v>798.2</v>
      </c>
      <c r="D51" s="61">
        <f>0+11+151+6</f>
        <v>168</v>
      </c>
      <c r="E51" s="61">
        <f>251.8+608.2+887.2</f>
        <v>1747.2</v>
      </c>
      <c r="F51" s="62">
        <v>201.3</v>
      </c>
      <c r="G51" s="46">
        <f>48.9+72.6</f>
        <v>121.5</v>
      </c>
      <c r="H51" s="46">
        <f>184.7+443.5+10.8+779+35.8+127.5+35.5</f>
        <v>1616.8</v>
      </c>
      <c r="I51" s="57">
        <f>2374.8+63.1+9868.5+154.4+4997.4+117.6+4396.4+446.3+1333.7+87-154.4+153.8-35.5</f>
        <v>23803.099999999995</v>
      </c>
      <c r="J51" s="62">
        <f>738.4+4972.6+557+1366.6+285.7-4972.6+4973.2</f>
        <v>7920.9</v>
      </c>
      <c r="K51" s="46">
        <f t="shared" ref="K51:K56" si="26">SUM(B51:J51)</f>
        <v>36840.899999999994</v>
      </c>
    </row>
    <row r="52" spans="1:11" hidden="1" x14ac:dyDescent="0.2">
      <c r="A52" s="41" t="s">
        <v>45</v>
      </c>
      <c r="B52" s="60">
        <f>22.6+250.5+116.2+15+59.6-250.5+44.1-116.2+120.4-15+38-59.6+51.8-22.6+34</f>
        <v>288.30000000000007</v>
      </c>
      <c r="C52" s="57">
        <f>739+59.2-739+669+100</f>
        <v>828.2</v>
      </c>
      <c r="D52" s="61">
        <f>0+11+151+6</f>
        <v>168</v>
      </c>
      <c r="E52" s="61">
        <f>251.8+608.2+887.2+143.6-887.2+608.2</f>
        <v>1611.8</v>
      </c>
      <c r="F52" s="62">
        <f>201.3-201.3+183.3</f>
        <v>183.3</v>
      </c>
      <c r="G52" s="46">
        <f>48.9+72.6-48.9+47.1-72.6+71.5</f>
        <v>118.6</v>
      </c>
      <c r="H52" s="46">
        <f>184.7+443.5+10.8+779+35.8+127.5-443.5+446.9-779+820.3-184.7+174.7+43.7</f>
        <v>1659.6999999999998</v>
      </c>
      <c r="I52" s="57">
        <f>2374.8+63.1+9868.5+154.4+4997.4+117.6+4396.4+446.3+1333.7+87-9868.5+9986-154.4+153-4997.4+4936.6-117.6+116-4396.4+4298.8-446.3+450-1333.7+1319.5-87+87.5-2374.8+2298.8-63.1+61-153+152.4-43.7</f>
        <v>23662.899999999994</v>
      </c>
      <c r="J52" s="62">
        <f>738.4+4972.6+557+1366.6+285.7-4972.6+4956.1-557+560.4-1366.6+1360.3-285.7+226.8-738.4+769.9-4956.1+4956.7</f>
        <v>7874.1</v>
      </c>
      <c r="K52" s="46">
        <f t="shared" si="26"/>
        <v>36394.899999999994</v>
      </c>
    </row>
    <row r="53" spans="1:11" hidden="1" x14ac:dyDescent="0.2">
      <c r="A53" s="41" t="s">
        <v>46</v>
      </c>
      <c r="B53" s="60">
        <f>22.6+250.5+116.2+15+59.6-250.5+44.1-116.2+120.4-15+38-59.6+51.8-22.6+34-51.8+14.4-44.1+56.5-38+177.1-120.4+79.4-34+14.1</f>
        <v>341.50000000000011</v>
      </c>
      <c r="C53" s="57">
        <f>739+59.2-739+669+100-669+709-100</f>
        <v>768.2</v>
      </c>
      <c r="D53" s="61">
        <f>0+11+151+6</f>
        <v>168</v>
      </c>
      <c r="E53" s="61">
        <f>251.8+608.2+887.2+143.6-887.2+608.2-143.6+150</f>
        <v>1618.2</v>
      </c>
      <c r="F53" s="62">
        <f>201.3-201.3+183.3</f>
        <v>183.3</v>
      </c>
      <c r="G53" s="46">
        <f>48.9+72.6-48.9+47.1-72.6+71.5-47.1+44.1-71.5+129.1</f>
        <v>173.2</v>
      </c>
      <c r="H53" s="46">
        <f>184.7+443.5+10.8+779+35.8+127.5-443.5+446.9-779+820.3-184.7+174.7+43.7-171.2+171.6-446.9+450-820.3+820.6-174.7+196.7</f>
        <v>1685.5</v>
      </c>
      <c r="I53" s="57">
        <v>24055.4</v>
      </c>
      <c r="J53" s="62">
        <f>738.4+4972.6+557+1366.6+285.7-4972.6+4956.1-557+560.4-1366.6+1360.3-285.7+226.8-738.4+769.9-4956.1+4956.7-226.8+219.1-4956.7+4148.2-1360.3+1461.6-560.4+644.8-769.9+782.3</f>
        <v>7256.0000000000018</v>
      </c>
      <c r="K53" s="46">
        <f t="shared" si="26"/>
        <v>36249.300000000003</v>
      </c>
    </row>
    <row r="54" spans="1:11" hidden="1" x14ac:dyDescent="0.2">
      <c r="A54" s="41" t="s">
        <v>47</v>
      </c>
      <c r="B54" s="60">
        <f>22.6+250.5+116.2+15+59.6-250.5+44.1-116.2+120.4-15+38-59.6+51.8-22.6+34-51.8+14.4-44.1+56.5-38+177.1-120.4+79.4-34+14.1-79.4+120-56.5+95-14.1+11.4-14.4+70.4-177.1+163.4-11.4</f>
        <v>448.80000000000007</v>
      </c>
      <c r="C54" s="57">
        <f>739+59.2-739+669+100-669+709-100-709+290</f>
        <v>349.20000000000005</v>
      </c>
      <c r="D54" s="61">
        <f>0+11+151+6-151</f>
        <v>17</v>
      </c>
      <c r="E54" s="61">
        <f>251.8+608.2+887.2+143.6-887.2+608.2-143.6+150-150+150-251.8</f>
        <v>1366.4</v>
      </c>
      <c r="F54" s="62">
        <f>201.3-201.3+183.3</f>
        <v>183.3</v>
      </c>
      <c r="G54" s="46">
        <f>48.9+72.6-48.9+47.1-72.6+71.5-47.1+44.1-71.5+129.1-44.1+44.4-129.1+125.4</f>
        <v>169.8</v>
      </c>
      <c r="H54" s="46">
        <f>184.7+443.5+10.8+779+35.8+127.5-443.5+446.9-779+820.3-184.7+174.7+43.7-171.2+171.6-446.9+450-820.3+820.6-174.7+196.7-450+452.9-196.7+202.7-171.6+190.2-820.6+914.7-202.7</f>
        <v>1604.4000000000003</v>
      </c>
      <c r="I54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</f>
        <v>22452.899999999994</v>
      </c>
      <c r="J54" s="62">
        <f>738.4+4972.6+557+1366.6+285.7-4972.6+4956.1-557+560.4-1366.6+1360.3-285.7+226.8-738.4+769.9-4956.1+4956.7-226.8+219.1-4956.7+4148.2-1360.3+1461.6-560.4+644.8-769.9+782.3-644.8+801.8-4148.2+4933.6-782.3+891.4-219.1+209-1461.6+1454.2-891.4</f>
        <v>7398.6000000000022</v>
      </c>
      <c r="K54" s="46">
        <f t="shared" si="26"/>
        <v>33990.399999999994</v>
      </c>
    </row>
    <row r="55" spans="1:11" hidden="1" x14ac:dyDescent="0.2">
      <c r="A55" s="41" t="s">
        <v>48</v>
      </c>
      <c r="B55" s="60">
        <f>22.6+250.5+116.2+15+59.6-250.5+44.1-116.2+120.4-15+38-59.6+51.8-22.6+34-51.8+14.4-44.1+56.5-38+177.1-120.4+79.4-34+14.1-79.4+120-56.5+95-14.1+11.4-14.4+70.4-177.1+163.4-11.4-70.4+218.6-120+58.6-95+474.6-163.4+271</f>
        <v>1022.8000000000002</v>
      </c>
      <c r="C55" s="57">
        <f>739+59.2-739+669+100-669+709-100-709+290</f>
        <v>349.20000000000005</v>
      </c>
      <c r="D55" s="61">
        <f>0+11+151+6-151</f>
        <v>17</v>
      </c>
      <c r="E55" s="61">
        <f>251.8+608.2+887.2+143.6-887.2+608.2-143.6+150-150+150-251.8</f>
        <v>1366.4</v>
      </c>
      <c r="F55" s="62">
        <f>201.3-201.3+183.3</f>
        <v>183.3</v>
      </c>
      <c r="G55" s="46">
        <f>48.9+72.6-48.9+47.1-72.6+71.5-47.1+44.1-71.5+129.1-44.1+44.4-129.1+125.4-44.4+44.7-125.4+122</f>
        <v>166.70000000000002</v>
      </c>
      <c r="H55" s="46">
        <f>184.7+443.5+10.8+779+35.8+127.5-443.5+446.9-779+820.3-184.7+174.7+43.7-171.2+171.6-446.9+450-820.3+820.6-174.7+196.7-450+452.9-196.7+202.7-171.6+190.2-820.6+914.7-202.7-190.2+208.8-452.9+455.5-914.7+928.7</f>
        <v>1639.6000000000004</v>
      </c>
      <c r="I55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</f>
        <v>23853.399999999998</v>
      </c>
      <c r="J55" s="62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</f>
        <v>7425.6000000000022</v>
      </c>
      <c r="K55" s="46">
        <f t="shared" si="26"/>
        <v>36024</v>
      </c>
    </row>
    <row r="56" spans="1:11" hidden="1" x14ac:dyDescent="0.2">
      <c r="A56" s="41" t="s">
        <v>30</v>
      </c>
      <c r="B56" s="60">
        <f>22.6+250.5+116.2+15+59.6-250.5+44.1-116.2+120.4-15+38-59.6+51.8-22.6+34-51.8+14.4-44.1+56.5-38+177.1-120.4+79.4-34+14.1-79.4+120-56.5+95-14.1+11.4-14.4+70.4-177.1+163.4-11.4-70.4+218.6-120+58.6-95+474.6-163.4+271-218.6+145.2-58.6+208.3-271+315.6-474.6+227.3</f>
        <v>896.40000000000032</v>
      </c>
      <c r="C56" s="57">
        <f>739+59.2-739+669+100-669+709-100-709+290-290+150</f>
        <v>209.20000000000005</v>
      </c>
      <c r="D56" s="61">
        <f>0+11+151+6-151</f>
        <v>17</v>
      </c>
      <c r="E56" s="61">
        <f>251.8+608.2+887.2+143.6-887.2+608.2-143.6+150-150+150-251.8-150+370</f>
        <v>1586.4</v>
      </c>
      <c r="F56" s="62">
        <f>201.3-201.3+183.3-183.3+164.4</f>
        <v>164.4</v>
      </c>
      <c r="G56" s="46">
        <f>48.9+72.6-48.9+47.1-72.6+71.5-47.1+44.1-71.5+129.1-44.1+44.4-129.1+125.4-44.4+44.7-125.4+122-122+142.8-44.7+43.9</f>
        <v>186.70000000000002</v>
      </c>
      <c r="H56" s="46">
        <f>184.7+443.5+10.8+779+35.8+127.5-443.5+446.9-779+820.3-184.7+174.7+43.7-171.2+171.6-446.9+450-820.3+820.6-174.7+196.7-450+452.9-196.7+202.7-171.6+190.2-820.6+914.7-202.7-190.2+208.8-452.9+455.5-914.7+928.7-208.8+230.7-928.7+949.5-455.5+457.8</f>
        <v>1684.6000000000004</v>
      </c>
      <c r="I56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</f>
        <v>25675.499999999993</v>
      </c>
      <c r="J56" s="62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</f>
        <v>7601.2000000000035</v>
      </c>
      <c r="K56" s="46">
        <f t="shared" si="26"/>
        <v>38021.399999999994</v>
      </c>
    </row>
    <row r="57" spans="1:11" hidden="1" x14ac:dyDescent="0.2">
      <c r="A57" s="41" t="s">
        <v>49</v>
      </c>
      <c r="B57" s="60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</f>
        <v>584.3000000000003</v>
      </c>
      <c r="C57" s="57">
        <f>739+59.2-739+669+100-669+709-100-709+290-290+150-150+300+200</f>
        <v>559.20000000000005</v>
      </c>
      <c r="D57" s="61">
        <f>0+11+151+6-151</f>
        <v>17</v>
      </c>
      <c r="E57" s="61">
        <f>251.8+608.2+887.2+143.6-887.2+608.2-143.6+150-150+150-251.8-150+370-370+410-608.2+1052.5-608.2+956.9</f>
        <v>2419.3999999999996</v>
      </c>
      <c r="F57" s="62">
        <f>201.3-201.3+183.3-183.3+164.4-164.4+144.4</f>
        <v>144.4</v>
      </c>
      <c r="G57" s="46">
        <f>48.9+72.6-48.9+47.1-72.6+71.5-47.1+44.1-71.5+129.1-44.1+44.4-129.1+125.4-44.4+44.7-125.4+122-122+142.8-44.7+43.9-142.8+295.4-43.9+44.5</f>
        <v>339.9</v>
      </c>
      <c r="H57" s="46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</f>
        <v>1545.1000000000004</v>
      </c>
      <c r="I57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</f>
        <v>26947.69999999999</v>
      </c>
      <c r="J57" s="62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</f>
        <v>7398.9000000000015</v>
      </c>
      <c r="K57" s="46">
        <f t="shared" ref="K57:K62" si="27">SUM(B57:J57)</f>
        <v>39955.899999999994</v>
      </c>
    </row>
    <row r="58" spans="1:11" hidden="1" x14ac:dyDescent="0.2">
      <c r="A58" s="41" t="s">
        <v>50</v>
      </c>
      <c r="B58" s="60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+128.9-128.2+29.4-266.7+42-60.5+184.2-128.9+198.8</f>
        <v>454.40000000000032</v>
      </c>
      <c r="C58" s="57">
        <f>739+59.2-739+669+100-669+709-100-709+290-290+150-150+300+200-300+200-200+300</f>
        <v>559.20000000000005</v>
      </c>
      <c r="D58" s="61">
        <f>0+11+151+6-151</f>
        <v>17</v>
      </c>
      <c r="E58" s="61">
        <f>251.8+608.2+887.2+143.6-887.2+608.2-143.6+150-150+150-251.8-150+370-370+410-608.2+1052.5-608.2+956.9-410+460</f>
        <v>2469.3999999999996</v>
      </c>
      <c r="F58" s="62">
        <f>201.3-201.3+183.3-183.3+164.4-164.4+144.4+45.8</f>
        <v>190.2</v>
      </c>
      <c r="G58" s="46">
        <f>48.9+72.6-48.9+47.1-72.6+71.5-47.1+44.1-71.5+129.1-44.1+44.4-129.1+125.4-44.4+44.7-125.4+122-122+142.8-44.7+43.9-142.8+295.4-43.9+44.5-295.4+114.5+80.1-44.5+42.4</f>
        <v>237</v>
      </c>
      <c r="H58" s="46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+619.9-259.4+260.7-619.2+786.9+76.4-619.9+487.6</f>
        <v>1658.2000000000003</v>
      </c>
      <c r="I58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+143.1-2925.1+3298.6-5498.7+6284.9-505.7+523.9-5105.3+4859.6-124.3+120.8-12558.8+13333.2-153.9+157.6</f>
        <v>28654.499999999985</v>
      </c>
      <c r="J58" s="62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+4970.2-211.6+255.1-83.7+78.5-1442.4+1561.6-777.7+787.6-4970.2+5059.4</f>
        <v>7655.5000000000018</v>
      </c>
      <c r="K58" s="46">
        <f t="shared" si="27"/>
        <v>41895.399999999987</v>
      </c>
    </row>
    <row r="59" spans="1:11" hidden="1" x14ac:dyDescent="0.2">
      <c r="A59" s="41" t="s">
        <v>33</v>
      </c>
      <c r="B59" s="60">
        <f>30.7+56.5+15+211</f>
        <v>313.2</v>
      </c>
      <c r="C59" s="57">
        <f>200+59.2+200</f>
        <v>459.2</v>
      </c>
      <c r="D59" s="61">
        <f>6+11</f>
        <v>17</v>
      </c>
      <c r="E59" s="61">
        <f>520+1052.5+956.9</f>
        <v>2529.4</v>
      </c>
      <c r="F59" s="62">
        <f>45.8+144.4</f>
        <v>190.2</v>
      </c>
      <c r="G59" s="46">
        <f>104.4+133.2+42</f>
        <v>279.60000000000002</v>
      </c>
      <c r="H59" s="46">
        <f>262.6+75.9+844.2+35.8+546.3+10.8</f>
        <v>1775.6</v>
      </c>
      <c r="I59" s="57">
        <f>3327.4+78.9+4816.9+148+6292.8+521.8+13521.7+144.6</f>
        <v>28852.1</v>
      </c>
      <c r="J59" s="62">
        <f>258.9+828.8+1303.3+7702</f>
        <v>10093</v>
      </c>
      <c r="K59" s="46">
        <f t="shared" si="27"/>
        <v>44509.299999999996</v>
      </c>
    </row>
    <row r="60" spans="1:11" hidden="1" x14ac:dyDescent="0.2">
      <c r="A60" s="41" t="s">
        <v>51</v>
      </c>
      <c r="B60" s="60">
        <f>274.4+84.4+65.3+86.7</f>
        <v>510.79999999999995</v>
      </c>
      <c r="C60" s="57">
        <f>350+59.2+150</f>
        <v>559.20000000000005</v>
      </c>
      <c r="D60" s="61">
        <f>6+11</f>
        <v>17</v>
      </c>
      <c r="E60" s="61">
        <f>570+1052.5+1267.2</f>
        <v>2889.7</v>
      </c>
      <c r="F60" s="62">
        <f>40+153.4</f>
        <v>193.4</v>
      </c>
      <c r="G60" s="46">
        <f>104+131.9+41.9</f>
        <v>277.8</v>
      </c>
      <c r="H60" s="46">
        <f>262.6+73.8+909.4+35.8+530.2+10.8</f>
        <v>1822.6</v>
      </c>
      <c r="I60" s="57">
        <f>3255.2+79.6+4781.4+166.3+6077.7+518.7+13191.4+143.7</f>
        <v>28213.999999999996</v>
      </c>
      <c r="J60" s="62">
        <f>305.6+838.9+1422.3+7648.5</f>
        <v>10215.299999999999</v>
      </c>
      <c r="K60" s="46">
        <f t="shared" si="27"/>
        <v>44699.8</v>
      </c>
    </row>
    <row r="61" spans="1:11" hidden="1" x14ac:dyDescent="0.2">
      <c r="A61" s="41" t="s">
        <v>52</v>
      </c>
      <c r="B61" s="60">
        <f>18.8+403.7+96+169.9</f>
        <v>688.4</v>
      </c>
      <c r="C61" s="57">
        <f>320+59.2</f>
        <v>379.2</v>
      </c>
      <c r="D61" s="61">
        <f>6+11</f>
        <v>17</v>
      </c>
      <c r="E61" s="61">
        <f>241+1052.5+1267.2</f>
        <v>2560.6999999999998</v>
      </c>
      <c r="F61" s="62">
        <f>40+123.4</f>
        <v>163.4</v>
      </c>
      <c r="G61" s="46">
        <f>103.6+128.1+40.9</f>
        <v>272.59999999999997</v>
      </c>
      <c r="H61" s="46">
        <f>262.6+69.8+905.9+35.8+539.8+10.8</f>
        <v>1824.6999999999998</v>
      </c>
      <c r="I61" s="57">
        <f>3103.9+78.3+5043.9+175.8+6127.1+518.9+12859.6+140.2</f>
        <v>28047.7</v>
      </c>
      <c r="J61" s="62">
        <f>290.4+1043.6+1415.9+7645.6</f>
        <v>10395.5</v>
      </c>
      <c r="K61" s="46">
        <f t="shared" si="27"/>
        <v>44349.2</v>
      </c>
    </row>
    <row r="62" spans="1:11" hidden="1" x14ac:dyDescent="0.2">
      <c r="A62" s="41" t="s">
        <v>31</v>
      </c>
      <c r="B62" s="60">
        <f>30.5+86.5+76+130.8</f>
        <v>323.8</v>
      </c>
      <c r="C62" s="57">
        <f>320+59.2</f>
        <v>379.2</v>
      </c>
      <c r="D62" s="61">
        <f>6+11</f>
        <v>17</v>
      </c>
      <c r="E62" s="61">
        <f>154.3+1052.5+1044.5</f>
        <v>2251.3000000000002</v>
      </c>
      <c r="F62" s="62">
        <f>37+101.2</f>
        <v>138.19999999999999</v>
      </c>
      <c r="G62" s="46">
        <f>103.3+124.3+40</f>
        <v>267.60000000000002</v>
      </c>
      <c r="H62" s="46">
        <f>262.6+69.3+881.4+35.8+355.2+10.8</f>
        <v>1615.1</v>
      </c>
      <c r="I62" s="57">
        <f>2977.4+76.3+5130.1+189.2+6084.1+516.8+12827.6+133.7</f>
        <v>27935.200000000001</v>
      </c>
      <c r="J62" s="62">
        <f>377.2+1183.2+1406+7927.5</f>
        <v>10893.9</v>
      </c>
      <c r="K62" s="46">
        <f t="shared" si="27"/>
        <v>43821.3</v>
      </c>
    </row>
    <row r="63" spans="1:11" hidden="1" x14ac:dyDescent="0.2">
      <c r="A63" s="41"/>
      <c r="B63" s="60"/>
      <c r="C63" s="57"/>
      <c r="D63" s="61"/>
      <c r="E63" s="61"/>
      <c r="F63" s="62"/>
      <c r="G63" s="46"/>
      <c r="H63" s="46"/>
      <c r="I63" s="57"/>
      <c r="J63" s="62"/>
      <c r="K63" s="46"/>
    </row>
    <row r="64" spans="1:11" ht="12" hidden="1" customHeight="1" x14ac:dyDescent="0.2">
      <c r="A64" s="26"/>
      <c r="B64" s="63"/>
      <c r="C64" s="64"/>
      <c r="D64" s="65"/>
      <c r="E64" s="62"/>
      <c r="F64" s="65"/>
      <c r="G64" s="32"/>
      <c r="H64" s="32"/>
      <c r="I64" s="56"/>
      <c r="J64" s="65"/>
      <c r="K64" s="32"/>
    </row>
    <row r="65" spans="1:11" ht="12" hidden="1" customHeight="1" x14ac:dyDescent="0.2">
      <c r="A65" s="41" t="s">
        <v>38</v>
      </c>
      <c r="B65" s="60">
        <f>28.6+18.1+32.5+6.8+60.6</f>
        <v>146.6</v>
      </c>
      <c r="C65" s="57">
        <f>59.2+200</f>
        <v>259.2</v>
      </c>
      <c r="D65" s="61">
        <f>6+11</f>
        <v>17</v>
      </c>
      <c r="E65" s="61">
        <f>608.2+647.1+89.2+122.7</f>
        <v>1467.2000000000003</v>
      </c>
      <c r="F65" s="62">
        <f>101.2+97.6+34</f>
        <v>232.8</v>
      </c>
      <c r="G65" s="46">
        <f>122.5+39.5+98.1</f>
        <v>260.10000000000002</v>
      </c>
      <c r="H65" s="46">
        <f>881.4+35.8+135.1+518.5+10.8+67.6</f>
        <v>1649.1999999999998</v>
      </c>
      <c r="I65" s="57">
        <f>5910.2+511.3+2792.4+74.8+12221.4+147+410.7+44.3+5229.2+209.4</f>
        <v>27550.7</v>
      </c>
      <c r="J65" s="62">
        <f>1568.6+261.3+7926.9+71.1+1170.2</f>
        <v>10998.1</v>
      </c>
      <c r="K65" s="46">
        <f t="shared" ref="K65:K70" si="28">SUM(B65:J65)</f>
        <v>42580.9</v>
      </c>
    </row>
    <row r="66" spans="1:11" hidden="1" x14ac:dyDescent="0.2">
      <c r="A66" s="41" t="s">
        <v>39</v>
      </c>
      <c r="B66" s="60">
        <f>19.6+49.7+18.1+5.3+102.8</f>
        <v>195.5</v>
      </c>
      <c r="C66" s="57">
        <f>59.2+400</f>
        <v>459.2</v>
      </c>
      <c r="D66" s="61">
        <f>6+11</f>
        <v>17</v>
      </c>
      <c r="E66" s="61">
        <f>608.2+647.1+88.5+98.3</f>
        <v>1442.1000000000001</v>
      </c>
      <c r="F66" s="62">
        <f>101.2+108.4+30.8</f>
        <v>240.40000000000003</v>
      </c>
      <c r="G66" s="46">
        <f>119.9+39.4+96</f>
        <v>255.3</v>
      </c>
      <c r="H66" s="46">
        <f>881.4+35.8+135.1+521.8+10.8+67.6</f>
        <v>1652.4999999999998</v>
      </c>
      <c r="I66" s="57">
        <f>5675.2+549.2+2585.3+72.4+11964.6+152.1+392.4+44.3+5214.6+214.4</f>
        <v>26864.5</v>
      </c>
      <c r="J66" s="62">
        <f>1682.6+285.1+7988.5+72.3+1190.6</f>
        <v>11219.1</v>
      </c>
      <c r="K66" s="46">
        <f t="shared" si="28"/>
        <v>42345.599999999999</v>
      </c>
    </row>
    <row r="67" spans="1:11" hidden="1" x14ac:dyDescent="0.2">
      <c r="A67" s="41" t="s">
        <v>40</v>
      </c>
      <c r="B67" s="60">
        <f>50.9+40.8+58.5+3.3+77.2</f>
        <v>230.7</v>
      </c>
      <c r="C67" s="57">
        <f>59.2+200+150</f>
        <v>409.2</v>
      </c>
      <c r="D67" s="61">
        <f>6+11</f>
        <v>17</v>
      </c>
      <c r="E67" s="61">
        <f>608.2+647.1+98.5+248.3</f>
        <v>1602.1000000000001</v>
      </c>
      <c r="F67" s="62">
        <f>101.2+98.2+27.7</f>
        <v>227.1</v>
      </c>
      <c r="G67" s="46">
        <f>118.6+39.3+95.6</f>
        <v>253.49999999999997</v>
      </c>
      <c r="H67" s="46">
        <f>881.4+35.8+135.1+524.7+10.8+66.6</f>
        <v>1654.3999999999999</v>
      </c>
      <c r="I67" s="57">
        <f>5423.4+550.3+2422.8+66.8+11644.4+148.6+390.2+43.3+5167+235.8</f>
        <v>26092.599999999995</v>
      </c>
      <c r="J67" s="62">
        <f>1744.6+273.2+8528.9+81.7+1185.1</f>
        <v>11813.5</v>
      </c>
      <c r="K67" s="46">
        <f t="shared" si="28"/>
        <v>42300.099999999991</v>
      </c>
    </row>
    <row r="68" spans="1:11" ht="12" hidden="1" customHeight="1" x14ac:dyDescent="0.2">
      <c r="A68" s="41" t="s">
        <v>41</v>
      </c>
      <c r="B68" s="60">
        <f>11.8+36.1+27.4+14.9+120</f>
        <v>210.20000000000002</v>
      </c>
      <c r="C68" s="57">
        <f>59.2+370+50</f>
        <v>479.2</v>
      </c>
      <c r="D68" s="61">
        <f>6+11</f>
        <v>17</v>
      </c>
      <c r="E68" s="61">
        <f>186.6+225.4+93.5+278.3</f>
        <v>783.8</v>
      </c>
      <c r="F68" s="62">
        <f>77.9+101.9+27.7</f>
        <v>207.5</v>
      </c>
      <c r="G68" s="46">
        <f>189.3+37.8+86.1</f>
        <v>313.20000000000005</v>
      </c>
      <c r="H68" s="46">
        <f>878.5+35.8+135.1+527.4+10.8+74.4</f>
        <v>1661.9999999999998</v>
      </c>
      <c r="I68" s="57">
        <f>5228.6+577.6+2212.8+24+11307.1+144.7+371.6+43+5090.6+245.4</f>
        <v>25245.4</v>
      </c>
      <c r="J68" s="62">
        <f>1616.6+271.3+8515.3+86.4+1153.3</f>
        <v>11642.899999999998</v>
      </c>
      <c r="K68" s="46">
        <f t="shared" si="28"/>
        <v>40561.199999999997</v>
      </c>
    </row>
    <row r="69" spans="1:11" ht="12" hidden="1" customHeight="1" x14ac:dyDescent="0.2">
      <c r="A69" s="41" t="s">
        <v>42</v>
      </c>
      <c r="B69" s="60">
        <f>16.8+51.6+11.1+76.1</f>
        <v>155.6</v>
      </c>
      <c r="C69" s="57">
        <f>400+50</f>
        <v>450</v>
      </c>
      <c r="D69" s="61">
        <f>11</f>
        <v>11</v>
      </c>
      <c r="E69" s="61">
        <f>225.4+89+458.3</f>
        <v>772.7</v>
      </c>
      <c r="F69" s="62">
        <f>147.8+18.1</f>
        <v>165.9</v>
      </c>
      <c r="G69" s="46">
        <f>37.7+159.3</f>
        <v>197</v>
      </c>
      <c r="H69" s="46">
        <f>135.1+560.9+10.8+73.6</f>
        <v>780.4</v>
      </c>
      <c r="I69" s="57">
        <f>2143.1+23.2+11217.9+144.7+334.4+42.2+5020.9+242.2</f>
        <v>19168.600000000002</v>
      </c>
      <c r="J69" s="62">
        <f>281.9+8400.9+80.3+1141.4</f>
        <v>9904.4999999999982</v>
      </c>
      <c r="K69" s="46">
        <f t="shared" si="28"/>
        <v>31605.700000000004</v>
      </c>
    </row>
    <row r="70" spans="1:11" ht="12" hidden="1" customHeight="1" x14ac:dyDescent="0.2">
      <c r="A70" s="41" t="s">
        <v>43</v>
      </c>
      <c r="B70" s="60">
        <f>21.6+60.9+94.2+64.1</f>
        <v>240.79999999999998</v>
      </c>
      <c r="C70" s="57">
        <f>50</f>
        <v>50</v>
      </c>
      <c r="D70" s="61">
        <f>11</f>
        <v>11</v>
      </c>
      <c r="E70" s="61">
        <f>225.4+0.2+518.3</f>
        <v>743.9</v>
      </c>
      <c r="F70" s="62">
        <f>115+14.7</f>
        <v>129.69999999999999</v>
      </c>
      <c r="G70" s="46">
        <f>37.8+158.9</f>
        <v>196.7</v>
      </c>
      <c r="H70" s="46">
        <f>135.1+470.6+10.8+71.9</f>
        <v>688.4</v>
      </c>
      <c r="I70" s="57">
        <f>2035.9+11.9+11215.6+125.2+369.6+41.5+5109.8+160.9</f>
        <v>19070.400000000005</v>
      </c>
      <c r="J70" s="62">
        <f>263.3+9270.6+80.6+1158.1</f>
        <v>10772.6</v>
      </c>
      <c r="K70" s="46">
        <f t="shared" si="28"/>
        <v>31903.500000000007</v>
      </c>
    </row>
    <row r="71" spans="1:11" ht="12" hidden="1" customHeight="1" x14ac:dyDescent="0.2">
      <c r="A71" s="41" t="s">
        <v>44</v>
      </c>
      <c r="B71" s="60">
        <f>21.6+60.9+94.2+64.1-21.6+23.7-94.2+94.3-60.9+63.5-64.1+77.8</f>
        <v>259.3</v>
      </c>
      <c r="C71" s="57">
        <f>50</f>
        <v>50</v>
      </c>
      <c r="D71" s="61">
        <f>11</f>
        <v>11</v>
      </c>
      <c r="E71" s="61">
        <f>225.4+0.2+518.3-518.3+518.1</f>
        <v>743.7</v>
      </c>
      <c r="F71" s="62">
        <f>115+14.7-115+110.3</f>
        <v>124.99999999999999</v>
      </c>
      <c r="G71" s="46">
        <f>37.8+158.9-37.8+35.6-158.9+64</f>
        <v>99.599999999999966</v>
      </c>
      <c r="H71" s="46">
        <f>135.1+470.6+10.8+71.9-470.6+543.1-71.9+72</f>
        <v>761</v>
      </c>
      <c r="I71" s="57">
        <f>2035.9+11.9+11215.6+125.2+369.6+41.5+5109.8+160.9-2035.9+1983-11.9+11.3-369.6+373.8-41.5+40.5-11215.6+11197-136+136.1-5109.8+5192.6-160.9+167.2</f>
        <v>19090.7</v>
      </c>
      <c r="J71" s="62">
        <f>263.3+9270.6+80.6+1158.1-263.3+257.9-80.6+104.1-9270.6+8964.5-1158.1+1144.1</f>
        <v>10470.6</v>
      </c>
      <c r="K71" s="46">
        <f t="shared" ref="K71:K76" si="29">SUM(B71:J71)</f>
        <v>31610.9</v>
      </c>
    </row>
    <row r="72" spans="1:11" ht="12" hidden="1" customHeight="1" x14ac:dyDescent="0.2">
      <c r="A72" s="41" t="s">
        <v>35</v>
      </c>
      <c r="B72" s="60">
        <v>351.5</v>
      </c>
      <c r="C72" s="57">
        <v>90</v>
      </c>
      <c r="D72" s="61">
        <v>11</v>
      </c>
      <c r="E72" s="61">
        <v>741.9</v>
      </c>
      <c r="F72" s="62">
        <v>125</v>
      </c>
      <c r="G72" s="46">
        <v>114.7</v>
      </c>
      <c r="H72" s="46">
        <v>828.8</v>
      </c>
      <c r="I72" s="57">
        <v>19184.599999999999</v>
      </c>
      <c r="J72" s="62">
        <v>10447.1</v>
      </c>
      <c r="K72" s="46">
        <f t="shared" si="29"/>
        <v>31894.6</v>
      </c>
    </row>
    <row r="73" spans="1:11" ht="12" hidden="1" customHeight="1" x14ac:dyDescent="0.2">
      <c r="A73" s="41" t="s">
        <v>29</v>
      </c>
      <c r="B73" s="60">
        <f>351.5-151.2+157-17.4+21.1-54.2+63.5-128.7+81.8</f>
        <v>323.40000000000009</v>
      </c>
      <c r="C73" s="57">
        <v>90</v>
      </c>
      <c r="D73" s="61">
        <v>11</v>
      </c>
      <c r="E73" s="61">
        <f>741.9-1.5+50.2</f>
        <v>790.6</v>
      </c>
      <c r="F73" s="62">
        <f>125-110.3+113.5-14.7+7.8</f>
        <v>121.29999999999998</v>
      </c>
      <c r="G73" s="46">
        <f>114.7-35.7+55.4-79+355.8</f>
        <v>411.20000000000005</v>
      </c>
      <c r="H73" s="46">
        <f>828.8-611.3+590.4-71.6+86.4</f>
        <v>822.69999999999993</v>
      </c>
      <c r="I73" s="57">
        <f>19184.6-370.4+372-39.9+37.3-1962.3+1961.3-11.2+10.5-11293.4+11246.2-134.9+132.8-5213.4+5139.2-169.9+182.1</f>
        <v>19070.599999999991</v>
      </c>
      <c r="J73" s="62">
        <f>10447.1-99.9+100.5-255.2+251.3-8955+9241.1-1137+1137.3</f>
        <v>10730.199999999999</v>
      </c>
      <c r="K73" s="46">
        <f t="shared" si="29"/>
        <v>32370.999999999993</v>
      </c>
    </row>
    <row r="74" spans="1:11" ht="12" hidden="1" customHeight="1" x14ac:dyDescent="0.2">
      <c r="A74" s="41" t="s">
        <v>36</v>
      </c>
      <c r="B74" s="60">
        <f>351.5-151.2+157-17.4+21.1-54.2+63.5-128.7+81.8-157+159.4-21.1+23.7-63.5+32.7-81.8+503.5</f>
        <v>719.3</v>
      </c>
      <c r="C74" s="57" t="s">
        <v>25</v>
      </c>
      <c r="D74" s="61">
        <v>11</v>
      </c>
      <c r="E74" s="61">
        <f>741.9-1.5+50.2-50.2+49.4-515+415</f>
        <v>689.8</v>
      </c>
      <c r="F74" s="62">
        <f>125-110.3+113.5-14.7+7.8-113.5+115.6-7.8+0.7</f>
        <v>116.29999999999998</v>
      </c>
      <c r="G74" s="46">
        <f>114.7-35.7+55.4-79+355.8-55.4+32.2-355.8+72.7</f>
        <v>104.90000000000005</v>
      </c>
      <c r="H74" s="46">
        <f>828.8-611.3+590.4-71.6+86.4-590.4+596-86.4+70.8</f>
        <v>812.69999999999993</v>
      </c>
      <c r="I74" s="57">
        <f>19184.6-370.4+372-39.9+37.3-1962.3+1961.3-11.2+10.5-11293.4+11246.2-134.9+132.8-5213.4+5139.2-169.9+182.1-372+365.3-37.3+42-1961.3+1950-10.5+10-11246.2+11719.9-132.8+130.5-5139.2+5109.3-182.1+188.9</f>
        <v>19505.099999999995</v>
      </c>
      <c r="J74" s="62">
        <f>10447.1-99.9+100.5-255.2+251.3-8955+9241.1-1137+1137.3-100.5+102-251.3+232.6-9241.1+9151.7-1137.3+1128.7</f>
        <v>10615.000000000002</v>
      </c>
      <c r="K74" s="46">
        <f t="shared" si="29"/>
        <v>32574.1</v>
      </c>
    </row>
    <row r="75" spans="1:11" ht="12" hidden="1" customHeight="1" x14ac:dyDescent="0.2">
      <c r="A75" s="41" t="s">
        <v>37</v>
      </c>
      <c r="B75" s="60">
        <f>351.5-151.2+157-17.4+21.1-54.2+63.5-128.7+81.8-157+159.4-21.1+23.7-63.5+32.7-81.8+503.5-159.4+153.2-23.7+46.7-503.5+102.1-32.7+29.1</f>
        <v>331.09999999999997</v>
      </c>
      <c r="C75" s="57">
        <f>0+240+300</f>
        <v>540</v>
      </c>
      <c r="D75" s="61">
        <v>11</v>
      </c>
      <c r="E75" s="61">
        <f>741.9-1.5+50.2-50.2+49.4-515+415-49.4+57.3-415+1225</f>
        <v>1507.6999999999998</v>
      </c>
      <c r="F75" s="62">
        <f>125-110.3+113.5-14.7+7.8-113.5+115.6-7.8+0.7-115.6+119.5</f>
        <v>120.19999999999999</v>
      </c>
      <c r="G75" s="46">
        <f>114.7-35.7+55.4-79+355.8-55.4+32.2-355.8+72.7-32.2+55.3</f>
        <v>128.00000000000006</v>
      </c>
      <c r="H75" s="46">
        <f>828.8-611.3+590.4-71.6+86.4-590.4+596-86.4+70.8-70.8+84.8-596+601.2</f>
        <v>831.9</v>
      </c>
      <c r="I75" s="57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</f>
        <v>18947.3</v>
      </c>
      <c r="J75" s="62">
        <f>10447.1-99.9+100.5-255.2+251.3-8955+9241.1-1137+1137.3-100.5+102-251.3+232.6-9241.1+9151.7-1137.3+1128.7-102+102.7-232.6+240.1-1128.7+1119.6-9151.7+9161.5</f>
        <v>10623.900000000001</v>
      </c>
      <c r="K75" s="46">
        <f t="shared" si="29"/>
        <v>33041.1</v>
      </c>
    </row>
    <row r="76" spans="1:11" ht="12" hidden="1" customHeight="1" x14ac:dyDescent="0.2">
      <c r="A76" s="41" t="s">
        <v>28</v>
      </c>
      <c r="B76" s="60">
        <f>351.5-151.2+157-17.4+21.1-54.2+63.5-128.7+81.8-157+159.4-21.1+23.7-63.5+32.7-81.8+503.5-159.4+153.2-23.7+46.7-503.5+102.1-32.7+29.1-153.2+200.4-46.7+57.8-29.1+194.2-102.1+534.2</f>
        <v>986.6</v>
      </c>
      <c r="C76" s="57">
        <f>0+240+300-300-240</f>
        <v>0</v>
      </c>
      <c r="D76" s="61">
        <v>11</v>
      </c>
      <c r="E76" s="61">
        <f>741.9-1.5+50.2-50.2+49.4-515+415-49.4+57.3-415+1225-57.3-225.4+186.6-1225+825</f>
        <v>1011.5999999999997</v>
      </c>
      <c r="F76" s="62">
        <f>125-110.3+113.5-14.7+7.8-113.5+115.6-7.8+0.7-115.6+119.5-119.5+115.1</f>
        <v>115.79999999999998</v>
      </c>
      <c r="G76" s="46">
        <f>114.7-35.7+55.4-79+355.8-55.4+32.2-355.8+72.7-32.2+55.3-55.3+55.8-72.7+72.2</f>
        <v>128.00000000000006</v>
      </c>
      <c r="H76" s="46">
        <f>828.8-611.3+590.4-71.6+86.4-590.4+596-86.4+70.8-70.8+84.8-596+601.2-601.2+606-84.8+86.2</f>
        <v>838.1</v>
      </c>
      <c r="I76" s="57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+129.2-358.5+366.3-40.9+42.4-1741.3+1683.4-9.2+8.8-11395.2+11826.6-5080.4+5369.9-203.4+216.4</f>
        <v>19632.199999999997</v>
      </c>
      <c r="J76" s="62">
        <f>10447.1-99.9+100.5-255.2+251.3-8955+9241.1-1137+1137.3-100.5+102-251.3+232.6-9241.1+9151.7-1137.3+1128.7-102+102.7-232.6+240.1-1128.7+1119.6-9151.7+9161.5-102.7+103.6-240.1+177.9-129.2+124.5-9161.5+9837.9-1119.6+1100.7</f>
        <v>11215.4</v>
      </c>
      <c r="K76" s="46">
        <f t="shared" si="29"/>
        <v>33938.699999999997</v>
      </c>
    </row>
    <row r="77" spans="1:11" ht="12" hidden="1" customHeight="1" x14ac:dyDescent="0.2">
      <c r="A77" s="41"/>
      <c r="B77" s="60"/>
      <c r="C77" s="57"/>
      <c r="D77" s="61"/>
      <c r="E77" s="61"/>
      <c r="F77" s="62"/>
      <c r="G77" s="46"/>
      <c r="H77" s="46"/>
      <c r="I77" s="57"/>
      <c r="J77" s="62"/>
      <c r="K77" s="46"/>
    </row>
    <row r="78" spans="1:11" ht="12" hidden="1" customHeight="1" x14ac:dyDescent="0.2">
      <c r="A78" s="41"/>
      <c r="B78" s="60"/>
      <c r="C78" s="57"/>
      <c r="D78" s="61"/>
      <c r="E78" s="61"/>
      <c r="F78" s="62"/>
      <c r="G78" s="46"/>
      <c r="H78" s="46"/>
      <c r="I78" s="57"/>
      <c r="J78" s="62"/>
      <c r="K78" s="46"/>
    </row>
    <row r="79" spans="1:11" ht="12" hidden="1" customHeight="1" x14ac:dyDescent="0.2">
      <c r="A79" s="41" t="s">
        <v>58</v>
      </c>
      <c r="B79" s="60">
        <v>733</v>
      </c>
      <c r="C79" s="57">
        <v>350</v>
      </c>
      <c r="D79" s="61">
        <v>11</v>
      </c>
      <c r="E79" s="61">
        <v>1246.4000000000001</v>
      </c>
      <c r="F79" s="62">
        <v>115.4</v>
      </c>
      <c r="G79" s="46">
        <v>106.6</v>
      </c>
      <c r="H79" s="46">
        <v>669</v>
      </c>
      <c r="I79" s="57">
        <v>19256.8</v>
      </c>
      <c r="J79" s="62">
        <v>11219.3</v>
      </c>
      <c r="K79" s="46">
        <f t="shared" ref="K79:K84" si="30">SUM(B79:J79)</f>
        <v>33707.5</v>
      </c>
    </row>
    <row r="80" spans="1:11" ht="12" hidden="1" customHeight="1" x14ac:dyDescent="0.2">
      <c r="A80" s="41" t="s">
        <v>45</v>
      </c>
      <c r="B80" s="60">
        <v>509</v>
      </c>
      <c r="C80" s="57">
        <v>150</v>
      </c>
      <c r="D80" s="61">
        <v>11</v>
      </c>
      <c r="E80" s="61">
        <v>1396.9</v>
      </c>
      <c r="F80" s="62">
        <v>224.6</v>
      </c>
      <c r="G80" s="46">
        <v>112.5</v>
      </c>
      <c r="H80" s="46">
        <v>645.79999999999995</v>
      </c>
      <c r="I80" s="57">
        <v>18907.099999999999</v>
      </c>
      <c r="J80" s="62">
        <v>11259.7</v>
      </c>
      <c r="K80" s="46">
        <f t="shared" si="30"/>
        <v>33216.6</v>
      </c>
    </row>
    <row r="81" spans="1:11" ht="12" hidden="1" customHeight="1" x14ac:dyDescent="0.2">
      <c r="A81" s="41" t="s">
        <v>46</v>
      </c>
      <c r="B81" s="60">
        <v>858.2</v>
      </c>
      <c r="C81" s="57">
        <v>170</v>
      </c>
      <c r="D81" s="61">
        <v>11</v>
      </c>
      <c r="E81" s="61">
        <v>1544.6</v>
      </c>
      <c r="F81" s="62">
        <v>221.3</v>
      </c>
      <c r="G81" s="46">
        <v>108.2</v>
      </c>
      <c r="H81" s="46">
        <v>647.20000000000005</v>
      </c>
      <c r="I81" s="57">
        <v>18595.8</v>
      </c>
      <c r="J81" s="62">
        <v>10984.3</v>
      </c>
      <c r="K81" s="46">
        <f t="shared" si="30"/>
        <v>33140.6</v>
      </c>
    </row>
    <row r="82" spans="1:11" ht="12" hidden="1" customHeight="1" x14ac:dyDescent="0.2">
      <c r="A82" s="41" t="s">
        <v>47</v>
      </c>
      <c r="B82" s="60">
        <v>499.3</v>
      </c>
      <c r="C82" s="57">
        <v>221.2</v>
      </c>
      <c r="D82" s="61">
        <v>11</v>
      </c>
      <c r="E82" s="61">
        <v>1235.5999999999999</v>
      </c>
      <c r="F82" s="62">
        <v>216.1</v>
      </c>
      <c r="G82" s="46">
        <v>105.3</v>
      </c>
      <c r="H82" s="46">
        <v>704.6</v>
      </c>
      <c r="I82" s="57">
        <v>19599.8</v>
      </c>
      <c r="J82" s="62">
        <v>10965.5</v>
      </c>
      <c r="K82" s="46">
        <f t="shared" si="30"/>
        <v>33558.399999999994</v>
      </c>
    </row>
    <row r="83" spans="1:11" ht="12" hidden="1" customHeight="1" x14ac:dyDescent="0.2">
      <c r="A83" s="41" t="s">
        <v>48</v>
      </c>
      <c r="B83" s="60">
        <v>352.8</v>
      </c>
      <c r="C83" s="57">
        <v>201.2</v>
      </c>
      <c r="D83" s="61">
        <v>11</v>
      </c>
      <c r="E83" s="61">
        <v>1235.5999999999999</v>
      </c>
      <c r="F83" s="62">
        <v>216.1</v>
      </c>
      <c r="G83" s="46">
        <v>104.6</v>
      </c>
      <c r="H83" s="46">
        <v>692.8</v>
      </c>
      <c r="I83" s="57">
        <v>20936.400000000001</v>
      </c>
      <c r="J83" s="62">
        <v>10991.9</v>
      </c>
      <c r="K83" s="46">
        <f t="shared" si="30"/>
        <v>34742.400000000001</v>
      </c>
    </row>
    <row r="84" spans="1:11" ht="12" hidden="1" customHeight="1" x14ac:dyDescent="0.2">
      <c r="A84" s="41" t="s">
        <v>30</v>
      </c>
      <c r="B84" s="60">
        <v>300.10000000000002</v>
      </c>
      <c r="C84" s="57">
        <v>101.2</v>
      </c>
      <c r="D84" s="61">
        <v>11</v>
      </c>
      <c r="E84" s="61">
        <v>965.6</v>
      </c>
      <c r="F84" s="62">
        <v>212</v>
      </c>
      <c r="G84" s="46">
        <v>103.6</v>
      </c>
      <c r="H84" s="46">
        <v>725.7</v>
      </c>
      <c r="I84" s="57">
        <v>20704.3</v>
      </c>
      <c r="J84" s="62">
        <v>10718.9</v>
      </c>
      <c r="K84" s="46">
        <f t="shared" si="30"/>
        <v>33842.400000000001</v>
      </c>
    </row>
    <row r="85" spans="1:11" ht="12" hidden="1" customHeight="1" x14ac:dyDescent="0.2">
      <c r="A85" s="41" t="s">
        <v>49</v>
      </c>
      <c r="B85" s="60">
        <v>326.89999999999998</v>
      </c>
      <c r="C85" s="57">
        <v>181.2</v>
      </c>
      <c r="D85" s="61">
        <v>11</v>
      </c>
      <c r="E85" s="46">
        <v>1005.6</v>
      </c>
      <c r="F85" s="62">
        <v>215.6</v>
      </c>
      <c r="G85" s="46">
        <v>128.1</v>
      </c>
      <c r="H85" s="46">
        <v>975</v>
      </c>
      <c r="I85" s="57">
        <v>22590.6</v>
      </c>
      <c r="J85" s="62">
        <v>10851.6</v>
      </c>
      <c r="K85" s="46">
        <f t="shared" ref="K85:K90" si="31">SUM(B85:J85)</f>
        <v>36285.599999999999</v>
      </c>
    </row>
    <row r="86" spans="1:11" ht="12" hidden="1" customHeight="1" x14ac:dyDescent="0.2">
      <c r="A86" s="41" t="s">
        <v>50</v>
      </c>
      <c r="B86" s="60">
        <v>297.2</v>
      </c>
      <c r="C86" s="57">
        <v>91.2</v>
      </c>
      <c r="D86" s="61">
        <v>11</v>
      </c>
      <c r="E86" s="46">
        <v>1146.9000000000001</v>
      </c>
      <c r="F86" s="62">
        <v>211.6</v>
      </c>
      <c r="G86" s="46">
        <v>160.4</v>
      </c>
      <c r="H86" s="46">
        <v>828.6</v>
      </c>
      <c r="I86" s="57">
        <v>21360.2</v>
      </c>
      <c r="J86" s="62">
        <v>10745.6</v>
      </c>
      <c r="K86" s="46">
        <f t="shared" si="31"/>
        <v>34852.700000000004</v>
      </c>
    </row>
    <row r="87" spans="1:11" ht="12" hidden="1" customHeight="1" x14ac:dyDescent="0.2">
      <c r="A87" s="41" t="s">
        <v>33</v>
      </c>
      <c r="B87" s="60">
        <v>342.8</v>
      </c>
      <c r="C87" s="57">
        <v>81.2</v>
      </c>
      <c r="D87" s="61">
        <v>11</v>
      </c>
      <c r="E87" s="46">
        <v>1147</v>
      </c>
      <c r="F87" s="62">
        <v>207</v>
      </c>
      <c r="G87" s="46">
        <v>184.5</v>
      </c>
      <c r="H87" s="46">
        <v>812</v>
      </c>
      <c r="I87" s="57">
        <v>20645.7</v>
      </c>
      <c r="J87" s="62">
        <v>10881</v>
      </c>
      <c r="K87" s="46">
        <f t="shared" si="31"/>
        <v>34312.199999999997</v>
      </c>
    </row>
    <row r="88" spans="1:11" ht="12" hidden="1" customHeight="1" x14ac:dyDescent="0.2">
      <c r="A88" s="41" t="s">
        <v>51</v>
      </c>
      <c r="B88" s="60">
        <v>110.2</v>
      </c>
      <c r="C88" s="46" t="s">
        <v>25</v>
      </c>
      <c r="D88" s="61">
        <v>11</v>
      </c>
      <c r="E88" s="46">
        <v>1146.9000000000001</v>
      </c>
      <c r="F88" s="62">
        <v>90.2</v>
      </c>
      <c r="G88" s="46">
        <v>149.19999999999999</v>
      </c>
      <c r="H88" s="46">
        <v>819.7</v>
      </c>
      <c r="I88" s="57">
        <v>20108.7</v>
      </c>
      <c r="J88" s="62">
        <v>10716.8</v>
      </c>
      <c r="K88" s="46">
        <f t="shared" si="31"/>
        <v>33152.699999999997</v>
      </c>
    </row>
    <row r="89" spans="1:11" ht="12" hidden="1" customHeight="1" x14ac:dyDescent="0.2">
      <c r="A89" s="41" t="s">
        <v>52</v>
      </c>
      <c r="B89" s="60">
        <v>217.3</v>
      </c>
      <c r="C89" s="46" t="s">
        <v>25</v>
      </c>
      <c r="D89" s="61">
        <v>11</v>
      </c>
      <c r="E89" s="61">
        <v>1146.9000000000001</v>
      </c>
      <c r="F89" s="62">
        <v>85.2</v>
      </c>
      <c r="G89" s="46">
        <v>216.1</v>
      </c>
      <c r="H89" s="46">
        <v>464.1</v>
      </c>
      <c r="I89" s="57">
        <v>19374.7</v>
      </c>
      <c r="J89" s="62">
        <v>8360.7000000000007</v>
      </c>
      <c r="K89" s="46">
        <f t="shared" si="31"/>
        <v>29876</v>
      </c>
    </row>
    <row r="90" spans="1:11" ht="12" hidden="1" customHeight="1" x14ac:dyDescent="0.2">
      <c r="A90" s="41" t="s">
        <v>31</v>
      </c>
      <c r="B90" s="60">
        <v>257.2</v>
      </c>
      <c r="C90" s="46" t="s">
        <v>25</v>
      </c>
      <c r="D90" s="61">
        <v>11</v>
      </c>
      <c r="E90" s="61">
        <v>1146.9000000000001</v>
      </c>
      <c r="F90" s="62">
        <v>82.6</v>
      </c>
      <c r="G90" s="46">
        <v>322.5</v>
      </c>
      <c r="H90" s="46">
        <v>431.8</v>
      </c>
      <c r="I90" s="57">
        <v>18112.400000000001</v>
      </c>
      <c r="J90" s="62">
        <v>8295.1</v>
      </c>
      <c r="K90" s="46">
        <f t="shared" si="31"/>
        <v>28659.5</v>
      </c>
    </row>
    <row r="91" spans="1:11" ht="12" hidden="1" customHeight="1" x14ac:dyDescent="0.2">
      <c r="A91" s="49"/>
      <c r="B91" s="60"/>
      <c r="C91" s="57"/>
      <c r="D91" s="61"/>
      <c r="E91" s="61"/>
      <c r="F91" s="62"/>
      <c r="G91" s="46"/>
      <c r="H91" s="46"/>
      <c r="I91" s="57"/>
      <c r="J91" s="62"/>
      <c r="K91" s="46"/>
    </row>
    <row r="92" spans="1:11" ht="12" hidden="1" customHeight="1" x14ac:dyDescent="0.2">
      <c r="A92" s="41"/>
      <c r="B92" s="60"/>
      <c r="C92" s="57"/>
      <c r="D92" s="61"/>
      <c r="E92" s="61"/>
      <c r="F92" s="62"/>
      <c r="G92" s="46"/>
      <c r="H92" s="46"/>
      <c r="I92" s="57"/>
      <c r="J92" s="62"/>
      <c r="K92" s="46"/>
    </row>
    <row r="93" spans="1:11" ht="12" hidden="1" customHeight="1" x14ac:dyDescent="0.2">
      <c r="A93" s="41" t="s">
        <v>53</v>
      </c>
      <c r="B93" s="60">
        <f>338.9+40.2</f>
        <v>379.09999999999997</v>
      </c>
      <c r="C93" s="57" t="s">
        <v>25</v>
      </c>
      <c r="D93" s="61">
        <v>11</v>
      </c>
      <c r="E93" s="61">
        <f>186.6+574.9</f>
        <v>761.5</v>
      </c>
      <c r="F93" s="62">
        <f>79.9+0</f>
        <v>79.900000000000006</v>
      </c>
      <c r="G93" s="46">
        <f>447.5+40.4</f>
        <v>487.9</v>
      </c>
      <c r="H93" s="46">
        <f>55.1+318</f>
        <v>373.1</v>
      </c>
      <c r="I93" s="57">
        <f>5544.6+302.8+12945.8+200.8</f>
        <v>18994</v>
      </c>
      <c r="J93" s="62">
        <f>1073.7+3917.9</f>
        <v>4991.6000000000004</v>
      </c>
      <c r="K93" s="46">
        <f t="shared" ref="K93:K98" si="32">SUM(B93:J93)</f>
        <v>26078.1</v>
      </c>
    </row>
    <row r="94" spans="1:11" ht="12" hidden="1" customHeight="1" x14ac:dyDescent="0.2">
      <c r="A94" s="41" t="s">
        <v>45</v>
      </c>
      <c r="B94" s="60">
        <f>378.4+45.9</f>
        <v>424.29999999999995</v>
      </c>
      <c r="C94" s="57" t="s">
        <v>25</v>
      </c>
      <c r="D94" s="61">
        <v>11</v>
      </c>
      <c r="E94" s="61">
        <f>186.6+576</f>
        <v>762.6</v>
      </c>
      <c r="F94" s="62">
        <f>80</f>
        <v>80</v>
      </c>
      <c r="G94" s="46">
        <f>437.3+40.3</f>
        <v>477.6</v>
      </c>
      <c r="H94" s="46">
        <f>55.1+297.2</f>
        <v>352.3</v>
      </c>
      <c r="I94" s="57">
        <f>5554.2+301.1+11725.5+199.9</f>
        <v>17780.7</v>
      </c>
      <c r="J94" s="62">
        <f>1085.2+3896.6</f>
        <v>4981.8</v>
      </c>
      <c r="K94" s="46">
        <f t="shared" si="32"/>
        <v>24870.3</v>
      </c>
    </row>
    <row r="95" spans="1:11" ht="12" hidden="1" customHeight="1" x14ac:dyDescent="0.2">
      <c r="A95" s="41" t="s">
        <v>46</v>
      </c>
      <c r="B95" s="60">
        <f>382.9+76.3</f>
        <v>459.2</v>
      </c>
      <c r="C95" s="57">
        <v>364</v>
      </c>
      <c r="D95" s="61">
        <v>11</v>
      </c>
      <c r="E95" s="61">
        <f>186.6</f>
        <v>186.6</v>
      </c>
      <c r="F95" s="62">
        <f>80</f>
        <v>80</v>
      </c>
      <c r="G95" s="46">
        <f>413.2+22.2</f>
        <v>435.4</v>
      </c>
      <c r="H95" s="46">
        <f>53.1+276</f>
        <v>329.1</v>
      </c>
      <c r="I95" s="57">
        <f>5886.5+313.3+11283.8+195.5</f>
        <v>17679.099999999999</v>
      </c>
      <c r="J95" s="62">
        <f>1078.4+3887.4</f>
        <v>4965.8</v>
      </c>
      <c r="K95" s="46">
        <f t="shared" si="32"/>
        <v>24510.199999999997</v>
      </c>
    </row>
    <row r="96" spans="1:11" ht="12" hidden="1" customHeight="1" x14ac:dyDescent="0.2">
      <c r="A96" s="41" t="s">
        <v>47</v>
      </c>
      <c r="B96" s="60">
        <f>100.3+984.7</f>
        <v>1085</v>
      </c>
      <c r="C96" s="57">
        <v>364</v>
      </c>
      <c r="D96" s="61">
        <v>11</v>
      </c>
      <c r="E96" s="61">
        <f>430.6</f>
        <v>430.6</v>
      </c>
      <c r="F96" s="62">
        <f>78</f>
        <v>78</v>
      </c>
      <c r="G96" s="46">
        <f>395.5+22.2</f>
        <v>417.7</v>
      </c>
      <c r="H96" s="46">
        <f>51.1+621.7</f>
        <v>672.80000000000007</v>
      </c>
      <c r="I96" s="57">
        <f>5921.5+316+10670.1+192.5</f>
        <v>17100.099999999999</v>
      </c>
      <c r="J96" s="62">
        <f>1122.9+3933.9</f>
        <v>5056.8</v>
      </c>
      <c r="K96" s="46">
        <f t="shared" si="32"/>
        <v>25215.999999999996</v>
      </c>
    </row>
    <row r="97" spans="1:11" ht="12" hidden="1" customHeight="1" x14ac:dyDescent="0.2">
      <c r="A97" s="41" t="s">
        <v>48</v>
      </c>
      <c r="B97" s="60">
        <f>175.9+552.4</f>
        <v>728.3</v>
      </c>
      <c r="C97" s="57">
        <v>514</v>
      </c>
      <c r="D97" s="61">
        <v>11</v>
      </c>
      <c r="E97" s="61">
        <f>186.6</f>
        <v>186.6</v>
      </c>
      <c r="F97" s="62">
        <f>75</f>
        <v>75</v>
      </c>
      <c r="G97" s="46">
        <f>385.3+27.2</f>
        <v>412.5</v>
      </c>
      <c r="H97" s="46">
        <f>50.8+514.7</f>
        <v>565.5</v>
      </c>
      <c r="I97" s="57">
        <f>5597.7+312.5+10374.4+189.5</f>
        <v>16474.099999999999</v>
      </c>
      <c r="J97" s="62">
        <f>1090.5+3916.8</f>
        <v>5007.3</v>
      </c>
      <c r="K97" s="46">
        <f t="shared" si="32"/>
        <v>23974.3</v>
      </c>
    </row>
    <row r="98" spans="1:11" ht="12" hidden="1" customHeight="1" x14ac:dyDescent="0.2">
      <c r="A98" s="41" t="s">
        <v>30</v>
      </c>
      <c r="B98" s="60">
        <f>361+236.7</f>
        <v>597.70000000000005</v>
      </c>
      <c r="C98" s="57">
        <v>714</v>
      </c>
      <c r="D98" s="61">
        <v>11</v>
      </c>
      <c r="E98" s="61">
        <f>186.6</f>
        <v>186.6</v>
      </c>
      <c r="F98" s="62">
        <f>75</f>
        <v>75</v>
      </c>
      <c r="G98" s="46">
        <f>37.8+19.6</f>
        <v>57.4</v>
      </c>
      <c r="H98" s="46">
        <f>46.9+621.8</f>
        <v>668.69999999999993</v>
      </c>
      <c r="I98" s="57">
        <f>5665.3+316.4+9723.1+186</f>
        <v>15890.8</v>
      </c>
      <c r="J98" s="62">
        <f>1082.4+3079.1</f>
        <v>4161.5</v>
      </c>
      <c r="K98" s="46">
        <f t="shared" si="32"/>
        <v>22362.7</v>
      </c>
    </row>
    <row r="99" spans="1:11" ht="12" hidden="1" customHeight="1" x14ac:dyDescent="0.2">
      <c r="A99" s="41" t="s">
        <v>49</v>
      </c>
      <c r="B99" s="60">
        <f>119.3+266.7</f>
        <v>386</v>
      </c>
      <c r="C99" s="57">
        <v>554</v>
      </c>
      <c r="D99" s="61">
        <v>11</v>
      </c>
      <c r="E99" s="61">
        <f>1046.8</f>
        <v>1046.8</v>
      </c>
      <c r="F99" s="62">
        <f>70.7</f>
        <v>70.7</v>
      </c>
      <c r="G99" s="46">
        <f>32+19.6</f>
        <v>51.6</v>
      </c>
      <c r="H99" s="46">
        <f>46.5+754.6</f>
        <v>801.1</v>
      </c>
      <c r="I99" s="57">
        <f>5909.7+313.8+9305+184.5</f>
        <v>15713</v>
      </c>
      <c r="J99" s="62">
        <f>1133.4+2975.6</f>
        <v>4109</v>
      </c>
      <c r="K99" s="46">
        <f t="shared" ref="K99:K104" si="33">SUM(B99:J99)</f>
        <v>22743.200000000001</v>
      </c>
    </row>
    <row r="100" spans="1:11" ht="12" hidden="1" customHeight="1" x14ac:dyDescent="0.2">
      <c r="A100" s="41" t="s">
        <v>50</v>
      </c>
      <c r="B100" s="60">
        <f>141.3+286.7</f>
        <v>428</v>
      </c>
      <c r="C100" s="57">
        <v>654</v>
      </c>
      <c r="D100" s="61">
        <v>11</v>
      </c>
      <c r="E100" s="61">
        <f>1292.5</f>
        <v>1292.5</v>
      </c>
      <c r="F100" s="62">
        <f>70.7</f>
        <v>70.7</v>
      </c>
      <c r="G100" s="46">
        <f>27.3+19.6</f>
        <v>46.900000000000006</v>
      </c>
      <c r="H100" s="46">
        <f>46.5+886.9</f>
        <v>933.4</v>
      </c>
      <c r="I100" s="57">
        <f>6042.1+322.1+8876.3+183.4</f>
        <v>15423.9</v>
      </c>
      <c r="J100" s="62">
        <f>1083.8+3022.5</f>
        <v>4106.3</v>
      </c>
      <c r="K100" s="46">
        <f t="shared" si="33"/>
        <v>22966.7</v>
      </c>
    </row>
    <row r="101" spans="1:11" ht="12" hidden="1" customHeight="1" x14ac:dyDescent="0.2">
      <c r="A101" s="41" t="s">
        <v>33</v>
      </c>
      <c r="B101" s="60">
        <f>184.6+362.8</f>
        <v>547.4</v>
      </c>
      <c r="C101" s="57">
        <v>684</v>
      </c>
      <c r="D101" s="61">
        <v>11</v>
      </c>
      <c r="E101" s="61">
        <f>1486.6</f>
        <v>1486.6</v>
      </c>
      <c r="F101" s="62">
        <v>64.3</v>
      </c>
      <c r="G101" s="46">
        <f>43+19.6</f>
        <v>62.6</v>
      </c>
      <c r="H101" s="46">
        <f>45.7+856</f>
        <v>901.7</v>
      </c>
      <c r="I101" s="57">
        <f>6044.1+320.7+8652.3+181.3</f>
        <v>15198.399999999998</v>
      </c>
      <c r="J101" s="62">
        <f>1063+2930.4</f>
        <v>3993.4</v>
      </c>
      <c r="K101" s="46">
        <f t="shared" si="33"/>
        <v>22949.4</v>
      </c>
    </row>
    <row r="102" spans="1:11" ht="12" hidden="1" customHeight="1" x14ac:dyDescent="0.2">
      <c r="A102" s="41" t="s">
        <v>51</v>
      </c>
      <c r="B102" s="60">
        <f>162.1+266.5</f>
        <v>428.6</v>
      </c>
      <c r="C102" s="57">
        <f>834+200</f>
        <v>1034</v>
      </c>
      <c r="D102" s="61">
        <v>11</v>
      </c>
      <c r="E102" s="61">
        <f>1686.6</f>
        <v>1686.6</v>
      </c>
      <c r="F102" s="62">
        <v>61</v>
      </c>
      <c r="G102" s="46">
        <f>42.8+1.5</f>
        <v>44.3</v>
      </c>
      <c r="H102" s="46">
        <f>45.7+824.4</f>
        <v>870.1</v>
      </c>
      <c r="I102" s="57">
        <f>6007.6+321+8569.3+179.2</f>
        <v>15077.1</v>
      </c>
      <c r="J102" s="62">
        <f>1060.8+2954.2</f>
        <v>4015</v>
      </c>
      <c r="K102" s="46">
        <f t="shared" si="33"/>
        <v>23227.7</v>
      </c>
    </row>
    <row r="103" spans="1:11" ht="12" hidden="1" customHeight="1" x14ac:dyDescent="0.2">
      <c r="A103" s="41" t="s">
        <v>52</v>
      </c>
      <c r="B103" s="60">
        <f>105.8+1204.5</f>
        <v>1310.3</v>
      </c>
      <c r="C103" s="57">
        <f>934+1000</f>
        <v>1934</v>
      </c>
      <c r="D103" s="61">
        <v>11</v>
      </c>
      <c r="E103" s="61">
        <f>186.6</f>
        <v>186.6</v>
      </c>
      <c r="F103" s="62">
        <v>57.6</v>
      </c>
      <c r="G103" s="46">
        <f>4.4+1.5</f>
        <v>5.9</v>
      </c>
      <c r="H103" s="46">
        <f>45.7+828.3</f>
        <v>874</v>
      </c>
      <c r="I103" s="57">
        <f>6206.5+326.9+9052.4+175.9</f>
        <v>15761.699999999999</v>
      </c>
      <c r="J103" s="62">
        <f>1040+2660.2</f>
        <v>3700.2</v>
      </c>
      <c r="K103" s="46">
        <f t="shared" si="33"/>
        <v>23841.3</v>
      </c>
    </row>
    <row r="104" spans="1:11" ht="12" hidden="1" customHeight="1" x14ac:dyDescent="0.2">
      <c r="A104" s="41" t="s">
        <v>31</v>
      </c>
      <c r="B104" s="60">
        <f>128.1+618</f>
        <v>746.1</v>
      </c>
      <c r="C104" s="57">
        <f>834+1300</f>
        <v>2134</v>
      </c>
      <c r="D104" s="61">
        <v>11</v>
      </c>
      <c r="E104" s="61">
        <f>186.6</f>
        <v>186.6</v>
      </c>
      <c r="F104" s="62">
        <v>54.2</v>
      </c>
      <c r="G104" s="46">
        <f>4.4+1.5</f>
        <v>5.9</v>
      </c>
      <c r="H104" s="46">
        <f>42.2+661.1</f>
        <v>703.30000000000007</v>
      </c>
      <c r="I104" s="57">
        <f>6213.1+378.2+9208.6+168.7</f>
        <v>15968.600000000002</v>
      </c>
      <c r="J104" s="62">
        <f>1009.5+2484.9</f>
        <v>3494.4</v>
      </c>
      <c r="K104" s="46">
        <f t="shared" si="33"/>
        <v>23304.100000000002</v>
      </c>
    </row>
    <row r="105" spans="1:11" ht="12" hidden="1" customHeight="1" x14ac:dyDescent="0.2">
      <c r="A105" s="41"/>
      <c r="B105" s="60"/>
      <c r="C105" s="57"/>
      <c r="D105" s="61"/>
      <c r="E105" s="61"/>
      <c r="F105" s="62"/>
      <c r="G105" s="46"/>
      <c r="H105" s="46"/>
      <c r="I105" s="57"/>
      <c r="J105" s="62"/>
      <c r="K105" s="46"/>
    </row>
    <row r="106" spans="1:11" ht="12" hidden="1" customHeight="1" x14ac:dyDescent="0.2">
      <c r="A106" s="41" t="s">
        <v>54</v>
      </c>
      <c r="B106" s="60">
        <f>149.8+1110.5</f>
        <v>1260.3</v>
      </c>
      <c r="C106" s="57">
        <f>490+400</f>
        <v>890</v>
      </c>
      <c r="D106" s="61">
        <v>11</v>
      </c>
      <c r="E106" s="46" t="s">
        <v>25</v>
      </c>
      <c r="F106" s="62">
        <v>54.2</v>
      </c>
      <c r="G106" s="46">
        <f>4.4+1.5</f>
        <v>5.9</v>
      </c>
      <c r="H106" s="46">
        <f>42.2+626.7</f>
        <v>668.90000000000009</v>
      </c>
      <c r="I106" s="57">
        <f>6262.2+396.4+9497.7+193.9</f>
        <v>16350.199999999999</v>
      </c>
      <c r="J106" s="62">
        <f>1025.9+2629.7</f>
        <v>3655.6</v>
      </c>
      <c r="K106" s="46">
        <f t="shared" ref="K106:K111" si="34">SUM(B106:J106)</f>
        <v>22896.1</v>
      </c>
    </row>
    <row r="107" spans="1:11" ht="12" hidden="1" customHeight="1" x14ac:dyDescent="0.2">
      <c r="A107" s="41" t="s">
        <v>45</v>
      </c>
      <c r="B107" s="60">
        <f>325.8+527</f>
        <v>852.8</v>
      </c>
      <c r="C107" s="57">
        <f>490+400</f>
        <v>890</v>
      </c>
      <c r="D107" s="61">
        <v>11</v>
      </c>
      <c r="E107" s="46" t="s">
        <v>25</v>
      </c>
      <c r="F107" s="62">
        <v>54.2</v>
      </c>
      <c r="G107" s="46">
        <f>4.3+1.5</f>
        <v>5.8</v>
      </c>
      <c r="H107" s="46">
        <f>42.2+602.3</f>
        <v>644.5</v>
      </c>
      <c r="I107" s="57">
        <f>6588+407.3+10189.8+194.9</f>
        <v>17380</v>
      </c>
      <c r="J107" s="62">
        <f>1094.2+2566.6</f>
        <v>3660.8</v>
      </c>
      <c r="K107" s="46">
        <f t="shared" si="34"/>
        <v>23499.1</v>
      </c>
    </row>
    <row r="108" spans="1:11" ht="12" hidden="1" customHeight="1" x14ac:dyDescent="0.2">
      <c r="A108" s="41" t="s">
        <v>46</v>
      </c>
      <c r="B108" s="60">
        <f>276.4+724.8</f>
        <v>1001.1999999999999</v>
      </c>
      <c r="C108" s="57">
        <f>490+300</f>
        <v>790</v>
      </c>
      <c r="D108" s="61">
        <v>11</v>
      </c>
      <c r="E108" s="46" t="s">
        <v>25</v>
      </c>
      <c r="F108" s="62">
        <v>43.6</v>
      </c>
      <c r="G108" s="46">
        <f>4.4+1.5</f>
        <v>5.9</v>
      </c>
      <c r="H108" s="46">
        <f>42.2+555.6</f>
        <v>597.80000000000007</v>
      </c>
      <c r="I108" s="57">
        <f>6649.5+408.2+10302+196.3</f>
        <v>17556</v>
      </c>
      <c r="J108" s="62">
        <f>1053.8+2664.9</f>
        <v>3718.7</v>
      </c>
      <c r="K108" s="46">
        <f t="shared" si="34"/>
        <v>23724.2</v>
      </c>
    </row>
    <row r="109" spans="1:11" ht="12" hidden="1" customHeight="1" x14ac:dyDescent="0.2">
      <c r="A109" s="41" t="s">
        <v>47</v>
      </c>
      <c r="B109" s="60">
        <f>229.4+342.8</f>
        <v>572.20000000000005</v>
      </c>
      <c r="C109" s="57">
        <f>490+600</f>
        <v>1090</v>
      </c>
      <c r="D109" s="61">
        <v>11</v>
      </c>
      <c r="E109" s="46" t="s">
        <v>25</v>
      </c>
      <c r="F109" s="62">
        <v>43.6</v>
      </c>
      <c r="G109" s="46">
        <f>2.8+1.5</f>
        <v>4.3</v>
      </c>
      <c r="H109" s="46">
        <f>42.2+521.5</f>
        <v>563.70000000000005</v>
      </c>
      <c r="I109" s="57">
        <f>6760.3+410.6+9937.3+149.5</f>
        <v>17257.7</v>
      </c>
      <c r="J109" s="62">
        <f>1133.9+3140.8</f>
        <v>4274.7000000000007</v>
      </c>
      <c r="K109" s="46">
        <f t="shared" si="34"/>
        <v>23817.200000000001</v>
      </c>
    </row>
    <row r="110" spans="1:11" ht="12" hidden="1" customHeight="1" x14ac:dyDescent="0.2">
      <c r="A110" s="41" t="s">
        <v>48</v>
      </c>
      <c r="B110" s="60">
        <f>393.6+181.7</f>
        <v>575.29999999999995</v>
      </c>
      <c r="C110" s="57">
        <f>300+500</f>
        <v>800</v>
      </c>
      <c r="D110" s="61">
        <v>11</v>
      </c>
      <c r="E110" s="46" t="s">
        <v>25</v>
      </c>
      <c r="F110" s="62">
        <v>39.799999999999997</v>
      </c>
      <c r="G110" s="46">
        <f>2.8+1.5</f>
        <v>4.3</v>
      </c>
      <c r="H110" s="46">
        <f>42.1+479.6</f>
        <v>521.70000000000005</v>
      </c>
      <c r="I110" s="57">
        <f>6856+471.1+10648.2+142.5</f>
        <v>18117.800000000003</v>
      </c>
      <c r="J110" s="62">
        <f>1084.8+2886.3</f>
        <v>3971.1000000000004</v>
      </c>
      <c r="K110" s="46">
        <f t="shared" si="34"/>
        <v>24041</v>
      </c>
    </row>
    <row r="111" spans="1:11" ht="12" hidden="1" customHeight="1" x14ac:dyDescent="0.2">
      <c r="A111" s="41" t="s">
        <v>30</v>
      </c>
      <c r="B111" s="60">
        <f>184.9+402.7</f>
        <v>587.6</v>
      </c>
      <c r="C111" s="57">
        <f>480</f>
        <v>480</v>
      </c>
      <c r="D111" s="61">
        <v>11</v>
      </c>
      <c r="E111" s="46" t="s">
        <v>25</v>
      </c>
      <c r="F111" s="62">
        <v>39.799999999999997</v>
      </c>
      <c r="G111" s="46">
        <f>4.4+1.5</f>
        <v>5.9</v>
      </c>
      <c r="H111" s="46">
        <f>38.6+445.1</f>
        <v>483.70000000000005</v>
      </c>
      <c r="I111" s="57">
        <f>7282.1+471.1+10716.1+140.2</f>
        <v>18609.500000000004</v>
      </c>
      <c r="J111" s="62">
        <f>1082.2+3347.5</f>
        <v>4429.7</v>
      </c>
      <c r="K111" s="46">
        <f t="shared" si="34"/>
        <v>24647.200000000004</v>
      </c>
    </row>
    <row r="112" spans="1:11" ht="12" hidden="1" customHeight="1" x14ac:dyDescent="0.2">
      <c r="A112" s="41" t="s">
        <v>49</v>
      </c>
      <c r="B112" s="60">
        <f>90.3+202.4</f>
        <v>292.7</v>
      </c>
      <c r="C112" s="57">
        <v>610</v>
      </c>
      <c r="D112" s="61">
        <v>11</v>
      </c>
      <c r="E112" s="46" t="s">
        <v>25</v>
      </c>
      <c r="F112" s="62">
        <v>39.799999999999997</v>
      </c>
      <c r="G112" s="46">
        <f>5.7+1.5</f>
        <v>7.2</v>
      </c>
      <c r="H112" s="46">
        <f>38.7+699.3</f>
        <v>738</v>
      </c>
      <c r="I112" s="57">
        <f>7507.3+489.8+11025+139.4</f>
        <v>19161.5</v>
      </c>
      <c r="J112" s="62">
        <f>1128.2+3368.1</f>
        <v>4496.3</v>
      </c>
      <c r="K112" s="46">
        <f t="shared" ref="K112:K117" si="35">SUM(B112:J112)</f>
        <v>25356.5</v>
      </c>
    </row>
    <row r="113" spans="1:11" ht="12" hidden="1" customHeight="1" x14ac:dyDescent="0.2">
      <c r="A113" s="41" t="s">
        <v>50</v>
      </c>
      <c r="B113" s="60">
        <f>169.8+465.6</f>
        <v>635.40000000000009</v>
      </c>
      <c r="C113" s="57">
        <v>180</v>
      </c>
      <c r="D113" s="61">
        <v>11</v>
      </c>
      <c r="E113" s="46" t="s">
        <v>25</v>
      </c>
      <c r="F113" s="62">
        <v>36.299999999999997</v>
      </c>
      <c r="G113" s="46">
        <f>5.7+1.5</f>
        <v>7.2</v>
      </c>
      <c r="H113" s="46">
        <f>38.7+788.2</f>
        <v>826.90000000000009</v>
      </c>
      <c r="I113" s="57">
        <f>7642.8+492.6+10917.3+139.8</f>
        <v>19192.5</v>
      </c>
      <c r="J113" s="62">
        <f>1107+3145.2</f>
        <v>4252.2</v>
      </c>
      <c r="K113" s="46">
        <f t="shared" si="35"/>
        <v>25141.5</v>
      </c>
    </row>
    <row r="114" spans="1:11" ht="12" hidden="1" customHeight="1" x14ac:dyDescent="0.2">
      <c r="A114" s="41" t="s">
        <v>33</v>
      </c>
      <c r="B114" s="60">
        <f>242.5+752.2</f>
        <v>994.7</v>
      </c>
      <c r="C114" s="57">
        <v>480</v>
      </c>
      <c r="D114" s="61">
        <v>11</v>
      </c>
      <c r="E114" s="46" t="s">
        <v>25</v>
      </c>
      <c r="F114" s="62">
        <v>36.1</v>
      </c>
      <c r="G114" s="46">
        <f>5.7+1.5</f>
        <v>7.2</v>
      </c>
      <c r="H114" s="46">
        <f>38.6+758.4</f>
        <v>797</v>
      </c>
      <c r="I114" s="57">
        <f>7858.3+513.5+10866.7+135.1</f>
        <v>19373.599999999999</v>
      </c>
      <c r="J114" s="62">
        <f>1139.8+3018</f>
        <v>4157.8</v>
      </c>
      <c r="K114" s="46">
        <f t="shared" si="35"/>
        <v>25857.399999999998</v>
      </c>
    </row>
    <row r="115" spans="1:11" ht="12" hidden="1" customHeight="1" x14ac:dyDescent="0.2">
      <c r="A115" s="41" t="s">
        <v>51</v>
      </c>
      <c r="B115" s="60">
        <f>360.4+753.5</f>
        <v>1113.9000000000001</v>
      </c>
      <c r="C115" s="57">
        <v>575</v>
      </c>
      <c r="D115" s="61">
        <v>11</v>
      </c>
      <c r="E115" s="46" t="s">
        <v>25</v>
      </c>
      <c r="F115" s="62">
        <v>32.299999999999997</v>
      </c>
      <c r="G115" s="46">
        <f>5.7+1.5</f>
        <v>7.2</v>
      </c>
      <c r="H115" s="46">
        <f>32.4+730.4</f>
        <v>762.8</v>
      </c>
      <c r="I115" s="57">
        <f>7947+517+11067.4+132.7</f>
        <v>19664.100000000002</v>
      </c>
      <c r="J115" s="62">
        <f>1080.2+2968.3</f>
        <v>4048.5</v>
      </c>
      <c r="K115" s="46">
        <f t="shared" si="35"/>
        <v>26214.800000000003</v>
      </c>
    </row>
    <row r="116" spans="1:11" ht="12" hidden="1" customHeight="1" x14ac:dyDescent="0.2">
      <c r="A116" s="41" t="s">
        <v>52</v>
      </c>
      <c r="B116" s="60">
        <f>618.4+326</f>
        <v>944.4</v>
      </c>
      <c r="C116" s="57">
        <v>875</v>
      </c>
      <c r="D116" s="61">
        <v>11</v>
      </c>
      <c r="E116" s="46" t="s">
        <v>25</v>
      </c>
      <c r="F116" s="62">
        <v>16.399999999999999</v>
      </c>
      <c r="G116" s="46">
        <f>2.8+1.5</f>
        <v>4.3</v>
      </c>
      <c r="H116" s="46">
        <f>38.6+473.7</f>
        <v>512.29999999999995</v>
      </c>
      <c r="I116" s="57">
        <f>8048.5+517.9+11824.7+126.3</f>
        <v>20517.399999999998</v>
      </c>
      <c r="J116" s="62">
        <f>1117.8+2980.2</f>
        <v>4098</v>
      </c>
      <c r="K116" s="46">
        <f t="shared" si="35"/>
        <v>26978.799999999999</v>
      </c>
    </row>
    <row r="117" spans="1:11" ht="12" hidden="1" customHeight="1" x14ac:dyDescent="0.2">
      <c r="A117" s="41" t="s">
        <v>31</v>
      </c>
      <c r="B117" s="60">
        <f>410.1+269.4</f>
        <v>679.5</v>
      </c>
      <c r="C117" s="57">
        <v>725</v>
      </c>
      <c r="D117" s="61">
        <v>11</v>
      </c>
      <c r="E117" s="46" t="s">
        <v>25</v>
      </c>
      <c r="F117" s="62">
        <v>16.399999999999999</v>
      </c>
      <c r="G117" s="46">
        <f>4.3</f>
        <v>4.3</v>
      </c>
      <c r="H117" s="46">
        <f>38.6+374.7</f>
        <v>413.3</v>
      </c>
      <c r="I117" s="57">
        <f>8168.9+512+12055.9+119.9</f>
        <v>20856.7</v>
      </c>
      <c r="J117" s="62">
        <f>1144.6+3064.6</f>
        <v>4209.2</v>
      </c>
      <c r="K117" s="46">
        <f t="shared" si="35"/>
        <v>26915.4</v>
      </c>
    </row>
    <row r="118" spans="1:11" ht="12" hidden="1" customHeight="1" x14ac:dyDescent="0.2">
      <c r="A118" s="41"/>
      <c r="B118" s="60"/>
      <c r="C118" s="57"/>
      <c r="D118" s="61"/>
      <c r="E118" s="46"/>
      <c r="F118" s="62"/>
      <c r="G118" s="46"/>
      <c r="H118" s="46"/>
      <c r="I118" s="57"/>
      <c r="J118" s="62"/>
      <c r="K118" s="46"/>
    </row>
    <row r="119" spans="1:11" ht="12" hidden="1" customHeight="1" x14ac:dyDescent="0.2">
      <c r="A119" s="41" t="s">
        <v>56</v>
      </c>
      <c r="B119" s="60">
        <f>260.4+276.4</f>
        <v>536.79999999999995</v>
      </c>
      <c r="C119" s="57">
        <v>835</v>
      </c>
      <c r="D119" s="61">
        <v>11</v>
      </c>
      <c r="E119" s="46">
        <v>50.7</v>
      </c>
      <c r="F119" s="62">
        <v>4</v>
      </c>
      <c r="G119" s="46">
        <f>79.2+1.4</f>
        <v>80.600000000000009</v>
      </c>
      <c r="H119" s="46">
        <f>87.8+717.9</f>
        <v>805.69999999999993</v>
      </c>
      <c r="I119" s="57">
        <f>7916.3+534.6+11638.5+138.7</f>
        <v>20228.100000000002</v>
      </c>
      <c r="J119" s="62">
        <f>1107.7+4018.2</f>
        <v>5125.8999999999996</v>
      </c>
      <c r="K119" s="46">
        <f t="shared" ref="K119:K124" si="36">SUM(B119:J119)</f>
        <v>27677.800000000003</v>
      </c>
    </row>
    <row r="120" spans="1:11" ht="12" hidden="1" customHeight="1" x14ac:dyDescent="0.2">
      <c r="A120" s="41" t="s">
        <v>45</v>
      </c>
      <c r="B120" s="60">
        <f>382.3+1110.8</f>
        <v>1493.1</v>
      </c>
      <c r="C120" s="57">
        <v>835</v>
      </c>
      <c r="D120" s="61">
        <v>11</v>
      </c>
      <c r="E120" s="46">
        <v>50.7</v>
      </c>
      <c r="F120" s="62">
        <v>4</v>
      </c>
      <c r="G120" s="46">
        <f>84.1+1.4</f>
        <v>85.5</v>
      </c>
      <c r="H120" s="46">
        <f>90+874.7</f>
        <v>964.7</v>
      </c>
      <c r="I120" s="57">
        <f>7893.8+546.1+12650.7+146.6</f>
        <v>21237.199999999997</v>
      </c>
      <c r="J120" s="62">
        <f>1117.8+3170.8</f>
        <v>4288.6000000000004</v>
      </c>
      <c r="K120" s="46">
        <f t="shared" si="36"/>
        <v>28969.799999999996</v>
      </c>
    </row>
    <row r="121" spans="1:11" ht="12" hidden="1" customHeight="1" x14ac:dyDescent="0.2">
      <c r="A121" s="41" t="s">
        <v>46</v>
      </c>
      <c r="B121" s="60">
        <f>462+838.4</f>
        <v>1300.4000000000001</v>
      </c>
      <c r="C121" s="57">
        <v>875</v>
      </c>
      <c r="D121" s="61">
        <v>11</v>
      </c>
      <c r="E121" s="46" t="s">
        <v>25</v>
      </c>
      <c r="F121" s="62">
        <v>28.7</v>
      </c>
      <c r="G121" s="46">
        <f>19.4+1.4</f>
        <v>20.799999999999997</v>
      </c>
      <c r="H121" s="46">
        <f>86.1+971.6</f>
        <v>1057.7</v>
      </c>
      <c r="I121" s="57">
        <f>7899.5+592.8+12971.5+147</f>
        <v>21610.799999999999</v>
      </c>
      <c r="J121" s="62">
        <f>1135.2+3276.5</f>
        <v>4411.7</v>
      </c>
      <c r="K121" s="46">
        <f t="shared" si="36"/>
        <v>29316.100000000002</v>
      </c>
    </row>
    <row r="122" spans="1:11" ht="12" hidden="1" customHeight="1" x14ac:dyDescent="0.2">
      <c r="A122" s="41" t="s">
        <v>47</v>
      </c>
      <c r="B122" s="60">
        <f>250+511.5</f>
        <v>761.5</v>
      </c>
      <c r="C122" s="57">
        <v>725</v>
      </c>
      <c r="D122" s="61">
        <v>11</v>
      </c>
      <c r="E122" s="46" t="s">
        <v>25</v>
      </c>
      <c r="F122" s="62">
        <v>28.7</v>
      </c>
      <c r="G122" s="46">
        <v>20.3</v>
      </c>
      <c r="H122" s="46">
        <f>86.1+884.3</f>
        <v>970.4</v>
      </c>
      <c r="I122" s="57">
        <f>8393.5+603.8+13465.4+151.2</f>
        <v>22613.899999999998</v>
      </c>
      <c r="J122" s="62">
        <f>1064.5+3325</f>
        <v>4389.5</v>
      </c>
      <c r="K122" s="46">
        <f t="shared" si="36"/>
        <v>29520.3</v>
      </c>
    </row>
    <row r="123" spans="1:11" ht="12" hidden="1" customHeight="1" x14ac:dyDescent="0.2">
      <c r="A123" s="41" t="s">
        <v>48</v>
      </c>
      <c r="B123" s="60">
        <f>526.6+388.1</f>
        <v>914.7</v>
      </c>
      <c r="C123" s="57">
        <v>375</v>
      </c>
      <c r="D123" s="61">
        <v>11</v>
      </c>
      <c r="E123" s="46" t="s">
        <v>25</v>
      </c>
      <c r="F123" s="62">
        <v>3</v>
      </c>
      <c r="G123" s="46">
        <f>18.2+1.4</f>
        <v>19.599999999999998</v>
      </c>
      <c r="H123" s="46">
        <f>82.2+885.1</f>
        <v>967.30000000000007</v>
      </c>
      <c r="I123" s="57">
        <f>8762+616.1+14029.5+145</f>
        <v>23552.6</v>
      </c>
      <c r="J123" s="62">
        <f>1068+3386.4</f>
        <v>4454.3999999999996</v>
      </c>
      <c r="K123" s="46">
        <f t="shared" si="36"/>
        <v>30297.599999999999</v>
      </c>
    </row>
    <row r="124" spans="1:11" ht="12" hidden="1" customHeight="1" x14ac:dyDescent="0.2">
      <c r="A124" s="41" t="s">
        <v>30</v>
      </c>
      <c r="B124" s="60">
        <f>229.2+384.8</f>
        <v>614</v>
      </c>
      <c r="C124" s="57">
        <v>75</v>
      </c>
      <c r="D124" s="61">
        <v>11</v>
      </c>
      <c r="E124" s="46" t="s">
        <v>25</v>
      </c>
      <c r="F124" s="62">
        <v>2.7</v>
      </c>
      <c r="G124" s="46">
        <f>15.6+1.4</f>
        <v>17</v>
      </c>
      <c r="H124" s="46">
        <f>80.1+828</f>
        <v>908.1</v>
      </c>
      <c r="I124" s="57">
        <f>9257.9+620+14486+146.3</f>
        <v>24510.2</v>
      </c>
      <c r="J124" s="62">
        <f>1111.7+3895.5</f>
        <v>5007.2</v>
      </c>
      <c r="K124" s="46">
        <f t="shared" si="36"/>
        <v>31145.200000000001</v>
      </c>
    </row>
    <row r="125" spans="1:11" ht="12" hidden="1" customHeight="1" x14ac:dyDescent="0.2">
      <c r="A125" s="41" t="s">
        <v>49</v>
      </c>
      <c r="B125" s="60">
        <f>223.9+563</f>
        <v>786.9</v>
      </c>
      <c r="C125" s="57">
        <v>225</v>
      </c>
      <c r="D125" s="61">
        <v>11</v>
      </c>
      <c r="E125" s="46" t="s">
        <v>25</v>
      </c>
      <c r="F125" s="62">
        <v>2.5</v>
      </c>
      <c r="G125" s="46">
        <f>15.6+1.4</f>
        <v>17</v>
      </c>
      <c r="H125" s="46">
        <f>77.6+827.5</f>
        <v>905.1</v>
      </c>
      <c r="I125" s="57">
        <f>9322.1+617.5+14492.6+150.4</f>
        <v>24582.600000000002</v>
      </c>
      <c r="J125" s="62">
        <f>1078.6+3934.2</f>
        <v>5012.7999999999993</v>
      </c>
      <c r="K125" s="46">
        <f t="shared" ref="K125:K130" si="37">SUM(B125:J125)</f>
        <v>31542.9</v>
      </c>
    </row>
    <row r="126" spans="1:11" ht="12" hidden="1" customHeight="1" x14ac:dyDescent="0.2">
      <c r="A126" s="41" t="s">
        <v>50</v>
      </c>
      <c r="B126" s="60">
        <f>207.9+390.3</f>
        <v>598.20000000000005</v>
      </c>
      <c r="C126" s="57">
        <v>225</v>
      </c>
      <c r="D126" s="61">
        <v>11</v>
      </c>
      <c r="E126" s="46" t="s">
        <v>25</v>
      </c>
      <c r="F126" s="62">
        <v>2.2000000000000002</v>
      </c>
      <c r="G126" s="46">
        <f>15.6+1.4</f>
        <v>17</v>
      </c>
      <c r="H126" s="46">
        <f>74.4+1109.2</f>
        <v>1183.6000000000001</v>
      </c>
      <c r="I126" s="57">
        <f>9489.6+667.2+14910.7+146.3</f>
        <v>25213.8</v>
      </c>
      <c r="J126" s="62">
        <f>1062.1+4075.4</f>
        <v>5137.5</v>
      </c>
      <c r="K126" s="46">
        <f t="shared" si="37"/>
        <v>32388.3</v>
      </c>
    </row>
    <row r="127" spans="1:11" ht="12" hidden="1" customHeight="1" x14ac:dyDescent="0.2">
      <c r="A127" s="41" t="s">
        <v>33</v>
      </c>
      <c r="B127" s="60">
        <f>188.6+398.2</f>
        <v>586.79999999999995</v>
      </c>
      <c r="C127" s="57">
        <v>225</v>
      </c>
      <c r="D127" s="61">
        <v>11</v>
      </c>
      <c r="E127" s="46" t="s">
        <v>25</v>
      </c>
      <c r="F127" s="62">
        <v>1.9</v>
      </c>
      <c r="G127" s="46">
        <f>15+1.4</f>
        <v>16.399999999999999</v>
      </c>
      <c r="H127" s="46">
        <f>68.8+1039.4</f>
        <v>1108.2</v>
      </c>
      <c r="I127" s="57">
        <f>9612.9+701.1+15292.1+137.2</f>
        <v>25743.3</v>
      </c>
      <c r="J127" s="62">
        <f>1130.2+3986</f>
        <v>5116.2</v>
      </c>
      <c r="K127" s="46">
        <f t="shared" si="37"/>
        <v>32808.799999999996</v>
      </c>
    </row>
    <row r="128" spans="1:11" ht="12" hidden="1" customHeight="1" x14ac:dyDescent="0.2">
      <c r="A128" s="41" t="s">
        <v>51</v>
      </c>
      <c r="B128" s="60">
        <f>314.3+912.8</f>
        <v>1227.0999999999999</v>
      </c>
      <c r="C128" s="57">
        <v>225</v>
      </c>
      <c r="D128" s="61">
        <v>11</v>
      </c>
      <c r="E128" s="46" t="s">
        <v>25</v>
      </c>
      <c r="F128" s="62">
        <v>1.6</v>
      </c>
      <c r="G128" s="46">
        <f>12.5+1.4</f>
        <v>13.9</v>
      </c>
      <c r="H128" s="46">
        <f>64.7+978.9</f>
        <v>1043.5999999999999</v>
      </c>
      <c r="I128" s="57">
        <f>9721.9+716.4+15137.5+135.4</f>
        <v>25711.200000000001</v>
      </c>
      <c r="J128" s="62">
        <f>992.1+3837.9</f>
        <v>4830</v>
      </c>
      <c r="K128" s="46">
        <f t="shared" si="37"/>
        <v>33063.4</v>
      </c>
    </row>
    <row r="129" spans="1:11" ht="12" hidden="1" customHeight="1" x14ac:dyDescent="0.2">
      <c r="A129" s="41" t="s">
        <v>52</v>
      </c>
      <c r="B129" s="60">
        <f>183.4+820.6</f>
        <v>1004</v>
      </c>
      <c r="C129" s="57">
        <f>560+44</f>
        <v>604</v>
      </c>
      <c r="D129" s="61">
        <v>11</v>
      </c>
      <c r="E129" s="46">
        <v>36</v>
      </c>
      <c r="F129" s="62">
        <v>1.3</v>
      </c>
      <c r="G129" s="46">
        <f>126.1</f>
        <v>126.1</v>
      </c>
      <c r="H129" s="46">
        <f>65.3+932</f>
        <v>997.3</v>
      </c>
      <c r="I129" s="57">
        <f>10087.6+690.7+14933.8+132.9</f>
        <v>25845</v>
      </c>
      <c r="J129" s="62">
        <f>961.5+3832.1</f>
        <v>4793.6000000000004</v>
      </c>
      <c r="K129" s="46">
        <f t="shared" si="37"/>
        <v>33418.300000000003</v>
      </c>
    </row>
    <row r="130" spans="1:11" ht="12" hidden="1" customHeight="1" x14ac:dyDescent="0.2">
      <c r="A130" s="41" t="s">
        <v>31</v>
      </c>
      <c r="B130" s="60">
        <f>120.4+871.4</f>
        <v>991.8</v>
      </c>
      <c r="C130" s="57">
        <f>610+44</f>
        <v>654</v>
      </c>
      <c r="D130" s="61">
        <v>11</v>
      </c>
      <c r="E130" s="46">
        <v>31.9</v>
      </c>
      <c r="F130" s="62">
        <v>1.3</v>
      </c>
      <c r="G130" s="46">
        <f>265.9</f>
        <v>265.89999999999998</v>
      </c>
      <c r="H130" s="46">
        <f>58.7+903.8</f>
        <v>962.5</v>
      </c>
      <c r="I130" s="57">
        <f>10067.1+706.5+14449.9+119.2</f>
        <v>25342.7</v>
      </c>
      <c r="J130" s="62">
        <f>958.3+3935.3</f>
        <v>4893.6000000000004</v>
      </c>
      <c r="K130" s="46">
        <f t="shared" si="37"/>
        <v>33154.700000000004</v>
      </c>
    </row>
    <row r="131" spans="1:11" ht="12" hidden="1" customHeight="1" x14ac:dyDescent="0.2">
      <c r="A131" s="41"/>
      <c r="B131" s="60"/>
      <c r="C131" s="57"/>
      <c r="D131" s="61"/>
      <c r="E131" s="61"/>
      <c r="F131" s="62"/>
      <c r="G131" s="46"/>
      <c r="H131" s="46"/>
      <c r="I131" s="57"/>
      <c r="J131" s="62"/>
      <c r="K131" s="46"/>
    </row>
    <row r="132" spans="1:11" ht="12" hidden="1" customHeight="1" x14ac:dyDescent="0.2">
      <c r="A132" s="41" t="s">
        <v>57</v>
      </c>
      <c r="B132" s="60">
        <f>149.3+810.9</f>
        <v>960.2</v>
      </c>
      <c r="C132" s="57">
        <f>660+44</f>
        <v>704</v>
      </c>
      <c r="D132" s="61">
        <v>11</v>
      </c>
      <c r="E132" s="46">
        <v>30.5</v>
      </c>
      <c r="F132" s="62">
        <v>0.8</v>
      </c>
      <c r="G132" s="46">
        <v>320.8</v>
      </c>
      <c r="H132" s="46">
        <f>56.1+729.6</f>
        <v>785.7</v>
      </c>
      <c r="I132" s="57">
        <f>10193+744.7+14466.4+167.5</f>
        <v>25571.599999999999</v>
      </c>
      <c r="J132" s="62">
        <f>953.1+3906.3</f>
        <v>4859.4000000000005</v>
      </c>
      <c r="K132" s="46">
        <f t="shared" ref="K132:K137" si="38">SUM(B132:J132)</f>
        <v>33244</v>
      </c>
    </row>
    <row r="133" spans="1:11" ht="12" hidden="1" customHeight="1" x14ac:dyDescent="0.2">
      <c r="A133" s="41" t="s">
        <v>45</v>
      </c>
      <c r="B133" s="60">
        <f>539.3+1542.6</f>
        <v>2081.8999999999996</v>
      </c>
      <c r="C133" s="57">
        <f>860+44</f>
        <v>904</v>
      </c>
      <c r="D133" s="61">
        <v>11</v>
      </c>
      <c r="E133" s="46">
        <f>30.5+506.8</f>
        <v>537.29999999999995</v>
      </c>
      <c r="F133" s="46" t="s">
        <v>25</v>
      </c>
      <c r="G133" s="46">
        <v>140.9</v>
      </c>
      <c r="H133" s="46">
        <f>54.3+663.5</f>
        <v>717.8</v>
      </c>
      <c r="I133" s="57">
        <f>10237.8+754.1+13762.9+163.7</f>
        <v>24918.5</v>
      </c>
      <c r="J133" s="62">
        <f>954.8+4248.3</f>
        <v>5203.1000000000004</v>
      </c>
      <c r="K133" s="46">
        <f t="shared" si="38"/>
        <v>34514.5</v>
      </c>
    </row>
    <row r="134" spans="1:11" ht="12" hidden="1" customHeight="1" x14ac:dyDescent="0.2">
      <c r="A134" s="41" t="s">
        <v>46</v>
      </c>
      <c r="B134" s="60">
        <f>256.6+916.3</f>
        <v>1172.9000000000001</v>
      </c>
      <c r="C134" s="57">
        <f>510+44</f>
        <v>554</v>
      </c>
      <c r="D134" s="61">
        <v>11</v>
      </c>
      <c r="E134" s="46">
        <f>2.1+506.8</f>
        <v>508.90000000000003</v>
      </c>
      <c r="F134" s="46" t="s">
        <v>25</v>
      </c>
      <c r="G134" s="46">
        <f>132.9</f>
        <v>132.9</v>
      </c>
      <c r="H134" s="46">
        <f>47.5+453.5</f>
        <v>501</v>
      </c>
      <c r="I134" s="57">
        <f>10854.5+764+14411.1+163.4</f>
        <v>26193</v>
      </c>
      <c r="J134" s="62">
        <f>935.7+3637.1</f>
        <v>4572.8</v>
      </c>
      <c r="K134" s="46">
        <f t="shared" si="38"/>
        <v>33646.5</v>
      </c>
    </row>
    <row r="135" spans="1:11" ht="12" hidden="1" customHeight="1" x14ac:dyDescent="0.2">
      <c r="A135" s="41" t="s">
        <v>47</v>
      </c>
      <c r="B135" s="60">
        <f>264.4+1253.1</f>
        <v>1517.5</v>
      </c>
      <c r="C135" s="57">
        <f>510+44</f>
        <v>554</v>
      </c>
      <c r="D135" s="61">
        <v>11</v>
      </c>
      <c r="E135" s="46">
        <f>25.3+506.8</f>
        <v>532.1</v>
      </c>
      <c r="F135" s="46" t="s">
        <v>25</v>
      </c>
      <c r="G135" s="46">
        <f>21.3</f>
        <v>21.3</v>
      </c>
      <c r="H135" s="46">
        <f>252.3+425.3</f>
        <v>677.6</v>
      </c>
      <c r="I135" s="57">
        <f>10989.9+781.3+14248.1+174.9</f>
        <v>26194.2</v>
      </c>
      <c r="J135" s="62">
        <f>940.1+3472.3</f>
        <v>4412.4000000000005</v>
      </c>
      <c r="K135" s="46">
        <f t="shared" si="38"/>
        <v>33920.1</v>
      </c>
    </row>
    <row r="136" spans="1:11" ht="12" hidden="1" customHeight="1" x14ac:dyDescent="0.2">
      <c r="A136" s="41" t="s">
        <v>48</v>
      </c>
      <c r="B136" s="60">
        <f>205.9+1342.3</f>
        <v>1548.2</v>
      </c>
      <c r="C136" s="57">
        <f>510+193.9</f>
        <v>703.9</v>
      </c>
      <c r="D136" s="61">
        <v>11</v>
      </c>
      <c r="E136" s="46">
        <f>22.2+506.8</f>
        <v>529</v>
      </c>
      <c r="F136" s="46" t="s">
        <v>25</v>
      </c>
      <c r="G136" s="46">
        <v>19</v>
      </c>
      <c r="H136" s="46">
        <f>245.9+395.2</f>
        <v>641.1</v>
      </c>
      <c r="I136" s="57">
        <f>11214.8+792.5+14067.5+156.3</f>
        <v>26231.1</v>
      </c>
      <c r="J136" s="62">
        <f>940.3+3484.8</f>
        <v>4425.1000000000004</v>
      </c>
      <c r="K136" s="46">
        <f t="shared" si="38"/>
        <v>34108.400000000001</v>
      </c>
    </row>
    <row r="137" spans="1:11" ht="12" hidden="1" customHeight="1" x14ac:dyDescent="0.2">
      <c r="A137" s="41" t="s">
        <v>30</v>
      </c>
      <c r="B137" s="60">
        <v>1706.2</v>
      </c>
      <c r="C137" s="57">
        <v>700</v>
      </c>
      <c r="D137" s="61">
        <v>11</v>
      </c>
      <c r="E137" s="46">
        <f>22.2+506.8</f>
        <v>529</v>
      </c>
      <c r="F137" s="46" t="s">
        <v>25</v>
      </c>
      <c r="G137" s="46">
        <v>20.399999999999999</v>
      </c>
      <c r="H137" s="46">
        <v>591.6</v>
      </c>
      <c r="I137" s="57">
        <v>26739.8</v>
      </c>
      <c r="J137" s="62">
        <v>5003.8</v>
      </c>
      <c r="K137" s="46">
        <f t="shared" si="38"/>
        <v>35301.800000000003</v>
      </c>
    </row>
    <row r="138" spans="1:11" ht="12" hidden="1" customHeight="1" x14ac:dyDescent="0.2">
      <c r="A138" s="41" t="s">
        <v>49</v>
      </c>
      <c r="B138" s="60">
        <f>319.6+987.3</f>
        <v>1306.9000000000001</v>
      </c>
      <c r="C138" s="57">
        <f>900+394</f>
        <v>1294</v>
      </c>
      <c r="D138" s="61">
        <v>11</v>
      </c>
      <c r="E138" s="46">
        <f>22.2+833.8</f>
        <v>856</v>
      </c>
      <c r="F138" s="46" t="s">
        <v>25</v>
      </c>
      <c r="G138" s="46">
        <v>17</v>
      </c>
      <c r="H138" s="46">
        <f>214.5+316.6</f>
        <v>531.1</v>
      </c>
      <c r="I138" s="57">
        <f>11943.6+786.9+13935.2+147.1</f>
        <v>26812.799999999999</v>
      </c>
      <c r="J138" s="62">
        <f>962.6+4145</f>
        <v>5107.6000000000004</v>
      </c>
      <c r="K138" s="46">
        <f t="shared" ref="K138:K143" si="39">SUM(B138:J138)</f>
        <v>35936.400000000001</v>
      </c>
    </row>
    <row r="139" spans="1:11" ht="12" hidden="1" customHeight="1" x14ac:dyDescent="0.2">
      <c r="A139" s="41" t="s">
        <v>50</v>
      </c>
      <c r="B139" s="60">
        <f>621.9+1113.2</f>
        <v>1735.1</v>
      </c>
      <c r="C139" s="57">
        <f>500+150</f>
        <v>650</v>
      </c>
      <c r="D139" s="61">
        <v>11</v>
      </c>
      <c r="E139" s="46">
        <f>22.2+833.8</f>
        <v>856</v>
      </c>
      <c r="F139" s="46" t="s">
        <v>25</v>
      </c>
      <c r="G139" s="46">
        <v>17</v>
      </c>
      <c r="H139" s="46">
        <f>201.5+376.1</f>
        <v>577.6</v>
      </c>
      <c r="I139" s="57">
        <f>12146.6+786.6+14308.3+146.2</f>
        <v>27387.7</v>
      </c>
      <c r="J139" s="62">
        <f>1037.8+4233.9</f>
        <v>5271.7</v>
      </c>
      <c r="K139" s="46">
        <f t="shared" si="39"/>
        <v>36506.1</v>
      </c>
    </row>
    <row r="140" spans="1:11" ht="12" hidden="1" customHeight="1" x14ac:dyDescent="0.2">
      <c r="A140" s="41" t="s">
        <v>33</v>
      </c>
      <c r="B140" s="60">
        <f>75.9+1473.1</f>
        <v>1549</v>
      </c>
      <c r="C140" s="57">
        <f>500</f>
        <v>500</v>
      </c>
      <c r="D140" s="61">
        <v>11</v>
      </c>
      <c r="E140" s="46">
        <f>15.8+833.8</f>
        <v>849.59999999999991</v>
      </c>
      <c r="F140" s="46" t="s">
        <v>25</v>
      </c>
      <c r="G140" s="46">
        <v>658.1</v>
      </c>
      <c r="H140" s="46">
        <f>197.3+376.1</f>
        <v>573.40000000000009</v>
      </c>
      <c r="I140" s="57">
        <f>12300.1+785.4+13927+787.9</f>
        <v>27800.400000000001</v>
      </c>
      <c r="J140" s="62">
        <f>1078.2+3753.5</f>
        <v>4831.7</v>
      </c>
      <c r="K140" s="46">
        <f t="shared" si="39"/>
        <v>36773.199999999997</v>
      </c>
    </row>
    <row r="141" spans="1:11" ht="12" hidden="1" customHeight="1" x14ac:dyDescent="0.2">
      <c r="A141" s="41" t="s">
        <v>51</v>
      </c>
      <c r="B141" s="60">
        <f>294+902.4</f>
        <v>1196.4000000000001</v>
      </c>
      <c r="C141" s="57">
        <f>300+1000</f>
        <v>1300</v>
      </c>
      <c r="D141" s="61">
        <v>11</v>
      </c>
      <c r="E141" s="46">
        <f>13.1+833.8</f>
        <v>846.9</v>
      </c>
      <c r="F141" s="46" t="s">
        <v>25</v>
      </c>
      <c r="G141" s="46">
        <v>636.9</v>
      </c>
      <c r="H141" s="46">
        <f>174.8+176.1</f>
        <v>350.9</v>
      </c>
      <c r="I141" s="57">
        <f>12575.5+773.4+13760.5+796.1</f>
        <v>27905.5</v>
      </c>
      <c r="J141" s="62">
        <f>1020.7+3600.5</f>
        <v>4621.2</v>
      </c>
      <c r="K141" s="46">
        <f t="shared" si="39"/>
        <v>36868.799999999996</v>
      </c>
    </row>
    <row r="142" spans="1:11" ht="12" hidden="1" customHeight="1" x14ac:dyDescent="0.2">
      <c r="A142" s="41" t="s">
        <v>52</v>
      </c>
      <c r="B142" s="60">
        <f>246.9+618.2</f>
        <v>865.1</v>
      </c>
      <c r="C142" s="57">
        <f>300</f>
        <v>300</v>
      </c>
      <c r="D142" s="61">
        <f>0+11</f>
        <v>11</v>
      </c>
      <c r="E142" s="46">
        <f>6.7+833.8</f>
        <v>840.5</v>
      </c>
      <c r="F142" s="46" t="s">
        <v>25</v>
      </c>
      <c r="G142" s="46">
        <f>624.4</f>
        <v>624.4</v>
      </c>
      <c r="H142" s="46">
        <f>185+324</f>
        <v>509</v>
      </c>
      <c r="I142" s="57">
        <f>12663.6+769.7+14601.3+789.3</f>
        <v>28823.899999999998</v>
      </c>
      <c r="J142" s="62">
        <f>1043.1+3568.7</f>
        <v>4611.7999999999993</v>
      </c>
      <c r="K142" s="46">
        <f t="shared" si="39"/>
        <v>36585.699999999997</v>
      </c>
    </row>
    <row r="143" spans="1:11" ht="12" hidden="1" customHeight="1" x14ac:dyDescent="0.2">
      <c r="A143" s="41" t="s">
        <v>31</v>
      </c>
      <c r="B143" s="60">
        <f>368.4+1042.3</f>
        <v>1410.6999999999998</v>
      </c>
      <c r="C143" s="57">
        <v>450</v>
      </c>
      <c r="D143" s="61">
        <f>0+11</f>
        <v>11</v>
      </c>
      <c r="E143" s="46">
        <f>833.8</f>
        <v>833.8</v>
      </c>
      <c r="F143" s="46" t="s">
        <v>25</v>
      </c>
      <c r="G143" s="46">
        <v>615.9</v>
      </c>
      <c r="H143" s="46">
        <f>166.6+176.1</f>
        <v>342.7</v>
      </c>
      <c r="I143" s="57">
        <f>12723.8+781.9+14884.8+758.3</f>
        <v>29148.799999999999</v>
      </c>
      <c r="J143" s="62">
        <f>967.8+3396.8</f>
        <v>4364.6000000000004</v>
      </c>
      <c r="K143" s="46">
        <f t="shared" si="39"/>
        <v>37177.5</v>
      </c>
    </row>
    <row r="144" spans="1:11" ht="12" hidden="1" customHeight="1" x14ac:dyDescent="0.2">
      <c r="A144" s="41"/>
      <c r="B144" s="60"/>
      <c r="C144" s="57"/>
      <c r="D144" s="61"/>
      <c r="E144" s="61"/>
      <c r="F144" s="61"/>
      <c r="G144" s="46"/>
      <c r="H144" s="46"/>
      <c r="I144" s="57"/>
      <c r="J144" s="62"/>
      <c r="K144" s="46"/>
    </row>
    <row r="145" spans="1:11" ht="12" hidden="1" customHeight="1" x14ac:dyDescent="0.2">
      <c r="A145" s="41" t="s">
        <v>59</v>
      </c>
      <c r="B145" s="60">
        <f>578.7+723.7</f>
        <v>1302.4000000000001</v>
      </c>
      <c r="C145" s="57">
        <v>150</v>
      </c>
      <c r="D145" s="61">
        <f t="shared" ref="D145:D195" si="40">0+11</f>
        <v>11</v>
      </c>
      <c r="E145" s="46">
        <f>833.8+11</f>
        <v>844.8</v>
      </c>
      <c r="F145" s="46" t="s">
        <v>25</v>
      </c>
      <c r="G145" s="46">
        <v>26.4</v>
      </c>
      <c r="H145" s="46">
        <f>78.4+176.1</f>
        <v>254.5</v>
      </c>
      <c r="I145" s="57">
        <f>13512.9+825.9+15002.4+823.1</f>
        <v>30164.299999999996</v>
      </c>
      <c r="J145" s="62">
        <f>1042.9+3544.6</f>
        <v>4587.5</v>
      </c>
      <c r="K145" s="46">
        <f t="shared" ref="K145:K150" si="41">SUM(B145:J145)</f>
        <v>37340.899999999994</v>
      </c>
    </row>
    <row r="146" spans="1:11" ht="12" hidden="1" customHeight="1" x14ac:dyDescent="0.2">
      <c r="A146" s="41" t="s">
        <v>45</v>
      </c>
      <c r="B146" s="60">
        <f>294.2+530.2</f>
        <v>824.40000000000009</v>
      </c>
      <c r="C146" s="57">
        <v>300</v>
      </c>
      <c r="D146" s="61">
        <f t="shared" si="40"/>
        <v>11</v>
      </c>
      <c r="E146" s="46">
        <f>833.8+2.3</f>
        <v>836.09999999999991</v>
      </c>
      <c r="F146" s="46" t="s">
        <v>25</v>
      </c>
      <c r="G146" s="46">
        <v>3.5</v>
      </c>
      <c r="H146" s="46">
        <f>68.5+176.1</f>
        <v>244.6</v>
      </c>
      <c r="I146" s="57">
        <f>14069.8+816.6+14854.4+873.4</f>
        <v>30614.2</v>
      </c>
      <c r="J146" s="62">
        <f>1130.5+3900.6</f>
        <v>5031.1000000000004</v>
      </c>
      <c r="K146" s="46">
        <f t="shared" si="41"/>
        <v>37864.9</v>
      </c>
    </row>
    <row r="147" spans="1:11" ht="12" hidden="1" customHeight="1" x14ac:dyDescent="0.2">
      <c r="A147" s="41" t="s">
        <v>46</v>
      </c>
      <c r="B147" s="60">
        <f>266+377.8</f>
        <v>643.79999999999995</v>
      </c>
      <c r="C147" s="57">
        <v>650</v>
      </c>
      <c r="D147" s="61">
        <f t="shared" si="40"/>
        <v>11</v>
      </c>
      <c r="E147" s="46">
        <f>833.8</f>
        <v>833.8</v>
      </c>
      <c r="F147" s="46" t="s">
        <v>25</v>
      </c>
      <c r="G147" s="46">
        <v>47.5</v>
      </c>
      <c r="H147" s="46">
        <f>60.2+218.2</f>
        <v>278.39999999999998</v>
      </c>
      <c r="I147" s="57">
        <f>13994.5+829+15318.2+857.6</f>
        <v>30999.3</v>
      </c>
      <c r="J147" s="62">
        <f>1012.8+3575.4</f>
        <v>4588.2</v>
      </c>
      <c r="K147" s="46">
        <f t="shared" si="41"/>
        <v>38052</v>
      </c>
    </row>
    <row r="148" spans="1:11" ht="12" hidden="1" customHeight="1" x14ac:dyDescent="0.2">
      <c r="A148" s="41" t="s">
        <v>47</v>
      </c>
      <c r="B148" s="60">
        <f>201.3+299.1</f>
        <v>500.40000000000003</v>
      </c>
      <c r="C148" s="57">
        <v>650</v>
      </c>
      <c r="D148" s="61">
        <f t="shared" si="40"/>
        <v>11</v>
      </c>
      <c r="E148" s="46">
        <f>833.8</f>
        <v>833.8</v>
      </c>
      <c r="F148" s="46" t="s">
        <v>25</v>
      </c>
      <c r="G148" s="46">
        <v>18.399999999999999</v>
      </c>
      <c r="H148" s="46">
        <f>56+332.9</f>
        <v>388.9</v>
      </c>
      <c r="I148" s="57">
        <f>14342.8+831.7+15274.6+926.7</f>
        <v>31375.8</v>
      </c>
      <c r="J148" s="62">
        <f>1064.2+3433.1</f>
        <v>4497.3</v>
      </c>
      <c r="K148" s="46">
        <f t="shared" si="41"/>
        <v>38275.600000000006</v>
      </c>
    </row>
    <row r="149" spans="1:11" ht="12" hidden="1" customHeight="1" x14ac:dyDescent="0.2">
      <c r="A149" s="41" t="s">
        <v>48</v>
      </c>
      <c r="B149" s="60">
        <f>375.8+241.4</f>
        <v>617.20000000000005</v>
      </c>
      <c r="C149" s="57">
        <v>700</v>
      </c>
      <c r="D149" s="61">
        <f t="shared" si="40"/>
        <v>11</v>
      </c>
      <c r="E149" s="46">
        <f>833.8</f>
        <v>833.8</v>
      </c>
      <c r="F149" s="46" t="s">
        <v>25</v>
      </c>
      <c r="G149" s="46">
        <v>124.3</v>
      </c>
      <c r="H149" s="46">
        <f>51.7+176.1</f>
        <v>227.8</v>
      </c>
      <c r="I149" s="57">
        <f>14518.4+866.1+15437+885.5</f>
        <v>31707</v>
      </c>
      <c r="J149" s="62">
        <f>1121.6+3670.1</f>
        <v>4791.7</v>
      </c>
      <c r="K149" s="46">
        <f t="shared" si="41"/>
        <v>39012.799999999996</v>
      </c>
    </row>
    <row r="150" spans="1:11" ht="12" hidden="1" customHeight="1" x14ac:dyDescent="0.2">
      <c r="A150" s="41" t="s">
        <v>30</v>
      </c>
      <c r="B150" s="60">
        <f>271+569.3</f>
        <v>840.3</v>
      </c>
      <c r="C150" s="57">
        <v>850</v>
      </c>
      <c r="D150" s="61">
        <f t="shared" si="40"/>
        <v>11</v>
      </c>
      <c r="E150" s="46">
        <f>833.8</f>
        <v>833.8</v>
      </c>
      <c r="F150" s="46" t="s">
        <v>25</v>
      </c>
      <c r="G150" s="46">
        <v>122</v>
      </c>
      <c r="H150" s="46">
        <f>47.5+728.9</f>
        <v>776.4</v>
      </c>
      <c r="I150" s="57">
        <f>14758.6+890.4+15372.4+929.4</f>
        <v>31950.800000000003</v>
      </c>
      <c r="J150" s="62">
        <f>1058.4+3723.6</f>
        <v>4782</v>
      </c>
      <c r="K150" s="46">
        <f t="shared" si="41"/>
        <v>40166.300000000003</v>
      </c>
    </row>
    <row r="151" spans="1:11" ht="12" hidden="1" customHeight="1" x14ac:dyDescent="0.2">
      <c r="A151" s="41" t="s">
        <v>49</v>
      </c>
      <c r="B151" s="60">
        <f>178.5+202.5</f>
        <v>381</v>
      </c>
      <c r="C151" s="57">
        <v>858.3</v>
      </c>
      <c r="D151" s="61">
        <f t="shared" si="40"/>
        <v>11</v>
      </c>
      <c r="E151" s="46">
        <f>833.8</f>
        <v>833.8</v>
      </c>
      <c r="F151" s="46" t="s">
        <v>25</v>
      </c>
      <c r="G151" s="46">
        <v>694.8</v>
      </c>
      <c r="H151" s="46">
        <f>40.6+1122.2</f>
        <v>1162.8</v>
      </c>
      <c r="I151" s="57">
        <f>14507.4+907.6+15575.3+977.2</f>
        <v>31967.5</v>
      </c>
      <c r="J151" s="62">
        <f>1032.4+3389.1</f>
        <v>4421.5</v>
      </c>
      <c r="K151" s="46">
        <f t="shared" ref="K151:K156" si="42">SUM(B151:J151)</f>
        <v>40330.699999999997</v>
      </c>
    </row>
    <row r="152" spans="1:11" ht="12" hidden="1" customHeight="1" x14ac:dyDescent="0.2">
      <c r="A152" s="41" t="s">
        <v>50</v>
      </c>
      <c r="B152" s="60">
        <f>278.2+246.8</f>
        <v>525</v>
      </c>
      <c r="C152" s="57">
        <v>700</v>
      </c>
      <c r="D152" s="61">
        <f t="shared" si="40"/>
        <v>11</v>
      </c>
      <c r="E152" s="46">
        <f>833.8+75.6</f>
        <v>909.4</v>
      </c>
      <c r="F152" s="46" t="s">
        <v>25</v>
      </c>
      <c r="G152" s="46">
        <v>741.3</v>
      </c>
      <c r="H152" s="46">
        <f>35.4+615.9</f>
        <v>651.29999999999995</v>
      </c>
      <c r="I152" s="57">
        <f>14600.2+934.1+15284.9+956.5</f>
        <v>31775.7</v>
      </c>
      <c r="J152" s="62">
        <f>1055.7+5013.6</f>
        <v>6069.3</v>
      </c>
      <c r="K152" s="46">
        <f t="shared" si="42"/>
        <v>41383</v>
      </c>
    </row>
    <row r="153" spans="1:11" hidden="1" x14ac:dyDescent="0.2">
      <c r="A153" s="41" t="s">
        <v>33</v>
      </c>
      <c r="B153" s="60">
        <f>311.9+898.7</f>
        <v>1210.5999999999999</v>
      </c>
      <c r="C153" s="57">
        <v>450</v>
      </c>
      <c r="D153" s="61">
        <f t="shared" si="40"/>
        <v>11</v>
      </c>
      <c r="E153" s="46">
        <f>833.8+73.8</f>
        <v>907.59999999999991</v>
      </c>
      <c r="F153" s="46" t="s">
        <v>25</v>
      </c>
      <c r="G153" s="46">
        <v>725.9</v>
      </c>
      <c r="H153" s="46">
        <f>34.2+754.8</f>
        <v>789</v>
      </c>
      <c r="I153" s="57">
        <f>15157+928.7+15212.1+955.3</f>
        <v>32253.100000000002</v>
      </c>
      <c r="J153" s="62">
        <f>1122.1+4982.4</f>
        <v>6104.5</v>
      </c>
      <c r="K153" s="46">
        <f t="shared" si="42"/>
        <v>42451.700000000004</v>
      </c>
    </row>
    <row r="154" spans="1:11" ht="11.25" hidden="1" customHeight="1" x14ac:dyDescent="0.2">
      <c r="A154" s="41" t="s">
        <v>51</v>
      </c>
      <c r="B154" s="60">
        <f>342.5+900</f>
        <v>1242.5</v>
      </c>
      <c r="C154" s="57">
        <v>750</v>
      </c>
      <c r="D154" s="61">
        <f t="shared" si="40"/>
        <v>11</v>
      </c>
      <c r="E154" s="46">
        <f>72+833.8</f>
        <v>905.8</v>
      </c>
      <c r="F154" s="46" t="s">
        <v>25</v>
      </c>
      <c r="G154" s="46">
        <v>714.4</v>
      </c>
      <c r="H154" s="46">
        <f>33.7+692.8</f>
        <v>726.5</v>
      </c>
      <c r="I154" s="57">
        <f>15672+931.9+16323.1+969.9</f>
        <v>33896.9</v>
      </c>
      <c r="J154" s="62">
        <f>1077.7+3818.7</f>
        <v>4896.3999999999996</v>
      </c>
      <c r="K154" s="46">
        <f t="shared" si="42"/>
        <v>43143.500000000007</v>
      </c>
    </row>
    <row r="155" spans="1:11" ht="11.25" hidden="1" customHeight="1" x14ac:dyDescent="0.2">
      <c r="A155" s="41" t="s">
        <v>52</v>
      </c>
      <c r="B155" s="60">
        <f>689+609.3</f>
        <v>1298.3</v>
      </c>
      <c r="C155" s="57">
        <v>750</v>
      </c>
      <c r="D155" s="61">
        <f t="shared" si="40"/>
        <v>11</v>
      </c>
      <c r="E155" s="46">
        <f>71.1+833.8</f>
        <v>904.9</v>
      </c>
      <c r="F155" s="46" t="s">
        <v>25</v>
      </c>
      <c r="G155" s="46">
        <v>712.2</v>
      </c>
      <c r="H155" s="46">
        <f>29.8+760.5</f>
        <v>790.3</v>
      </c>
      <c r="I155" s="57">
        <f>16077.1+919+15624.5+983.3</f>
        <v>33603.9</v>
      </c>
      <c r="J155" s="62">
        <f>1126+4115.1</f>
        <v>5241.1000000000004</v>
      </c>
      <c r="K155" s="46">
        <f t="shared" si="42"/>
        <v>43311.700000000004</v>
      </c>
    </row>
    <row r="156" spans="1:11" ht="11.25" hidden="1" customHeight="1" x14ac:dyDescent="0.2">
      <c r="A156" s="41" t="s">
        <v>31</v>
      </c>
      <c r="B156" s="60">
        <f>762.5+957.7</f>
        <v>1720.2</v>
      </c>
      <c r="C156" s="57">
        <v>750</v>
      </c>
      <c r="D156" s="61">
        <f t="shared" si="40"/>
        <v>11</v>
      </c>
      <c r="E156" s="46">
        <f>68.2+833.8</f>
        <v>902</v>
      </c>
      <c r="F156" s="46" t="s">
        <v>25</v>
      </c>
      <c r="G156" s="46">
        <v>657</v>
      </c>
      <c r="H156" s="46">
        <f>24.4+728.3+10.8</f>
        <v>763.49999999999989</v>
      </c>
      <c r="I156" s="57">
        <f>15766.6+857.8+16123.7+1007.3</f>
        <v>33755.4</v>
      </c>
      <c r="J156" s="62">
        <f>1070.7+3901.4</f>
        <v>4972.1000000000004</v>
      </c>
      <c r="K156" s="46">
        <f t="shared" si="42"/>
        <v>43531.199999999997</v>
      </c>
    </row>
    <row r="157" spans="1:11" ht="11.25" hidden="1" customHeight="1" x14ac:dyDescent="0.2">
      <c r="A157" s="41"/>
      <c r="B157" s="60"/>
      <c r="C157" s="57"/>
      <c r="D157" s="61"/>
      <c r="E157" s="46"/>
      <c r="F157" s="46"/>
      <c r="G157" s="46"/>
      <c r="H157" s="46"/>
      <c r="I157" s="57"/>
      <c r="J157" s="62"/>
      <c r="K157" s="46"/>
    </row>
    <row r="158" spans="1:11" ht="12.75" hidden="1" customHeight="1" x14ac:dyDescent="0.2">
      <c r="A158" s="41" t="s">
        <v>63</v>
      </c>
      <c r="B158" s="60">
        <f>1044.6+942.5</f>
        <v>1987.1</v>
      </c>
      <c r="C158" s="57">
        <v>600</v>
      </c>
      <c r="D158" s="61">
        <f t="shared" si="40"/>
        <v>11</v>
      </c>
      <c r="E158" s="46">
        <f>66.4+833.8</f>
        <v>900.19999999999993</v>
      </c>
      <c r="F158" s="46" t="s">
        <v>25</v>
      </c>
      <c r="G158" s="46">
        <v>653.1</v>
      </c>
      <c r="H158" s="46">
        <f>23.8+1218.4+10.8</f>
        <v>1253</v>
      </c>
      <c r="I158" s="57">
        <f>16360.5+924+15278.1+1099.2</f>
        <v>33661.799999999996</v>
      </c>
      <c r="J158" s="62">
        <f>1131.7+4318.3</f>
        <v>5450</v>
      </c>
      <c r="K158" s="46">
        <f t="shared" ref="K158:K163" si="43">SUM(B158:J158)</f>
        <v>44516.2</v>
      </c>
    </row>
    <row r="159" spans="1:11" hidden="1" x14ac:dyDescent="0.2">
      <c r="A159" s="41" t="s">
        <v>45</v>
      </c>
      <c r="B159" s="60">
        <f>1030.8+1937.9</f>
        <v>2968.7</v>
      </c>
      <c r="C159" s="57">
        <v>600</v>
      </c>
      <c r="D159" s="61">
        <f t="shared" si="40"/>
        <v>11</v>
      </c>
      <c r="E159" s="46">
        <f>64.5+833.8</f>
        <v>898.3</v>
      </c>
      <c r="F159" s="46" t="s">
        <v>25</v>
      </c>
      <c r="G159" s="46">
        <v>638.5</v>
      </c>
      <c r="H159" s="46">
        <f>23.5+616.6+10.8</f>
        <v>650.9</v>
      </c>
      <c r="I159" s="57">
        <f>16734.5+946.2+15489.5+1165</f>
        <v>34335.199999999997</v>
      </c>
      <c r="J159" s="62">
        <f>1149.6+3676</f>
        <v>4825.6000000000004</v>
      </c>
      <c r="K159" s="46">
        <f t="shared" si="43"/>
        <v>44928.2</v>
      </c>
    </row>
    <row r="160" spans="1:11" ht="12" hidden="1" customHeight="1" x14ac:dyDescent="0.2">
      <c r="A160" s="41" t="s">
        <v>46</v>
      </c>
      <c r="B160" s="60">
        <f>966.5+1270.6</f>
        <v>2237.1</v>
      </c>
      <c r="C160" s="57">
        <v>1100</v>
      </c>
      <c r="D160" s="61">
        <f t="shared" si="40"/>
        <v>11</v>
      </c>
      <c r="E160" s="46">
        <f>62.5+833.8</f>
        <v>896.3</v>
      </c>
      <c r="F160" s="46" t="s">
        <v>25</v>
      </c>
      <c r="G160" s="46">
        <v>621.20000000000005</v>
      </c>
      <c r="H160" s="46">
        <f>22.8+607.7+10.8</f>
        <v>641.29999999999995</v>
      </c>
      <c r="I160" s="57">
        <f>16996+1043.9+15614.1+1283.1</f>
        <v>34937.1</v>
      </c>
      <c r="J160" s="62">
        <f>1065.4+3264.1</f>
        <v>4329.5</v>
      </c>
      <c r="K160" s="46">
        <f t="shared" si="43"/>
        <v>44773.5</v>
      </c>
    </row>
    <row r="161" spans="1:11" ht="12" hidden="1" customHeight="1" x14ac:dyDescent="0.2">
      <c r="A161" s="41" t="s">
        <v>47</v>
      </c>
      <c r="B161" s="60">
        <f>853.5+832.9</f>
        <v>1686.4</v>
      </c>
      <c r="C161" s="57">
        <v>1450</v>
      </c>
      <c r="D161" s="61">
        <f t="shared" si="40"/>
        <v>11</v>
      </c>
      <c r="E161" s="46">
        <f>59.5+833.8</f>
        <v>893.3</v>
      </c>
      <c r="F161" s="46" t="s">
        <v>25</v>
      </c>
      <c r="G161" s="46">
        <v>606.79999999999995</v>
      </c>
      <c r="H161" s="46">
        <f>22.5+681.6+10.8</f>
        <v>714.9</v>
      </c>
      <c r="I161" s="57">
        <f>17034.4+1042+15714.6+1315.8</f>
        <v>35106.800000000003</v>
      </c>
      <c r="J161" s="62">
        <f>1068.8+3009.1</f>
        <v>4077.8999999999996</v>
      </c>
      <c r="K161" s="46">
        <f t="shared" si="43"/>
        <v>44547.100000000006</v>
      </c>
    </row>
    <row r="162" spans="1:11" ht="12" hidden="1" customHeight="1" x14ac:dyDescent="0.2">
      <c r="A162" s="41" t="s">
        <v>48</v>
      </c>
      <c r="B162" s="60">
        <f>1174.3+405.8</f>
        <v>1580.1</v>
      </c>
      <c r="C162" s="57">
        <v>1450</v>
      </c>
      <c r="D162" s="61">
        <f t="shared" si="40"/>
        <v>11</v>
      </c>
      <c r="E162" s="46">
        <f>59.5+833.8</f>
        <v>893.3</v>
      </c>
      <c r="F162" s="46" t="s">
        <v>25</v>
      </c>
      <c r="G162" s="46">
        <v>586.79999999999995</v>
      </c>
      <c r="H162" s="46">
        <f>21.8+681.2+10.8</f>
        <v>713.8</v>
      </c>
      <c r="I162" s="57">
        <f>16926+1027.2+15898.6+1386.1</f>
        <v>35237.9</v>
      </c>
      <c r="J162" s="62">
        <f>1137.6+3320.1</f>
        <v>4457.7</v>
      </c>
      <c r="K162" s="46">
        <f t="shared" si="43"/>
        <v>44930.6</v>
      </c>
    </row>
    <row r="163" spans="1:11" ht="12" hidden="1" customHeight="1" x14ac:dyDescent="0.2">
      <c r="A163" s="41" t="s">
        <v>30</v>
      </c>
      <c r="B163" s="60">
        <f>1325.2+356.7</f>
        <v>1681.9</v>
      </c>
      <c r="C163" s="57">
        <v>950</v>
      </c>
      <c r="D163" s="61">
        <f t="shared" si="40"/>
        <v>11</v>
      </c>
      <c r="E163" s="46">
        <f>57.5+833.8</f>
        <v>891.3</v>
      </c>
      <c r="F163" s="46" t="s">
        <v>25</v>
      </c>
      <c r="G163" s="46">
        <v>579.79999999999995</v>
      </c>
      <c r="H163" s="46">
        <f>17.6+680.9+10.8</f>
        <v>709.3</v>
      </c>
      <c r="I163" s="57">
        <f>18048.9+1025.8+16765.2+1525.1</f>
        <v>37365</v>
      </c>
      <c r="J163" s="62">
        <f>1177.8+3082.4</f>
        <v>4260.2</v>
      </c>
      <c r="K163" s="46">
        <f t="shared" si="43"/>
        <v>46448.5</v>
      </c>
    </row>
    <row r="164" spans="1:11" ht="12" hidden="1" customHeight="1" x14ac:dyDescent="0.2">
      <c r="A164" s="41" t="s">
        <v>49</v>
      </c>
      <c r="B164" s="60">
        <f>749+875.1</f>
        <v>1624.1</v>
      </c>
      <c r="C164" s="57">
        <v>1350</v>
      </c>
      <c r="D164" s="61">
        <f t="shared" si="40"/>
        <v>11</v>
      </c>
      <c r="E164" s="46">
        <f>53.5+833.8</f>
        <v>887.3</v>
      </c>
      <c r="F164" s="46" t="s">
        <v>25</v>
      </c>
      <c r="G164" s="46">
        <v>230.2</v>
      </c>
      <c r="H164" s="46">
        <f>17.1+681.4+10.8</f>
        <v>709.3</v>
      </c>
      <c r="I164" s="57">
        <f>19253.4+1056.9+17949.3+1597.9</f>
        <v>39857.500000000007</v>
      </c>
      <c r="J164" s="62">
        <f>1171.8+3329.6</f>
        <v>4501.3999999999996</v>
      </c>
      <c r="K164" s="46">
        <f t="shared" ref="K164:K169" si="44">SUM(B164:J164)</f>
        <v>49170.80000000001</v>
      </c>
    </row>
    <row r="165" spans="1:11" ht="12" hidden="1" customHeight="1" x14ac:dyDescent="0.2">
      <c r="A165" s="41" t="s">
        <v>50</v>
      </c>
      <c r="B165" s="60">
        <f>876.3+738.2</f>
        <v>1614.5</v>
      </c>
      <c r="C165" s="57">
        <v>850</v>
      </c>
      <c r="D165" s="61">
        <f t="shared" si="40"/>
        <v>11</v>
      </c>
      <c r="E165" s="46">
        <f>51.4+833.8</f>
        <v>885.19999999999993</v>
      </c>
      <c r="F165" s="46" t="s">
        <v>25</v>
      </c>
      <c r="G165" s="46">
        <v>595.79999999999995</v>
      </c>
      <c r="H165" s="46">
        <f>16.6+707.7+10.8</f>
        <v>735.1</v>
      </c>
      <c r="I165" s="57">
        <f>19725+1051.8+19035.7+1636.7</f>
        <v>41449.199999999997</v>
      </c>
      <c r="J165" s="62">
        <f>1266.8+3653.1</f>
        <v>4919.8999999999996</v>
      </c>
      <c r="K165" s="46">
        <f t="shared" si="44"/>
        <v>51060.7</v>
      </c>
    </row>
    <row r="166" spans="1:11" ht="12" hidden="1" customHeight="1" x14ac:dyDescent="0.2">
      <c r="A166" s="41" t="s">
        <v>33</v>
      </c>
      <c r="B166" s="60">
        <f>1269.8+1547.2</f>
        <v>2817</v>
      </c>
      <c r="C166" s="57">
        <v>450</v>
      </c>
      <c r="D166" s="61">
        <f t="shared" si="40"/>
        <v>11</v>
      </c>
      <c r="E166" s="46">
        <f>51.4+833.8</f>
        <v>885.19999999999993</v>
      </c>
      <c r="F166" s="46" t="s">
        <v>25</v>
      </c>
      <c r="G166" s="46">
        <v>593.20000000000005</v>
      </c>
      <c r="H166" s="46">
        <f>16+707.5+10.8</f>
        <v>734.3</v>
      </c>
      <c r="I166" s="57">
        <f>20019.2+1041.5+21291.3+1338.1</f>
        <v>43690.1</v>
      </c>
      <c r="J166" s="62">
        <f>1249.2+3581.5</f>
        <v>4830.7</v>
      </c>
      <c r="K166" s="46">
        <f t="shared" si="44"/>
        <v>54011.499999999993</v>
      </c>
    </row>
    <row r="167" spans="1:11" ht="12" hidden="1" customHeight="1" x14ac:dyDescent="0.2">
      <c r="A167" s="41" t="s">
        <v>51</v>
      </c>
      <c r="B167" s="60">
        <f>558.6+3504.9</f>
        <v>4063.5</v>
      </c>
      <c r="C167" s="57">
        <v>450</v>
      </c>
      <c r="D167" s="61">
        <f t="shared" si="40"/>
        <v>11</v>
      </c>
      <c r="E167" s="46">
        <f>49.3+833.8</f>
        <v>883.09999999999991</v>
      </c>
      <c r="F167" s="46" t="s">
        <v>25</v>
      </c>
      <c r="G167" s="46">
        <v>209.6</v>
      </c>
      <c r="H167" s="46">
        <f>15.4+707.5+10.8</f>
        <v>733.69999999999993</v>
      </c>
      <c r="I167" s="57">
        <f>21543.8+1060.2+21609.5+1344.1-10.8</f>
        <v>45546.799999999996</v>
      </c>
      <c r="J167" s="62">
        <f>1344.8+4020.8</f>
        <v>5365.6</v>
      </c>
      <c r="K167" s="46">
        <f t="shared" si="44"/>
        <v>57263.299999999996</v>
      </c>
    </row>
    <row r="168" spans="1:11" ht="12" hidden="1" customHeight="1" x14ac:dyDescent="0.2">
      <c r="A168" s="41" t="s">
        <v>52</v>
      </c>
      <c r="B168" s="60">
        <f>1496.3+3530.7</f>
        <v>5027</v>
      </c>
      <c r="C168" s="57">
        <v>450</v>
      </c>
      <c r="D168" s="61">
        <f t="shared" si="40"/>
        <v>11</v>
      </c>
      <c r="E168" s="46">
        <f>47.2+833.8</f>
        <v>881</v>
      </c>
      <c r="F168" s="46" t="s">
        <v>25</v>
      </c>
      <c r="G168" s="46">
        <v>552.9</v>
      </c>
      <c r="H168" s="46">
        <f>14.8+707.2+10.8</f>
        <v>732.8</v>
      </c>
      <c r="I168" s="57">
        <f>21342.5+1068.7+21781.2+1354.3-10.8</f>
        <v>45535.9</v>
      </c>
      <c r="J168" s="62">
        <f>1322+3670.9</f>
        <v>4992.8999999999996</v>
      </c>
      <c r="K168" s="46">
        <f t="shared" si="44"/>
        <v>58183.5</v>
      </c>
    </row>
    <row r="169" spans="1:11" ht="12" hidden="1" customHeight="1" x14ac:dyDescent="0.2">
      <c r="A169" s="41" t="s">
        <v>31</v>
      </c>
      <c r="B169" s="60">
        <f>841.1+1512.2</f>
        <v>2353.3000000000002</v>
      </c>
      <c r="C169" s="57">
        <v>450</v>
      </c>
      <c r="D169" s="61">
        <f t="shared" si="40"/>
        <v>11</v>
      </c>
      <c r="E169" s="46">
        <f>42.8+833.8</f>
        <v>876.59999999999991</v>
      </c>
      <c r="F169" s="46" t="s">
        <v>25</v>
      </c>
      <c r="G169" s="46">
        <v>142.9</v>
      </c>
      <c r="H169" s="46">
        <f>10.7+899.1+10.8</f>
        <v>920.6</v>
      </c>
      <c r="I169" s="57">
        <f>22636.8+1125.9+21489.7+1344.7-10.8</f>
        <v>46586.299999999996</v>
      </c>
      <c r="J169" s="62">
        <f>1288+3698.5</f>
        <v>4986.5</v>
      </c>
      <c r="K169" s="46">
        <f t="shared" si="44"/>
        <v>56327.199999999997</v>
      </c>
    </row>
    <row r="170" spans="1:11" ht="12" hidden="1" customHeight="1" x14ac:dyDescent="0.2">
      <c r="A170" s="41"/>
      <c r="B170" s="60"/>
      <c r="C170" s="57"/>
      <c r="D170" s="61"/>
      <c r="E170" s="61"/>
      <c r="F170" s="46"/>
      <c r="G170" s="46"/>
      <c r="H170" s="46"/>
      <c r="I170" s="57"/>
      <c r="J170" s="62"/>
      <c r="K170" s="46"/>
    </row>
    <row r="171" spans="1:11" ht="12" hidden="1" customHeight="1" x14ac:dyDescent="0.2">
      <c r="A171" s="41"/>
      <c r="B171" s="60"/>
      <c r="C171" s="57"/>
      <c r="D171" s="61"/>
      <c r="E171" s="61"/>
      <c r="F171" s="61"/>
      <c r="G171" s="46"/>
      <c r="H171" s="46"/>
      <c r="I171" s="57"/>
      <c r="J171" s="62"/>
      <c r="K171" s="46"/>
    </row>
    <row r="172" spans="1:11" ht="12" hidden="1" customHeight="1" x14ac:dyDescent="0.2">
      <c r="A172" s="41" t="s">
        <v>64</v>
      </c>
      <c r="B172" s="60">
        <f>2083.1+349.4</f>
        <v>2432.5</v>
      </c>
      <c r="C172" s="46" t="s">
        <v>25</v>
      </c>
      <c r="D172" s="61">
        <f t="shared" si="40"/>
        <v>11</v>
      </c>
      <c r="E172" s="46">
        <f>42.8+833.8</f>
        <v>876.59999999999991</v>
      </c>
      <c r="F172" s="46" t="s">
        <v>25</v>
      </c>
      <c r="G172" s="46">
        <v>522</v>
      </c>
      <c r="H172" s="46">
        <f>9.4+857.5+10.8</f>
        <v>877.69999999999993</v>
      </c>
      <c r="I172" s="57">
        <f>22840.8+1200.9+21597.5+1464.1-10.8</f>
        <v>47092.499999999993</v>
      </c>
      <c r="J172" s="62">
        <f>1283.2+3344</f>
        <v>4627.2</v>
      </c>
      <c r="K172" s="46">
        <f t="shared" ref="K172" si="45">SUM(B172:J172)</f>
        <v>56439.499999999993</v>
      </c>
    </row>
    <row r="173" spans="1:11" ht="12" hidden="1" customHeight="1" x14ac:dyDescent="0.2">
      <c r="A173" s="41" t="s">
        <v>45</v>
      </c>
      <c r="B173" s="60">
        <f>1094.3+1132.6</f>
        <v>2226.8999999999996</v>
      </c>
      <c r="C173" s="46" t="s">
        <v>25</v>
      </c>
      <c r="D173" s="61">
        <f t="shared" si="40"/>
        <v>11</v>
      </c>
      <c r="E173" s="46">
        <f>833.8</f>
        <v>833.8</v>
      </c>
      <c r="F173" s="46" t="s">
        <v>25</v>
      </c>
      <c r="G173" s="46">
        <v>134.6</v>
      </c>
      <c r="H173" s="46">
        <f>9.1+815.5+10.8</f>
        <v>835.4</v>
      </c>
      <c r="I173" s="57">
        <f>24014.1+1278.1+21748.7+1493.7-10.8</f>
        <v>48523.799999999988</v>
      </c>
      <c r="J173" s="62">
        <f>1369.3+3499.5</f>
        <v>4868.8</v>
      </c>
      <c r="K173" s="46">
        <f t="shared" ref="K173" si="46">SUM(B173:J173)</f>
        <v>57434.299999999988</v>
      </c>
    </row>
    <row r="174" spans="1:11" ht="12" hidden="1" customHeight="1" x14ac:dyDescent="0.2">
      <c r="A174" s="41" t="s">
        <v>46</v>
      </c>
      <c r="B174" s="60">
        <f>1044.6+559.9</f>
        <v>1604.5</v>
      </c>
      <c r="C174" s="46" t="s">
        <v>25</v>
      </c>
      <c r="D174" s="61">
        <f t="shared" si="40"/>
        <v>11</v>
      </c>
      <c r="E174" s="46">
        <f>833.8</f>
        <v>833.8</v>
      </c>
      <c r="F174" s="46" t="s">
        <v>25</v>
      </c>
      <c r="G174" s="46">
        <v>523.1</v>
      </c>
      <c r="H174" s="46">
        <f>8.9+596.8+10.8</f>
        <v>616.49999999999989</v>
      </c>
      <c r="I174" s="57">
        <f>24345.3+1282.8+22162.2+1567.7-10.8</f>
        <v>49347.199999999997</v>
      </c>
      <c r="J174" s="62">
        <f>1288.2+4118</f>
        <v>5406.2</v>
      </c>
      <c r="K174" s="46">
        <f t="shared" ref="K174" si="47">SUM(B174:J174)</f>
        <v>58342.299999999996</v>
      </c>
    </row>
    <row r="175" spans="1:11" ht="12" hidden="1" customHeight="1" x14ac:dyDescent="0.2">
      <c r="A175" s="41" t="s">
        <v>47</v>
      </c>
      <c r="B175" s="60">
        <f>676.1+147.6</f>
        <v>823.7</v>
      </c>
      <c r="C175" s="57">
        <v>400</v>
      </c>
      <c r="D175" s="61">
        <f t="shared" si="40"/>
        <v>11</v>
      </c>
      <c r="E175" s="46">
        <f>833.8</f>
        <v>833.8</v>
      </c>
      <c r="F175" s="46" t="s">
        <v>25</v>
      </c>
      <c r="G175" s="46">
        <v>522.5</v>
      </c>
      <c r="H175" s="46">
        <f>8.6+596.8+10.8</f>
        <v>616.19999999999993</v>
      </c>
      <c r="I175" s="57">
        <f>24538.6+1381.1+22311.6+1631.7-10.8</f>
        <v>49852.19999999999</v>
      </c>
      <c r="J175" s="62">
        <f>1373+3948.7</f>
        <v>5321.7</v>
      </c>
      <c r="K175" s="46">
        <f t="shared" ref="K175" si="48">SUM(B175:J175)</f>
        <v>58381.099999999984</v>
      </c>
    </row>
    <row r="176" spans="1:11" ht="12" hidden="1" customHeight="1" x14ac:dyDescent="0.2">
      <c r="A176" s="41" t="s">
        <v>48</v>
      </c>
      <c r="B176" s="60">
        <f>1109.6+828.6</f>
        <v>1938.1999999999998</v>
      </c>
      <c r="C176" s="46" t="s">
        <v>25</v>
      </c>
      <c r="D176" s="61">
        <f t="shared" si="40"/>
        <v>11</v>
      </c>
      <c r="E176" s="46">
        <f>833.8</f>
        <v>833.8</v>
      </c>
      <c r="F176" s="46" t="s">
        <v>25</v>
      </c>
      <c r="G176" s="46">
        <v>487.6</v>
      </c>
      <c r="H176" s="46">
        <f>8.4+596.8+10.8</f>
        <v>615.99999999999989</v>
      </c>
      <c r="I176" s="57">
        <f>24998.3+1460.9+23228.4+1681.1-10.8</f>
        <v>51357.9</v>
      </c>
      <c r="J176" s="62">
        <f>1310.1+3483</f>
        <v>4793.1000000000004</v>
      </c>
      <c r="K176" s="46">
        <f t="shared" ref="K176" si="49">SUM(B176:J176)</f>
        <v>60037.599999999999</v>
      </c>
    </row>
    <row r="177" spans="1:11" ht="12" hidden="1" customHeight="1" x14ac:dyDescent="0.2">
      <c r="A177" s="41" t="s">
        <v>30</v>
      </c>
      <c r="B177" s="60">
        <f>617.4+1091.3</f>
        <v>1708.6999999999998</v>
      </c>
      <c r="C177" s="57">
        <v>300</v>
      </c>
      <c r="D177" s="61">
        <f t="shared" si="40"/>
        <v>11</v>
      </c>
      <c r="E177" s="46">
        <f>833.8+28.9</f>
        <v>862.69999999999993</v>
      </c>
      <c r="F177" s="46" t="s">
        <v>25</v>
      </c>
      <c r="G177" s="46">
        <v>465.5</v>
      </c>
      <c r="H177" s="46">
        <f>7+596.8+10.8</f>
        <v>614.59999999999991</v>
      </c>
      <c r="I177" s="57">
        <f>26002.6+1513.3+23717.4+1697.1-10.8</f>
        <v>52919.6</v>
      </c>
      <c r="J177" s="62">
        <f>1259.8+3087.4</f>
        <v>4347.2</v>
      </c>
      <c r="K177" s="46">
        <f t="shared" ref="K177" si="50">SUM(B177:J177)</f>
        <v>61229.299999999996</v>
      </c>
    </row>
    <row r="178" spans="1:11" ht="12" hidden="1" customHeight="1" x14ac:dyDescent="0.2">
      <c r="A178" s="41" t="s">
        <v>49</v>
      </c>
      <c r="B178" s="60">
        <f>496.5+318.5</f>
        <v>815</v>
      </c>
      <c r="C178" s="46" t="s">
        <v>25</v>
      </c>
      <c r="D178" s="61">
        <f t="shared" si="40"/>
        <v>11</v>
      </c>
      <c r="E178" s="46">
        <f>833.8+28.9</f>
        <v>862.69999999999993</v>
      </c>
      <c r="F178" s="46" t="s">
        <v>25</v>
      </c>
      <c r="G178" s="46">
        <v>448.9</v>
      </c>
      <c r="H178" s="46">
        <f>2.9+1001.8+10.8</f>
        <v>1015.4999999999999</v>
      </c>
      <c r="I178" s="57">
        <f>26959.4+1463.7+23410.1+1701.1-10.8</f>
        <v>53523.499999999993</v>
      </c>
      <c r="J178" s="62">
        <f>1355.6+3615.5</f>
        <v>4971.1000000000004</v>
      </c>
      <c r="K178" s="46">
        <f t="shared" ref="K178" si="51">SUM(B178:J178)</f>
        <v>61647.69999999999</v>
      </c>
    </row>
    <row r="179" spans="1:11" ht="12" hidden="1" customHeight="1" x14ac:dyDescent="0.2">
      <c r="A179" s="41" t="s">
        <v>50</v>
      </c>
      <c r="B179" s="60">
        <f>370.2+726.3</f>
        <v>1096.5</v>
      </c>
      <c r="C179" s="46" t="s">
        <v>25</v>
      </c>
      <c r="D179" s="61">
        <f t="shared" si="40"/>
        <v>11</v>
      </c>
      <c r="E179" s="46">
        <f>833.8+28.9</f>
        <v>862.69999999999993</v>
      </c>
      <c r="F179" s="46" t="s">
        <v>25</v>
      </c>
      <c r="G179" s="46">
        <v>432</v>
      </c>
      <c r="H179" s="46">
        <f>2.9+992.4+10.8</f>
        <v>1006.0999999999999</v>
      </c>
      <c r="I179" s="57">
        <f>27463.5+1458.9+22920.1+1805.2-10.8</f>
        <v>53636.899999999994</v>
      </c>
      <c r="J179" s="62">
        <f>1609.8+4170.7</f>
        <v>5780.5</v>
      </c>
      <c r="K179" s="46">
        <f t="shared" ref="K179" si="52">SUM(B179:J179)</f>
        <v>62825.7</v>
      </c>
    </row>
    <row r="180" spans="1:11" ht="12" hidden="1" customHeight="1" x14ac:dyDescent="0.2">
      <c r="A180" s="41" t="s">
        <v>33</v>
      </c>
      <c r="B180" s="60">
        <f>717.6+610.2</f>
        <v>1327.8000000000002</v>
      </c>
      <c r="C180" s="57">
        <v>150</v>
      </c>
      <c r="D180" s="61">
        <f t="shared" si="40"/>
        <v>11</v>
      </c>
      <c r="E180" s="46">
        <f>833.8+24</f>
        <v>857.8</v>
      </c>
      <c r="F180" s="46" t="s">
        <v>25</v>
      </c>
      <c r="G180" s="46">
        <v>420.2</v>
      </c>
      <c r="H180" s="46">
        <f>2.9+982.9+10.8</f>
        <v>996.59999999999991</v>
      </c>
      <c r="I180" s="57">
        <f>27399.5+1449.8+24256+1780.6-10.8</f>
        <v>54875.1</v>
      </c>
      <c r="J180" s="62">
        <f>1580.8+2870.9</f>
        <v>4451.7</v>
      </c>
      <c r="K180" s="46">
        <f t="shared" ref="K180:K181" si="53">SUM(B180:J180)</f>
        <v>63090.2</v>
      </c>
    </row>
    <row r="181" spans="1:11" ht="12" hidden="1" customHeight="1" x14ac:dyDescent="0.2">
      <c r="A181" s="41" t="s">
        <v>51</v>
      </c>
      <c r="B181" s="60">
        <f>943.2+405.8</f>
        <v>1349</v>
      </c>
      <c r="C181" s="46" t="s">
        <v>25</v>
      </c>
      <c r="D181" s="61">
        <f t="shared" si="40"/>
        <v>11</v>
      </c>
      <c r="E181" s="46">
        <f>833.8+24</f>
        <v>857.8</v>
      </c>
      <c r="F181" s="46" t="s">
        <v>25</v>
      </c>
      <c r="G181" s="46">
        <v>611</v>
      </c>
      <c r="H181" s="46">
        <f>973.3+10.8+2.9</f>
        <v>986.99999999999989</v>
      </c>
      <c r="I181" s="57">
        <f>24472.7+1784-10.8+27948+1429.5</f>
        <v>55623.4</v>
      </c>
      <c r="J181" s="62">
        <f>1710.1+3259.2</f>
        <v>4969.2999999999993</v>
      </c>
      <c r="K181" s="46">
        <f t="shared" si="53"/>
        <v>64408.5</v>
      </c>
    </row>
    <row r="182" spans="1:11" ht="12" hidden="1" customHeight="1" x14ac:dyDescent="0.2">
      <c r="A182" s="41" t="s">
        <v>52</v>
      </c>
      <c r="B182" s="60">
        <f>663.6+244.4</f>
        <v>908</v>
      </c>
      <c r="C182" s="46" t="s">
        <v>25</v>
      </c>
      <c r="D182" s="61">
        <f t="shared" si="40"/>
        <v>11</v>
      </c>
      <c r="E182" s="46">
        <f>833.8+18.9</f>
        <v>852.69999999999993</v>
      </c>
      <c r="F182" s="46" t="s">
        <v>25</v>
      </c>
      <c r="G182" s="46">
        <v>289</v>
      </c>
      <c r="H182" s="46">
        <f>963.7+10.8+2.9</f>
        <v>977.4</v>
      </c>
      <c r="I182" s="57">
        <f>24206.5+1756.3-10.8+28619.2+1447.4</f>
        <v>56018.6</v>
      </c>
      <c r="J182" s="62">
        <f>1622.6+3814.8</f>
        <v>5437.4</v>
      </c>
      <c r="K182" s="46">
        <f t="shared" ref="K182" si="54">SUM(B182:J182)</f>
        <v>64494.1</v>
      </c>
    </row>
    <row r="183" spans="1:11" ht="12" hidden="1" customHeight="1" x14ac:dyDescent="0.2">
      <c r="A183" s="41" t="s">
        <v>31</v>
      </c>
      <c r="B183" s="60">
        <f>768.5+300.7</f>
        <v>1069.2</v>
      </c>
      <c r="C183" s="46" t="s">
        <v>25</v>
      </c>
      <c r="D183" s="61">
        <f t="shared" si="40"/>
        <v>11</v>
      </c>
      <c r="E183" s="46">
        <f>833.8+16.4</f>
        <v>850.19999999999993</v>
      </c>
      <c r="F183" s="46" t="s">
        <v>25</v>
      </c>
      <c r="G183" s="46">
        <v>261.8</v>
      </c>
      <c r="H183" s="46">
        <f>953.9+10.8+2.9</f>
        <v>967.59999999999991</v>
      </c>
      <c r="I183" s="57">
        <f>24663.4+1793.5-10.8+28573.4+1431.6</f>
        <v>56451.1</v>
      </c>
      <c r="J183" s="62">
        <f>1642.6+3576.2</f>
        <v>5218.7999999999993</v>
      </c>
      <c r="K183" s="46">
        <f t="shared" ref="K183" si="55">SUM(B183:J183)</f>
        <v>64829.7</v>
      </c>
    </row>
    <row r="184" spans="1:11" ht="12" hidden="1" customHeight="1" x14ac:dyDescent="0.2">
      <c r="A184" s="41"/>
      <c r="B184" s="60"/>
      <c r="C184" s="57"/>
      <c r="D184" s="61"/>
      <c r="E184" s="61"/>
      <c r="F184" s="61"/>
      <c r="G184" s="46"/>
      <c r="H184" s="46"/>
      <c r="I184" s="57"/>
      <c r="J184" s="62"/>
      <c r="K184" s="46"/>
    </row>
    <row r="185" spans="1:11" ht="12" hidden="1" customHeight="1" x14ac:dyDescent="0.2">
      <c r="A185" s="41" t="s">
        <v>70</v>
      </c>
      <c r="B185" s="60">
        <f>1086.4+219.1</f>
        <v>1305.5</v>
      </c>
      <c r="C185" s="46" t="s">
        <v>25</v>
      </c>
      <c r="D185" s="61">
        <f t="shared" si="40"/>
        <v>11</v>
      </c>
      <c r="E185" s="46">
        <f>833.8+13.7</f>
        <v>847.5</v>
      </c>
      <c r="F185" s="46" t="s">
        <v>25</v>
      </c>
      <c r="G185" s="46">
        <v>261.8</v>
      </c>
      <c r="H185" s="46">
        <f>944+10.8</f>
        <v>954.8</v>
      </c>
      <c r="I185" s="57">
        <f>24283.1+1932.4-10.8+28568.6+1473.4</f>
        <v>56246.700000000004</v>
      </c>
      <c r="J185" s="62">
        <f>1670.6+3889.9</f>
        <v>5560.5</v>
      </c>
      <c r="K185" s="46">
        <f t="shared" ref="K185" si="56">SUM(B185:J185)</f>
        <v>65187.8</v>
      </c>
    </row>
    <row r="186" spans="1:11" ht="12" hidden="1" customHeight="1" x14ac:dyDescent="0.2">
      <c r="A186" s="41" t="s">
        <v>45</v>
      </c>
      <c r="B186" s="60">
        <f>1108.9+1256</f>
        <v>2364.9</v>
      </c>
      <c r="C186" s="46" t="s">
        <v>25</v>
      </c>
      <c r="D186" s="61">
        <f t="shared" si="40"/>
        <v>11</v>
      </c>
      <c r="E186" s="46">
        <f>833.8+13.7</f>
        <v>847.5</v>
      </c>
      <c r="F186" s="46" t="s">
        <v>25</v>
      </c>
      <c r="G186" s="46">
        <v>185.9</v>
      </c>
      <c r="H186" s="46">
        <f>934.1+10.8</f>
        <v>944.9</v>
      </c>
      <c r="I186" s="57">
        <f>23372.7+1987.3-10.8+28702.8+1586.2</f>
        <v>55638.2</v>
      </c>
      <c r="J186" s="62">
        <f>1624.4+3890.2</f>
        <v>5514.6</v>
      </c>
      <c r="K186" s="46">
        <f t="shared" ref="K186" si="57">SUM(B186:J186)</f>
        <v>65506.999999999993</v>
      </c>
    </row>
    <row r="187" spans="1:11" ht="12" hidden="1" customHeight="1" x14ac:dyDescent="0.2">
      <c r="A187" s="41" t="s">
        <v>46</v>
      </c>
      <c r="B187" s="60">
        <f>848.1+500.6</f>
        <v>1348.7</v>
      </c>
      <c r="C187" s="46" t="s">
        <v>25</v>
      </c>
      <c r="D187" s="61">
        <f t="shared" si="40"/>
        <v>11</v>
      </c>
      <c r="E187" s="46">
        <f>833.8+11.1</f>
        <v>844.9</v>
      </c>
      <c r="F187" s="46" t="s">
        <v>25</v>
      </c>
      <c r="G187" s="46">
        <v>617.20000000000005</v>
      </c>
      <c r="H187" s="46">
        <f>924+10.8+12</f>
        <v>946.8</v>
      </c>
      <c r="I187" s="57">
        <f>23445.7+2075.9-10.8+28864.3+1593.1</f>
        <v>55968.200000000004</v>
      </c>
      <c r="J187" s="62">
        <f>2025.4+4387.4</f>
        <v>6412.7999999999993</v>
      </c>
      <c r="K187" s="46">
        <f t="shared" ref="K187" si="58">SUM(B187:J187)</f>
        <v>66149.600000000006</v>
      </c>
    </row>
    <row r="188" spans="1:11" ht="12" hidden="1" customHeight="1" x14ac:dyDescent="0.2">
      <c r="A188" s="41" t="s">
        <v>47</v>
      </c>
      <c r="B188" s="60">
        <f>1409+885.4</f>
        <v>2294.4</v>
      </c>
      <c r="C188" s="46">
        <v>300</v>
      </c>
      <c r="D188" s="61">
        <f t="shared" si="40"/>
        <v>11</v>
      </c>
      <c r="E188" s="46">
        <f>833.8+8.4</f>
        <v>842.19999999999993</v>
      </c>
      <c r="F188" s="46" t="s">
        <v>25</v>
      </c>
      <c r="G188" s="46">
        <v>670.7</v>
      </c>
      <c r="H188" s="46">
        <f>913.8+10.8</f>
        <v>924.59999999999991</v>
      </c>
      <c r="I188" s="57">
        <f>22995+2043.2-10.8+29089.8+1647.6</f>
        <v>55764.799999999996</v>
      </c>
      <c r="J188" s="62">
        <f>1967.6+3933.4</f>
        <v>5901</v>
      </c>
      <c r="K188" s="46">
        <f t="shared" ref="K188" si="59">SUM(B188:J188)</f>
        <v>66708.7</v>
      </c>
    </row>
    <row r="189" spans="1:11" ht="12" hidden="1" customHeight="1" x14ac:dyDescent="0.2">
      <c r="A189" s="41" t="s">
        <v>48</v>
      </c>
      <c r="B189" s="60">
        <f>1024.2+558.6</f>
        <v>1582.8000000000002</v>
      </c>
      <c r="C189" s="46">
        <v>1000</v>
      </c>
      <c r="D189" s="61">
        <f t="shared" si="40"/>
        <v>11</v>
      </c>
      <c r="E189" s="46">
        <f>833.8+8.4</f>
        <v>842.19999999999993</v>
      </c>
      <c r="F189" s="46" t="s">
        <v>25</v>
      </c>
      <c r="G189" s="46">
        <v>856.1</v>
      </c>
      <c r="H189" s="46">
        <f>903.5+10.8+11.5</f>
        <v>925.8</v>
      </c>
      <c r="I189" s="57">
        <f>22921.2+2100.5-10.8+29492.6+1641.6</f>
        <v>56145.1</v>
      </c>
      <c r="J189" s="62">
        <f>2216.3+4297.3</f>
        <v>6513.6</v>
      </c>
      <c r="K189" s="46">
        <f t="shared" ref="K189" si="60">SUM(B189:J189)</f>
        <v>67876.600000000006</v>
      </c>
    </row>
    <row r="190" spans="1:11" ht="12" hidden="1" customHeight="1" x14ac:dyDescent="0.2">
      <c r="A190" s="41" t="s">
        <v>30</v>
      </c>
      <c r="B190" s="60">
        <f>658+1234</f>
        <v>1892</v>
      </c>
      <c r="C190" s="46">
        <v>500</v>
      </c>
      <c r="D190" s="61">
        <f t="shared" si="40"/>
        <v>11</v>
      </c>
      <c r="E190" s="46">
        <f t="shared" ref="E190:E197" si="61">833.8+2.8</f>
        <v>836.59999999999991</v>
      </c>
      <c r="F190" s="46" t="s">
        <v>25</v>
      </c>
      <c r="G190" s="46">
        <v>882.9</v>
      </c>
      <c r="H190" s="46">
        <f>893.1+10.8+11.5</f>
        <v>915.4</v>
      </c>
      <c r="I190" s="57">
        <f>23562.9+2122.1-10.8+29783.4+1631.7</f>
        <v>57089.3</v>
      </c>
      <c r="J190" s="62">
        <f>2170.8+3939.8</f>
        <v>6110.6</v>
      </c>
      <c r="K190" s="46">
        <f t="shared" ref="K190" si="62">SUM(B190:J190)</f>
        <v>68237.8</v>
      </c>
    </row>
    <row r="191" spans="1:11" x14ac:dyDescent="0.2">
      <c r="A191" s="73" t="s">
        <v>76</v>
      </c>
      <c r="B191" s="76">
        <f>3451+2637.6</f>
        <v>6088.6</v>
      </c>
      <c r="C191" s="75">
        <f>8078.5+2204.1</f>
        <v>10282.6</v>
      </c>
      <c r="D191" s="77">
        <f>11+301.7</f>
        <v>312.7</v>
      </c>
      <c r="E191" s="77">
        <v>42.2</v>
      </c>
      <c r="F191" s="77"/>
      <c r="G191" s="77" t="s">
        <v>25</v>
      </c>
      <c r="H191" s="67">
        <v>507.1</v>
      </c>
      <c r="I191" s="48">
        <f>38674.8+109.2+59625.9</f>
        <v>98409.9</v>
      </c>
      <c r="J191" s="78">
        <f>10545.6+8075</f>
        <v>18620.599999999999</v>
      </c>
      <c r="K191" s="74">
        <f>SUM(B191:J191)</f>
        <v>134263.69999999998</v>
      </c>
    </row>
    <row r="192" spans="1:11" ht="12" hidden="1" customHeight="1" x14ac:dyDescent="0.2">
      <c r="A192" s="73" t="s">
        <v>76</v>
      </c>
      <c r="B192" s="60">
        <f>804.7+1385.8</f>
        <v>2190.5</v>
      </c>
      <c r="C192" s="46">
        <v>500</v>
      </c>
      <c r="D192" s="61">
        <f t="shared" si="40"/>
        <v>11</v>
      </c>
      <c r="E192" s="46">
        <f t="shared" si="61"/>
        <v>836.59999999999991</v>
      </c>
      <c r="F192" s="46" t="s">
        <v>25</v>
      </c>
      <c r="G192" s="46">
        <v>934.5</v>
      </c>
      <c r="H192" s="46">
        <f>882.6+10.8+11.1</f>
        <v>904.5</v>
      </c>
      <c r="I192" s="57">
        <f>24283.6+2145.8-10.8+30363.7+1612.2</f>
        <v>58394.5</v>
      </c>
      <c r="J192" s="62">
        <f>1988.6+3412.2</f>
        <v>5400.7999999999993</v>
      </c>
      <c r="K192" s="46">
        <f t="shared" ref="K192" si="63">SUM(B192:J192)</f>
        <v>69172.399999999994</v>
      </c>
    </row>
    <row r="193" spans="1:11" ht="12" hidden="1" customHeight="1" x14ac:dyDescent="0.2">
      <c r="A193" s="73" t="s">
        <v>76</v>
      </c>
      <c r="B193" s="60">
        <f>598.8+161.8</f>
        <v>760.59999999999991</v>
      </c>
      <c r="C193" s="46">
        <v>500</v>
      </c>
      <c r="D193" s="61">
        <f t="shared" si="40"/>
        <v>11</v>
      </c>
      <c r="E193" s="46">
        <f t="shared" si="61"/>
        <v>836.59999999999991</v>
      </c>
      <c r="F193" s="46" t="s">
        <v>25</v>
      </c>
      <c r="G193" s="46">
        <v>317.3</v>
      </c>
      <c r="H193" s="46">
        <f>872+10.8+10.8</f>
        <v>893.59999999999991</v>
      </c>
      <c r="I193" s="57">
        <f>25275.9+2157.2-10.8+31280.5+1613.3</f>
        <v>60316.100000000006</v>
      </c>
      <c r="J193" s="62">
        <f>1990.3+3888.7</f>
        <v>5879</v>
      </c>
      <c r="K193" s="46">
        <f t="shared" ref="K193" si="64">SUM(B193:J193)</f>
        <v>69514.200000000012</v>
      </c>
    </row>
    <row r="194" spans="1:11" ht="12" hidden="1" customHeight="1" x14ac:dyDescent="0.2">
      <c r="A194" s="73" t="s">
        <v>76</v>
      </c>
      <c r="B194" s="60">
        <f>440.8+221</f>
        <v>661.8</v>
      </c>
      <c r="C194" s="46">
        <v>500</v>
      </c>
      <c r="D194" s="61">
        <f t="shared" si="40"/>
        <v>11</v>
      </c>
      <c r="E194" s="46">
        <f t="shared" si="61"/>
        <v>836.59999999999991</v>
      </c>
      <c r="F194" s="46" t="s">
        <v>25</v>
      </c>
      <c r="G194" s="46">
        <v>779.4</v>
      </c>
      <c r="H194" s="46">
        <f>861.3+10.8+10.8</f>
        <v>882.89999999999986</v>
      </c>
      <c r="I194" s="57">
        <f>25098+2186.2-10.8+31275.1+1637.8</f>
        <v>60186.3</v>
      </c>
      <c r="J194" s="62">
        <f>1994.8+4367.5</f>
        <v>6362.3</v>
      </c>
      <c r="K194" s="46">
        <f t="shared" ref="K194" si="65">SUM(B194:J194)</f>
        <v>70220.3</v>
      </c>
    </row>
    <row r="195" spans="1:11" ht="12" hidden="1" customHeight="1" x14ac:dyDescent="0.2">
      <c r="A195" s="73" t="s">
        <v>76</v>
      </c>
      <c r="B195" s="60">
        <f>779.3+1661</f>
        <v>2440.3000000000002</v>
      </c>
      <c r="C195" s="46">
        <v>500</v>
      </c>
      <c r="D195" s="61">
        <f t="shared" si="40"/>
        <v>11</v>
      </c>
      <c r="E195" s="46">
        <f t="shared" si="61"/>
        <v>836.59999999999991</v>
      </c>
      <c r="F195" s="46" t="s">
        <v>25</v>
      </c>
      <c r="G195" s="46">
        <v>933.3</v>
      </c>
      <c r="H195" s="46">
        <f>850.6+10.2</f>
        <v>860.80000000000007</v>
      </c>
      <c r="I195" s="57">
        <f>24496.5+2139.2+31332.3+1618.2</f>
        <v>59586.2</v>
      </c>
      <c r="J195" s="62">
        <f>2154.8+4000.2</f>
        <v>6155</v>
      </c>
      <c r="K195" s="46">
        <f t="shared" ref="K195:K196" si="66">SUM(B195:J195)</f>
        <v>71323.199999999997</v>
      </c>
    </row>
    <row r="196" spans="1:11" ht="12" hidden="1" customHeight="1" x14ac:dyDescent="0.2">
      <c r="A196" s="73" t="s">
        <v>76</v>
      </c>
      <c r="B196" s="60">
        <f>1068+2361.6</f>
        <v>3429.6</v>
      </c>
      <c r="C196" s="57">
        <v>200</v>
      </c>
      <c r="D196" s="61">
        <v>11</v>
      </c>
      <c r="E196" s="61">
        <f t="shared" si="61"/>
        <v>836.59999999999991</v>
      </c>
      <c r="F196" s="46" t="s">
        <v>25</v>
      </c>
      <c r="G196" s="46">
        <v>374.6</v>
      </c>
      <c r="H196" s="46">
        <f>839.6+10.2</f>
        <v>849.80000000000007</v>
      </c>
      <c r="I196" s="57">
        <f>23930.7+2144.3+32617.1+1603.3</f>
        <v>60295.4</v>
      </c>
      <c r="J196" s="62">
        <f>2003.3+4305.4</f>
        <v>6308.7</v>
      </c>
      <c r="K196" s="46">
        <f t="shared" si="66"/>
        <v>72305.7</v>
      </c>
    </row>
    <row r="197" spans="1:11" ht="12" hidden="1" customHeight="1" x14ac:dyDescent="0.2">
      <c r="A197" s="73" t="s">
        <v>76</v>
      </c>
      <c r="B197" s="60">
        <f>834.8+2150</f>
        <v>2984.8</v>
      </c>
      <c r="C197" s="57">
        <f>200+2000</f>
        <v>2200</v>
      </c>
      <c r="D197" s="61">
        <v>11</v>
      </c>
      <c r="E197" s="61">
        <f t="shared" si="61"/>
        <v>836.59999999999991</v>
      </c>
      <c r="F197" s="46" t="s">
        <v>25</v>
      </c>
      <c r="G197" s="46">
        <v>693.3</v>
      </c>
      <c r="H197" s="46">
        <f>828.6+9.8</f>
        <v>838.4</v>
      </c>
      <c r="I197" s="57">
        <f>23295.6+2107.6+32276.8+1570.8</f>
        <v>59250.8</v>
      </c>
      <c r="J197" s="62">
        <f>2020.7+3396.8</f>
        <v>5417.5</v>
      </c>
      <c r="K197" s="46">
        <f t="shared" ref="K197" si="67">SUM(B197:J197)</f>
        <v>72232.400000000009</v>
      </c>
    </row>
    <row r="198" spans="1:11" ht="12" hidden="1" customHeight="1" x14ac:dyDescent="0.2">
      <c r="A198" s="73" t="s">
        <v>76</v>
      </c>
      <c r="B198" s="60">
        <f>846.5+1829.6</f>
        <v>2676.1</v>
      </c>
      <c r="C198" s="57">
        <f>200+2000</f>
        <v>2200</v>
      </c>
      <c r="D198" s="61">
        <v>11</v>
      </c>
      <c r="E198" s="61">
        <f t="shared" ref="E198:E202" si="68">327+2.8</f>
        <v>329.8</v>
      </c>
      <c r="F198" s="46" t="s">
        <v>25</v>
      </c>
      <c r="G198" s="46">
        <v>690</v>
      </c>
      <c r="H198" s="46">
        <f>817.4+9.5</f>
        <v>826.9</v>
      </c>
      <c r="I198" s="57">
        <f>23405+2170+32490.8+1675</f>
        <v>59740.800000000003</v>
      </c>
      <c r="J198" s="62">
        <f>1831+3489.7</f>
        <v>5320.7</v>
      </c>
      <c r="K198" s="46">
        <f t="shared" ref="K198" si="69">SUM(B198:J198)</f>
        <v>71795.3</v>
      </c>
    </row>
    <row r="199" spans="1:11" ht="12" hidden="1" customHeight="1" x14ac:dyDescent="0.2">
      <c r="A199" s="73" t="s">
        <v>76</v>
      </c>
      <c r="B199" s="60">
        <f>790.8+1175.3</f>
        <v>1966.1</v>
      </c>
      <c r="C199" s="57">
        <f>200+2000</f>
        <v>2200</v>
      </c>
      <c r="D199" s="61">
        <v>11</v>
      </c>
      <c r="E199" s="61">
        <f t="shared" si="68"/>
        <v>329.8</v>
      </c>
      <c r="F199" s="46" t="s">
        <v>25</v>
      </c>
      <c r="G199" s="46">
        <v>696.1</v>
      </c>
      <c r="H199" s="46">
        <f>806.2+9.5</f>
        <v>815.7</v>
      </c>
      <c r="I199" s="57">
        <f>23200.9+2274+32751.9+1697.9</f>
        <v>59924.700000000004</v>
      </c>
      <c r="J199" s="62">
        <f>1952.6+3978.1</f>
        <v>5930.7</v>
      </c>
      <c r="K199" s="46">
        <f t="shared" ref="K199" si="70">SUM(B199:J199)</f>
        <v>71874.100000000006</v>
      </c>
    </row>
    <row r="200" spans="1:11" ht="12" hidden="1" customHeight="1" x14ac:dyDescent="0.2">
      <c r="A200" s="73" t="s">
        <v>76</v>
      </c>
      <c r="B200" s="60">
        <f>670.7+766.6</f>
        <v>1437.3000000000002</v>
      </c>
      <c r="C200" s="57">
        <f>200+2000</f>
        <v>2200</v>
      </c>
      <c r="D200" s="61">
        <v>11</v>
      </c>
      <c r="E200" s="61">
        <f t="shared" si="68"/>
        <v>329.8</v>
      </c>
      <c r="F200" s="46" t="s">
        <v>25</v>
      </c>
      <c r="G200" s="46">
        <v>659.3</v>
      </c>
      <c r="H200" s="46">
        <f>794.9+8.8</f>
        <v>803.69999999999993</v>
      </c>
      <c r="I200" s="57">
        <f>23738+2247.8+33968.3+1602.9</f>
        <v>61557.000000000007</v>
      </c>
      <c r="J200" s="62">
        <f>1923.4+4051.1</f>
        <v>5974.5</v>
      </c>
      <c r="K200" s="46">
        <f t="shared" ref="K200" si="71">SUM(B200:J200)</f>
        <v>72972.600000000006</v>
      </c>
    </row>
    <row r="201" spans="1:11" ht="12" hidden="1" customHeight="1" x14ac:dyDescent="0.2">
      <c r="A201" s="73" t="s">
        <v>76</v>
      </c>
      <c r="B201" s="60">
        <f>475.5+1076.8</f>
        <v>1552.3</v>
      </c>
      <c r="C201" s="57">
        <f>200+1000</f>
        <v>1200</v>
      </c>
      <c r="D201" s="61">
        <v>11</v>
      </c>
      <c r="E201" s="61">
        <f t="shared" si="68"/>
        <v>329.8</v>
      </c>
      <c r="F201" s="46" t="s">
        <v>25</v>
      </c>
      <c r="G201" s="46">
        <v>889.6</v>
      </c>
      <c r="H201" s="46">
        <f>783.4+8.8</f>
        <v>792.19999999999993</v>
      </c>
      <c r="I201" s="57">
        <f>24778.3+2204.8+33937.9+1579.5</f>
        <v>62500.5</v>
      </c>
      <c r="J201" s="62">
        <f>2130.7+4089.9</f>
        <v>6220.6</v>
      </c>
      <c r="K201" s="46">
        <f t="shared" ref="K201" si="72">SUM(B201:J201)</f>
        <v>73496</v>
      </c>
    </row>
    <row r="202" spans="1:11" ht="12" hidden="1" customHeight="1" x14ac:dyDescent="0.2">
      <c r="A202" s="73" t="s">
        <v>76</v>
      </c>
      <c r="B202" s="60">
        <f>825.4+778.3</f>
        <v>1603.6999999999998</v>
      </c>
      <c r="C202" s="57">
        <f>200+1000</f>
        <v>1200</v>
      </c>
      <c r="D202" s="61">
        <v>11</v>
      </c>
      <c r="E202" s="61">
        <f t="shared" si="68"/>
        <v>329.8</v>
      </c>
      <c r="F202" s="46" t="s">
        <v>25</v>
      </c>
      <c r="G202" s="46">
        <v>866.2</v>
      </c>
      <c r="H202" s="46">
        <f>771.8+8.4</f>
        <v>780.19999999999993</v>
      </c>
      <c r="I202" s="57">
        <f>25172.2+2228.1+34408.9+1583.5</f>
        <v>63392.7</v>
      </c>
      <c r="J202" s="62">
        <f>2121.9+4218.1</f>
        <v>6340</v>
      </c>
      <c r="K202" s="46">
        <f t="shared" ref="K202" si="73">SUM(B202:J202)</f>
        <v>74523.599999999991</v>
      </c>
    </row>
    <row r="203" spans="1:11" ht="12" hidden="1" customHeight="1" x14ac:dyDescent="0.2">
      <c r="A203" s="73" t="s">
        <v>76</v>
      </c>
      <c r="B203" s="60">
        <f>588.8+860.7</f>
        <v>1449.5</v>
      </c>
      <c r="C203" s="57">
        <v>1900</v>
      </c>
      <c r="D203" s="61">
        <v>11</v>
      </c>
      <c r="E203" s="61">
        <f>2.8</f>
        <v>2.8</v>
      </c>
      <c r="F203" s="46" t="s">
        <v>25</v>
      </c>
      <c r="G203" s="46">
        <v>1041.2</v>
      </c>
      <c r="H203" s="46">
        <f>760.1+8.4</f>
        <v>768.5</v>
      </c>
      <c r="I203" s="57">
        <f>25310.6+2222.7+34641.4+1643.7</f>
        <v>63818.399999999994</v>
      </c>
      <c r="J203" s="62">
        <f>2282.3+3893.7</f>
        <v>6176</v>
      </c>
      <c r="K203" s="46">
        <f t="shared" ref="K203" si="74">SUM(B203:J203)</f>
        <v>75167.399999999994</v>
      </c>
    </row>
    <row r="204" spans="1:11" ht="12" hidden="1" customHeight="1" x14ac:dyDescent="0.2">
      <c r="A204" s="73" t="s">
        <v>76</v>
      </c>
      <c r="B204" s="60">
        <f>538.3+600.2</f>
        <v>1138.5</v>
      </c>
      <c r="C204" s="57">
        <f>200+1500</f>
        <v>1700</v>
      </c>
      <c r="D204" s="61">
        <v>11</v>
      </c>
      <c r="E204" s="61">
        <f>2.8</f>
        <v>2.8</v>
      </c>
      <c r="F204" s="46" t="s">
        <v>25</v>
      </c>
      <c r="G204" s="46">
        <v>803.3</v>
      </c>
      <c r="H204" s="46">
        <f>596.9+8.4</f>
        <v>605.29999999999995</v>
      </c>
      <c r="I204" s="57">
        <f>26353.4+2247+35864.3+1624.5</f>
        <v>66089.200000000012</v>
      </c>
      <c r="J204" s="62">
        <f>2344.6+4341</f>
        <v>6685.6</v>
      </c>
      <c r="K204" s="46">
        <f t="shared" ref="K204" si="75">SUM(B204:J204)</f>
        <v>77035.700000000012</v>
      </c>
    </row>
    <row r="205" spans="1:11" ht="12" hidden="1" customHeight="1" x14ac:dyDescent="0.2">
      <c r="A205" s="73" t="s">
        <v>76</v>
      </c>
      <c r="B205" s="60">
        <f>452.8+1024</f>
        <v>1476.8</v>
      </c>
      <c r="C205" s="57">
        <f>200</f>
        <v>200</v>
      </c>
      <c r="D205" s="61">
        <v>11</v>
      </c>
      <c r="E205" s="61">
        <f>2.8</f>
        <v>2.8</v>
      </c>
      <c r="F205" s="46" t="s">
        <v>25</v>
      </c>
      <c r="G205" s="46">
        <v>829.2</v>
      </c>
      <c r="H205" s="46">
        <f>596.9+7.7</f>
        <v>604.6</v>
      </c>
      <c r="I205" s="57">
        <f>27079+2306.1+36420.3+1686.1</f>
        <v>67491.5</v>
      </c>
      <c r="J205" s="62">
        <f>2428.7+4926</f>
        <v>7354.7</v>
      </c>
      <c r="K205" s="46">
        <f t="shared" ref="K205" si="76">SUM(B205:J205)</f>
        <v>77970.599999999991</v>
      </c>
    </row>
    <row r="206" spans="1:11" ht="12" hidden="1" customHeight="1" x14ac:dyDescent="0.2">
      <c r="A206" s="73" t="s">
        <v>76</v>
      </c>
      <c r="B206" s="60">
        <f>780.2+225.1</f>
        <v>1005.3000000000001</v>
      </c>
      <c r="C206" s="57">
        <f>200</f>
        <v>200</v>
      </c>
      <c r="D206" s="61">
        <v>11</v>
      </c>
      <c r="E206" s="46" t="s">
        <v>25</v>
      </c>
      <c r="F206" s="46" t="s">
        <v>25</v>
      </c>
      <c r="G206" s="46">
        <v>550.70000000000005</v>
      </c>
      <c r="H206" s="46">
        <f>596.9+7.7</f>
        <v>604.6</v>
      </c>
      <c r="I206" s="57">
        <f>28418.1+2395+37243.4+1686.4</f>
        <v>69742.899999999994</v>
      </c>
      <c r="J206" s="62">
        <f>2692.4+3908.7</f>
        <v>6601.1</v>
      </c>
      <c r="K206" s="46">
        <f t="shared" ref="K206:K211" si="77">SUM(B206:J206)</f>
        <v>78715.600000000006</v>
      </c>
    </row>
    <row r="207" spans="1:11" ht="12" hidden="1" customHeight="1" x14ac:dyDescent="0.2">
      <c r="A207" s="73" t="s">
        <v>76</v>
      </c>
      <c r="B207" s="60">
        <f>1321.1+358.1</f>
        <v>1679.1999999999998</v>
      </c>
      <c r="C207" s="57">
        <v>200</v>
      </c>
      <c r="D207" s="61">
        <v>11</v>
      </c>
      <c r="E207" s="61" t="s">
        <v>25</v>
      </c>
      <c r="F207" s="46" t="s">
        <v>25</v>
      </c>
      <c r="G207" s="46">
        <v>698.4</v>
      </c>
      <c r="H207" s="46">
        <v>604.19999999999993</v>
      </c>
      <c r="I207" s="57">
        <v>71180.899999999994</v>
      </c>
      <c r="J207" s="62">
        <v>7066.9</v>
      </c>
      <c r="K207" s="46">
        <f t="shared" si="77"/>
        <v>81440.599999999991</v>
      </c>
    </row>
    <row r="208" spans="1:11" ht="12" hidden="1" customHeight="1" x14ac:dyDescent="0.2">
      <c r="A208" s="73" t="s">
        <v>76</v>
      </c>
      <c r="B208" s="60">
        <f>784.8+221.5</f>
        <v>1006.3</v>
      </c>
      <c r="C208" s="57">
        <v>200</v>
      </c>
      <c r="D208" s="61">
        <v>11</v>
      </c>
      <c r="E208" s="61" t="s">
        <v>25</v>
      </c>
      <c r="F208" s="46" t="s">
        <v>25</v>
      </c>
      <c r="G208" s="46">
        <v>372.6</v>
      </c>
      <c r="H208" s="46">
        <v>604.19999999999993</v>
      </c>
      <c r="I208" s="57">
        <v>72581.899999999994</v>
      </c>
      <c r="J208" s="62">
        <v>7601.3</v>
      </c>
      <c r="K208" s="46">
        <f t="shared" si="77"/>
        <v>82377.3</v>
      </c>
    </row>
    <row r="209" spans="1:11" x14ac:dyDescent="0.2">
      <c r="A209" s="73" t="s">
        <v>77</v>
      </c>
      <c r="B209" s="76">
        <f>3429.8+1877.7</f>
        <v>5307.5</v>
      </c>
      <c r="C209" s="75">
        <f>8792.4+1851.7</f>
        <v>10644.1</v>
      </c>
      <c r="D209" s="77">
        <f>11+301.8</f>
        <v>312.8</v>
      </c>
      <c r="E209" s="77">
        <v>51.1</v>
      </c>
      <c r="F209" s="77"/>
      <c r="G209" s="77" t="s">
        <v>25</v>
      </c>
      <c r="H209" s="67">
        <v>507.1</v>
      </c>
      <c r="I209" s="48">
        <f>39719.7+109.2+62493.2</f>
        <v>102322.09999999999</v>
      </c>
      <c r="J209" s="78">
        <f>10705+8356.1</f>
        <v>19061.099999999999</v>
      </c>
      <c r="K209" s="74">
        <f>SUM(B209:J209)</f>
        <v>138205.79999999999</v>
      </c>
    </row>
    <row r="210" spans="1:11" ht="12" customHeight="1" x14ac:dyDescent="0.2">
      <c r="A210" s="41"/>
      <c r="B210" s="60"/>
      <c r="C210" s="57"/>
      <c r="D210" s="61"/>
      <c r="E210" s="61"/>
      <c r="F210" s="46"/>
      <c r="G210" s="46"/>
      <c r="H210" s="46"/>
      <c r="I210" s="57"/>
      <c r="J210" s="62"/>
      <c r="K210" s="46"/>
    </row>
    <row r="211" spans="1:11" ht="12" hidden="1" customHeight="1" x14ac:dyDescent="0.2">
      <c r="A211" s="41" t="s">
        <v>87</v>
      </c>
      <c r="B211" s="60">
        <f>696.3+274.5</f>
        <v>970.8</v>
      </c>
      <c r="C211" s="57">
        <v>200</v>
      </c>
      <c r="D211" s="61">
        <v>11</v>
      </c>
      <c r="E211" s="61" t="s">
        <v>25</v>
      </c>
      <c r="F211" s="46" t="s">
        <v>25</v>
      </c>
      <c r="G211" s="46">
        <v>433.2</v>
      </c>
      <c r="H211" s="46">
        <v>603.4</v>
      </c>
      <c r="I211" s="66">
        <f>31088+2472.5+39329.7+1800.8</f>
        <v>74691</v>
      </c>
      <c r="J211" s="62">
        <v>6804.6</v>
      </c>
      <c r="K211" s="46">
        <f t="shared" si="77"/>
        <v>83714</v>
      </c>
    </row>
    <row r="212" spans="1:11" ht="12" hidden="1" customHeight="1" x14ac:dyDescent="0.2">
      <c r="A212" s="41" t="s">
        <v>96</v>
      </c>
      <c r="B212" s="60">
        <f>396.8+792.4</f>
        <v>1189.2</v>
      </c>
      <c r="C212" s="57">
        <v>200</v>
      </c>
      <c r="D212" s="61">
        <v>11</v>
      </c>
      <c r="E212" s="61" t="s">
        <v>25</v>
      </c>
      <c r="F212" s="46" t="s">
        <v>25</v>
      </c>
      <c r="G212" s="46">
        <v>65.900000000000006</v>
      </c>
      <c r="H212" s="67">
        <f>596.9+6.1</f>
        <v>603</v>
      </c>
      <c r="I212" s="48">
        <f>31686.7+2521+40283.6+1871.3</f>
        <v>76362.599999999991</v>
      </c>
      <c r="J212" s="62">
        <f>3571.7+3575.1</f>
        <v>7146.7999999999993</v>
      </c>
      <c r="K212" s="46">
        <f t="shared" ref="K212" si="78">SUM(B212:J212)</f>
        <v>85578.5</v>
      </c>
    </row>
    <row r="213" spans="1:11" ht="12" hidden="1" customHeight="1" x14ac:dyDescent="0.2">
      <c r="A213" s="41" t="s">
        <v>97</v>
      </c>
      <c r="B213" s="60">
        <f>585+590.9</f>
        <v>1175.9000000000001</v>
      </c>
      <c r="C213" s="57">
        <v>200</v>
      </c>
      <c r="D213" s="61">
        <v>11</v>
      </c>
      <c r="E213" s="61" t="s">
        <v>25</v>
      </c>
      <c r="F213" s="46" t="s">
        <v>25</v>
      </c>
      <c r="G213" s="46">
        <v>461.5</v>
      </c>
      <c r="H213" s="67">
        <f>596.9+5.3</f>
        <v>602.19999999999993</v>
      </c>
      <c r="I213" s="48">
        <f>31088.4+2480.6+40219.2+1928.8</f>
        <v>75717</v>
      </c>
      <c r="J213" s="62">
        <f>3987.7+3599.8</f>
        <v>7587.5</v>
      </c>
      <c r="K213" s="46">
        <f t="shared" ref="K213" si="79">SUM(B213:J213)</f>
        <v>85755.1</v>
      </c>
    </row>
    <row r="214" spans="1:11" ht="12" hidden="1" customHeight="1" x14ac:dyDescent="0.2">
      <c r="A214" s="73" t="s">
        <v>100</v>
      </c>
      <c r="B214" s="60">
        <f>1084+986</f>
        <v>2070</v>
      </c>
      <c r="C214" s="57">
        <v>500</v>
      </c>
      <c r="D214" s="61">
        <v>11</v>
      </c>
      <c r="E214" s="61" t="s">
        <v>25</v>
      </c>
      <c r="F214" s="46" t="s">
        <v>25</v>
      </c>
      <c r="G214" s="46">
        <v>382.1</v>
      </c>
      <c r="H214" s="67">
        <f>596.9+5.3</f>
        <v>602.19999999999993</v>
      </c>
      <c r="I214" s="48">
        <f>31315.8+2444+40839+1955.2</f>
        <v>76554</v>
      </c>
      <c r="J214" s="62">
        <f>3795.8+3786.1</f>
        <v>7581.9</v>
      </c>
      <c r="K214" s="46">
        <f t="shared" ref="K214" si="80">SUM(B214:J214)</f>
        <v>87701.2</v>
      </c>
    </row>
    <row r="215" spans="1:11" ht="12" hidden="1" customHeight="1" x14ac:dyDescent="0.2">
      <c r="A215" s="73" t="s">
        <v>101</v>
      </c>
      <c r="B215" s="60">
        <f>576.3+1004.6</f>
        <v>1580.9</v>
      </c>
      <c r="C215" s="57">
        <v>250</v>
      </c>
      <c r="D215" s="61">
        <v>11</v>
      </c>
      <c r="E215" s="61" t="s">
        <v>25</v>
      </c>
      <c r="F215" s="46" t="s">
        <v>25</v>
      </c>
      <c r="G215" s="46">
        <v>55.4</v>
      </c>
      <c r="H215" s="67">
        <f>596.9+4.5</f>
        <v>601.4</v>
      </c>
      <c r="I215" s="48">
        <f>32013.8+2410.3+42396.4+1968.2</f>
        <v>78788.7</v>
      </c>
      <c r="J215" s="62">
        <f>3739.6+3802.6</f>
        <v>7542.2</v>
      </c>
      <c r="K215" s="46">
        <f t="shared" ref="K215" si="81">SUM(B215:J215)</f>
        <v>88829.599999999991</v>
      </c>
    </row>
    <row r="216" spans="1:11" ht="12" hidden="1" customHeight="1" x14ac:dyDescent="0.2">
      <c r="A216" s="41" t="s">
        <v>102</v>
      </c>
      <c r="B216" s="60">
        <f>599.1+1182</f>
        <v>1781.1</v>
      </c>
      <c r="C216" s="57">
        <v>250</v>
      </c>
      <c r="D216" s="61">
        <v>11</v>
      </c>
      <c r="E216" s="61">
        <v>73.2</v>
      </c>
      <c r="F216" s="46" t="s">
        <v>25</v>
      </c>
      <c r="G216" s="46">
        <v>444.8</v>
      </c>
      <c r="H216" s="67">
        <f>596.9+4.1</f>
        <v>601</v>
      </c>
      <c r="I216" s="48">
        <f>32155.3+2375.6+43072.5+2027.3</f>
        <v>79630.7</v>
      </c>
      <c r="J216" s="62">
        <f>4314.7+3949.9</f>
        <v>8264.6</v>
      </c>
      <c r="K216" s="46">
        <f t="shared" ref="K216" si="82">SUM(B216:J216)</f>
        <v>91056.400000000009</v>
      </c>
    </row>
    <row r="217" spans="1:11" ht="12" hidden="1" customHeight="1" x14ac:dyDescent="0.2">
      <c r="A217" s="41" t="s">
        <v>106</v>
      </c>
      <c r="B217" s="60">
        <f>1021.9+1007.2</f>
        <v>2029.1</v>
      </c>
      <c r="C217" s="57">
        <v>50</v>
      </c>
      <c r="D217" s="61">
        <v>11</v>
      </c>
      <c r="E217" s="61" t="s">
        <v>25</v>
      </c>
      <c r="F217" s="46" t="s">
        <v>25</v>
      </c>
      <c r="G217" s="46">
        <v>341</v>
      </c>
      <c r="H217" s="67">
        <f>596.9+4.1</f>
        <v>601</v>
      </c>
      <c r="I217" s="48">
        <f>33189.1+2476.3+44102.9+2089.8</f>
        <v>81858.100000000006</v>
      </c>
      <c r="J217" s="62">
        <f>3666+3937.8</f>
        <v>7603.8</v>
      </c>
      <c r="K217" s="46">
        <f t="shared" ref="K217" si="83">SUM(B217:J217)</f>
        <v>92494.000000000015</v>
      </c>
    </row>
    <row r="218" spans="1:11" ht="12" hidden="1" customHeight="1" x14ac:dyDescent="0.2">
      <c r="A218" s="41" t="s">
        <v>105</v>
      </c>
      <c r="B218" s="60">
        <f>909.8+1037.3</f>
        <v>1947.1</v>
      </c>
      <c r="C218" s="57">
        <v>117.2</v>
      </c>
      <c r="D218" s="61">
        <v>11</v>
      </c>
      <c r="E218" s="61" t="s">
        <v>25</v>
      </c>
      <c r="F218" s="46" t="s">
        <v>25</v>
      </c>
      <c r="G218" s="46">
        <v>384.4</v>
      </c>
      <c r="H218" s="67">
        <f>596.9+3.7</f>
        <v>600.6</v>
      </c>
      <c r="I218" s="48">
        <f>33381+2447.9+45370.1+2106.5</f>
        <v>83305.5</v>
      </c>
      <c r="J218" s="62">
        <f>3686.5+3987.5</f>
        <v>7674</v>
      </c>
      <c r="K218" s="46">
        <f>SUM(B218:J218)</f>
        <v>94039.8</v>
      </c>
    </row>
    <row r="219" spans="1:11" ht="12" hidden="1" customHeight="1" x14ac:dyDescent="0.2">
      <c r="A219" s="41" t="s">
        <v>107</v>
      </c>
      <c r="B219" s="60">
        <f>1727.7+690.3</f>
        <v>2418</v>
      </c>
      <c r="C219" s="57">
        <f>67.2</f>
        <v>67.2</v>
      </c>
      <c r="D219" s="61">
        <v>11</v>
      </c>
      <c r="E219" s="61" t="s">
        <v>25</v>
      </c>
      <c r="F219" s="46" t="s">
        <v>25</v>
      </c>
      <c r="G219" s="46">
        <v>401.1</v>
      </c>
      <c r="H219" s="67">
        <f>596.9+3.2</f>
        <v>600.1</v>
      </c>
      <c r="I219" s="48">
        <f>33413.7+2521.6+46095.6+2061.7</f>
        <v>84092.599999999991</v>
      </c>
      <c r="J219" s="62">
        <f>4131+4225.5</f>
        <v>8356.5</v>
      </c>
      <c r="K219" s="46">
        <f t="shared" ref="K219" si="84">SUM(B219:J219)</f>
        <v>95946.499999999985</v>
      </c>
    </row>
    <row r="220" spans="1:11" ht="12" hidden="1" customHeight="1" x14ac:dyDescent="0.2">
      <c r="A220" s="41" t="s">
        <v>108</v>
      </c>
      <c r="B220" s="60">
        <f>1544.6+1111.9</f>
        <v>2656.5</v>
      </c>
      <c r="C220" s="57">
        <f>67.2+501.4</f>
        <v>568.6</v>
      </c>
      <c r="D220" s="61">
        <v>11</v>
      </c>
      <c r="E220" s="61" t="s">
        <v>25</v>
      </c>
      <c r="F220" s="46" t="s">
        <v>25</v>
      </c>
      <c r="G220" s="46">
        <v>383.1</v>
      </c>
      <c r="H220" s="67">
        <f>596.9</f>
        <v>596.9</v>
      </c>
      <c r="I220" s="48">
        <f>34217.7+2360.5+46940.7+2140.3</f>
        <v>85659.199999999997</v>
      </c>
      <c r="J220" s="62">
        <f>3655.8+4136.4</f>
        <v>7792.2</v>
      </c>
      <c r="K220" s="46">
        <f t="shared" ref="K220" si="85">SUM(B220:J220)</f>
        <v>97667.5</v>
      </c>
    </row>
    <row r="221" spans="1:11" hidden="1" x14ac:dyDescent="0.2">
      <c r="A221" s="41" t="s">
        <v>109</v>
      </c>
      <c r="B221" s="60">
        <f>1755.4+743.3</f>
        <v>2498.6999999999998</v>
      </c>
      <c r="C221" s="57">
        <f>67.2+1000</f>
        <v>1067.2</v>
      </c>
      <c r="D221" s="61">
        <v>11</v>
      </c>
      <c r="E221" s="61" t="s">
        <v>25</v>
      </c>
      <c r="F221" s="61" t="s">
        <v>25</v>
      </c>
      <c r="G221" s="61" t="s">
        <v>25</v>
      </c>
      <c r="H221" s="67">
        <f>596.9</f>
        <v>596.9</v>
      </c>
      <c r="I221" s="48">
        <f>34443.5+2323.9+48009.7+2043.6</f>
        <v>86820.700000000012</v>
      </c>
      <c r="J221" s="62">
        <f>4693.8+4315.1</f>
        <v>9008.9000000000015</v>
      </c>
      <c r="K221" s="46">
        <f t="shared" ref="K221" si="86">SUM(B221:J221)</f>
        <v>100003.40000000002</v>
      </c>
    </row>
    <row r="222" spans="1:11" ht="12" hidden="1" customHeight="1" x14ac:dyDescent="0.2">
      <c r="A222" s="41" t="s">
        <v>110</v>
      </c>
      <c r="B222" s="60">
        <f>1118+1606.3</f>
        <v>2724.3</v>
      </c>
      <c r="C222" s="57">
        <f>67.2+2000</f>
        <v>2067.1999999999998</v>
      </c>
      <c r="D222" s="61">
        <v>11</v>
      </c>
      <c r="E222" s="61" t="s">
        <v>25</v>
      </c>
      <c r="F222" s="61" t="s">
        <v>25</v>
      </c>
      <c r="G222" s="61" t="s">
        <v>25</v>
      </c>
      <c r="H222" s="67">
        <f>596.9</f>
        <v>596.9</v>
      </c>
      <c r="I222" s="48">
        <f>34705.1+2259.5+48504.7+2000.1</f>
        <v>87469.4</v>
      </c>
      <c r="J222" s="62">
        <f>4936.3+4127.9</f>
        <v>9064.2000000000007</v>
      </c>
      <c r="K222" s="46">
        <f t="shared" ref="K222" si="87">SUM(B222:J222)</f>
        <v>101932.99999999999</v>
      </c>
    </row>
    <row r="223" spans="1:11" ht="12" hidden="1" customHeight="1" x14ac:dyDescent="0.2">
      <c r="A223" s="41"/>
      <c r="B223" s="60"/>
      <c r="C223" s="57"/>
      <c r="D223" s="61"/>
      <c r="E223" s="61"/>
      <c r="F223" s="61"/>
      <c r="G223" s="61"/>
      <c r="H223" s="67"/>
      <c r="I223" s="48"/>
      <c r="J223" s="62"/>
      <c r="K223" s="46"/>
    </row>
    <row r="224" spans="1:11" ht="12" customHeight="1" x14ac:dyDescent="0.2">
      <c r="A224" s="41" t="s">
        <v>90</v>
      </c>
      <c r="B224" s="60">
        <f>1039.3+311.9</f>
        <v>1351.1999999999998</v>
      </c>
      <c r="C224" s="57">
        <f>67.2+1903.9+500</f>
        <v>2471.1000000000004</v>
      </c>
      <c r="D224" s="61">
        <v>11</v>
      </c>
      <c r="E224" s="61" t="s">
        <v>25</v>
      </c>
      <c r="F224" s="61" t="s">
        <v>25</v>
      </c>
      <c r="G224" s="61" t="s">
        <v>25</v>
      </c>
      <c r="H224" s="67">
        <f t="shared" ref="H224:H233" si="88">596.9</f>
        <v>596.9</v>
      </c>
      <c r="I224" s="48">
        <f>35476.9+2324.5+48716.4+2205.1</f>
        <v>88722.900000000009</v>
      </c>
      <c r="J224" s="62">
        <f>4935.6+4412.3</f>
        <v>9347.9000000000015</v>
      </c>
      <c r="K224" s="46">
        <f t="shared" ref="K224" si="89">SUM(B224:J224)</f>
        <v>102501</v>
      </c>
    </row>
    <row r="225" spans="1:11" ht="12" customHeight="1" x14ac:dyDescent="0.2">
      <c r="A225" s="41" t="s">
        <v>88</v>
      </c>
      <c r="B225" s="60">
        <f>1133+1263.9</f>
        <v>2396.9</v>
      </c>
      <c r="C225" s="57">
        <f>67.2+1903.9</f>
        <v>1971.1000000000001</v>
      </c>
      <c r="D225" s="61">
        <v>11</v>
      </c>
      <c r="E225" s="61" t="s">
        <v>25</v>
      </c>
      <c r="F225" s="61" t="s">
        <v>25</v>
      </c>
      <c r="G225" s="61" t="s">
        <v>25</v>
      </c>
      <c r="H225" s="67">
        <f t="shared" si="88"/>
        <v>596.9</v>
      </c>
      <c r="I225" s="48">
        <f>34777.7+2265.5+48344.8+2238.9</f>
        <v>87626.9</v>
      </c>
      <c r="J225" s="62">
        <f>5084.7+4422</f>
        <v>9506.7000000000007</v>
      </c>
      <c r="K225" s="46">
        <f t="shared" ref="K225" si="90">SUM(B225:J225)</f>
        <v>102109.49999999999</v>
      </c>
    </row>
    <row r="226" spans="1:11" ht="12" customHeight="1" x14ac:dyDescent="0.2">
      <c r="A226" s="41" t="s">
        <v>89</v>
      </c>
      <c r="B226" s="60">
        <f>828.4+917.3</f>
        <v>1745.6999999999998</v>
      </c>
      <c r="C226" s="57">
        <f>67.2+1915.8+850</f>
        <v>2833</v>
      </c>
      <c r="D226" s="61">
        <v>11</v>
      </c>
      <c r="E226" s="61" t="s">
        <v>25</v>
      </c>
      <c r="F226" s="61" t="s">
        <v>25</v>
      </c>
      <c r="G226" s="61" t="s">
        <v>25</v>
      </c>
      <c r="H226" s="67">
        <f t="shared" si="88"/>
        <v>596.9</v>
      </c>
      <c r="I226" s="48">
        <f>36312.8+195.4+48593.1+2182.3</f>
        <v>87283.6</v>
      </c>
      <c r="J226" s="62">
        <f>5758.4+4660.3</f>
        <v>10418.700000000001</v>
      </c>
      <c r="K226" s="46">
        <f t="shared" ref="K226" si="91">SUM(B226:J226)</f>
        <v>102888.90000000001</v>
      </c>
    </row>
    <row r="227" spans="1:11" ht="12" customHeight="1" x14ac:dyDescent="0.2">
      <c r="A227" s="41" t="s">
        <v>80</v>
      </c>
      <c r="B227" s="60">
        <f>2154.9+589.1</f>
        <v>2744</v>
      </c>
      <c r="C227" s="57">
        <f>67.2+3715.8</f>
        <v>3783</v>
      </c>
      <c r="D227" s="61">
        <v>11</v>
      </c>
      <c r="E227" s="61" t="s">
        <v>25</v>
      </c>
      <c r="F227" s="61" t="s">
        <v>25</v>
      </c>
      <c r="G227" s="61" t="s">
        <v>25</v>
      </c>
      <c r="H227" s="67">
        <f t="shared" si="88"/>
        <v>596.9</v>
      </c>
      <c r="I227" s="48">
        <f>36624.8+197+49031+2209.7</f>
        <v>88062.5</v>
      </c>
      <c r="J227" s="62">
        <f>5762.5+4718.8</f>
        <v>10481.299999999999</v>
      </c>
      <c r="K227" s="46">
        <f t="shared" ref="K227" si="92">SUM(B227:J227)</f>
        <v>105678.7</v>
      </c>
    </row>
    <row r="228" spans="1:11" ht="12" customHeight="1" x14ac:dyDescent="0.2">
      <c r="A228" s="41" t="s">
        <v>81</v>
      </c>
      <c r="B228" s="60">
        <f>3263.1+1058.5</f>
        <v>4321.6000000000004</v>
      </c>
      <c r="C228" s="57">
        <f>67.2+3715.8</f>
        <v>3783</v>
      </c>
      <c r="D228" s="61">
        <v>11</v>
      </c>
      <c r="E228" s="61" t="s">
        <v>25</v>
      </c>
      <c r="F228" s="61" t="s">
        <v>25</v>
      </c>
      <c r="G228" s="61" t="s">
        <v>25</v>
      </c>
      <c r="H228" s="67">
        <f t="shared" si="88"/>
        <v>596.9</v>
      </c>
      <c r="I228" s="48">
        <f>35952.3+178.7+48414.6+2346.9</f>
        <v>86892.5</v>
      </c>
      <c r="J228" s="62">
        <f>6054.9+4861.2</f>
        <v>10916.099999999999</v>
      </c>
      <c r="K228" s="46">
        <f t="shared" ref="K228" si="93">SUM(B228:J228)</f>
        <v>106521.1</v>
      </c>
    </row>
    <row r="229" spans="1:11" ht="12" customHeight="1" x14ac:dyDescent="0.2">
      <c r="A229" s="41" t="s">
        <v>82</v>
      </c>
      <c r="B229" s="60">
        <f>2516+913.1</f>
        <v>3429.1</v>
      </c>
      <c r="C229" s="57">
        <f>67.2+5715.8</f>
        <v>5783</v>
      </c>
      <c r="D229" s="61">
        <v>11</v>
      </c>
      <c r="E229" s="61" t="s">
        <v>25</v>
      </c>
      <c r="F229" s="61" t="s">
        <v>25</v>
      </c>
      <c r="G229" s="61" t="s">
        <v>25</v>
      </c>
      <c r="H229" s="67">
        <f t="shared" si="88"/>
        <v>596.9</v>
      </c>
      <c r="I229" s="48">
        <f>36351.6+175.1+47957.6+2358.5</f>
        <v>86842.799999999988</v>
      </c>
      <c r="J229" s="62">
        <f>5668.1+4925.4</f>
        <v>10593.5</v>
      </c>
      <c r="K229" s="46">
        <f t="shared" ref="K229" si="94">SUM(B229:J229)</f>
        <v>107256.29999999999</v>
      </c>
    </row>
    <row r="230" spans="1:11" ht="12" customHeight="1" x14ac:dyDescent="0.2">
      <c r="A230" s="41" t="s">
        <v>83</v>
      </c>
      <c r="B230" s="60">
        <f>2386.5+1298.6</f>
        <v>3685.1</v>
      </c>
      <c r="C230" s="57">
        <f>67.2+7215.8</f>
        <v>7283</v>
      </c>
      <c r="D230" s="61">
        <v>11</v>
      </c>
      <c r="E230" s="61" t="s">
        <v>25</v>
      </c>
      <c r="F230" s="61" t="s">
        <v>25</v>
      </c>
      <c r="G230" s="61" t="s">
        <v>25</v>
      </c>
      <c r="H230" s="67">
        <f t="shared" si="88"/>
        <v>596.9</v>
      </c>
      <c r="I230" s="48">
        <f>36166.2+179.8+47466.8+2410.7</f>
        <v>86223.5</v>
      </c>
      <c r="J230" s="62">
        <f>6052.2+5017.6</f>
        <v>11069.8</v>
      </c>
      <c r="K230" s="46">
        <f t="shared" ref="K230" si="95">SUM(B230:J230)</f>
        <v>108869.3</v>
      </c>
    </row>
    <row r="231" spans="1:11" ht="12" customHeight="1" x14ac:dyDescent="0.2">
      <c r="A231" s="41" t="s">
        <v>84</v>
      </c>
      <c r="B231" s="60">
        <f>3610.5+2509.1</f>
        <v>6119.6</v>
      </c>
      <c r="C231" s="57">
        <f>67.2+7215.8</f>
        <v>7283</v>
      </c>
      <c r="D231" s="61">
        <v>11</v>
      </c>
      <c r="E231" s="61" t="s">
        <v>25</v>
      </c>
      <c r="F231" s="61" t="s">
        <v>25</v>
      </c>
      <c r="G231" s="61" t="s">
        <v>25</v>
      </c>
      <c r="H231" s="67">
        <f t="shared" si="88"/>
        <v>596.9</v>
      </c>
      <c r="I231" s="48">
        <f>35971.3+160.3+47897.2+2447.7</f>
        <v>86476.5</v>
      </c>
      <c r="J231" s="62">
        <f>5879.6+5202.5</f>
        <v>11082.1</v>
      </c>
      <c r="K231" s="46">
        <f t="shared" ref="K231" si="96">SUM(B231:J231)</f>
        <v>111569.1</v>
      </c>
    </row>
    <row r="232" spans="1:11" ht="12" customHeight="1" x14ac:dyDescent="0.2">
      <c r="A232" s="41" t="s">
        <v>76</v>
      </c>
      <c r="B232" s="60">
        <f>1874.5+2539.6</f>
        <v>4414.1000000000004</v>
      </c>
      <c r="C232" s="57">
        <f>67.2+9215.8</f>
        <v>9283</v>
      </c>
      <c r="D232" s="61">
        <v>11</v>
      </c>
      <c r="E232" s="61" t="s">
        <v>25</v>
      </c>
      <c r="F232" s="61" t="s">
        <v>25</v>
      </c>
      <c r="G232" s="61" t="s">
        <v>25</v>
      </c>
      <c r="H232" s="67">
        <f t="shared" si="88"/>
        <v>596.9</v>
      </c>
      <c r="I232" s="48">
        <f>36279.6+145.3+48529.2+2518.5</f>
        <v>87472.6</v>
      </c>
      <c r="J232" s="62">
        <f>5467.1+5304.4</f>
        <v>10771.5</v>
      </c>
      <c r="K232" s="46">
        <f t="shared" ref="K232" si="97">SUM(B232:J232)</f>
        <v>112549.1</v>
      </c>
    </row>
    <row r="233" spans="1:11" ht="12" customHeight="1" x14ac:dyDescent="0.2">
      <c r="A233" s="41" t="s">
        <v>85</v>
      </c>
      <c r="B233" s="60">
        <f>1695.8+2744.3</f>
        <v>4440.1000000000004</v>
      </c>
      <c r="C233" s="57">
        <f>67.2+9215.8</f>
        <v>9283</v>
      </c>
      <c r="D233" s="61">
        <v>11</v>
      </c>
      <c r="E233" s="61" t="s">
        <v>25</v>
      </c>
      <c r="F233" s="61" t="s">
        <v>25</v>
      </c>
      <c r="G233" s="61" t="s">
        <v>25</v>
      </c>
      <c r="H233" s="67">
        <f t="shared" si="88"/>
        <v>596.9</v>
      </c>
      <c r="I233" s="48">
        <f>36290.2+152.1+49299.7+2476.4</f>
        <v>88218.4</v>
      </c>
      <c r="J233" s="62">
        <f>5601.8+5340.1</f>
        <v>10941.900000000001</v>
      </c>
      <c r="K233" s="46">
        <f t="shared" ref="K233" si="98">SUM(B233:J233)</f>
        <v>113491.29999999999</v>
      </c>
    </row>
    <row r="234" spans="1:11" ht="12" customHeight="1" x14ac:dyDescent="0.2">
      <c r="A234" s="41" t="s">
        <v>86</v>
      </c>
      <c r="B234" s="60">
        <f>1681.7+2108.5</f>
        <v>3790.2</v>
      </c>
      <c r="C234" s="57">
        <f>9497.1+2390.7</f>
        <v>11887.8</v>
      </c>
      <c r="D234" s="61">
        <v>11</v>
      </c>
      <c r="E234" s="61">
        <v>16.2</v>
      </c>
      <c r="F234" s="61" t="s">
        <v>25</v>
      </c>
      <c r="G234" s="61" t="s">
        <v>25</v>
      </c>
      <c r="H234" s="67">
        <f>667.7</f>
        <v>667.7</v>
      </c>
      <c r="I234" s="48">
        <f>34338+109.2+51824.8</f>
        <v>86272</v>
      </c>
      <c r="J234" s="62">
        <f>5961.5+8726</f>
        <v>14687.5</v>
      </c>
      <c r="K234" s="46">
        <f t="shared" ref="K234" si="99">SUM(B234:J234)</f>
        <v>117332.4</v>
      </c>
    </row>
    <row r="235" spans="1:11" ht="12" customHeight="1" x14ac:dyDescent="0.2">
      <c r="A235" s="41" t="s">
        <v>77</v>
      </c>
      <c r="B235" s="60">
        <f>4382.3+1895</f>
        <v>6277.3</v>
      </c>
      <c r="C235" s="57">
        <f>9496.7+2277.7</f>
        <v>11774.400000000001</v>
      </c>
      <c r="D235" s="61">
        <v>11</v>
      </c>
      <c r="E235" s="61">
        <v>23.2</v>
      </c>
      <c r="F235" s="61" t="s">
        <v>25</v>
      </c>
      <c r="G235" s="61" t="s">
        <v>25</v>
      </c>
      <c r="H235" s="67">
        <v>528.20000000000005</v>
      </c>
      <c r="I235" s="48">
        <f>34565.4+109.2+51966.9</f>
        <v>86641.5</v>
      </c>
      <c r="J235" s="62">
        <f>5641.4+8565</f>
        <v>14206.4</v>
      </c>
      <c r="K235" s="46">
        <f t="shared" ref="K235" si="100">SUM(B235:J235)</f>
        <v>119462</v>
      </c>
    </row>
    <row r="236" spans="1:11" ht="12" customHeight="1" x14ac:dyDescent="0.2">
      <c r="A236" s="41"/>
      <c r="B236" s="60"/>
      <c r="C236" s="57"/>
      <c r="D236" s="61"/>
      <c r="E236" s="61"/>
      <c r="F236" s="61"/>
      <c r="G236" s="61"/>
      <c r="H236" s="67"/>
      <c r="I236" s="48"/>
      <c r="J236" s="62"/>
      <c r="K236" s="46"/>
    </row>
    <row r="237" spans="1:11" ht="12" customHeight="1" x14ac:dyDescent="0.2">
      <c r="A237" s="41" t="s">
        <v>94</v>
      </c>
      <c r="B237" s="60">
        <f>3121.3+1135.2</f>
        <v>4256.5</v>
      </c>
      <c r="C237" s="57">
        <f>9543.1+2163.3</f>
        <v>11706.400000000001</v>
      </c>
      <c r="D237" s="61">
        <v>11</v>
      </c>
      <c r="E237" s="61">
        <v>59.9</v>
      </c>
      <c r="F237" s="61" t="s">
        <v>25</v>
      </c>
      <c r="G237" s="61" t="s">
        <v>25</v>
      </c>
      <c r="H237" s="67">
        <v>528.20000000000005</v>
      </c>
      <c r="I237" s="48">
        <f>34459.7+109.2+52307.4</f>
        <v>86876.299999999988</v>
      </c>
      <c r="J237" s="62">
        <f>6515.3+10131.9</f>
        <v>16647.2</v>
      </c>
      <c r="K237" s="46">
        <f t="shared" ref="K237" si="101">SUM(B237:J237)</f>
        <v>120085.49999999999</v>
      </c>
    </row>
    <row r="238" spans="1:11" ht="12" customHeight="1" x14ac:dyDescent="0.2">
      <c r="A238" s="41" t="s">
        <v>88</v>
      </c>
      <c r="B238" s="60">
        <f>3272.8+2444</f>
        <v>5716.8</v>
      </c>
      <c r="C238" s="57">
        <f>9580.2+2047.4</f>
        <v>11627.6</v>
      </c>
      <c r="D238" s="61">
        <v>11</v>
      </c>
      <c r="E238" s="61">
        <v>24.4</v>
      </c>
      <c r="F238" s="61" t="s">
        <v>25</v>
      </c>
      <c r="G238" s="61" t="s">
        <v>25</v>
      </c>
      <c r="H238" s="67">
        <v>528.20000000000005</v>
      </c>
      <c r="I238" s="48">
        <f>34791.7+109.2+53110.8</f>
        <v>88011.7</v>
      </c>
      <c r="J238" s="62">
        <f>7371.8+10251.5</f>
        <v>17623.3</v>
      </c>
      <c r="K238" s="46">
        <f t="shared" ref="K238" si="102">SUM(B238:J238)</f>
        <v>123543</v>
      </c>
    </row>
    <row r="239" spans="1:11" ht="12" customHeight="1" x14ac:dyDescent="0.2">
      <c r="A239" s="41" t="s">
        <v>89</v>
      </c>
      <c r="B239" s="60">
        <f>4199.2+3080.4</f>
        <v>7279.6</v>
      </c>
      <c r="C239" s="57">
        <f>9626.5+1929.9</f>
        <v>11556.4</v>
      </c>
      <c r="D239" s="61">
        <v>11</v>
      </c>
      <c r="E239" s="61">
        <v>24.4</v>
      </c>
      <c r="F239" s="61" t="s">
        <v>25</v>
      </c>
      <c r="G239" s="61" t="s">
        <v>25</v>
      </c>
      <c r="H239" s="67">
        <v>528.20000000000005</v>
      </c>
      <c r="I239" s="48">
        <f>35901.9+109.2+54174.4</f>
        <v>90185.5</v>
      </c>
      <c r="J239" s="62">
        <f>7431.5+9854.5</f>
        <v>17286</v>
      </c>
      <c r="K239" s="46">
        <f t="shared" ref="K239" si="103">SUM(B239:J239)</f>
        <v>126871.1</v>
      </c>
    </row>
    <row r="240" spans="1:11" s="72" customFormat="1" ht="12" customHeight="1" x14ac:dyDescent="0.2">
      <c r="A240" s="73" t="s">
        <v>80</v>
      </c>
      <c r="B240" s="76">
        <f>3173.8+1740.3</f>
        <v>4914.1000000000004</v>
      </c>
      <c r="C240" s="75">
        <f>9667.2+1842.2</f>
        <v>11509.400000000001</v>
      </c>
      <c r="D240" s="77">
        <v>11</v>
      </c>
      <c r="E240" s="77">
        <v>24.4</v>
      </c>
      <c r="F240" s="77" t="s">
        <v>25</v>
      </c>
      <c r="G240" s="77" t="s">
        <v>25</v>
      </c>
      <c r="H240" s="67">
        <v>528.20000000000005</v>
      </c>
      <c r="I240" s="48">
        <f>37605.9+109.2+55279.3</f>
        <v>92994.4</v>
      </c>
      <c r="J240" s="78">
        <f>7265.7+10324.8</f>
        <v>17590.5</v>
      </c>
      <c r="K240" s="74">
        <f t="shared" ref="K240" si="104">SUM(B240:J240)</f>
        <v>127572</v>
      </c>
    </row>
    <row r="241" spans="1:13" s="72" customFormat="1" ht="12" customHeight="1" x14ac:dyDescent="0.2">
      <c r="A241" s="73" t="s">
        <v>81</v>
      </c>
      <c r="B241" s="76">
        <f>2803.3+1091</f>
        <v>3894.3</v>
      </c>
      <c r="C241" s="75">
        <f>9710+1753.3</f>
        <v>11463.3</v>
      </c>
      <c r="D241" s="77">
        <v>11</v>
      </c>
      <c r="E241" s="77">
        <v>24.5</v>
      </c>
      <c r="F241" s="77" t="s">
        <v>25</v>
      </c>
      <c r="G241" s="77" t="s">
        <v>25</v>
      </c>
      <c r="H241" s="67">
        <v>507.1</v>
      </c>
      <c r="I241" s="48">
        <f>39543.2+109.2+55580.1</f>
        <v>95232.5</v>
      </c>
      <c r="J241" s="78">
        <f>6753.6+10399.8</f>
        <v>17153.400000000001</v>
      </c>
      <c r="K241" s="74">
        <f t="shared" ref="K241:K244" si="105">SUM(B241:J241)</f>
        <v>128286.1</v>
      </c>
    </row>
    <row r="242" spans="1:13" s="72" customFormat="1" ht="12" customHeight="1" x14ac:dyDescent="0.2">
      <c r="A242" s="73" t="s">
        <v>82</v>
      </c>
      <c r="B242" s="76">
        <f>1067.9+1364.3</f>
        <v>2432.1999999999998</v>
      </c>
      <c r="C242" s="75">
        <f>8060.6+2543.1</f>
        <v>10603.7</v>
      </c>
      <c r="D242" s="77">
        <f>300+11</f>
        <v>311</v>
      </c>
      <c r="E242" s="77">
        <v>33.299999999999997</v>
      </c>
      <c r="F242" s="77"/>
      <c r="G242" s="77" t="s">
        <v>25</v>
      </c>
      <c r="H242" s="67">
        <v>507.1</v>
      </c>
      <c r="I242" s="48">
        <f>39158.3+109.2+57202.6</f>
        <v>96470.1</v>
      </c>
      <c r="J242" s="78">
        <f>10109+7163.4</f>
        <v>17272.400000000001</v>
      </c>
      <c r="K242" s="74">
        <f t="shared" si="105"/>
        <v>127629.80000000002</v>
      </c>
    </row>
    <row r="243" spans="1:13" s="72" customFormat="1" ht="12" customHeight="1" x14ac:dyDescent="0.2">
      <c r="A243" s="73" t="s">
        <v>83</v>
      </c>
      <c r="B243" s="76">
        <f>1999.1+659</f>
        <v>2658.1</v>
      </c>
      <c r="C243" s="75">
        <f>9618.3+2431.6</f>
        <v>12049.9</v>
      </c>
      <c r="D243" s="77">
        <f>11+304.3</f>
        <v>315.3</v>
      </c>
      <c r="E243" s="77">
        <v>33.299999999999997</v>
      </c>
      <c r="F243" s="77"/>
      <c r="G243" s="77" t="s">
        <v>25</v>
      </c>
      <c r="H243" s="67">
        <v>507.1</v>
      </c>
      <c r="I243" s="48">
        <f>109.2+38797.3+58527.7</f>
        <v>97434.2</v>
      </c>
      <c r="J243" s="78">
        <f>10258.9+7222.8</f>
        <v>17481.7</v>
      </c>
      <c r="K243" s="74">
        <f t="shared" si="105"/>
        <v>130479.59999999999</v>
      </c>
    </row>
    <row r="244" spans="1:13" s="72" customFormat="1" ht="12" customHeight="1" x14ac:dyDescent="0.2">
      <c r="A244" s="73" t="s">
        <v>84</v>
      </c>
      <c r="B244" s="76">
        <f>1464.2+3112.7</f>
        <v>4576.8999999999996</v>
      </c>
      <c r="C244" s="75">
        <f>2318.6+9068.8</f>
        <v>11387.4</v>
      </c>
      <c r="D244" s="77">
        <f>306.1+11</f>
        <v>317.10000000000002</v>
      </c>
      <c r="E244" s="77">
        <v>33.299999999999997</v>
      </c>
      <c r="F244" s="77"/>
      <c r="G244" s="77" t="s">
        <v>25</v>
      </c>
      <c r="H244" s="67">
        <v>507.1</v>
      </c>
      <c r="I244" s="48">
        <f>38243+109.2+59098.5</f>
        <v>97450.7</v>
      </c>
      <c r="J244" s="78">
        <f>10516.8+8047.9</f>
        <v>18564.699999999997</v>
      </c>
      <c r="K244" s="74">
        <f t="shared" si="105"/>
        <v>132837.20000000001</v>
      </c>
    </row>
    <row r="245" spans="1:13" s="72" customFormat="1" ht="12" customHeight="1" x14ac:dyDescent="0.2">
      <c r="A245" s="73" t="s">
        <v>76</v>
      </c>
      <c r="B245" s="76">
        <f>3451+2637.6</f>
        <v>6088.6</v>
      </c>
      <c r="C245" s="75">
        <f>8078.5+2204.1</f>
        <v>10282.6</v>
      </c>
      <c r="D245" s="77">
        <f>11+301.7</f>
        <v>312.7</v>
      </c>
      <c r="E245" s="77">
        <v>42.2</v>
      </c>
      <c r="F245" s="77"/>
      <c r="G245" s="77" t="s">
        <v>25</v>
      </c>
      <c r="H245" s="67">
        <v>507.1</v>
      </c>
      <c r="I245" s="48">
        <f>38674.8+109.2+59625.9</f>
        <v>98409.9</v>
      </c>
      <c r="J245" s="78">
        <f>10545.6+8075</f>
        <v>18620.599999999999</v>
      </c>
      <c r="K245" s="74">
        <f>SUM(B245:J245)</f>
        <v>134263.69999999998</v>
      </c>
    </row>
    <row r="246" spans="1:13" s="72" customFormat="1" ht="12" customHeight="1" x14ac:dyDescent="0.2">
      <c r="A246" s="73" t="s">
        <v>85</v>
      </c>
      <c r="B246" s="76">
        <f>1671.7+3204.5</f>
        <v>4876.2</v>
      </c>
      <c r="C246" s="75">
        <f>2088.1+8032.8</f>
        <v>10120.9</v>
      </c>
      <c r="D246" s="77">
        <f>303.5+11</f>
        <v>314.5</v>
      </c>
      <c r="E246" s="77">
        <v>42.2</v>
      </c>
      <c r="F246" s="77"/>
      <c r="G246" s="77" t="s">
        <v>25</v>
      </c>
      <c r="H246" s="67">
        <v>507.1</v>
      </c>
      <c r="I246" s="48">
        <f>38882.1+109.2+61941.7</f>
        <v>100933</v>
      </c>
      <c r="J246" s="78">
        <f>8389.5+10664.5</f>
        <v>19054</v>
      </c>
      <c r="K246" s="74">
        <f>SUM(B246:J246)</f>
        <v>135847.9</v>
      </c>
    </row>
    <row r="247" spans="1:13" s="72" customFormat="1" ht="12" customHeight="1" x14ac:dyDescent="0.2">
      <c r="A247" s="73" t="s">
        <v>86</v>
      </c>
      <c r="B247" s="76">
        <f>2591.2+1065.2</f>
        <v>3656.3999999999996</v>
      </c>
      <c r="C247" s="75">
        <f>1970.7+8750</f>
        <v>10720.7</v>
      </c>
      <c r="D247" s="77">
        <f>305.3+11</f>
        <v>316.3</v>
      </c>
      <c r="E247" s="77">
        <v>42.2</v>
      </c>
      <c r="F247" s="77"/>
      <c r="G247" s="77" t="s">
        <v>25</v>
      </c>
      <c r="H247" s="67">
        <v>507.1</v>
      </c>
      <c r="I247" s="48">
        <f>39263.6+109.2+62797.2</f>
        <v>102170</v>
      </c>
      <c r="J247" s="78">
        <f>10898.9+8942.6</f>
        <v>19841.5</v>
      </c>
      <c r="K247" s="74">
        <f>SUM(B247:J247)</f>
        <v>137254.20000000001</v>
      </c>
    </row>
    <row r="248" spans="1:13" s="72" customFormat="1" ht="12" customHeight="1" x14ac:dyDescent="0.2">
      <c r="A248" s="73" t="s">
        <v>77</v>
      </c>
      <c r="B248" s="76">
        <f>3429.8+1877.7</f>
        <v>5307.5</v>
      </c>
      <c r="C248" s="75">
        <f>8792.4+1851.7</f>
        <v>10644.1</v>
      </c>
      <c r="D248" s="77">
        <f>11+301.8</f>
        <v>312.8</v>
      </c>
      <c r="E248" s="77">
        <v>51.1</v>
      </c>
      <c r="F248" s="77"/>
      <c r="G248" s="77" t="s">
        <v>25</v>
      </c>
      <c r="H248" s="67">
        <v>507.1</v>
      </c>
      <c r="I248" s="48">
        <f>39719.7+109.2+62493.2</f>
        <v>102322.09999999999</v>
      </c>
      <c r="J248" s="78">
        <f>10705+8356.1</f>
        <v>19061.099999999999</v>
      </c>
      <c r="K248" s="74">
        <f>SUM(B248:J248)</f>
        <v>138205.79999999999</v>
      </c>
    </row>
    <row r="249" spans="1:13" s="72" customFormat="1" ht="12" customHeight="1" x14ac:dyDescent="0.2">
      <c r="A249" s="73"/>
      <c r="B249" s="76"/>
      <c r="C249" s="75"/>
      <c r="D249" s="77"/>
      <c r="E249" s="77"/>
      <c r="F249" s="77"/>
      <c r="G249" s="77"/>
      <c r="H249" s="67"/>
      <c r="I249" s="48"/>
      <c r="J249" s="78"/>
      <c r="K249" s="74"/>
    </row>
    <row r="250" spans="1:13" s="72" customFormat="1" ht="12" customHeight="1" x14ac:dyDescent="0.2">
      <c r="A250" s="73" t="s">
        <v>113</v>
      </c>
      <c r="B250" s="76">
        <f>1211.4+2205</f>
        <v>3416.4</v>
      </c>
      <c r="C250" s="75">
        <f>2220.1+8834.1</f>
        <v>11054.2</v>
      </c>
      <c r="D250" s="77">
        <f>303.5+11</f>
        <v>314.5</v>
      </c>
      <c r="E250" s="77">
        <v>51.1</v>
      </c>
      <c r="F250" s="77"/>
      <c r="G250" s="77" t="s">
        <v>25</v>
      </c>
      <c r="H250" s="67">
        <v>507.1</v>
      </c>
      <c r="I250" s="48">
        <f>39657.9+109.2+63116</f>
        <v>102883.1</v>
      </c>
      <c r="J250" s="78">
        <f>11249.8+9125.2</f>
        <v>20375</v>
      </c>
      <c r="K250" s="74">
        <f>SUM(B250:J250)</f>
        <v>138601.40000000002</v>
      </c>
    </row>
    <row r="251" spans="1:13" ht="12" customHeight="1" x14ac:dyDescent="0.2">
      <c r="A251" s="73"/>
      <c r="B251" s="60"/>
      <c r="C251" s="57"/>
      <c r="D251" s="61"/>
      <c r="E251" s="61"/>
      <c r="F251" s="61"/>
      <c r="G251" s="61"/>
      <c r="H251" s="67"/>
      <c r="I251" s="48"/>
      <c r="J251" s="62"/>
      <c r="K251" s="46"/>
    </row>
    <row r="252" spans="1:13" ht="15.75" hidden="1" customHeight="1" x14ac:dyDescent="0.2">
      <c r="A252" s="50"/>
      <c r="B252" s="51"/>
      <c r="C252" s="18"/>
      <c r="D252" s="52"/>
      <c r="E252" s="53"/>
      <c r="F252" s="52"/>
      <c r="G252" s="54"/>
      <c r="H252" s="54"/>
      <c r="I252" s="54"/>
      <c r="J252" s="52"/>
      <c r="K252" s="54"/>
      <c r="L252" s="8"/>
    </row>
    <row r="253" spans="1:13" hidden="1" x14ac:dyDescent="0.2">
      <c r="A253" s="55" t="s">
        <v>26</v>
      </c>
      <c r="B253" s="37"/>
      <c r="C253" s="37"/>
      <c r="D253" s="13"/>
      <c r="E253" s="12"/>
      <c r="F253" s="13"/>
      <c r="G253" s="13"/>
      <c r="H253" s="13"/>
      <c r="I253" s="13"/>
      <c r="J253" s="13"/>
      <c r="K253" s="14"/>
    </row>
    <row r="254" spans="1:13" x14ac:dyDescent="0.2">
      <c r="A254" s="68"/>
      <c r="B254" s="37"/>
      <c r="C254" s="37"/>
      <c r="D254" s="24"/>
      <c r="E254" s="37"/>
      <c r="F254" s="24"/>
      <c r="G254" s="24"/>
      <c r="H254" s="24"/>
      <c r="I254" s="24"/>
      <c r="J254" s="24"/>
      <c r="K254" s="69"/>
    </row>
    <row r="255" spans="1:13" s="58" customFormat="1" ht="12" customHeight="1" x14ac:dyDescent="0.2">
      <c r="A255" s="80" t="s">
        <v>112</v>
      </c>
      <c r="B255" s="18"/>
      <c r="C255" s="18"/>
      <c r="D255" s="18"/>
      <c r="E255" s="18"/>
      <c r="F255" s="70"/>
      <c r="G255" s="18"/>
      <c r="H255" s="18"/>
      <c r="I255" s="18"/>
      <c r="J255" s="70"/>
      <c r="K255" s="71"/>
      <c r="M255" s="5"/>
    </row>
  </sheetData>
  <mergeCells count="3">
    <mergeCell ref="A6:K6"/>
    <mergeCell ref="A7:K7"/>
    <mergeCell ref="A5:K5"/>
  </mergeCells>
  <phoneticPr fontId="0" type="noConversion"/>
  <printOptions horizontalCentered="1" verticalCentered="1" gridLinesSet="0"/>
  <pageMargins left="0.67" right="0.51181102362204722" top="0.51181102362204722" bottom="0.55118110236220474" header="0.51181102362204722" footer="0.51181102362204722"/>
  <pageSetup paperSize="9" scale="59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ii5-1sitconso des etsfinactif</vt:lpstr>
      <vt:lpstr>'ii5-1sitconso des etsfinactif'!Print_Area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2015-01-02T06:10:35Z</cp:lastPrinted>
  <dcterms:created xsi:type="dcterms:W3CDTF">2000-09-13T06:00:01Z</dcterms:created>
  <dcterms:modified xsi:type="dcterms:W3CDTF">2017-03-31T06:30:15Z</dcterms:modified>
</cp:coreProperties>
</file>