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45" windowWidth="9630" windowHeight="5100" tabRatio="604"/>
  </bookViews>
  <sheets>
    <sheet name="ii6-1sitfinactif" sheetId="1" r:id="rId1"/>
  </sheets>
  <definedNames>
    <definedName name="_xlnm.Print_Area" localSheetId="0">'ii6-1sitfinactif'!$A$1:$V$167</definedName>
    <definedName name="Zone_impres_MI">'ii6-1sitfinactif'!$A$1:$U$165</definedName>
  </definedNames>
  <calcPr calcId="152511"/>
</workbook>
</file>

<file path=xl/calcChain.xml><?xml version="1.0" encoding="utf-8"?>
<calcChain xmlns="http://schemas.openxmlformats.org/spreadsheetml/2006/main">
  <c r="S51" i="1" l="1"/>
  <c r="Q51" i="1"/>
  <c r="P51" i="1"/>
  <c r="N51" i="1"/>
  <c r="T51" i="1" s="1"/>
  <c r="I51" i="1"/>
  <c r="G51" i="1"/>
  <c r="D51" i="1"/>
  <c r="U51" i="1" s="1"/>
  <c r="Q50" i="1"/>
  <c r="P50" i="1"/>
  <c r="S50" i="1" s="1"/>
  <c r="I50" i="1"/>
  <c r="G50" i="1"/>
  <c r="N50" i="1" s="1"/>
  <c r="T50" i="1" s="1"/>
  <c r="U50" i="1" s="1"/>
  <c r="D50" i="1"/>
  <c r="Q163" i="1" l="1"/>
  <c r="S163" i="1"/>
  <c r="T163" i="1"/>
  <c r="U163" i="1" s="1"/>
  <c r="P163" i="1"/>
  <c r="N163" i="1"/>
  <c r="I161" i="1"/>
  <c r="I160" i="1"/>
  <c r="I159" i="1"/>
  <c r="I158" i="1"/>
  <c r="I157" i="1"/>
  <c r="I156" i="1"/>
  <c r="I162" i="1"/>
  <c r="I163" i="1"/>
  <c r="G163" i="1"/>
  <c r="D163" i="1"/>
  <c r="Q162" i="1" l="1"/>
  <c r="S162" i="1" l="1"/>
  <c r="P162" i="1"/>
  <c r="N162" i="1"/>
  <c r="G162" i="1"/>
  <c r="D162" i="1"/>
  <c r="T162" i="1" l="1"/>
  <c r="U162" i="1" s="1"/>
  <c r="S161" i="1" l="1"/>
  <c r="Q161" i="1"/>
  <c r="P161" i="1"/>
  <c r="G161" i="1"/>
  <c r="N161" i="1" s="1"/>
  <c r="T161" i="1" s="1"/>
  <c r="U161" i="1" s="1"/>
  <c r="D161" i="1"/>
  <c r="Q46" i="1" l="1"/>
  <c r="P46" i="1"/>
  <c r="S46" i="1" s="1"/>
  <c r="I46" i="1"/>
  <c r="G46" i="1"/>
  <c r="N46" i="1" s="1"/>
  <c r="T46" i="1" s="1"/>
  <c r="D46" i="1"/>
  <c r="Q41" i="1"/>
  <c r="P41" i="1"/>
  <c r="S41" i="1" s="1"/>
  <c r="I41" i="1"/>
  <c r="G41" i="1"/>
  <c r="N41" i="1" s="1"/>
  <c r="T41" i="1" s="1"/>
  <c r="D41" i="1"/>
  <c r="U46" i="1" l="1"/>
  <c r="U41" i="1"/>
  <c r="Q47" i="1"/>
  <c r="P47" i="1"/>
  <c r="S47" i="1" s="1"/>
  <c r="I47" i="1"/>
  <c r="G47" i="1"/>
  <c r="N47" i="1" s="1"/>
  <c r="T47" i="1" s="1"/>
  <c r="D47" i="1"/>
  <c r="U47" i="1" s="1"/>
  <c r="Q31" i="1" l="1"/>
  <c r="P31" i="1"/>
  <c r="S31" i="1" s="1"/>
  <c r="I31" i="1"/>
  <c r="G31" i="1"/>
  <c r="N31" i="1" s="1"/>
  <c r="T31" i="1" s="1"/>
  <c r="D31" i="1"/>
  <c r="Q48" i="1"/>
  <c r="P48" i="1"/>
  <c r="S48" i="1" s="1"/>
  <c r="I48" i="1"/>
  <c r="G48" i="1"/>
  <c r="N48" i="1" s="1"/>
  <c r="T48" i="1" s="1"/>
  <c r="D48" i="1"/>
  <c r="U31" i="1" l="1"/>
  <c r="U48" i="1"/>
  <c r="Q160" i="1"/>
  <c r="P160" i="1"/>
  <c r="G160" i="1"/>
  <c r="S160" i="1"/>
  <c r="N160" i="1"/>
  <c r="T160" i="1" s="1"/>
  <c r="D160" i="1"/>
  <c r="U160" i="1" l="1"/>
  <c r="Q159" i="1"/>
  <c r="P159" i="1"/>
  <c r="S159" i="1" s="1"/>
  <c r="G159" i="1"/>
  <c r="N159" i="1" s="1"/>
  <c r="T159" i="1" s="1"/>
  <c r="D159" i="1"/>
  <c r="U159" i="1" l="1"/>
  <c r="P158" i="1"/>
  <c r="Q158" i="1"/>
  <c r="G158" i="1"/>
  <c r="S158" i="1" l="1"/>
  <c r="N158" i="1"/>
  <c r="D158" i="1"/>
  <c r="T158" i="1" l="1"/>
  <c r="U158" i="1" s="1"/>
  <c r="I154" i="1" l="1"/>
  <c r="I153" i="1"/>
  <c r="I152" i="1"/>
  <c r="I151" i="1"/>
  <c r="I150" i="1"/>
  <c r="I149" i="1"/>
  <c r="I148" i="1"/>
  <c r="I147" i="1"/>
  <c r="I146" i="1"/>
  <c r="Q157" i="1" l="1"/>
  <c r="P157" i="1"/>
  <c r="G157" i="1"/>
  <c r="S157" i="1" l="1"/>
  <c r="N157" i="1"/>
  <c r="D157" i="1"/>
  <c r="T157" i="1" l="1"/>
  <c r="U157" i="1" s="1"/>
  <c r="Q156" i="1"/>
  <c r="P156" i="1"/>
  <c r="G156" i="1"/>
  <c r="S156" i="1" l="1"/>
  <c r="N156" i="1"/>
  <c r="D156" i="1"/>
  <c r="T156" i="1" l="1"/>
  <c r="U156" i="1" s="1"/>
  <c r="Q154" i="1" l="1"/>
  <c r="P154" i="1"/>
  <c r="G154" i="1"/>
  <c r="D154" i="1"/>
  <c r="S154" i="1" l="1"/>
  <c r="N154" i="1"/>
  <c r="T154" i="1" l="1"/>
  <c r="U154" i="1" s="1"/>
  <c r="Q153" i="1"/>
  <c r="P153" i="1"/>
  <c r="G153" i="1"/>
  <c r="S153" i="1" l="1"/>
  <c r="N153" i="1"/>
  <c r="T153" i="1" l="1"/>
  <c r="U153" i="1"/>
  <c r="Q152" i="1"/>
  <c r="P152" i="1"/>
  <c r="G152" i="1"/>
  <c r="S152" i="1" l="1"/>
  <c r="N152" i="1"/>
  <c r="D152" i="1"/>
  <c r="T152" i="1" l="1"/>
  <c r="U152" i="1"/>
  <c r="Q30" i="1"/>
  <c r="P30" i="1"/>
  <c r="S30" i="1" s="1"/>
  <c r="I30" i="1"/>
  <c r="G30" i="1"/>
  <c r="N30" i="1" s="1"/>
  <c r="D30" i="1"/>
  <c r="Q43" i="1"/>
  <c r="P43" i="1"/>
  <c r="I43" i="1"/>
  <c r="G43" i="1"/>
  <c r="D43" i="1"/>
  <c r="Q141" i="1"/>
  <c r="N43" i="1" l="1"/>
  <c r="S43" i="1"/>
  <c r="T43" i="1" s="1"/>
  <c r="U43" i="1" s="1"/>
  <c r="T30" i="1"/>
  <c r="U30" i="1" s="1"/>
  <c r="Q151" i="1"/>
  <c r="P151" i="1"/>
  <c r="G151" i="1"/>
  <c r="N151" i="1" s="1"/>
  <c r="D151" i="1"/>
  <c r="S151" i="1" l="1"/>
  <c r="T151" i="1"/>
  <c r="U151" i="1" s="1"/>
  <c r="Q150" i="1" l="1"/>
  <c r="P150" i="1"/>
  <c r="G150" i="1"/>
  <c r="S150" i="1" l="1"/>
  <c r="N150" i="1"/>
  <c r="D150" i="1"/>
  <c r="T150" i="1" l="1"/>
  <c r="U150" i="1" s="1"/>
  <c r="Q42" i="1"/>
  <c r="P42" i="1"/>
  <c r="I42" i="1"/>
  <c r="G42" i="1"/>
  <c r="D42" i="1"/>
  <c r="Q45" i="1"/>
  <c r="P45" i="1"/>
  <c r="S45" i="1" s="1"/>
  <c r="I45" i="1"/>
  <c r="G45" i="1"/>
  <c r="N45" i="1" s="1"/>
  <c r="D45" i="1"/>
  <c r="I135" i="1"/>
  <c r="Q148" i="1"/>
  <c r="T45" i="1" l="1"/>
  <c r="U45" i="1" s="1"/>
  <c r="N42" i="1"/>
  <c r="S42" i="1"/>
  <c r="P148" i="1"/>
  <c r="P149" i="1"/>
  <c r="Q149" i="1"/>
  <c r="I145" i="1"/>
  <c r="I144" i="1"/>
  <c r="I143" i="1"/>
  <c r="I141" i="1"/>
  <c r="I140" i="1"/>
  <c r="I139" i="1"/>
  <c r="I138" i="1"/>
  <c r="I137" i="1"/>
  <c r="I136" i="1"/>
  <c r="G149" i="1"/>
  <c r="T42" i="1" l="1"/>
  <c r="U42" i="1" s="1"/>
  <c r="S149" i="1"/>
  <c r="N149" i="1"/>
  <c r="D149" i="1"/>
  <c r="T149" i="1" l="1"/>
  <c r="U149" i="1" s="1"/>
  <c r="G148" i="1"/>
  <c r="S148" i="1" l="1"/>
  <c r="N148" i="1"/>
  <c r="D148" i="1"/>
  <c r="T148" i="1" l="1"/>
  <c r="U148" i="1" s="1"/>
  <c r="Q147" i="1"/>
  <c r="P147" i="1"/>
  <c r="G147" i="1"/>
  <c r="N147" i="1" s="1"/>
  <c r="D147" i="1"/>
  <c r="S147" i="1" l="1"/>
  <c r="T147" i="1"/>
  <c r="U147" i="1" s="1"/>
  <c r="Q146" i="1"/>
  <c r="P146" i="1"/>
  <c r="G146" i="1"/>
  <c r="S146" i="1" l="1"/>
  <c r="N146" i="1"/>
  <c r="D146" i="1"/>
  <c r="T146" i="1" l="1"/>
  <c r="U146" i="1" s="1"/>
  <c r="Q145" i="1"/>
  <c r="P145" i="1"/>
  <c r="G145" i="1"/>
  <c r="S145" i="1" l="1"/>
  <c r="N145" i="1"/>
  <c r="T145" i="1" s="1"/>
  <c r="D145" i="1"/>
  <c r="U145" i="1" l="1"/>
  <c r="Q144" i="1"/>
  <c r="P144" i="1" l="1"/>
  <c r="G144" i="1"/>
  <c r="S144" i="1" l="1"/>
  <c r="N144" i="1"/>
  <c r="D144" i="1"/>
  <c r="T144" i="1" l="1"/>
  <c r="U144" i="1" s="1"/>
  <c r="Q143" i="1"/>
  <c r="P143" i="1"/>
  <c r="G143" i="1"/>
  <c r="S143" i="1" l="1"/>
  <c r="N143" i="1"/>
  <c r="D143" i="1"/>
  <c r="T143" i="1" l="1"/>
  <c r="U143" i="1" s="1"/>
  <c r="P141" i="1"/>
  <c r="S141" i="1" s="1"/>
  <c r="G141" i="1"/>
  <c r="N141" i="1" s="1"/>
  <c r="D141" i="1"/>
  <c r="T141" i="1" l="1"/>
  <c r="U141" i="1" s="1"/>
  <c r="Q140" i="1"/>
  <c r="P140" i="1"/>
  <c r="G140" i="1"/>
  <c r="D140" i="1"/>
  <c r="S140" i="1" l="1"/>
  <c r="N140" i="1"/>
  <c r="Q139" i="1"/>
  <c r="P139" i="1"/>
  <c r="G139" i="1"/>
  <c r="T140" i="1" l="1"/>
  <c r="U140" i="1" s="1"/>
  <c r="S139" i="1"/>
  <c r="N139" i="1"/>
  <c r="D139" i="1"/>
  <c r="T139" i="1" l="1"/>
  <c r="U139" i="1" s="1"/>
  <c r="Q138" i="1"/>
  <c r="P138" i="1"/>
  <c r="G138" i="1"/>
  <c r="S138" i="1" l="1"/>
  <c r="N138" i="1"/>
  <c r="D138" i="1"/>
  <c r="T138" i="1" l="1"/>
  <c r="U138" i="1" s="1"/>
  <c r="Q40" i="1"/>
  <c r="P40" i="1"/>
  <c r="I40" i="1"/>
  <c r="G40" i="1"/>
  <c r="D40" i="1"/>
  <c r="N40" i="1" l="1"/>
  <c r="S40" i="1"/>
  <c r="T40" i="1" s="1"/>
  <c r="U40" i="1" s="1"/>
  <c r="Q137" i="1"/>
  <c r="P137" i="1"/>
  <c r="I134" i="1"/>
  <c r="I133" i="1"/>
  <c r="I132" i="1"/>
  <c r="G137" i="1"/>
  <c r="S137" i="1" l="1"/>
  <c r="N137" i="1"/>
  <c r="D137" i="1"/>
  <c r="T137" i="1" l="1"/>
  <c r="U137" i="1" s="1"/>
  <c r="Q136" i="1"/>
  <c r="P136" i="1"/>
  <c r="L136" i="1"/>
  <c r="G136" i="1"/>
  <c r="S136" i="1" l="1"/>
  <c r="N136" i="1"/>
  <c r="D136" i="1"/>
  <c r="T136" i="1" l="1"/>
  <c r="U136" i="1" s="1"/>
  <c r="Q135" i="1"/>
  <c r="P135" i="1"/>
  <c r="I131" i="1"/>
  <c r="I130" i="1"/>
  <c r="G135" i="1"/>
  <c r="S135" i="1" l="1"/>
  <c r="N135" i="1"/>
  <c r="D135" i="1"/>
  <c r="T135" i="1" l="1"/>
  <c r="U135" i="1" s="1"/>
  <c r="Q134" i="1"/>
  <c r="P134" i="1"/>
  <c r="G134" i="1"/>
  <c r="S134" i="1" l="1"/>
  <c r="N134" i="1"/>
  <c r="D134" i="1"/>
  <c r="T134" i="1" l="1"/>
  <c r="U134" i="1" s="1"/>
  <c r="Q133" i="1"/>
  <c r="P133" i="1"/>
  <c r="G133" i="1"/>
  <c r="S133" i="1" l="1"/>
  <c r="N133" i="1"/>
  <c r="D133" i="1"/>
  <c r="T133" i="1" l="1"/>
  <c r="U133" i="1" s="1"/>
  <c r="S29" i="1"/>
  <c r="I29" i="1"/>
  <c r="N29" i="1" s="1"/>
  <c r="D29" i="1"/>
  <c r="T29" i="1" l="1"/>
  <c r="U29" i="1" s="1"/>
  <c r="S38" i="1" l="1"/>
  <c r="I38" i="1"/>
  <c r="N38" i="1" s="1"/>
  <c r="D38" i="1"/>
  <c r="S37" i="1"/>
  <c r="I37" i="1"/>
  <c r="N37" i="1" s="1"/>
  <c r="D37" i="1"/>
  <c r="S36" i="1"/>
  <c r="I36" i="1"/>
  <c r="N36" i="1" s="1"/>
  <c r="D36" i="1"/>
  <c r="T37" i="1" l="1"/>
  <c r="U37" i="1" s="1"/>
  <c r="T36" i="1"/>
  <c r="U36" i="1" s="1"/>
  <c r="T38" i="1"/>
  <c r="U38" i="1" s="1"/>
  <c r="Q132" i="1"/>
  <c r="P132" i="1"/>
  <c r="I124" i="1"/>
  <c r="I123" i="1"/>
  <c r="I122" i="1"/>
  <c r="I121" i="1"/>
  <c r="I128" i="1"/>
  <c r="I127" i="1"/>
  <c r="I126" i="1"/>
  <c r="I125" i="1"/>
  <c r="G132" i="1"/>
  <c r="S132" i="1" l="1"/>
  <c r="N132" i="1"/>
  <c r="D132" i="1"/>
  <c r="T132" i="1" l="1"/>
  <c r="U132" i="1" s="1"/>
  <c r="Q131" i="1"/>
  <c r="P131" i="1"/>
  <c r="G131" i="1"/>
  <c r="S131" i="1" l="1"/>
  <c r="N131" i="1"/>
  <c r="D131" i="1"/>
  <c r="T131" i="1" l="1"/>
  <c r="U131" i="1" s="1"/>
  <c r="S28" i="1"/>
  <c r="N28" i="1"/>
  <c r="D28" i="1"/>
  <c r="S34" i="1"/>
  <c r="N34" i="1"/>
  <c r="T34" i="1" s="1"/>
  <c r="D34" i="1"/>
  <c r="S27" i="1"/>
  <c r="N27" i="1"/>
  <c r="D27" i="1"/>
  <c r="S26" i="1"/>
  <c r="N26" i="1"/>
  <c r="D26" i="1"/>
  <c r="S25" i="1"/>
  <c r="N25" i="1"/>
  <c r="D25" i="1"/>
  <c r="S24" i="1"/>
  <c r="N24" i="1"/>
  <c r="D24" i="1"/>
  <c r="T27" i="1" l="1"/>
  <c r="T25" i="1"/>
  <c r="U25" i="1" s="1"/>
  <c r="T24" i="1"/>
  <c r="U24" i="1" s="1"/>
  <c r="T26" i="1"/>
  <c r="U26" i="1" s="1"/>
  <c r="U27" i="1"/>
  <c r="T28" i="1"/>
  <c r="U28" i="1" s="1"/>
  <c r="U34" i="1"/>
  <c r="S53" i="1" l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8" i="1"/>
  <c r="S79" i="1"/>
  <c r="S80" i="1"/>
  <c r="S81" i="1"/>
  <c r="S82" i="1"/>
  <c r="S83" i="1"/>
  <c r="S84" i="1"/>
  <c r="S85" i="1"/>
  <c r="S86" i="1"/>
  <c r="S87" i="1"/>
  <c r="S88" i="1"/>
  <c r="S89" i="1"/>
  <c r="S91" i="1"/>
  <c r="S92" i="1"/>
  <c r="S93" i="1"/>
  <c r="S94" i="1"/>
  <c r="S95" i="1"/>
  <c r="S96" i="1"/>
  <c r="S97" i="1"/>
  <c r="S98" i="1"/>
  <c r="S99" i="1"/>
  <c r="S100" i="1"/>
  <c r="S101" i="1"/>
  <c r="S102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30" i="1"/>
  <c r="N53" i="1"/>
  <c r="N54" i="1"/>
  <c r="T54" i="1" s="1"/>
  <c r="N55" i="1"/>
  <c r="N56" i="1"/>
  <c r="T56" i="1" s="1"/>
  <c r="N57" i="1"/>
  <c r="N58" i="1"/>
  <c r="T58" i="1" s="1"/>
  <c r="N59" i="1"/>
  <c r="N60" i="1"/>
  <c r="T60" i="1" s="1"/>
  <c r="N61" i="1"/>
  <c r="N62" i="1"/>
  <c r="T62" i="1" s="1"/>
  <c r="N63" i="1"/>
  <c r="N65" i="1"/>
  <c r="T65" i="1" s="1"/>
  <c r="N66" i="1"/>
  <c r="N67" i="1"/>
  <c r="T67" i="1" s="1"/>
  <c r="N68" i="1"/>
  <c r="N69" i="1"/>
  <c r="T69" i="1" s="1"/>
  <c r="N70" i="1"/>
  <c r="N71" i="1"/>
  <c r="T71" i="1" s="1"/>
  <c r="N72" i="1"/>
  <c r="N73" i="1"/>
  <c r="T73" i="1" s="1"/>
  <c r="N74" i="1"/>
  <c r="N75" i="1"/>
  <c r="T75" i="1" s="1"/>
  <c r="N76" i="1"/>
  <c r="N78" i="1"/>
  <c r="T78" i="1" s="1"/>
  <c r="N79" i="1"/>
  <c r="N80" i="1"/>
  <c r="T80" i="1" s="1"/>
  <c r="N81" i="1"/>
  <c r="N82" i="1"/>
  <c r="T82" i="1" s="1"/>
  <c r="N83" i="1"/>
  <c r="N84" i="1"/>
  <c r="T84" i="1" s="1"/>
  <c r="N85" i="1"/>
  <c r="N86" i="1"/>
  <c r="T86" i="1" s="1"/>
  <c r="N87" i="1"/>
  <c r="N88" i="1"/>
  <c r="T88" i="1" s="1"/>
  <c r="N89" i="1"/>
  <c r="N91" i="1"/>
  <c r="T91" i="1" s="1"/>
  <c r="N92" i="1"/>
  <c r="N93" i="1"/>
  <c r="T93" i="1" s="1"/>
  <c r="N94" i="1"/>
  <c r="N95" i="1"/>
  <c r="T95" i="1" s="1"/>
  <c r="N96" i="1"/>
  <c r="N97" i="1"/>
  <c r="T97" i="1" s="1"/>
  <c r="N98" i="1"/>
  <c r="N99" i="1"/>
  <c r="T99" i="1" s="1"/>
  <c r="N100" i="1"/>
  <c r="N101" i="1"/>
  <c r="T101" i="1" s="1"/>
  <c r="N102" i="1"/>
  <c r="N104" i="1"/>
  <c r="T104" i="1" s="1"/>
  <c r="N105" i="1"/>
  <c r="N106" i="1"/>
  <c r="T106" i="1" s="1"/>
  <c r="N107" i="1"/>
  <c r="N108" i="1"/>
  <c r="T108" i="1" s="1"/>
  <c r="N109" i="1"/>
  <c r="N110" i="1"/>
  <c r="T110" i="1" s="1"/>
  <c r="N111" i="1"/>
  <c r="N112" i="1"/>
  <c r="T112" i="1" s="1"/>
  <c r="N113" i="1"/>
  <c r="N114" i="1"/>
  <c r="T114" i="1" s="1"/>
  <c r="N115" i="1"/>
  <c r="N117" i="1"/>
  <c r="T117" i="1" s="1"/>
  <c r="N118" i="1"/>
  <c r="N119" i="1"/>
  <c r="T119" i="1" s="1"/>
  <c r="N120" i="1"/>
  <c r="N121" i="1"/>
  <c r="T121" i="1" s="1"/>
  <c r="N122" i="1"/>
  <c r="T122" i="1" s="1"/>
  <c r="N123" i="1"/>
  <c r="T123" i="1" s="1"/>
  <c r="N124" i="1"/>
  <c r="T124" i="1" s="1"/>
  <c r="N125" i="1"/>
  <c r="T125" i="1" s="1"/>
  <c r="N126" i="1"/>
  <c r="T126" i="1" s="1"/>
  <c r="N127" i="1"/>
  <c r="T127" i="1" s="1"/>
  <c r="N128" i="1"/>
  <c r="T128" i="1" s="1"/>
  <c r="N130" i="1"/>
  <c r="T130" i="1" s="1"/>
  <c r="D53" i="1"/>
  <c r="D54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30" i="1"/>
  <c r="T120" i="1" l="1"/>
  <c r="T118" i="1"/>
  <c r="T115" i="1"/>
  <c r="T113" i="1"/>
  <c r="T111" i="1"/>
  <c r="T109" i="1"/>
  <c r="T107" i="1"/>
  <c r="T105" i="1"/>
  <c r="T102" i="1"/>
  <c r="T100" i="1"/>
  <c r="T98" i="1"/>
  <c r="T96" i="1"/>
  <c r="T94" i="1"/>
  <c r="T92" i="1"/>
  <c r="T89" i="1"/>
  <c r="T87" i="1"/>
  <c r="T85" i="1"/>
  <c r="T83" i="1"/>
  <c r="T81" i="1"/>
  <c r="T79" i="1"/>
  <c r="T76" i="1"/>
  <c r="T74" i="1"/>
  <c r="T72" i="1"/>
  <c r="T70" i="1"/>
  <c r="T68" i="1"/>
  <c r="T66" i="1"/>
  <c r="T63" i="1"/>
  <c r="T61" i="1"/>
  <c r="T59" i="1"/>
  <c r="T57" i="1"/>
  <c r="T55" i="1"/>
  <c r="T53" i="1"/>
  <c r="U130" i="1" l="1"/>
  <c r="U127" i="1"/>
  <c r="U128" i="1"/>
  <c r="U126" i="1"/>
  <c r="U53" i="1" l="1"/>
  <c r="U54" i="1"/>
  <c r="U55" i="1"/>
  <c r="U56" i="1"/>
  <c r="U57" i="1"/>
  <c r="U58" i="1"/>
  <c r="U59" i="1"/>
  <c r="U60" i="1"/>
  <c r="U61" i="1"/>
  <c r="U62" i="1"/>
  <c r="U63" i="1"/>
  <c r="U65" i="1"/>
  <c r="U66" i="1"/>
  <c r="U67" i="1"/>
  <c r="U68" i="1"/>
  <c r="U69" i="1"/>
  <c r="U70" i="1"/>
  <c r="U71" i="1"/>
  <c r="U72" i="1"/>
  <c r="U73" i="1"/>
  <c r="U74" i="1"/>
  <c r="U75" i="1"/>
  <c r="U76" i="1"/>
  <c r="U78" i="1"/>
  <c r="U79" i="1"/>
  <c r="W79" i="1" s="1"/>
  <c r="U80" i="1"/>
  <c r="U81" i="1"/>
  <c r="U82" i="1"/>
  <c r="U83" i="1"/>
  <c r="U84" i="1"/>
  <c r="U85" i="1"/>
  <c r="U86" i="1"/>
  <c r="U87" i="1"/>
  <c r="U88" i="1"/>
  <c r="U89" i="1"/>
  <c r="U91" i="1"/>
  <c r="U92" i="1"/>
  <c r="U93" i="1"/>
  <c r="U94" i="1"/>
  <c r="U95" i="1"/>
  <c r="U96" i="1"/>
  <c r="U97" i="1"/>
  <c r="U98" i="1"/>
  <c r="U99" i="1"/>
  <c r="U100" i="1"/>
  <c r="U101" i="1"/>
  <c r="U102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7" i="1"/>
  <c r="U118" i="1"/>
  <c r="U119" i="1"/>
  <c r="U120" i="1"/>
  <c r="U121" i="1"/>
  <c r="U122" i="1"/>
  <c r="U123" i="1"/>
  <c r="U124" i="1"/>
  <c r="U125" i="1"/>
  <c r="D52" i="1" l="1"/>
  <c r="S52" i="1" l="1"/>
  <c r="N52" i="1"/>
  <c r="T52" i="1" l="1"/>
  <c r="U52" i="1" s="1"/>
</calcChain>
</file>

<file path=xl/sharedStrings.xml><?xml version="1.0" encoding="utf-8"?>
<sst xmlns="http://schemas.openxmlformats.org/spreadsheetml/2006/main" count="326" uniqueCount="122">
  <si>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</si>
  <si>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</si>
  <si>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</si>
  <si>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</si>
  <si>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</si>
  <si>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</si>
  <si>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</si>
  <si>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</si>
  <si>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</si>
  <si>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</si>
  <si>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</si>
  <si>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           nets</t>
  </si>
  <si>
    <t xml:space="preserve">Prêts et </t>
  </si>
  <si>
    <t xml:space="preserve">   Certifi-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</si>
  <si>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</si>
  <si>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</si>
  <si>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</si>
  <si>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</si>
  <si>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</si>
  <si>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</si>
  <si>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 xml:space="preserve">   cats du</t>
  </si>
  <si>
    <t>créances</t>
  </si>
  <si>
    <t xml:space="preserve">  d'agences</t>
  </si>
  <si>
    <t>les sociétés</t>
  </si>
  <si>
    <t>sur le</t>
  </si>
  <si>
    <t xml:space="preserve">    Trésor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</si>
  <si>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</si>
  <si>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</si>
  <si>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</si>
  <si>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</si>
  <si>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</si>
  <si>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</si>
  <si>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Avoirs</t>
  </si>
  <si>
    <t xml:space="preserve">      extérieurs</t>
  </si>
  <si>
    <t xml:space="preserve">         Rubriques</t>
  </si>
  <si>
    <t>Période</t>
  </si>
  <si>
    <t xml:space="preserve">           CREANCES NETTES SUR L'ETRANGER</t>
  </si>
  <si>
    <t xml:space="preserve">          juin </t>
  </si>
  <si>
    <t xml:space="preserve">          août </t>
  </si>
  <si>
    <t xml:space="preserve">          novembre </t>
  </si>
  <si>
    <t>II.7.1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</si>
  <si>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</si>
  <si>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</si>
  <si>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</si>
  <si>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</si>
  <si>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</si>
  <si>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</si>
  <si>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</si>
  <si>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</si>
  <si>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</si>
  <si>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 xml:space="preserve">créances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</si>
  <si>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</si>
  <si>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</si>
  <si>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</si>
  <si>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</si>
  <si>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</si>
  <si>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</si>
  <si>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</si>
  <si>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</si>
  <si>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</si>
  <si>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</si>
  <si>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</si>
  <si>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</si>
  <si>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</si>
  <si>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</si>
  <si>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</si>
  <si>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</si>
  <si>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</si>
  <si>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</si>
  <si>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</si>
  <si>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</si>
  <si>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</si>
  <si>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</si>
  <si>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</si>
  <si>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Source : Compilé sur base des données de la situation monétaire et des établissements financiers.</t>
  </si>
  <si>
    <t>2014 Mars</t>
  </si>
  <si>
    <t xml:space="preserve">          Juin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</si>
  <si>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</si>
  <si>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</si>
  <si>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</si>
  <si>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</si>
  <si>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</si>
  <si>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</si>
  <si>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</si>
  <si>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</si>
  <si>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</si>
  <si>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</si>
  <si>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</si>
  <si>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</si>
  <si>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</si>
  <si>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</si>
  <si>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</si>
  <si>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</si>
  <si>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</si>
  <si>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</si>
  <si>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</si>
  <si>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</si>
  <si>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</si>
  <si>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</si>
  <si>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</si>
  <si>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</si>
  <si>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</si>
  <si>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</si>
  <si>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</si>
  <si>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</si>
  <si>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</si>
  <si>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</si>
  <si>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</si>
  <si>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</si>
  <si>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</si>
  <si>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r>
      <t xml:space="preserve">         Mai</t>
    </r>
    <r>
      <rPr>
        <vertAlign val="superscript"/>
        <sz val="10"/>
        <rFont val="Helv"/>
      </rPr>
      <t>(p)</t>
    </r>
  </si>
  <si>
    <t>2014 Mai</t>
  </si>
  <si>
    <r>
      <t xml:space="preserve">         Avril</t>
    </r>
    <r>
      <rPr>
        <vertAlign val="superscript"/>
        <sz val="10"/>
        <rFont val="Helv"/>
      </rPr>
      <t>(p)</t>
    </r>
  </si>
  <si>
    <r>
      <t>2015</t>
    </r>
    <r>
      <rPr>
        <vertAlign val="superscript"/>
        <sz val="10"/>
        <rFont val="Helv"/>
      </rPr>
      <t/>
    </r>
  </si>
  <si>
    <r>
      <t xml:space="preserve">         Juin</t>
    </r>
    <r>
      <rPr>
        <vertAlign val="superscript"/>
        <sz val="10"/>
        <rFont val="Helv"/>
      </rPr>
      <t>(p)</t>
    </r>
  </si>
  <si>
    <t>2014  Juin</t>
  </si>
  <si>
    <t>2013 Juin</t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</si>
  <si>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</si>
  <si>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</si>
  <si>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</si>
  <si>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2016 Mars</t>
  </si>
  <si>
    <t>2016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</si>
</sst>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0.0"/>
    <numFmt numFmtId="167" formatCode="#,##0.0"/>
    <numFmt numFmtId="168" formatCode="#,##0.0_ ;\-#,##0.0\ 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/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7" fontId="1" fillId="0" borderId="5" xfId="0" applyNumberFormat="1" applyFont="1" applyFill="1" applyBorder="1" applyAlignment="1" applyProtection="1">
      <alignment horizontal="righ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6" xfId="0" applyFont="1" applyBorder="1" applyAlignment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77"/>
  <sheetViews>
    <sheetView showGridLines="0" tabSelected="1" view="pageBreakPreview" zoomScale="60" zoomScaleNormal="100" workbookViewId="0">
      <pane xSplit="1" ySplit="22" topLeftCell="B140" activePane="bottomRight" state="frozen"/>
      <selection pane="topRight" activeCell="B1" sqref="B1"/>
      <selection pane="bottomLeft" activeCell="A23" sqref="A23"/>
      <selection pane="bottomRight" activeCell="W153" sqref="W153"/>
    </sheetView>
  </sheetViews>
  <sheetFormatPr baseColWidth="10"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13.109375" style="5" customWidth="1"/>
    <col min="5" max="5" width="1.21875" style="5" hidden="1" customWidth="1"/>
    <col min="6" max="6" width="9.21875" style="5" customWidth="1"/>
    <col min="7" max="7" width="11.109375" style="5" customWidth="1"/>
    <col min="8" max="8" width="10.21875" style="5" hidden="1" customWidth="1"/>
    <col min="9" max="9" width="9.6640625" style="5" customWidth="1"/>
    <col min="10" max="10" width="9.44140625" style="5" customWidth="1"/>
    <col min="11" max="11" width="10.88671875" style="5" customWidth="1"/>
    <col min="12" max="12" width="10.109375" style="5" bestFit="1" customWidth="1"/>
    <col min="13" max="13" width="9.77734375" style="5" customWidth="1"/>
    <col min="14" max="14" width="10" style="5" customWidth="1"/>
    <col min="15" max="15" width="2.77734375" style="5" hidden="1" customWidth="1"/>
    <col min="16" max="16" width="10.21875" style="5" customWidth="1"/>
    <col min="17" max="17" width="10.109375" style="5" customWidth="1"/>
    <col min="18" max="18" width="10.77734375" style="69" customWidth="1"/>
    <col min="19" max="19" width="9" style="5" customWidth="1"/>
    <col min="20" max="20" width="10" style="5" customWidth="1"/>
    <col min="21" max="21" width="9.6640625" style="5" customWidth="1"/>
    <col min="22" max="22" width="9.77734375" style="5" customWidth="1"/>
    <col min="23" max="23" width="15.21875" style="5" customWidth="1"/>
    <col min="24" max="16384" width="13.88671875" style="5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60"/>
      <c r="S1" s="2"/>
      <c r="T1" s="2"/>
      <c r="U1" s="4"/>
      <c r="Y1" s="6"/>
      <c r="Z1" s="6"/>
      <c r="AA1" s="6"/>
      <c r="AB1" s="6"/>
      <c r="AC1" s="6"/>
      <c r="AD1" s="6"/>
    </row>
    <row r="2" spans="1:30" ht="15.75" customHeight="1" x14ac:dyDescent="0.2">
      <c r="A2" s="110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  <c r="Y2" s="6"/>
      <c r="Z2" s="6"/>
      <c r="AA2" s="6"/>
      <c r="AB2" s="6"/>
      <c r="AC2" s="6"/>
      <c r="AD2" s="6"/>
    </row>
    <row r="3" spans="1:30" ht="15.75" customHeight="1" x14ac:dyDescent="0.2">
      <c r="A3" s="110" t="s">
        <v>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/>
      <c r="Y3" s="6"/>
      <c r="Z3" s="6"/>
      <c r="AA3" s="6"/>
      <c r="AB3" s="6"/>
      <c r="AC3" s="6"/>
      <c r="AD3" s="6"/>
    </row>
    <row r="4" spans="1:30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8"/>
      <c r="P4" s="8"/>
      <c r="Q4" s="8"/>
      <c r="R4" s="61"/>
      <c r="S4" s="8"/>
      <c r="T4" s="8"/>
      <c r="U4" s="10"/>
    </row>
    <row r="5" spans="1:30" x14ac:dyDescent="0.2">
      <c r="A5" s="7"/>
      <c r="B5" s="11" t="s">
        <v>1</v>
      </c>
      <c r="C5" s="8"/>
      <c r="D5" s="8"/>
      <c r="E5" s="8"/>
      <c r="F5" s="12"/>
      <c r="G5" s="11" t="s">
        <v>0</v>
      </c>
      <c r="I5" s="8"/>
      <c r="J5" s="8"/>
      <c r="K5" s="8"/>
      <c r="L5" s="8"/>
      <c r="M5" s="8"/>
      <c r="N5" s="8"/>
      <c r="O5" s="8"/>
      <c r="P5" s="8"/>
      <c r="Q5" s="8"/>
      <c r="R5" s="61"/>
      <c r="S5" s="8"/>
      <c r="T5" s="11" t="s">
        <v>40</v>
      </c>
      <c r="U5" s="10"/>
    </row>
    <row r="6" spans="1:30" x14ac:dyDescent="0.2">
      <c r="A6" s="7"/>
      <c r="B6" s="13" t="s">
        <v>0</v>
      </c>
      <c r="C6" s="8"/>
      <c r="D6" s="8"/>
      <c r="E6" s="8"/>
      <c r="F6" s="8"/>
      <c r="G6" s="11" t="s">
        <v>0</v>
      </c>
      <c r="I6" s="8"/>
      <c r="J6" s="8"/>
      <c r="K6" s="8"/>
      <c r="L6" s="8"/>
      <c r="M6" s="8"/>
      <c r="N6" s="8"/>
      <c r="O6" s="8"/>
      <c r="P6" s="13"/>
      <c r="Q6" s="8"/>
      <c r="R6" s="61"/>
      <c r="S6" s="8"/>
      <c r="T6" s="8"/>
      <c r="U6" s="10"/>
    </row>
    <row r="7" spans="1:30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62"/>
      <c r="S7" s="15"/>
      <c r="T7" s="15"/>
      <c r="U7" s="17"/>
      <c r="Y7" s="6"/>
      <c r="Z7" s="6"/>
      <c r="AA7" s="6"/>
      <c r="AB7" s="6"/>
      <c r="AC7" s="6"/>
      <c r="AD7" s="6"/>
    </row>
    <row r="8" spans="1:30" x14ac:dyDescent="0.2">
      <c r="A8" s="18"/>
      <c r="B8" s="19"/>
      <c r="C8" s="19"/>
      <c r="D8" s="20"/>
      <c r="E8" s="8"/>
      <c r="F8" s="113" t="s">
        <v>72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18"/>
    </row>
    <row r="9" spans="1:30" x14ac:dyDescent="0.2">
      <c r="A9" s="23" t="s">
        <v>34</v>
      </c>
      <c r="B9" s="13" t="s">
        <v>36</v>
      </c>
      <c r="C9" s="8"/>
      <c r="D9" s="10"/>
      <c r="E9" s="8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8"/>
      <c r="U9" s="27" t="s">
        <v>4</v>
      </c>
    </row>
    <row r="10" spans="1:30" x14ac:dyDescent="0.2">
      <c r="A10" s="28"/>
      <c r="B10" s="15"/>
      <c r="C10" s="15"/>
      <c r="D10" s="17"/>
      <c r="E10" s="29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27" t="s">
        <v>1</v>
      </c>
    </row>
    <row r="11" spans="1:30" ht="15.75" customHeight="1" x14ac:dyDescent="0.2">
      <c r="A11" s="23"/>
      <c r="B11" s="30"/>
      <c r="C11" s="8"/>
      <c r="D11" s="18"/>
      <c r="E11" s="8"/>
      <c r="F11" s="24"/>
      <c r="G11" s="25"/>
      <c r="H11" s="25"/>
      <c r="I11" s="25"/>
      <c r="J11" s="25"/>
      <c r="K11" s="25"/>
      <c r="L11" s="25"/>
      <c r="M11" s="26"/>
      <c r="N11" s="81"/>
      <c r="O11" s="8"/>
      <c r="P11" s="7"/>
      <c r="Q11" s="8"/>
      <c r="R11" s="61"/>
      <c r="S11" s="8"/>
      <c r="T11" s="21"/>
      <c r="U11" s="23"/>
    </row>
    <row r="12" spans="1:30" ht="15.75" customHeight="1" x14ac:dyDescent="0.25">
      <c r="A12" s="23"/>
      <c r="B12" s="31" t="s">
        <v>5</v>
      </c>
      <c r="C12" s="32" t="s">
        <v>6</v>
      </c>
      <c r="D12" s="31" t="s">
        <v>32</v>
      </c>
      <c r="E12" s="8"/>
      <c r="F12" s="105" t="s">
        <v>64</v>
      </c>
      <c r="G12" s="108"/>
      <c r="H12" s="108"/>
      <c r="I12" s="108"/>
      <c r="J12" s="108"/>
      <c r="K12" s="108"/>
      <c r="L12" s="108"/>
      <c r="M12" s="108"/>
      <c r="N12" s="109"/>
      <c r="O12" s="8"/>
      <c r="P12" s="105" t="s">
        <v>7</v>
      </c>
      <c r="Q12" s="106"/>
      <c r="R12" s="106"/>
      <c r="S12" s="107"/>
      <c r="T12" s="33" t="s">
        <v>8</v>
      </c>
      <c r="U12" s="23"/>
    </row>
    <row r="13" spans="1:30" x14ac:dyDescent="0.2">
      <c r="A13" s="23"/>
      <c r="B13" s="34" t="s">
        <v>9</v>
      </c>
      <c r="C13" s="32" t="s">
        <v>10</v>
      </c>
      <c r="D13" s="35" t="s">
        <v>33</v>
      </c>
      <c r="E13" s="8"/>
      <c r="F13" s="24"/>
      <c r="G13" s="25"/>
      <c r="H13" s="25"/>
      <c r="I13" s="25"/>
      <c r="J13" s="25"/>
      <c r="K13" s="25"/>
      <c r="L13" s="25"/>
      <c r="M13" s="26"/>
      <c r="N13" s="81"/>
      <c r="O13" s="8"/>
      <c r="P13" s="7"/>
      <c r="Q13" s="8"/>
      <c r="R13" s="61"/>
      <c r="S13" s="8"/>
      <c r="T13" s="7"/>
      <c r="U13" s="23"/>
    </row>
    <row r="14" spans="1:30" x14ac:dyDescent="0.2">
      <c r="A14" s="23"/>
      <c r="B14" s="34"/>
      <c r="C14" s="36"/>
      <c r="D14" s="35" t="s">
        <v>11</v>
      </c>
      <c r="E14" s="8"/>
      <c r="F14" s="24"/>
      <c r="G14" s="25"/>
      <c r="H14" s="25"/>
      <c r="I14" s="25"/>
      <c r="J14" s="25"/>
      <c r="K14" s="25"/>
      <c r="L14" s="25"/>
      <c r="M14" s="26"/>
      <c r="N14" s="81"/>
      <c r="O14" s="8"/>
      <c r="P14" s="7"/>
      <c r="Q14" s="8"/>
      <c r="R14" s="61"/>
      <c r="S14" s="8"/>
      <c r="T14" s="7"/>
      <c r="U14" s="23"/>
    </row>
    <row r="15" spans="1:30" x14ac:dyDescent="0.2">
      <c r="A15" s="23"/>
      <c r="B15" s="10"/>
      <c r="C15" s="13"/>
      <c r="D15" s="37"/>
      <c r="E15" s="8"/>
      <c r="F15" s="78"/>
      <c r="G15" s="79"/>
      <c r="H15" s="79"/>
      <c r="I15" s="79"/>
      <c r="J15" s="79"/>
      <c r="K15" s="79"/>
      <c r="L15" s="79"/>
      <c r="M15" s="26"/>
      <c r="N15" s="80"/>
      <c r="O15" s="29"/>
      <c r="P15" s="38"/>
      <c r="Q15" s="29"/>
      <c r="R15" s="63"/>
      <c r="S15" s="29"/>
      <c r="T15" s="38"/>
      <c r="U15" s="28"/>
    </row>
    <row r="16" spans="1:30" x14ac:dyDescent="0.2">
      <c r="A16" s="23"/>
      <c r="B16" s="10"/>
      <c r="C16" s="13"/>
      <c r="D16" s="23"/>
      <c r="E16" s="19"/>
      <c r="F16" s="19"/>
      <c r="G16" s="18"/>
      <c r="H16" s="19"/>
      <c r="I16" s="18"/>
      <c r="J16" s="18"/>
      <c r="K16" s="19"/>
      <c r="L16" s="18"/>
      <c r="M16" s="22"/>
      <c r="N16" s="18"/>
      <c r="O16" s="19"/>
      <c r="P16" s="19"/>
      <c r="Q16" s="18"/>
      <c r="R16" s="64"/>
      <c r="S16" s="19"/>
      <c r="T16" s="7"/>
      <c r="U16" s="23"/>
    </row>
    <row r="17" spans="1:30" x14ac:dyDescent="0.2">
      <c r="A17" s="23"/>
      <c r="B17" s="40"/>
      <c r="C17" s="13"/>
      <c r="D17" s="41" t="s">
        <v>0</v>
      </c>
      <c r="E17" s="8"/>
      <c r="F17" s="32" t="s">
        <v>12</v>
      </c>
      <c r="G17" s="31" t="s">
        <v>53</v>
      </c>
      <c r="H17" s="32" t="s">
        <v>13</v>
      </c>
      <c r="I17" s="31" t="s">
        <v>14</v>
      </c>
      <c r="J17" s="31" t="s">
        <v>47</v>
      </c>
      <c r="K17" s="32" t="s">
        <v>50</v>
      </c>
      <c r="L17" s="31" t="s">
        <v>67</v>
      </c>
      <c r="M17" s="26" t="s">
        <v>15</v>
      </c>
      <c r="N17" s="23"/>
      <c r="O17" s="8"/>
      <c r="P17" s="59" t="s">
        <v>16</v>
      </c>
      <c r="Q17" s="31" t="s">
        <v>17</v>
      </c>
      <c r="R17" s="65" t="s">
        <v>59</v>
      </c>
      <c r="S17" s="32" t="s">
        <v>0</v>
      </c>
      <c r="T17" s="42" t="s">
        <v>0</v>
      </c>
      <c r="U17" s="23"/>
    </row>
    <row r="18" spans="1:30" x14ac:dyDescent="0.2">
      <c r="A18" s="23"/>
      <c r="B18" s="40"/>
      <c r="C18" s="13"/>
      <c r="D18" s="23"/>
      <c r="E18" s="8"/>
      <c r="F18" s="32" t="s">
        <v>18</v>
      </c>
      <c r="G18" s="31" t="s">
        <v>54</v>
      </c>
      <c r="H18" s="32" t="s">
        <v>20</v>
      </c>
      <c r="I18" s="31" t="s">
        <v>21</v>
      </c>
      <c r="J18" s="31" t="s">
        <v>48</v>
      </c>
      <c r="K18" s="32" t="s">
        <v>51</v>
      </c>
      <c r="L18" s="31" t="s">
        <v>66</v>
      </c>
      <c r="M18" s="26" t="s">
        <v>22</v>
      </c>
      <c r="N18" s="31" t="s">
        <v>8</v>
      </c>
      <c r="O18" s="8"/>
      <c r="P18" s="58" t="s">
        <v>23</v>
      </c>
      <c r="Q18" s="31" t="s">
        <v>24</v>
      </c>
      <c r="R18" s="65" t="s">
        <v>60</v>
      </c>
      <c r="S18" s="32" t="s">
        <v>8</v>
      </c>
      <c r="T18" s="7"/>
      <c r="U18" s="23"/>
    </row>
    <row r="19" spans="1:30" x14ac:dyDescent="0.2">
      <c r="A19" s="23" t="s">
        <v>35</v>
      </c>
      <c r="B19" s="10"/>
      <c r="C19" s="8"/>
      <c r="D19" s="23"/>
      <c r="E19" s="8"/>
      <c r="F19" s="8"/>
      <c r="G19" s="31" t="s">
        <v>19</v>
      </c>
      <c r="H19" s="32" t="s">
        <v>25</v>
      </c>
      <c r="I19" s="23"/>
      <c r="J19" s="23"/>
      <c r="K19" s="8"/>
      <c r="L19" s="31" t="s">
        <v>65</v>
      </c>
      <c r="M19" s="26" t="s">
        <v>26</v>
      </c>
      <c r="N19" s="23"/>
      <c r="O19" s="8"/>
      <c r="P19" s="32" t="s">
        <v>27</v>
      </c>
      <c r="Q19" s="31" t="s">
        <v>28</v>
      </c>
      <c r="R19" s="65" t="s">
        <v>61</v>
      </c>
      <c r="S19" s="8"/>
      <c r="T19" s="7"/>
      <c r="U19" s="23"/>
    </row>
    <row r="20" spans="1:30" x14ac:dyDescent="0.2">
      <c r="A20" s="23"/>
      <c r="B20" s="10"/>
      <c r="C20" s="8"/>
      <c r="D20" s="23"/>
      <c r="E20" s="8"/>
      <c r="F20" s="8"/>
      <c r="G20" s="23"/>
      <c r="H20" s="8"/>
      <c r="I20" s="23"/>
      <c r="J20" s="23"/>
      <c r="K20" s="8"/>
      <c r="L20" s="23"/>
      <c r="M20" s="26" t="s">
        <v>29</v>
      </c>
      <c r="N20" s="23"/>
      <c r="O20" s="8"/>
      <c r="P20" s="58" t="s">
        <v>56</v>
      </c>
      <c r="Q20" s="31" t="s">
        <v>30</v>
      </c>
      <c r="R20" s="65" t="s">
        <v>62</v>
      </c>
      <c r="S20" s="32" t="s">
        <v>0</v>
      </c>
      <c r="T20" s="42" t="s">
        <v>0</v>
      </c>
      <c r="U20" s="31" t="s">
        <v>0</v>
      </c>
      <c r="V20" s="6"/>
    </row>
    <row r="21" spans="1:30" ht="0.75" customHeight="1" x14ac:dyDescent="0.2">
      <c r="A21" s="23" t="s">
        <v>35</v>
      </c>
      <c r="B21" s="10"/>
      <c r="C21" s="8"/>
      <c r="D21" s="23"/>
      <c r="E21" s="8"/>
      <c r="F21" s="8"/>
      <c r="G21" s="23"/>
      <c r="H21" s="8"/>
      <c r="I21" s="23"/>
      <c r="J21" s="23"/>
      <c r="K21" s="8"/>
      <c r="L21" s="23"/>
      <c r="M21" s="26"/>
      <c r="N21" s="23"/>
      <c r="O21" s="8"/>
      <c r="P21" s="32"/>
      <c r="Q21" s="31"/>
      <c r="R21" s="65"/>
      <c r="S21" s="32"/>
      <c r="T21" s="42"/>
      <c r="U21" s="31"/>
      <c r="V21" s="6"/>
    </row>
    <row r="22" spans="1:30" ht="1.5" customHeight="1" x14ac:dyDescent="0.2">
      <c r="A22" s="28"/>
      <c r="B22" s="17"/>
      <c r="C22" s="15"/>
      <c r="D22" s="43"/>
      <c r="E22" s="15"/>
      <c r="F22" s="15"/>
      <c r="G22" s="43"/>
      <c r="H22" s="15"/>
      <c r="I22" s="43"/>
      <c r="J22" s="43"/>
      <c r="K22" s="15"/>
      <c r="L22" s="43"/>
      <c r="M22" s="16"/>
      <c r="N22" s="43"/>
      <c r="O22" s="15"/>
      <c r="P22" s="15"/>
      <c r="Q22" s="43"/>
      <c r="R22" s="66"/>
      <c r="S22" s="15"/>
      <c r="T22" s="14"/>
      <c r="U22" s="43"/>
    </row>
    <row r="23" spans="1:30" x14ac:dyDescent="0.2">
      <c r="A23" s="56"/>
      <c r="B23" s="45"/>
      <c r="C23" s="44"/>
      <c r="D23" s="45"/>
      <c r="E23" s="44"/>
      <c r="F23" s="44"/>
      <c r="G23" s="45"/>
      <c r="H23" s="44"/>
      <c r="I23" s="45"/>
      <c r="J23" s="45"/>
      <c r="K23" s="74"/>
      <c r="L23" s="45"/>
      <c r="M23" s="46"/>
      <c r="N23" s="45"/>
      <c r="O23" s="44"/>
      <c r="P23" s="44"/>
      <c r="Q23" s="45"/>
      <c r="R23" s="67"/>
      <c r="S23" s="44"/>
      <c r="T23" s="45"/>
      <c r="U23" s="45"/>
    </row>
    <row r="24" spans="1:30" hidden="1" x14ac:dyDescent="0.2">
      <c r="A24" s="82" t="s">
        <v>44</v>
      </c>
      <c r="B24" s="48">
        <v>460258.8000000001</v>
      </c>
      <c r="C24" s="47">
        <v>-207480.90000000002</v>
      </c>
      <c r="D24" s="48">
        <f t="shared" ref="D24:D28" si="0">SUM(B24:C24)</f>
        <v>252777.90000000008</v>
      </c>
      <c r="E24" s="47"/>
      <c r="F24" s="47">
        <v>170798.9</v>
      </c>
      <c r="G24" s="48">
        <v>59394.8</v>
      </c>
      <c r="H24" s="47" t="s">
        <v>31</v>
      </c>
      <c r="I24" s="48">
        <v>10160.4</v>
      </c>
      <c r="J24" s="76">
        <v>0</v>
      </c>
      <c r="K24" s="73">
        <v>0</v>
      </c>
      <c r="L24" s="50">
        <v>-125950.69999999998</v>
      </c>
      <c r="M24" s="47">
        <v>-11736.2</v>
      </c>
      <c r="N24" s="48">
        <f t="shared" ref="N24:N28" si="1">SUM( (F24:M24))</f>
        <v>102667.20000000003</v>
      </c>
      <c r="O24" s="47"/>
      <c r="P24" s="47">
        <v>22280.7</v>
      </c>
      <c r="Q24" s="48">
        <v>290913.59999999998</v>
      </c>
      <c r="R24" s="53">
        <v>120.8</v>
      </c>
      <c r="S24" s="47">
        <f t="shared" ref="S24:S29" si="2">SUM(P24:R24)</f>
        <v>313315.09999999998</v>
      </c>
      <c r="T24" s="48">
        <f t="shared" ref="T24:T31" si="3">SUM(N24,S24)</f>
        <v>415982.3</v>
      </c>
      <c r="U24" s="48">
        <f t="shared" ref="U24:U31" si="4">SUM(D24,T24)</f>
        <v>668760.20000000007</v>
      </c>
      <c r="Y24" s="6"/>
      <c r="Z24" s="6"/>
      <c r="AA24" s="6"/>
      <c r="AB24" s="6"/>
      <c r="AC24" s="6"/>
      <c r="AD24" s="6"/>
    </row>
    <row r="25" spans="1:30" ht="11.25" hidden="1" customHeight="1" x14ac:dyDescent="0.2">
      <c r="A25" s="82" t="s">
        <v>68</v>
      </c>
      <c r="B25" s="48">
        <v>556720.30000000005</v>
      </c>
      <c r="C25" s="47">
        <v>-293987.49999999994</v>
      </c>
      <c r="D25" s="48">
        <f t="shared" si="0"/>
        <v>262732.8000000001</v>
      </c>
      <c r="E25" s="47"/>
      <c r="F25" s="47">
        <v>215622.30000000002</v>
      </c>
      <c r="G25" s="48">
        <v>100906.6</v>
      </c>
      <c r="H25" s="47" t="s">
        <v>31</v>
      </c>
      <c r="I25" s="48">
        <v>11980.5</v>
      </c>
      <c r="J25" s="53" t="s">
        <v>31</v>
      </c>
      <c r="K25" s="54" t="s">
        <v>31</v>
      </c>
      <c r="L25" s="50">
        <v>-134063.79999999999</v>
      </c>
      <c r="M25" s="47">
        <v>-14842.5</v>
      </c>
      <c r="N25" s="48">
        <f t="shared" si="1"/>
        <v>179603.10000000003</v>
      </c>
      <c r="O25" s="47"/>
      <c r="P25" s="47">
        <v>9204.2000000000025</v>
      </c>
      <c r="Q25" s="48">
        <v>355047.5</v>
      </c>
      <c r="R25" s="53">
        <v>497.1</v>
      </c>
      <c r="S25" s="47">
        <f t="shared" si="2"/>
        <v>364748.79999999999</v>
      </c>
      <c r="T25" s="48">
        <f t="shared" si="3"/>
        <v>544351.9</v>
      </c>
      <c r="U25" s="48">
        <f t="shared" si="4"/>
        <v>807084.70000000019</v>
      </c>
      <c r="Y25" s="6"/>
      <c r="Z25" s="6"/>
      <c r="AA25" s="6"/>
      <c r="AB25" s="6"/>
      <c r="AC25" s="6"/>
      <c r="AD25" s="6"/>
    </row>
    <row r="26" spans="1:30" s="69" customFormat="1" ht="12" hidden="1" customHeight="1" x14ac:dyDescent="0.2">
      <c r="A26" s="83" t="s">
        <v>69</v>
      </c>
      <c r="B26" s="53">
        <v>581195.19999999995</v>
      </c>
      <c r="C26" s="54">
        <v>-328494.40000000002</v>
      </c>
      <c r="D26" s="48">
        <f t="shared" si="0"/>
        <v>252700.79999999993</v>
      </c>
      <c r="E26" s="54"/>
      <c r="F26" s="54">
        <v>19134.2</v>
      </c>
      <c r="G26" s="53">
        <v>109938.3</v>
      </c>
      <c r="H26" s="54" t="s">
        <v>31</v>
      </c>
      <c r="I26" s="53">
        <v>14362.999999999998</v>
      </c>
      <c r="J26" s="53">
        <v>88925</v>
      </c>
      <c r="K26" s="84">
        <v>145130.9</v>
      </c>
      <c r="L26" s="71">
        <v>-154083.20000000001</v>
      </c>
      <c r="M26" s="54">
        <v>-11748.2</v>
      </c>
      <c r="N26" s="48">
        <f t="shared" si="1"/>
        <v>211660</v>
      </c>
      <c r="O26" s="54"/>
      <c r="P26" s="54">
        <v>9602.8000000000011</v>
      </c>
      <c r="Q26" s="53">
        <v>467793.2</v>
      </c>
      <c r="R26" s="53">
        <v>599.4</v>
      </c>
      <c r="S26" s="47">
        <f t="shared" si="2"/>
        <v>477995.4</v>
      </c>
      <c r="T26" s="48">
        <f t="shared" si="3"/>
        <v>689655.4</v>
      </c>
      <c r="U26" s="53">
        <f t="shared" si="4"/>
        <v>942356.2</v>
      </c>
      <c r="V26" s="5"/>
      <c r="W26" s="5"/>
      <c r="Y26" s="72"/>
      <c r="Z26" s="72"/>
      <c r="AA26" s="72"/>
      <c r="AB26" s="72"/>
      <c r="AC26" s="72"/>
      <c r="AD26" s="72"/>
    </row>
    <row r="27" spans="1:30" ht="10.5" customHeight="1" x14ac:dyDescent="0.2">
      <c r="A27" s="77" t="s">
        <v>70</v>
      </c>
      <c r="B27" s="48">
        <v>586011.4</v>
      </c>
      <c r="C27" s="47">
        <v>-381573.7</v>
      </c>
      <c r="D27" s="48">
        <f t="shared" si="0"/>
        <v>204437.7</v>
      </c>
      <c r="E27" s="47"/>
      <c r="F27" s="54">
        <v>86260.6</v>
      </c>
      <c r="G27" s="48">
        <v>85318.2</v>
      </c>
      <c r="H27" s="47" t="s">
        <v>31</v>
      </c>
      <c r="I27" s="53">
        <v>15025.099999999999</v>
      </c>
      <c r="J27" s="49">
        <v>94325</v>
      </c>
      <c r="K27" s="48">
        <v>141433.29999999999</v>
      </c>
      <c r="L27" s="50">
        <v>-175010.40000000002</v>
      </c>
      <c r="M27" s="47">
        <v>-14154.1</v>
      </c>
      <c r="N27" s="48">
        <f t="shared" si="1"/>
        <v>233197.69999999998</v>
      </c>
      <c r="O27" s="47"/>
      <c r="P27" s="47">
        <v>4977.5</v>
      </c>
      <c r="Q27" s="48">
        <v>618097.5</v>
      </c>
      <c r="R27" s="53">
        <v>1021.9000000000001</v>
      </c>
      <c r="S27" s="47">
        <f t="shared" si="2"/>
        <v>624096.9</v>
      </c>
      <c r="T27" s="48">
        <f t="shared" si="3"/>
        <v>857294.6</v>
      </c>
      <c r="U27" s="48">
        <f t="shared" si="4"/>
        <v>1061732.3</v>
      </c>
      <c r="Y27" s="6"/>
      <c r="Z27" s="6"/>
      <c r="AA27" s="6"/>
      <c r="AB27" s="6"/>
      <c r="AC27" s="6"/>
      <c r="AD27" s="6"/>
    </row>
    <row r="28" spans="1:30" ht="12.75" customHeight="1" x14ac:dyDescent="0.2">
      <c r="A28" s="77" t="s">
        <v>71</v>
      </c>
      <c r="B28" s="48">
        <v>677706</v>
      </c>
      <c r="C28" s="47">
        <v>-481881.1</v>
      </c>
      <c r="D28" s="48">
        <f t="shared" si="0"/>
        <v>195824.90000000002</v>
      </c>
      <c r="E28" s="47"/>
      <c r="F28" s="54">
        <v>155251.9</v>
      </c>
      <c r="G28" s="48">
        <v>49858.100000000006</v>
      </c>
      <c r="H28" s="47"/>
      <c r="I28" s="53">
        <v>18665.699999999997</v>
      </c>
      <c r="J28" s="49">
        <v>117037.4</v>
      </c>
      <c r="K28" s="48">
        <v>137735.70000000001</v>
      </c>
      <c r="L28" s="50">
        <v>-182015.08600000001</v>
      </c>
      <c r="M28" s="47">
        <v>-18296</v>
      </c>
      <c r="N28" s="48">
        <f t="shared" si="1"/>
        <v>278237.71399999998</v>
      </c>
      <c r="O28" s="47"/>
      <c r="P28" s="47">
        <v>7690</v>
      </c>
      <c r="Q28" s="48">
        <v>695414.6</v>
      </c>
      <c r="R28" s="53">
        <v>1057.9000000000001</v>
      </c>
      <c r="S28" s="47">
        <f t="shared" si="2"/>
        <v>704162.5</v>
      </c>
      <c r="T28" s="48">
        <f t="shared" si="3"/>
        <v>982400.21399999992</v>
      </c>
      <c r="U28" s="48">
        <f t="shared" si="4"/>
        <v>1178225.1140000001</v>
      </c>
      <c r="Y28" s="6"/>
      <c r="Z28" s="6"/>
      <c r="AA28" s="6"/>
      <c r="AB28" s="6"/>
      <c r="AC28" s="6"/>
      <c r="AD28" s="6"/>
    </row>
    <row r="29" spans="1:30" ht="12.75" customHeight="1" x14ac:dyDescent="0.2">
      <c r="A29" s="77" t="s">
        <v>73</v>
      </c>
      <c r="B29" s="48">
        <v>702734.69999999984</v>
      </c>
      <c r="C29" s="47">
        <v>-473309.8</v>
      </c>
      <c r="D29" s="48">
        <f t="shared" ref="D29:D31" si="5">SUM(B29:C29)</f>
        <v>229424.89999999985</v>
      </c>
      <c r="E29" s="47"/>
      <c r="F29" s="54" t="s">
        <v>31</v>
      </c>
      <c r="G29" s="48">
        <v>109019.90000000001</v>
      </c>
      <c r="H29" s="47"/>
      <c r="I29" s="53">
        <f>17922.9+539.1+609.8</f>
        <v>19071.8</v>
      </c>
      <c r="J29" s="49">
        <v>107284.3</v>
      </c>
      <c r="K29" s="48">
        <v>289290</v>
      </c>
      <c r="L29" s="50">
        <v>-225785.80000000002</v>
      </c>
      <c r="M29" s="47">
        <v>-23790.1</v>
      </c>
      <c r="N29" s="48">
        <f t="shared" ref="N29" si="6">SUM( (F29:M29))</f>
        <v>275090.09999999998</v>
      </c>
      <c r="O29" s="47"/>
      <c r="P29" s="47">
        <v>9135</v>
      </c>
      <c r="Q29" s="48">
        <v>762034.60000000021</v>
      </c>
      <c r="R29" s="53">
        <v>2469.1999999999998</v>
      </c>
      <c r="S29" s="47">
        <f t="shared" si="2"/>
        <v>773638.80000000016</v>
      </c>
      <c r="T29" s="48">
        <f t="shared" si="3"/>
        <v>1048728.9000000001</v>
      </c>
      <c r="U29" s="48">
        <f t="shared" si="4"/>
        <v>1278153.8</v>
      </c>
      <c r="Y29" s="6"/>
      <c r="Z29" s="6"/>
      <c r="AA29" s="6"/>
      <c r="AB29" s="6"/>
      <c r="AC29" s="6"/>
      <c r="AD29" s="6"/>
    </row>
    <row r="30" spans="1:30" ht="12.75" customHeight="1" x14ac:dyDescent="0.2">
      <c r="A30" s="77" t="s">
        <v>90</v>
      </c>
      <c r="B30" s="48">
        <v>700883.1</v>
      </c>
      <c r="C30" s="47">
        <v>-520621.8</v>
      </c>
      <c r="D30" s="48">
        <f t="shared" si="5"/>
        <v>180261.3</v>
      </c>
      <c r="E30" s="47"/>
      <c r="F30" s="54">
        <v>55186.9</v>
      </c>
      <c r="G30" s="48">
        <f>87718.9+59983.8</f>
        <v>147702.70000000001</v>
      </c>
      <c r="H30" s="47"/>
      <c r="I30" s="53">
        <f>14527.8+34633.2</f>
        <v>49161</v>
      </c>
      <c r="J30" s="49">
        <v>106976.2</v>
      </c>
      <c r="K30" s="48">
        <v>285900.5</v>
      </c>
      <c r="L30" s="50">
        <v>-238071.7</v>
      </c>
      <c r="M30" s="47">
        <v>-23004.400000000001</v>
      </c>
      <c r="N30" s="48">
        <f t="shared" ref="N30" si="7">SUM( (F30:M30))</f>
        <v>383851.2</v>
      </c>
      <c r="O30" s="47"/>
      <c r="P30" s="47">
        <f>11369.5+68.7</f>
        <v>11438.2</v>
      </c>
      <c r="Q30" s="48">
        <f>753860.5+71739.9</f>
        <v>825600.4</v>
      </c>
      <c r="R30" s="53">
        <v>3449.3</v>
      </c>
      <c r="S30" s="47">
        <f t="shared" ref="S30" si="8">SUM(P30:R30)</f>
        <v>840487.9</v>
      </c>
      <c r="T30" s="48">
        <f t="shared" si="3"/>
        <v>1224339.1000000001</v>
      </c>
      <c r="U30" s="48">
        <f t="shared" si="4"/>
        <v>1404600.4000000001</v>
      </c>
      <c r="Y30" s="6"/>
      <c r="Z30" s="6"/>
      <c r="AA30" s="6"/>
      <c r="AB30" s="6"/>
      <c r="AC30" s="6"/>
      <c r="AD30" s="6"/>
    </row>
    <row r="31" spans="1:30" ht="12.75" customHeight="1" x14ac:dyDescent="0.2">
      <c r="A31" s="77" t="s">
        <v>113</v>
      </c>
      <c r="B31" s="99">
        <v>428699.1</v>
      </c>
      <c r="C31" s="98">
        <v>-505180.4</v>
      </c>
      <c r="D31" s="99">
        <f t="shared" si="5"/>
        <v>-76481.300000000047</v>
      </c>
      <c r="E31" s="98"/>
      <c r="F31" s="103">
        <v>273246</v>
      </c>
      <c r="G31" s="99">
        <f>175202.1+78586</f>
        <v>253788.1</v>
      </c>
      <c r="H31" s="98"/>
      <c r="I31" s="102">
        <f>14621.9+35319.3</f>
        <v>49941.200000000004</v>
      </c>
      <c r="J31" s="100">
        <v>90564.7</v>
      </c>
      <c r="K31" s="99">
        <v>277913.90000000002</v>
      </c>
      <c r="L31" s="101">
        <v>-231612.3</v>
      </c>
      <c r="M31" s="98">
        <v>-26290.400000000001</v>
      </c>
      <c r="N31" s="99">
        <f t="shared" ref="N31" si="9">SUM( (F31:M31))</f>
        <v>687551.19999999984</v>
      </c>
      <c r="O31" s="98"/>
      <c r="P31" s="98">
        <f>6928.3+132.8</f>
        <v>7061.1</v>
      </c>
      <c r="Q31" s="99">
        <f>759876.7+42173.8</f>
        <v>802050.5</v>
      </c>
      <c r="R31" s="102">
        <v>27.1</v>
      </c>
      <c r="S31" s="98">
        <f t="shared" ref="S31" si="10">SUM(P31:R31)</f>
        <v>809138.7</v>
      </c>
      <c r="T31" s="99">
        <f t="shared" si="3"/>
        <v>1496689.9</v>
      </c>
      <c r="U31" s="99">
        <f t="shared" si="4"/>
        <v>1420208.5999999999</v>
      </c>
      <c r="Y31" s="97"/>
      <c r="Z31" s="97"/>
      <c r="AA31" s="97"/>
      <c r="AB31" s="97"/>
      <c r="AC31" s="97"/>
      <c r="AD31" s="97"/>
    </row>
    <row r="32" spans="1:30" ht="11.25" customHeight="1" x14ac:dyDescent="0.2">
      <c r="A32" s="77"/>
      <c r="B32" s="48"/>
      <c r="C32" s="47"/>
      <c r="D32" s="48"/>
      <c r="E32" s="47"/>
      <c r="F32" s="47"/>
      <c r="G32" s="48"/>
      <c r="H32" s="47"/>
      <c r="I32" s="48"/>
      <c r="J32" s="48"/>
      <c r="K32" s="75"/>
      <c r="L32" s="50"/>
      <c r="M32" s="47"/>
      <c r="N32" s="48"/>
      <c r="O32" s="47"/>
      <c r="P32" s="47"/>
      <c r="Q32" s="48"/>
      <c r="R32" s="53"/>
      <c r="S32" s="47"/>
      <c r="T32" s="48"/>
      <c r="U32" s="48"/>
      <c r="Y32" s="6"/>
      <c r="Z32" s="6"/>
      <c r="AA32" s="6"/>
      <c r="AB32" s="6"/>
      <c r="AC32" s="6"/>
      <c r="AD32" s="6"/>
    </row>
    <row r="33" spans="1:30" ht="16.5" customHeight="1" x14ac:dyDescent="0.2">
      <c r="A33" s="55"/>
      <c r="B33" s="48"/>
      <c r="C33" s="47"/>
      <c r="D33" s="48"/>
      <c r="E33" s="47"/>
      <c r="F33" s="54"/>
      <c r="G33" s="48"/>
      <c r="H33" s="47"/>
      <c r="I33" s="53"/>
      <c r="J33" s="48"/>
      <c r="K33" s="75"/>
      <c r="L33" s="50"/>
      <c r="M33" s="47"/>
      <c r="N33" s="48"/>
      <c r="O33" s="47"/>
      <c r="P33" s="47"/>
      <c r="Q33" s="48"/>
      <c r="R33" s="53"/>
      <c r="S33" s="47"/>
      <c r="T33" s="48"/>
      <c r="U33" s="48"/>
      <c r="Y33" s="6"/>
      <c r="Z33" s="6"/>
      <c r="AA33" s="6"/>
      <c r="AB33" s="6"/>
      <c r="AC33" s="6"/>
      <c r="AD33" s="6"/>
    </row>
    <row r="34" spans="1:30" ht="12.75" hidden="1" customHeight="1" x14ac:dyDescent="0.2">
      <c r="A34" s="57" t="s">
        <v>106</v>
      </c>
      <c r="B34" s="48">
        <v>677706</v>
      </c>
      <c r="C34" s="47">
        <v>-481881.1</v>
      </c>
      <c r="D34" s="48">
        <f t="shared" ref="D34" si="11">SUM(B34:C34)</f>
        <v>195824.90000000002</v>
      </c>
      <c r="E34" s="47"/>
      <c r="F34" s="54">
        <v>155251.9</v>
      </c>
      <c r="G34" s="48">
        <v>49858.100000000006</v>
      </c>
      <c r="H34" s="47"/>
      <c r="I34" s="53">
        <v>18665.699999999997</v>
      </c>
      <c r="J34" s="49">
        <v>117037.4</v>
      </c>
      <c r="K34" s="48">
        <v>137735.70000000001</v>
      </c>
      <c r="L34" s="50">
        <v>-182015.08600000001</v>
      </c>
      <c r="M34" s="47">
        <v>-18296</v>
      </c>
      <c r="N34" s="48">
        <f t="shared" ref="N34" si="12">SUM( (F34:M34))</f>
        <v>278237.71399999998</v>
      </c>
      <c r="O34" s="47"/>
      <c r="P34" s="47">
        <v>7690</v>
      </c>
      <c r="Q34" s="48">
        <v>695414.6</v>
      </c>
      <c r="R34" s="53">
        <v>1057.9000000000001</v>
      </c>
      <c r="S34" s="47">
        <f t="shared" ref="S34" si="13">SUM(P34:R34)</f>
        <v>704162.5</v>
      </c>
      <c r="T34" s="48">
        <f t="shared" ref="T34" si="14">SUM(N34,S34)</f>
        <v>982400.21399999992</v>
      </c>
      <c r="U34" s="48">
        <f t="shared" ref="U34" si="15">SUM(D34,T34)</f>
        <v>1178225.1140000001</v>
      </c>
      <c r="Y34" s="6"/>
      <c r="Z34" s="6"/>
      <c r="AA34" s="6"/>
      <c r="AB34" s="6"/>
      <c r="AC34" s="6"/>
      <c r="AD34" s="6"/>
    </row>
    <row r="35" spans="1:30" ht="12.75" hidden="1" customHeight="1" x14ac:dyDescent="0.25">
      <c r="A35" s="104" t="s">
        <v>108</v>
      </c>
      <c r="B35" s="99">
        <v>669812.40000000014</v>
      </c>
      <c r="C35" s="98">
        <v>-472765.4</v>
      </c>
      <c r="D35" s="99">
        <v>197047.00000000012</v>
      </c>
      <c r="E35" s="98"/>
      <c r="F35" s="103" t="s">
        <v>31</v>
      </c>
      <c r="G35" s="99">
        <v>47661.399999999994</v>
      </c>
      <c r="H35" s="98"/>
      <c r="I35" s="102">
        <v>19554.399999999998</v>
      </c>
      <c r="J35" s="100">
        <v>112857.5</v>
      </c>
      <c r="K35" s="99">
        <v>292063.09999999998</v>
      </c>
      <c r="L35" s="101">
        <v>-205440.2</v>
      </c>
      <c r="M35" s="98">
        <v>-23122.7</v>
      </c>
      <c r="N35" s="99">
        <v>243573.49999999994</v>
      </c>
      <c r="O35" s="98"/>
      <c r="P35" s="98">
        <v>7262.1</v>
      </c>
      <c r="Q35" s="99">
        <v>733058.8</v>
      </c>
      <c r="R35" s="102">
        <v>1398.1999999999998</v>
      </c>
      <c r="S35" s="98">
        <v>741719.1</v>
      </c>
      <c r="T35" s="99">
        <v>985292.59999999986</v>
      </c>
      <c r="U35" s="99">
        <v>1182339.6000000001</v>
      </c>
      <c r="V35" s="96"/>
      <c r="W35" s="96"/>
      <c r="X35" s="96"/>
      <c r="Y35" s="97"/>
      <c r="Z35" s="97"/>
      <c r="AA35" s="97"/>
      <c r="AB35" s="97"/>
      <c r="AC35" s="97"/>
      <c r="AD35" s="97"/>
    </row>
    <row r="36" spans="1:30" ht="12.75" customHeight="1" x14ac:dyDescent="0.2">
      <c r="A36" s="55" t="s">
        <v>116</v>
      </c>
      <c r="B36" s="48">
        <v>593764.5</v>
      </c>
      <c r="C36" s="47">
        <v>-435675.79999999993</v>
      </c>
      <c r="D36" s="48">
        <f t="shared" ref="D36:D38" si="16">SUM(B36:C36)</f>
        <v>158088.70000000007</v>
      </c>
      <c r="E36" s="47"/>
      <c r="F36" s="54" t="s">
        <v>31</v>
      </c>
      <c r="G36" s="48">
        <v>70934.600000000006</v>
      </c>
      <c r="H36" s="47"/>
      <c r="I36" s="53">
        <f>17430.8+1294.8+1041.2+2.8</f>
        <v>19769.599999999999</v>
      </c>
      <c r="J36" s="49">
        <v>108677.6</v>
      </c>
      <c r="K36" s="48">
        <v>291138.8</v>
      </c>
      <c r="L36" s="50">
        <v>-188396.90000000002</v>
      </c>
      <c r="M36" s="47">
        <v>-15910.9</v>
      </c>
      <c r="N36" s="48">
        <f t="shared" ref="N36:N38" si="17">SUM( (F36:M36))</f>
        <v>286212.79999999993</v>
      </c>
      <c r="O36" s="47"/>
      <c r="P36" s="47">
        <v>7364.7</v>
      </c>
      <c r="Q36" s="48">
        <v>739672.1</v>
      </c>
      <c r="R36" s="53">
        <v>1401.7</v>
      </c>
      <c r="S36" s="47">
        <f t="shared" ref="S36:S38" si="18">SUM(P36:R36)</f>
        <v>748438.49999999988</v>
      </c>
      <c r="T36" s="48">
        <f t="shared" ref="T36:T38" si="19">SUM(N36,S36)</f>
        <v>1034651.2999999998</v>
      </c>
      <c r="U36" s="48">
        <f t="shared" ref="U36:U38" si="20">SUM(D36,T36)</f>
        <v>1192740</v>
      </c>
      <c r="Y36" s="6"/>
      <c r="Z36" s="6"/>
      <c r="AA36" s="6"/>
      <c r="AB36" s="6"/>
      <c r="AC36" s="6"/>
      <c r="AD36" s="6"/>
    </row>
    <row r="37" spans="1:30" ht="12.75" customHeight="1" x14ac:dyDescent="0.2">
      <c r="A37" s="55" t="s">
        <v>79</v>
      </c>
      <c r="B37" s="48">
        <v>642817.80000000005</v>
      </c>
      <c r="C37" s="47">
        <v>-478377.5</v>
      </c>
      <c r="D37" s="48">
        <f t="shared" si="16"/>
        <v>164440.30000000005</v>
      </c>
      <c r="E37" s="47"/>
      <c r="F37" s="54" t="s">
        <v>31</v>
      </c>
      <c r="G37" s="48">
        <v>104499.4</v>
      </c>
      <c r="H37" s="47"/>
      <c r="I37" s="53">
        <f>21844.2+582.5+550.7</f>
        <v>22977.4</v>
      </c>
      <c r="J37" s="49">
        <v>107284.3</v>
      </c>
      <c r="K37" s="48">
        <v>290214.40000000002</v>
      </c>
      <c r="L37" s="50">
        <v>-211524.6</v>
      </c>
      <c r="M37" s="47">
        <v>-21460.2</v>
      </c>
      <c r="N37" s="48">
        <f t="shared" si="17"/>
        <v>291990.7</v>
      </c>
      <c r="O37" s="47"/>
      <c r="P37" s="47">
        <v>11025.9</v>
      </c>
      <c r="Q37" s="48">
        <v>776088</v>
      </c>
      <c r="R37" s="53">
        <v>2197.5</v>
      </c>
      <c r="S37" s="47">
        <f t="shared" si="18"/>
        <v>789311.4</v>
      </c>
      <c r="T37" s="48">
        <f t="shared" si="19"/>
        <v>1081302.1000000001</v>
      </c>
      <c r="U37" s="48">
        <f t="shared" si="20"/>
        <v>1245742.4000000001</v>
      </c>
      <c r="Y37" s="6"/>
      <c r="Z37" s="6"/>
      <c r="AA37" s="6"/>
      <c r="AB37" s="6"/>
      <c r="AC37" s="6"/>
      <c r="AD37" s="6"/>
    </row>
    <row r="38" spans="1:30" ht="12.75" customHeight="1" x14ac:dyDescent="0.2">
      <c r="A38" s="55" t="s">
        <v>82</v>
      </c>
      <c r="B38" s="48">
        <v>702734.69999999984</v>
      </c>
      <c r="C38" s="47">
        <v>-473309.8</v>
      </c>
      <c r="D38" s="48">
        <f t="shared" si="16"/>
        <v>229424.89999999985</v>
      </c>
      <c r="E38" s="47"/>
      <c r="F38" s="54" t="s">
        <v>31</v>
      </c>
      <c r="G38" s="48">
        <v>109019.90000000001</v>
      </c>
      <c r="H38" s="47"/>
      <c r="I38" s="53">
        <f>17922.9+539.1+609.8</f>
        <v>19071.8</v>
      </c>
      <c r="J38" s="49">
        <v>107284.3</v>
      </c>
      <c r="K38" s="48">
        <v>289290</v>
      </c>
      <c r="L38" s="50">
        <v>-225785.80000000002</v>
      </c>
      <c r="M38" s="47">
        <v>-23790.1</v>
      </c>
      <c r="N38" s="48">
        <f t="shared" si="17"/>
        <v>275090.09999999998</v>
      </c>
      <c r="O38" s="47"/>
      <c r="P38" s="47">
        <v>9135</v>
      </c>
      <c r="Q38" s="48">
        <v>762034.60000000021</v>
      </c>
      <c r="R38" s="53">
        <v>2469.1999999999998</v>
      </c>
      <c r="S38" s="47">
        <f t="shared" si="18"/>
        <v>773638.80000000016</v>
      </c>
      <c r="T38" s="48">
        <f t="shared" si="19"/>
        <v>1048728.9000000001</v>
      </c>
      <c r="U38" s="48">
        <f t="shared" si="20"/>
        <v>1278153.8</v>
      </c>
      <c r="Y38" s="6"/>
      <c r="Z38" s="6"/>
      <c r="AA38" s="6"/>
      <c r="AB38" s="6"/>
      <c r="AC38" s="6"/>
      <c r="AD38" s="6"/>
    </row>
    <row r="39" spans="1:30" ht="12.75" customHeight="1" x14ac:dyDescent="0.2">
      <c r="A39" s="55"/>
      <c r="B39" s="48"/>
      <c r="C39" s="47"/>
      <c r="D39" s="48"/>
      <c r="E39" s="47"/>
      <c r="F39" s="54"/>
      <c r="G39" s="48"/>
      <c r="H39" s="47"/>
      <c r="I39" s="53"/>
      <c r="J39" s="49"/>
      <c r="K39" s="75"/>
      <c r="L39" s="50"/>
      <c r="M39" s="47"/>
      <c r="N39" s="48"/>
      <c r="O39" s="47"/>
      <c r="P39" s="47"/>
      <c r="Q39" s="48"/>
      <c r="R39" s="53"/>
      <c r="S39" s="47"/>
      <c r="T39" s="48"/>
      <c r="U39" s="48"/>
      <c r="Y39" s="6"/>
      <c r="Z39" s="6"/>
      <c r="AA39" s="6"/>
      <c r="AB39" s="6"/>
      <c r="AC39" s="6"/>
      <c r="AD39" s="6"/>
    </row>
    <row r="40" spans="1:30" ht="12.75" customHeight="1" x14ac:dyDescent="0.2">
      <c r="A40" s="57" t="s">
        <v>75</v>
      </c>
      <c r="B40" s="48">
        <v>708261.2</v>
      </c>
      <c r="C40" s="47">
        <v>-497644.3</v>
      </c>
      <c r="D40" s="48">
        <f t="shared" ref="D40" si="21">SUM(B40:C40)</f>
        <v>210616.89999999997</v>
      </c>
      <c r="E40" s="47"/>
      <c r="F40" s="54">
        <v>8513</v>
      </c>
      <c r="G40" s="48">
        <f>76771.9+32000</f>
        <v>108771.9</v>
      </c>
      <c r="H40" s="47"/>
      <c r="I40" s="53">
        <f>12016.1+1314.8+461.5</f>
        <v>13792.4</v>
      </c>
      <c r="J40" s="49">
        <v>107284.3</v>
      </c>
      <c r="K40" s="48">
        <v>288673.7</v>
      </c>
      <c r="L40" s="50">
        <v>-225354.5</v>
      </c>
      <c r="M40" s="47">
        <v>-17505</v>
      </c>
      <c r="N40" s="48">
        <f t="shared" ref="N40" si="22">SUM( (F40:M40))</f>
        <v>284175.80000000005</v>
      </c>
      <c r="O40" s="47"/>
      <c r="P40" s="47">
        <f>7761.4+62.6</f>
        <v>7824</v>
      </c>
      <c r="Q40" s="48">
        <f>692146.7+67184.1</f>
        <v>759330.79999999993</v>
      </c>
      <c r="R40" s="53">
        <v>3128.7</v>
      </c>
      <c r="S40" s="47">
        <f t="shared" ref="S40:S42" si="23">SUM(P40:R40)</f>
        <v>770283.49999999988</v>
      </c>
      <c r="T40" s="48">
        <f t="shared" ref="T40:T43" si="24">SUM(N40,S40)</f>
        <v>1054459.2999999998</v>
      </c>
      <c r="U40" s="48">
        <f t="shared" ref="U40:U43" si="25">SUM(D40,T40)</f>
        <v>1265076.1999999997</v>
      </c>
      <c r="Y40" s="6"/>
      <c r="Z40" s="6"/>
      <c r="AA40" s="6"/>
      <c r="AB40" s="6"/>
      <c r="AC40" s="6"/>
      <c r="AD40" s="6"/>
    </row>
    <row r="41" spans="1:30" ht="12.75" customHeight="1" x14ac:dyDescent="0.2">
      <c r="A41" s="55" t="s">
        <v>76</v>
      </c>
      <c r="B41" s="99">
        <v>685013.1</v>
      </c>
      <c r="C41" s="98">
        <v>-500571.5</v>
      </c>
      <c r="D41" s="99">
        <f t="shared" ref="D41" si="26">SUM(B41:C41)</f>
        <v>184441.59999999998</v>
      </c>
      <c r="E41" s="98"/>
      <c r="F41" s="103">
        <v>39309.599999999999</v>
      </c>
      <c r="G41" s="99">
        <f>86709.1+47500</f>
        <v>134209.1</v>
      </c>
      <c r="H41" s="98"/>
      <c r="I41" s="102">
        <f>17808.9+1296.6+444.8+73.2</f>
        <v>19623.5</v>
      </c>
      <c r="J41" s="100">
        <v>107284.3</v>
      </c>
      <c r="K41" s="99">
        <v>287441.2</v>
      </c>
      <c r="L41" s="101">
        <v>-209960.5</v>
      </c>
      <c r="M41" s="98">
        <v>-17287.8</v>
      </c>
      <c r="N41" s="99">
        <f t="shared" ref="N41" si="27">SUM( (F41:M41))</f>
        <v>360619.39999999997</v>
      </c>
      <c r="O41" s="98"/>
      <c r="P41" s="98">
        <f>13212.8+68.7</f>
        <v>13281.5</v>
      </c>
      <c r="Q41" s="99">
        <f>714945.7+68920.3</f>
        <v>783866</v>
      </c>
      <c r="R41" s="102">
        <v>3154.2</v>
      </c>
      <c r="S41" s="98">
        <f t="shared" si="23"/>
        <v>800301.7</v>
      </c>
      <c r="T41" s="99">
        <f t="shared" si="24"/>
        <v>1160921.0999999999</v>
      </c>
      <c r="U41" s="99">
        <f t="shared" si="25"/>
        <v>1345362.6999999997</v>
      </c>
      <c r="Y41" s="97"/>
      <c r="Z41" s="97"/>
      <c r="AA41" s="97"/>
      <c r="AB41" s="97"/>
      <c r="AC41" s="97"/>
      <c r="AD41" s="97"/>
    </row>
    <row r="42" spans="1:30" ht="12.75" customHeight="1" x14ac:dyDescent="0.2">
      <c r="A42" s="55" t="s">
        <v>79</v>
      </c>
      <c r="B42" s="48">
        <v>718897</v>
      </c>
      <c r="C42" s="47">
        <v>-506302.2</v>
      </c>
      <c r="D42" s="48">
        <f t="shared" ref="D42:D43" si="28">SUM(B42:C42)</f>
        <v>212594.8</v>
      </c>
      <c r="E42" s="47"/>
      <c r="F42" s="54">
        <v>27300.1</v>
      </c>
      <c r="G42" s="48">
        <f>84044.4+67472</f>
        <v>151516.4</v>
      </c>
      <c r="H42" s="47"/>
      <c r="I42" s="53">
        <f>21366.1+1373.1+401.1</f>
        <v>23140.299999999996</v>
      </c>
      <c r="J42" s="49">
        <v>107284.3</v>
      </c>
      <c r="K42" s="48">
        <v>286825</v>
      </c>
      <c r="L42" s="50">
        <v>-277497.7</v>
      </c>
      <c r="M42" s="47">
        <v>-25072.2</v>
      </c>
      <c r="N42" s="48">
        <f t="shared" ref="N42:N43" si="29">SUM( (F42:M42))</f>
        <v>293496.19999999995</v>
      </c>
      <c r="O42" s="47"/>
      <c r="P42" s="47">
        <f>14938.3+68.7</f>
        <v>15007</v>
      </c>
      <c r="Q42" s="48">
        <f>730737.5+69600.3</f>
        <v>800337.8</v>
      </c>
      <c r="R42" s="53">
        <v>3642.9</v>
      </c>
      <c r="S42" s="47">
        <f t="shared" si="23"/>
        <v>818987.70000000007</v>
      </c>
      <c r="T42" s="48">
        <f t="shared" si="24"/>
        <v>1112483.8999999999</v>
      </c>
      <c r="U42" s="48">
        <f t="shared" si="25"/>
        <v>1325078.7</v>
      </c>
      <c r="Y42" s="6"/>
      <c r="Z42" s="6"/>
      <c r="AA42" s="6"/>
      <c r="AB42" s="6"/>
      <c r="AC42" s="6"/>
      <c r="AD42" s="6"/>
    </row>
    <row r="43" spans="1:30" ht="12.75" customHeight="1" x14ac:dyDescent="0.2">
      <c r="A43" s="55" t="s">
        <v>82</v>
      </c>
      <c r="B43" s="48">
        <v>700883.1</v>
      </c>
      <c r="C43" s="47">
        <v>-520621.8</v>
      </c>
      <c r="D43" s="48">
        <f t="shared" si="28"/>
        <v>180261.3</v>
      </c>
      <c r="E43" s="47"/>
      <c r="F43" s="54">
        <v>55186.9</v>
      </c>
      <c r="G43" s="48">
        <f>87718.9+59983.8</f>
        <v>147702.70000000001</v>
      </c>
      <c r="H43" s="47"/>
      <c r="I43" s="53">
        <f>14527.8+34633.2</f>
        <v>49161</v>
      </c>
      <c r="J43" s="49">
        <v>106976.2</v>
      </c>
      <c r="K43" s="48">
        <v>285900.5</v>
      </c>
      <c r="L43" s="50">
        <v>-238071.7</v>
      </c>
      <c r="M43" s="47">
        <v>-23004.400000000001</v>
      </c>
      <c r="N43" s="48">
        <f t="shared" si="29"/>
        <v>383851.2</v>
      </c>
      <c r="O43" s="47"/>
      <c r="P43" s="47">
        <f>11369.5+68.7</f>
        <v>11438.2</v>
      </c>
      <c r="Q43" s="48">
        <f>753860.5+71739.9</f>
        <v>825600.4</v>
      </c>
      <c r="R43" s="53">
        <v>3449.3</v>
      </c>
      <c r="S43" s="47">
        <f t="shared" ref="S43" si="30">SUM(P43:R43)</f>
        <v>840487.9</v>
      </c>
      <c r="T43" s="48">
        <f t="shared" si="24"/>
        <v>1224339.1000000001</v>
      </c>
      <c r="U43" s="48">
        <f t="shared" si="25"/>
        <v>1404600.4000000001</v>
      </c>
      <c r="Y43" s="6"/>
      <c r="Z43" s="6"/>
      <c r="AA43" s="6"/>
      <c r="AB43" s="6"/>
      <c r="AC43" s="6"/>
      <c r="AD43" s="6"/>
    </row>
    <row r="44" spans="1:30" ht="12.75" customHeight="1" x14ac:dyDescent="0.2">
      <c r="A44" s="55"/>
      <c r="B44" s="48"/>
      <c r="C44" s="47"/>
      <c r="D44" s="48"/>
      <c r="E44" s="47"/>
      <c r="F44" s="54"/>
      <c r="G44" s="48"/>
      <c r="H44" s="47"/>
      <c r="I44" s="53"/>
      <c r="J44" s="49"/>
      <c r="K44" s="75"/>
      <c r="L44" s="50"/>
      <c r="M44" s="47"/>
      <c r="N44" s="48"/>
      <c r="O44" s="47"/>
      <c r="P44" s="47"/>
      <c r="Q44" s="48"/>
      <c r="R44" s="53"/>
      <c r="S44" s="47"/>
      <c r="T44" s="48"/>
      <c r="U44" s="48"/>
      <c r="Y44" s="6"/>
      <c r="Z44" s="6"/>
      <c r="AA44" s="6"/>
      <c r="AB44" s="6"/>
      <c r="AC44" s="6"/>
      <c r="AD44" s="6"/>
    </row>
    <row r="45" spans="1:30" ht="12.75" customHeight="1" x14ac:dyDescent="0.2">
      <c r="A45" s="57" t="s">
        <v>89</v>
      </c>
      <c r="B45" s="48">
        <v>664188.19999999995</v>
      </c>
      <c r="C45" s="47">
        <v>-503561.2</v>
      </c>
      <c r="D45" s="48">
        <f t="shared" ref="D45" si="31">SUM(B45:C45)</f>
        <v>160626.99999999994</v>
      </c>
      <c r="E45" s="47"/>
      <c r="F45" s="54">
        <v>23590.1</v>
      </c>
      <c r="G45" s="48">
        <f>96138+60514.5</f>
        <v>156652.5</v>
      </c>
      <c r="H45" s="47"/>
      <c r="I45" s="53">
        <f>14327.6+37342.1</f>
        <v>51669.7</v>
      </c>
      <c r="J45" s="49">
        <v>104166</v>
      </c>
      <c r="K45" s="48">
        <v>284644.40000000002</v>
      </c>
      <c r="L45" s="50">
        <v>-246499.8</v>
      </c>
      <c r="M45" s="47">
        <v>-29000.6</v>
      </c>
      <c r="N45" s="48">
        <f t="shared" ref="N45:N48" si="32">SUM( (F45:M45))</f>
        <v>345222.3</v>
      </c>
      <c r="O45" s="47"/>
      <c r="P45" s="47">
        <f>8421.9+68.7</f>
        <v>8490.6</v>
      </c>
      <c r="Q45" s="48">
        <f>752803.3+67553.5</f>
        <v>820356.8</v>
      </c>
      <c r="R45" s="53">
        <v>3910.9</v>
      </c>
      <c r="S45" s="47">
        <f t="shared" ref="S45:S46" si="33">SUM(P45:R45)</f>
        <v>832758.3</v>
      </c>
      <c r="T45" s="48">
        <f t="shared" ref="T45:T48" si="34">SUM(N45,S45)</f>
        <v>1177980.6000000001</v>
      </c>
      <c r="U45" s="48">
        <f t="shared" ref="U45:U48" si="35">SUM(D45,T45)</f>
        <v>1338607.6000000001</v>
      </c>
      <c r="Y45" s="6"/>
      <c r="Z45" s="6"/>
      <c r="AA45" s="6"/>
      <c r="AB45" s="6"/>
      <c r="AC45" s="6"/>
      <c r="AD45" s="6"/>
    </row>
    <row r="46" spans="1:30" ht="12.75" customHeight="1" x14ac:dyDescent="0.2">
      <c r="A46" s="55" t="s">
        <v>76</v>
      </c>
      <c r="B46" s="99">
        <v>566058</v>
      </c>
      <c r="C46" s="98">
        <v>-501183.4</v>
      </c>
      <c r="D46" s="99">
        <f t="shared" ref="D46" si="36">SUM(B46:C46)</f>
        <v>64874.599999999977</v>
      </c>
      <c r="E46" s="98"/>
      <c r="F46" s="103">
        <v>121700.8</v>
      </c>
      <c r="G46" s="99">
        <f>105680.9+61075.3</f>
        <v>166756.20000000001</v>
      </c>
      <c r="H46" s="98"/>
      <c r="I46" s="102">
        <f>15842.4+32993.1</f>
        <v>48835.5</v>
      </c>
      <c r="J46" s="100">
        <v>100317.8</v>
      </c>
      <c r="K46" s="99">
        <v>282393.09999999998</v>
      </c>
      <c r="L46" s="101">
        <v>-228546.4</v>
      </c>
      <c r="M46" s="98">
        <v>-26258.9</v>
      </c>
      <c r="N46" s="99">
        <f t="shared" si="32"/>
        <v>465198.09999999986</v>
      </c>
      <c r="O46" s="98"/>
      <c r="P46" s="98">
        <f>10157.4+68.7</f>
        <v>10226.1</v>
      </c>
      <c r="Q46" s="99">
        <f>776507.8+69575.4</f>
        <v>846083.20000000007</v>
      </c>
      <c r="R46" s="102">
        <v>3822.2</v>
      </c>
      <c r="S46" s="98">
        <f t="shared" si="33"/>
        <v>860131.5</v>
      </c>
      <c r="T46" s="99">
        <f t="shared" si="34"/>
        <v>1325329.5999999999</v>
      </c>
      <c r="U46" s="99">
        <f t="shared" si="35"/>
        <v>1390204.1999999997</v>
      </c>
      <c r="Y46" s="97"/>
      <c r="Z46" s="97"/>
      <c r="AA46" s="97"/>
      <c r="AB46" s="97"/>
      <c r="AC46" s="97"/>
      <c r="AD46" s="97"/>
    </row>
    <row r="47" spans="1:30" ht="12.75" customHeight="1" x14ac:dyDescent="0.2">
      <c r="A47" s="55" t="s">
        <v>79</v>
      </c>
      <c r="B47" s="99">
        <v>453394</v>
      </c>
      <c r="C47" s="98">
        <v>-486902.6</v>
      </c>
      <c r="D47" s="99">
        <f t="shared" ref="D47" si="37">SUM(B47:C47)</f>
        <v>-33508.599999999977</v>
      </c>
      <c r="E47" s="98"/>
      <c r="F47" s="103">
        <v>201450.1</v>
      </c>
      <c r="G47" s="99">
        <f>118944.2+58157.4</f>
        <v>177101.6</v>
      </c>
      <c r="H47" s="98"/>
      <c r="I47" s="102">
        <f>16617.4+33329.9</f>
        <v>49947.3</v>
      </c>
      <c r="J47" s="100">
        <v>96137.9</v>
      </c>
      <c r="K47" s="99">
        <v>280473.5</v>
      </c>
      <c r="L47" s="101">
        <v>-208661.1</v>
      </c>
      <c r="M47" s="98">
        <v>-29497.3</v>
      </c>
      <c r="N47" s="99">
        <f t="shared" si="32"/>
        <v>566952</v>
      </c>
      <c r="O47" s="98"/>
      <c r="P47" s="98">
        <f>15430.3+132.8</f>
        <v>15563.099999999999</v>
      </c>
      <c r="Q47" s="99">
        <f>772452+76961.8</f>
        <v>849413.8</v>
      </c>
      <c r="R47" s="102">
        <v>3755.9</v>
      </c>
      <c r="S47" s="98">
        <f t="shared" ref="S47" si="38">SUM(P47:R47)</f>
        <v>868732.8</v>
      </c>
      <c r="T47" s="99">
        <f t="shared" si="34"/>
        <v>1435684.8</v>
      </c>
      <c r="U47" s="99">
        <f t="shared" si="35"/>
        <v>1402176.2000000002</v>
      </c>
      <c r="Y47" s="97"/>
      <c r="Z47" s="97"/>
      <c r="AA47" s="97"/>
      <c r="AB47" s="97"/>
      <c r="AC47" s="97"/>
      <c r="AD47" s="97"/>
    </row>
    <row r="48" spans="1:30" ht="12.75" customHeight="1" x14ac:dyDescent="0.2">
      <c r="A48" s="55" t="s">
        <v>82</v>
      </c>
      <c r="B48" s="99">
        <v>428699.1</v>
      </c>
      <c r="C48" s="98">
        <v>-505180.4</v>
      </c>
      <c r="D48" s="99">
        <f t="shared" ref="D48" si="39">SUM(B48:C48)</f>
        <v>-76481.300000000047</v>
      </c>
      <c r="E48" s="98"/>
      <c r="F48" s="103">
        <v>273246</v>
      </c>
      <c r="G48" s="99">
        <f>175202.1+78586</f>
        <v>253788.1</v>
      </c>
      <c r="H48" s="98"/>
      <c r="I48" s="102">
        <f>14621.9+35319.3</f>
        <v>49941.200000000004</v>
      </c>
      <c r="J48" s="100">
        <v>90564.7</v>
      </c>
      <c r="K48" s="99">
        <v>277913.90000000002</v>
      </c>
      <c r="L48" s="101">
        <v>-231612.3</v>
      </c>
      <c r="M48" s="98">
        <v>-26290.400000000001</v>
      </c>
      <c r="N48" s="99">
        <f t="shared" si="32"/>
        <v>687551.19999999984</v>
      </c>
      <c r="O48" s="98"/>
      <c r="P48" s="98">
        <f>6928.3+132.8</f>
        <v>7061.1</v>
      </c>
      <c r="Q48" s="99">
        <f>759876.7+42173.8</f>
        <v>802050.5</v>
      </c>
      <c r="R48" s="102">
        <v>27.1</v>
      </c>
      <c r="S48" s="98">
        <f t="shared" ref="S48" si="40">SUM(P48:R48)</f>
        <v>809138.7</v>
      </c>
      <c r="T48" s="99">
        <f t="shared" si="34"/>
        <v>1496689.9</v>
      </c>
      <c r="U48" s="99">
        <f t="shared" si="35"/>
        <v>1420208.5999999999</v>
      </c>
      <c r="Y48" s="97"/>
      <c r="Z48" s="97"/>
      <c r="AA48" s="97"/>
      <c r="AB48" s="97"/>
      <c r="AC48" s="97"/>
      <c r="AD48" s="97"/>
    </row>
    <row r="49" spans="1:30" ht="12.75" customHeight="1" x14ac:dyDescent="0.2">
      <c r="A49" s="55"/>
      <c r="B49" s="48"/>
      <c r="C49" s="47"/>
      <c r="D49" s="48"/>
      <c r="E49" s="47"/>
      <c r="F49" s="54"/>
      <c r="G49" s="48"/>
      <c r="H49" s="47"/>
      <c r="I49" s="53"/>
      <c r="J49" s="49"/>
      <c r="K49" s="75"/>
      <c r="L49" s="50"/>
      <c r="M49" s="47"/>
      <c r="N49" s="48"/>
      <c r="O49" s="47"/>
      <c r="P49" s="47"/>
      <c r="Q49" s="48"/>
      <c r="R49" s="53"/>
      <c r="S49" s="47"/>
      <c r="T49" s="48"/>
      <c r="U49" s="48"/>
      <c r="Y49" s="6"/>
      <c r="Z49" s="6"/>
      <c r="AA49" s="6"/>
      <c r="AB49" s="6"/>
      <c r="AC49" s="6"/>
      <c r="AD49" s="6"/>
    </row>
    <row r="50" spans="1:30" ht="12.75" customHeight="1" x14ac:dyDescent="0.2">
      <c r="A50" s="55" t="s">
        <v>120</v>
      </c>
      <c r="B50" s="99">
        <v>338029.5</v>
      </c>
      <c r="C50" s="98">
        <v>-499384.5</v>
      </c>
      <c r="D50" s="99">
        <f t="shared" ref="D50" si="41">SUM(B50:C50)</f>
        <v>-161355</v>
      </c>
      <c r="E50" s="98"/>
      <c r="F50" s="103">
        <v>273246</v>
      </c>
      <c r="G50" s="99">
        <f>216514.6+80380.2</f>
        <v>296894.8</v>
      </c>
      <c r="H50" s="98"/>
      <c r="I50" s="102">
        <f>14402.5+34871.9</f>
        <v>49274.400000000001</v>
      </c>
      <c r="J50" s="100">
        <v>86384.8</v>
      </c>
      <c r="K50" s="99">
        <v>275994.3</v>
      </c>
      <c r="L50" s="101">
        <v>-231166.7</v>
      </c>
      <c r="M50" s="98">
        <v>-25759.7</v>
      </c>
      <c r="N50" s="99">
        <f t="shared" ref="N50:N51" si="42">SUM( (F50:M50))</f>
        <v>724867.90000000014</v>
      </c>
      <c r="O50" s="98"/>
      <c r="P50" s="98">
        <f>3163.7+132</f>
        <v>3295.7</v>
      </c>
      <c r="Q50" s="99">
        <f>770988.3+44136.9</f>
        <v>815125.20000000007</v>
      </c>
      <c r="R50" s="102">
        <v>22.2</v>
      </c>
      <c r="S50" s="98">
        <f t="shared" ref="S50:S51" si="43">SUM(P50:R50)</f>
        <v>818443.1</v>
      </c>
      <c r="T50" s="99">
        <f t="shared" ref="T50:T51" si="44">SUM(N50,S50)</f>
        <v>1543311</v>
      </c>
      <c r="U50" s="99">
        <f t="shared" ref="U50:U51" si="45">SUM(D50,T50)</f>
        <v>1381956</v>
      </c>
      <c r="Y50" s="97"/>
      <c r="Z50" s="97"/>
      <c r="AA50" s="97"/>
      <c r="AB50" s="97"/>
      <c r="AC50" s="97"/>
      <c r="AD50" s="97"/>
    </row>
    <row r="51" spans="1:30" ht="12.75" customHeight="1" x14ac:dyDescent="0.2">
      <c r="A51" s="55" t="s">
        <v>114</v>
      </c>
      <c r="B51" s="99">
        <v>329059.09999999998</v>
      </c>
      <c r="C51" s="98">
        <v>-495277</v>
      </c>
      <c r="D51" s="99">
        <f t="shared" ref="D51" si="46">SUM(B51:C51)</f>
        <v>-166217.90000000002</v>
      </c>
      <c r="E51" s="98"/>
      <c r="F51" s="103">
        <v>292750.7</v>
      </c>
      <c r="G51" s="99">
        <f>267467.3+81275.6</f>
        <v>348742.9</v>
      </c>
      <c r="H51" s="98"/>
      <c r="I51" s="102">
        <f>14402.5+36105</f>
        <v>50507.5</v>
      </c>
      <c r="J51" s="100">
        <v>83598.2</v>
      </c>
      <c r="K51" s="99">
        <v>274074.7</v>
      </c>
      <c r="L51" s="101">
        <v>-220680.1</v>
      </c>
      <c r="M51" s="98">
        <v>-41438.5</v>
      </c>
      <c r="N51" s="99">
        <f t="shared" si="42"/>
        <v>787555.4</v>
      </c>
      <c r="O51" s="98"/>
      <c r="P51" s="98">
        <f>6802.1+132</f>
        <v>6934.1</v>
      </c>
      <c r="Q51" s="99">
        <f>45260.2+787410.6</f>
        <v>832670.79999999993</v>
      </c>
      <c r="R51" s="102">
        <v>59.2</v>
      </c>
      <c r="S51" s="98">
        <f t="shared" si="43"/>
        <v>839664.09999999986</v>
      </c>
      <c r="T51" s="99">
        <f t="shared" si="44"/>
        <v>1627219.5</v>
      </c>
      <c r="U51" s="99">
        <f t="shared" si="45"/>
        <v>1461001.6</v>
      </c>
      <c r="Y51" s="97"/>
      <c r="Z51" s="97"/>
      <c r="AA51" s="97"/>
      <c r="AB51" s="97"/>
      <c r="AC51" s="97"/>
      <c r="AD51" s="97"/>
    </row>
    <row r="52" spans="1:30" ht="11.25" hidden="1" customHeight="1" x14ac:dyDescent="0.2">
      <c r="A52" s="33" t="s">
        <v>43</v>
      </c>
      <c r="B52" s="48">
        <v>324199.19999999995</v>
      </c>
      <c r="C52" s="47">
        <v>-184434.09999999998</v>
      </c>
      <c r="D52" s="48">
        <f t="shared" ref="D52:D120" si="47">SUM(B52:C52)</f>
        <v>139765.09999999998</v>
      </c>
      <c r="E52" s="47"/>
      <c r="F52" s="47">
        <v>158139.70000000001</v>
      </c>
      <c r="G52" s="48">
        <v>40422.300000000003</v>
      </c>
      <c r="H52" s="47" t="s">
        <v>31</v>
      </c>
      <c r="I52" s="48">
        <v>5716.8</v>
      </c>
      <c r="J52" s="76" t="s">
        <v>31</v>
      </c>
      <c r="K52" s="73" t="s">
        <v>31</v>
      </c>
      <c r="L52" s="50">
        <v>-80650.5</v>
      </c>
      <c r="M52" s="47">
        <v>-9941.8999999999978</v>
      </c>
      <c r="N52" s="48">
        <f t="shared" ref="N52:N120" si="48">SUM( (F52:M52))</f>
        <v>113686.39999999999</v>
      </c>
      <c r="O52" s="47"/>
      <c r="P52" s="47">
        <v>10299.700000000001</v>
      </c>
      <c r="Q52" s="48">
        <v>244272</v>
      </c>
      <c r="R52" s="53">
        <v>78.7</v>
      </c>
      <c r="S52" s="47">
        <f t="shared" ref="S52:S120" si="49">SUM(P52:R52)</f>
        <v>254650.40000000002</v>
      </c>
      <c r="T52" s="48">
        <f t="shared" ref="T52:T120" si="50">SUM(N52,S52)</f>
        <v>368336.80000000005</v>
      </c>
      <c r="U52" s="48">
        <f t="shared" ref="U52:U120" si="51">SUM(D52,T52)</f>
        <v>508101.9</v>
      </c>
      <c r="Y52" s="6"/>
      <c r="Z52" s="6"/>
      <c r="AA52" s="6"/>
      <c r="AB52" s="6"/>
      <c r="AC52" s="6"/>
      <c r="AD52" s="6"/>
    </row>
    <row r="53" spans="1:30" ht="11.25" hidden="1" customHeight="1" x14ac:dyDescent="0.2">
      <c r="A53" s="33" t="s">
        <v>91</v>
      </c>
      <c r="B53" s="48">
        <v>325100</v>
      </c>
      <c r="C53" s="47">
        <v>-184585.59999999998</v>
      </c>
      <c r="D53" s="48">
        <f t="shared" si="47"/>
        <v>140514.40000000002</v>
      </c>
      <c r="E53" s="47"/>
      <c r="F53" s="47">
        <v>163802</v>
      </c>
      <c r="G53" s="48">
        <v>45903.700000000004</v>
      </c>
      <c r="H53" s="47" t="s">
        <v>31</v>
      </c>
      <c r="I53" s="48">
        <v>6455.1</v>
      </c>
      <c r="J53" s="76" t="s">
        <v>31</v>
      </c>
      <c r="K53" s="73" t="s">
        <v>31</v>
      </c>
      <c r="L53" s="50">
        <v>-76162.8</v>
      </c>
      <c r="M53" s="47">
        <v>-9334.5</v>
      </c>
      <c r="N53" s="48">
        <f t="shared" si="48"/>
        <v>130663.5</v>
      </c>
      <c r="O53" s="47"/>
      <c r="P53" s="47">
        <v>9839.8000000000011</v>
      </c>
      <c r="Q53" s="48">
        <v>242229.19999999995</v>
      </c>
      <c r="R53" s="53">
        <v>106.1</v>
      </c>
      <c r="S53" s="47">
        <f t="shared" si="49"/>
        <v>252175.09999999995</v>
      </c>
      <c r="T53" s="48">
        <f t="shared" si="50"/>
        <v>382838.6</v>
      </c>
      <c r="U53" s="48">
        <f t="shared" si="51"/>
        <v>523353</v>
      </c>
      <c r="Y53" s="6"/>
      <c r="Z53" s="6"/>
      <c r="AA53" s="6"/>
      <c r="AB53" s="6"/>
      <c r="AC53" s="6"/>
      <c r="AD53" s="6"/>
    </row>
    <row r="54" spans="1:30" ht="11.25" hidden="1" customHeight="1" x14ac:dyDescent="0.2">
      <c r="A54" s="33" t="s">
        <v>92</v>
      </c>
      <c r="B54" s="48">
        <v>344697.19999999995</v>
      </c>
      <c r="C54" s="47">
        <v>-198670.19999999998</v>
      </c>
      <c r="D54" s="48">
        <f t="shared" si="47"/>
        <v>146026.99999999997</v>
      </c>
      <c r="E54" s="47"/>
      <c r="F54" s="47">
        <v>173616.9</v>
      </c>
      <c r="G54" s="48">
        <v>45833.200000000004</v>
      </c>
      <c r="H54" s="47" t="s">
        <v>31</v>
      </c>
      <c r="I54" s="48">
        <v>6355.2999999999993</v>
      </c>
      <c r="J54" s="76" t="s">
        <v>31</v>
      </c>
      <c r="K54" s="73" t="s">
        <v>31</v>
      </c>
      <c r="L54" s="50">
        <v>-80802.399999999994</v>
      </c>
      <c r="M54" s="47">
        <v>-11101.600000000002</v>
      </c>
      <c r="N54" s="48">
        <f t="shared" si="48"/>
        <v>133901.4</v>
      </c>
      <c r="O54" s="47"/>
      <c r="P54" s="47">
        <v>10314.500000000002</v>
      </c>
      <c r="Q54" s="48">
        <v>247195.5</v>
      </c>
      <c r="R54" s="53">
        <v>105.1</v>
      </c>
      <c r="S54" s="47">
        <f t="shared" si="49"/>
        <v>257615.1</v>
      </c>
      <c r="T54" s="48">
        <f t="shared" si="50"/>
        <v>391516.5</v>
      </c>
      <c r="U54" s="48">
        <f t="shared" si="51"/>
        <v>537543.5</v>
      </c>
      <c r="Y54" s="6"/>
      <c r="Z54" s="6"/>
      <c r="AA54" s="6"/>
      <c r="AB54" s="6"/>
      <c r="AC54" s="6"/>
      <c r="AD54" s="6"/>
    </row>
    <row r="55" spans="1:30" ht="11.25" hidden="1" customHeight="1" x14ac:dyDescent="0.2">
      <c r="A55" s="33" t="s">
        <v>93</v>
      </c>
      <c r="B55" s="48">
        <v>339070.19999999995</v>
      </c>
      <c r="C55" s="47">
        <v>-191290.6</v>
      </c>
      <c r="D55" s="48">
        <f t="shared" si="47"/>
        <v>147779.59999999995</v>
      </c>
      <c r="E55" s="47"/>
      <c r="F55" s="47">
        <v>179672.1</v>
      </c>
      <c r="G55" s="48">
        <v>45133.200000000004</v>
      </c>
      <c r="H55" s="47" t="s">
        <v>31</v>
      </c>
      <c r="I55" s="48">
        <v>8615.6999999999989</v>
      </c>
      <c r="J55" s="76" t="s">
        <v>31</v>
      </c>
      <c r="K55" s="73" t="s">
        <v>31</v>
      </c>
      <c r="L55" s="50">
        <v>-91461.199999999983</v>
      </c>
      <c r="M55" s="47">
        <v>-11534.699999999999</v>
      </c>
      <c r="N55" s="48">
        <f t="shared" si="48"/>
        <v>130425.10000000005</v>
      </c>
      <c r="O55" s="47"/>
      <c r="P55" s="47">
        <v>9919.4</v>
      </c>
      <c r="Q55" s="48">
        <v>249729.59999999998</v>
      </c>
      <c r="R55" s="53">
        <v>104.3</v>
      </c>
      <c r="S55" s="47">
        <f t="shared" si="49"/>
        <v>259753.29999999996</v>
      </c>
      <c r="T55" s="48">
        <f t="shared" si="50"/>
        <v>390178.4</v>
      </c>
      <c r="U55" s="48">
        <f t="shared" si="51"/>
        <v>537958</v>
      </c>
      <c r="Y55" s="6"/>
      <c r="Z55" s="6"/>
      <c r="AA55" s="6"/>
      <c r="AB55" s="6"/>
      <c r="AC55" s="6"/>
      <c r="AD55" s="6"/>
    </row>
    <row r="56" spans="1:30" ht="11.25" hidden="1" customHeight="1" x14ac:dyDescent="0.2">
      <c r="A56" s="33" t="s">
        <v>94</v>
      </c>
      <c r="B56" s="48">
        <v>328346.80000000005</v>
      </c>
      <c r="C56" s="47">
        <v>-190117.7</v>
      </c>
      <c r="D56" s="48">
        <f t="shared" si="47"/>
        <v>138229.10000000003</v>
      </c>
      <c r="E56" s="47"/>
      <c r="F56" s="47">
        <v>182582.3</v>
      </c>
      <c r="G56" s="48">
        <v>41329.000000000007</v>
      </c>
      <c r="H56" s="47" t="s">
        <v>31</v>
      </c>
      <c r="I56" s="48">
        <v>5455.2</v>
      </c>
      <c r="J56" s="76" t="s">
        <v>31</v>
      </c>
      <c r="K56" s="73" t="s">
        <v>31</v>
      </c>
      <c r="L56" s="50">
        <v>-89225.523000000016</v>
      </c>
      <c r="M56" s="47">
        <v>-10026.699999999999</v>
      </c>
      <c r="N56" s="48">
        <f t="shared" si="48"/>
        <v>130114.27699999999</v>
      </c>
      <c r="O56" s="47"/>
      <c r="P56" s="47">
        <v>10294.299999999999</v>
      </c>
      <c r="Q56" s="48">
        <v>252206.8</v>
      </c>
      <c r="R56" s="53">
        <v>104.4</v>
      </c>
      <c r="S56" s="47">
        <f t="shared" si="49"/>
        <v>262605.5</v>
      </c>
      <c r="T56" s="48">
        <f t="shared" si="50"/>
        <v>392719.777</v>
      </c>
      <c r="U56" s="48">
        <f t="shared" si="51"/>
        <v>530948.87700000009</v>
      </c>
      <c r="Y56" s="6"/>
      <c r="Z56" s="6"/>
      <c r="AA56" s="6"/>
      <c r="AB56" s="6"/>
      <c r="AC56" s="6"/>
      <c r="AD56" s="6"/>
    </row>
    <row r="57" spans="1:30" ht="11.25" hidden="1" customHeight="1" x14ac:dyDescent="0.2">
      <c r="A57" s="33" t="s">
        <v>95</v>
      </c>
      <c r="B57" s="48">
        <v>334435.8</v>
      </c>
      <c r="C57" s="47">
        <v>-198066.4</v>
      </c>
      <c r="D57" s="48">
        <f t="shared" si="47"/>
        <v>136369.4</v>
      </c>
      <c r="E57" s="47"/>
      <c r="F57" s="47">
        <v>185113.8</v>
      </c>
      <c r="G57" s="48">
        <v>41529.000000000007</v>
      </c>
      <c r="H57" s="47" t="s">
        <v>31</v>
      </c>
      <c r="I57" s="48">
        <v>8094.9999999999991</v>
      </c>
      <c r="J57" s="76" t="s">
        <v>31</v>
      </c>
      <c r="K57" s="73" t="s">
        <v>31</v>
      </c>
      <c r="L57" s="50">
        <v>-82143.100000000006</v>
      </c>
      <c r="M57" s="47">
        <v>-10096.199999999999</v>
      </c>
      <c r="N57" s="48">
        <f t="shared" si="48"/>
        <v>142498.49999999997</v>
      </c>
      <c r="O57" s="47"/>
      <c r="P57" s="47">
        <v>13453.2</v>
      </c>
      <c r="Q57" s="48">
        <v>264577.7</v>
      </c>
      <c r="R57" s="53">
        <v>101.8</v>
      </c>
      <c r="S57" s="47">
        <f t="shared" si="49"/>
        <v>278132.7</v>
      </c>
      <c r="T57" s="48">
        <f t="shared" si="50"/>
        <v>420631.19999999995</v>
      </c>
      <c r="U57" s="48">
        <f t="shared" si="51"/>
        <v>557000.6</v>
      </c>
      <c r="Y57" s="6"/>
      <c r="Z57" s="6"/>
      <c r="AA57" s="6"/>
      <c r="AB57" s="6"/>
      <c r="AC57" s="6"/>
      <c r="AD57" s="6"/>
    </row>
    <row r="58" spans="1:30" ht="11.25" hidden="1" customHeight="1" x14ac:dyDescent="0.2">
      <c r="A58" s="33" t="s">
        <v>96</v>
      </c>
      <c r="B58" s="48">
        <v>350965.29999999993</v>
      </c>
      <c r="C58" s="47">
        <v>-208838.80000000002</v>
      </c>
      <c r="D58" s="48">
        <f t="shared" si="47"/>
        <v>142126.49999999991</v>
      </c>
      <c r="E58" s="47"/>
      <c r="F58" s="47">
        <v>177924.3</v>
      </c>
      <c r="G58" s="48">
        <v>36988.600000000006</v>
      </c>
      <c r="H58" s="47" t="s">
        <v>31</v>
      </c>
      <c r="I58" s="48">
        <v>7141.4999999999991</v>
      </c>
      <c r="J58" s="76" t="s">
        <v>31</v>
      </c>
      <c r="K58" s="73" t="s">
        <v>31</v>
      </c>
      <c r="L58" s="50">
        <v>-79103.600000000006</v>
      </c>
      <c r="M58" s="47">
        <v>-9264.6999999999989</v>
      </c>
      <c r="N58" s="48">
        <f t="shared" si="48"/>
        <v>133686.09999999998</v>
      </c>
      <c r="O58" s="47"/>
      <c r="P58" s="47">
        <v>24453.9</v>
      </c>
      <c r="Q58" s="48">
        <v>272442</v>
      </c>
      <c r="R58" s="53">
        <v>102.39999999999999</v>
      </c>
      <c r="S58" s="47">
        <f t="shared" si="49"/>
        <v>296998.30000000005</v>
      </c>
      <c r="T58" s="48">
        <f t="shared" si="50"/>
        <v>430684.4</v>
      </c>
      <c r="U58" s="48">
        <f t="shared" si="51"/>
        <v>572810.89999999991</v>
      </c>
      <c r="Y58" s="6"/>
      <c r="Z58" s="6"/>
      <c r="AA58" s="6"/>
      <c r="AB58" s="6"/>
      <c r="AC58" s="6"/>
      <c r="AD58" s="6"/>
    </row>
    <row r="59" spans="1:30" ht="11.25" hidden="1" customHeight="1" x14ac:dyDescent="0.2">
      <c r="A59" s="33" t="s">
        <v>97</v>
      </c>
      <c r="B59" s="48">
        <v>363720.5</v>
      </c>
      <c r="C59" s="47">
        <v>-200580.1</v>
      </c>
      <c r="D59" s="48">
        <f t="shared" si="47"/>
        <v>163140.4</v>
      </c>
      <c r="E59" s="47"/>
      <c r="F59" s="47">
        <v>181494.5</v>
      </c>
      <c r="G59" s="48">
        <v>36785.300000000003</v>
      </c>
      <c r="H59" s="47" t="s">
        <v>31</v>
      </c>
      <c r="I59" s="48">
        <v>6802.3</v>
      </c>
      <c r="J59" s="76" t="s">
        <v>31</v>
      </c>
      <c r="K59" s="73" t="s">
        <v>31</v>
      </c>
      <c r="L59" s="50">
        <v>-100291.5</v>
      </c>
      <c r="M59" s="47">
        <v>-9613.6999999999989</v>
      </c>
      <c r="N59" s="48">
        <f t="shared" si="48"/>
        <v>115176.89999999998</v>
      </c>
      <c r="O59" s="47"/>
      <c r="P59" s="47">
        <v>30871.9</v>
      </c>
      <c r="Q59" s="48">
        <v>276545.29999999993</v>
      </c>
      <c r="R59" s="53">
        <v>90.899999999999991</v>
      </c>
      <c r="S59" s="47">
        <f t="shared" si="49"/>
        <v>307508.09999999998</v>
      </c>
      <c r="T59" s="48">
        <f t="shared" si="50"/>
        <v>422684.99999999994</v>
      </c>
      <c r="U59" s="48">
        <f t="shared" si="51"/>
        <v>585825.39999999991</v>
      </c>
      <c r="Y59" s="6"/>
      <c r="Z59" s="6"/>
      <c r="AA59" s="6"/>
      <c r="AB59" s="6"/>
      <c r="AC59" s="6"/>
      <c r="AD59" s="6"/>
    </row>
    <row r="60" spans="1:30" hidden="1" x14ac:dyDescent="0.2">
      <c r="A60" s="33" t="s">
        <v>98</v>
      </c>
      <c r="B60" s="48">
        <v>382424</v>
      </c>
      <c r="C60" s="47">
        <v>-202379.49999999997</v>
      </c>
      <c r="D60" s="48">
        <f t="shared" si="47"/>
        <v>180044.50000000003</v>
      </c>
      <c r="E60" s="47"/>
      <c r="F60" s="47">
        <v>167686.39999999999</v>
      </c>
      <c r="G60" s="48">
        <v>44894.8</v>
      </c>
      <c r="H60" s="47" t="s">
        <v>31</v>
      </c>
      <c r="I60" s="48">
        <v>8461.1999999999989</v>
      </c>
      <c r="J60" s="76" t="s">
        <v>31</v>
      </c>
      <c r="K60" s="73" t="s">
        <v>31</v>
      </c>
      <c r="L60" s="50">
        <v>-100084</v>
      </c>
      <c r="M60" s="47">
        <v>-9456.2000000000007</v>
      </c>
      <c r="N60" s="48">
        <f t="shared" si="48"/>
        <v>111502.20000000003</v>
      </c>
      <c r="O60" s="47"/>
      <c r="P60" s="47">
        <v>32137.000000000004</v>
      </c>
      <c r="Q60" s="48">
        <v>281855.79999999993</v>
      </c>
      <c r="R60" s="53">
        <v>93</v>
      </c>
      <c r="S60" s="47">
        <f t="shared" si="49"/>
        <v>314085.79999999993</v>
      </c>
      <c r="T60" s="48">
        <f t="shared" si="50"/>
        <v>425587.99999999994</v>
      </c>
      <c r="U60" s="48">
        <f t="shared" si="51"/>
        <v>605632.5</v>
      </c>
      <c r="Y60" s="6"/>
      <c r="Z60" s="6"/>
      <c r="AA60" s="6"/>
      <c r="AB60" s="6"/>
      <c r="AC60" s="6"/>
      <c r="AD60" s="6"/>
    </row>
    <row r="61" spans="1:30" hidden="1" x14ac:dyDescent="0.2">
      <c r="A61" s="33" t="s">
        <v>99</v>
      </c>
      <c r="B61" s="48">
        <v>387016.3</v>
      </c>
      <c r="C61" s="47">
        <v>-197402.9</v>
      </c>
      <c r="D61" s="48">
        <f t="shared" si="47"/>
        <v>189613.4</v>
      </c>
      <c r="E61" s="47"/>
      <c r="F61" s="47">
        <v>161646.39999999999</v>
      </c>
      <c r="G61" s="48">
        <v>43894.8</v>
      </c>
      <c r="H61" s="47" t="s">
        <v>31</v>
      </c>
      <c r="I61" s="48">
        <v>8187.4000000000005</v>
      </c>
      <c r="J61" s="76" t="s">
        <v>31</v>
      </c>
      <c r="K61" s="73" t="s">
        <v>31</v>
      </c>
      <c r="L61" s="50">
        <v>-101960.4</v>
      </c>
      <c r="M61" s="47">
        <v>-11011.5</v>
      </c>
      <c r="N61" s="48">
        <f t="shared" si="48"/>
        <v>100756.70000000001</v>
      </c>
      <c r="O61" s="47"/>
      <c r="P61" s="47">
        <v>28078.799999999999</v>
      </c>
      <c r="Q61" s="48">
        <v>296734.5</v>
      </c>
      <c r="R61" s="53">
        <v>129.9</v>
      </c>
      <c r="S61" s="47">
        <f t="shared" si="49"/>
        <v>324943.2</v>
      </c>
      <c r="T61" s="48">
        <f t="shared" si="50"/>
        <v>425699.9</v>
      </c>
      <c r="U61" s="48">
        <f t="shared" si="51"/>
        <v>615313.30000000005</v>
      </c>
      <c r="Y61" s="6"/>
      <c r="Z61" s="6"/>
      <c r="AA61" s="6"/>
      <c r="AB61" s="6"/>
      <c r="AC61" s="6"/>
      <c r="AD61" s="6"/>
    </row>
    <row r="62" spans="1:30" ht="11.25" hidden="1" customHeight="1" x14ac:dyDescent="0.2">
      <c r="A62" s="33" t="s">
        <v>100</v>
      </c>
      <c r="B62" s="48">
        <v>406233.19999999995</v>
      </c>
      <c r="C62" s="47">
        <v>-201049.40000000002</v>
      </c>
      <c r="D62" s="48">
        <f t="shared" si="47"/>
        <v>205183.79999999993</v>
      </c>
      <c r="E62" s="47"/>
      <c r="F62" s="47">
        <v>146839.90000000002</v>
      </c>
      <c r="G62" s="48">
        <v>50394.8</v>
      </c>
      <c r="H62" s="47" t="s">
        <v>31</v>
      </c>
      <c r="I62" s="48">
        <v>8038.0999999999995</v>
      </c>
      <c r="J62" s="76" t="s">
        <v>31</v>
      </c>
      <c r="K62" s="73" t="s">
        <v>31</v>
      </c>
      <c r="L62" s="50">
        <v>-100347.6</v>
      </c>
      <c r="M62" s="47">
        <v>-9960.7000000000007</v>
      </c>
      <c r="N62" s="48">
        <f t="shared" si="48"/>
        <v>94964.500000000015</v>
      </c>
      <c r="O62" s="47"/>
      <c r="P62" s="47">
        <v>25182.399999999998</v>
      </c>
      <c r="Q62" s="48">
        <v>296224.40000000002</v>
      </c>
      <c r="R62" s="53">
        <v>126.60000000000001</v>
      </c>
      <c r="S62" s="47">
        <f t="shared" si="49"/>
        <v>321533.40000000002</v>
      </c>
      <c r="T62" s="48">
        <f t="shared" si="50"/>
        <v>416497.9</v>
      </c>
      <c r="U62" s="48">
        <f t="shared" si="51"/>
        <v>621681.69999999995</v>
      </c>
      <c r="Y62" s="6"/>
      <c r="Z62" s="6"/>
      <c r="AA62" s="6"/>
      <c r="AB62" s="6"/>
      <c r="AC62" s="6"/>
      <c r="AD62" s="6"/>
    </row>
    <row r="63" spans="1:30" hidden="1" x14ac:dyDescent="0.2">
      <c r="A63" s="33" t="s">
        <v>101</v>
      </c>
      <c r="B63" s="48">
        <v>460258.8000000001</v>
      </c>
      <c r="C63" s="47">
        <v>-207480.90000000002</v>
      </c>
      <c r="D63" s="48">
        <f t="shared" si="47"/>
        <v>252777.90000000008</v>
      </c>
      <c r="E63" s="47"/>
      <c r="F63" s="47">
        <v>170798.9</v>
      </c>
      <c r="G63" s="48">
        <v>59394.8</v>
      </c>
      <c r="H63" s="47" t="s">
        <v>31</v>
      </c>
      <c r="I63" s="48">
        <v>10160.4</v>
      </c>
      <c r="J63" s="76" t="s">
        <v>31</v>
      </c>
      <c r="K63" s="73" t="s">
        <v>31</v>
      </c>
      <c r="L63" s="50">
        <v>-125950.69999999998</v>
      </c>
      <c r="M63" s="47">
        <v>-11736.2</v>
      </c>
      <c r="N63" s="48">
        <f t="shared" si="48"/>
        <v>102667.20000000003</v>
      </c>
      <c r="O63" s="47"/>
      <c r="P63" s="47">
        <v>22280.7</v>
      </c>
      <c r="Q63" s="48">
        <v>290913.59999999998</v>
      </c>
      <c r="R63" s="53">
        <v>120.8</v>
      </c>
      <c r="S63" s="47">
        <f t="shared" si="49"/>
        <v>313315.09999999998</v>
      </c>
      <c r="T63" s="48">
        <f t="shared" si="50"/>
        <v>415982.3</v>
      </c>
      <c r="U63" s="48">
        <f t="shared" si="51"/>
        <v>668760.20000000007</v>
      </c>
      <c r="Y63" s="6"/>
      <c r="Z63" s="6"/>
      <c r="AA63" s="6"/>
      <c r="AB63" s="6"/>
      <c r="AC63" s="6"/>
      <c r="AD63" s="6"/>
    </row>
    <row r="64" spans="1:30" hidden="1" x14ac:dyDescent="0.2">
      <c r="A64" s="33"/>
      <c r="B64" s="48"/>
      <c r="C64" s="47"/>
      <c r="D64" s="48"/>
      <c r="E64" s="47"/>
      <c r="F64" s="47"/>
      <c r="G64" s="48"/>
      <c r="H64" s="47"/>
      <c r="I64" s="48"/>
      <c r="J64" s="76"/>
      <c r="K64" s="73"/>
      <c r="L64" s="50"/>
      <c r="M64" s="47"/>
      <c r="N64" s="48"/>
      <c r="O64" s="47"/>
      <c r="P64" s="47"/>
      <c r="Q64" s="48"/>
      <c r="R64" s="53"/>
      <c r="S64" s="47"/>
      <c r="T64" s="48"/>
      <c r="U64" s="48"/>
      <c r="Y64" s="6"/>
      <c r="Z64" s="6"/>
      <c r="AA64" s="6"/>
      <c r="AB64" s="6"/>
      <c r="AC64" s="6"/>
      <c r="AD64" s="6"/>
    </row>
    <row r="65" spans="1:30" hidden="1" x14ac:dyDescent="0.2">
      <c r="A65" s="33" t="s">
        <v>45</v>
      </c>
      <c r="B65" s="48">
        <v>428193.8</v>
      </c>
      <c r="C65" s="47">
        <v>-200419.9</v>
      </c>
      <c r="D65" s="48">
        <f t="shared" si="47"/>
        <v>227773.9</v>
      </c>
      <c r="E65" s="47"/>
      <c r="F65" s="47">
        <v>148190.5</v>
      </c>
      <c r="G65" s="48">
        <v>55894.8</v>
      </c>
      <c r="H65" s="47" t="s">
        <v>31</v>
      </c>
      <c r="I65" s="48">
        <v>7509.5999999999995</v>
      </c>
      <c r="J65" s="76" t="s">
        <v>31</v>
      </c>
      <c r="K65" s="73" t="s">
        <v>31</v>
      </c>
      <c r="L65" s="50">
        <v>-107306.6</v>
      </c>
      <c r="M65" s="47">
        <v>-11146.4</v>
      </c>
      <c r="N65" s="48">
        <f t="shared" si="48"/>
        <v>93141.9</v>
      </c>
      <c r="O65" s="47"/>
      <c r="P65" s="47">
        <v>20046.699999999997</v>
      </c>
      <c r="Q65" s="48">
        <v>292259</v>
      </c>
      <c r="R65" s="53">
        <v>116.7</v>
      </c>
      <c r="S65" s="47">
        <f t="shared" si="49"/>
        <v>312422.40000000002</v>
      </c>
      <c r="T65" s="48">
        <f t="shared" si="50"/>
        <v>405564.30000000005</v>
      </c>
      <c r="U65" s="48">
        <f t="shared" si="51"/>
        <v>633338.20000000007</v>
      </c>
      <c r="Y65" s="6"/>
      <c r="Z65" s="6"/>
      <c r="AA65" s="6"/>
      <c r="AB65" s="6"/>
      <c r="AC65" s="6"/>
      <c r="AD65" s="6"/>
    </row>
    <row r="66" spans="1:30" hidden="1" x14ac:dyDescent="0.2">
      <c r="A66" s="33" t="s">
        <v>91</v>
      </c>
      <c r="B66" s="48">
        <v>421469.4</v>
      </c>
      <c r="C66" s="47">
        <v>-208329.19999999998</v>
      </c>
      <c r="D66" s="48">
        <f t="shared" si="47"/>
        <v>213140.20000000004</v>
      </c>
      <c r="E66" s="47"/>
      <c r="F66" s="47">
        <v>154147.90000000002</v>
      </c>
      <c r="G66" s="48">
        <v>62894.8</v>
      </c>
      <c r="H66" s="47" t="s">
        <v>31</v>
      </c>
      <c r="I66" s="48">
        <v>7195.5</v>
      </c>
      <c r="J66" s="76" t="s">
        <v>31</v>
      </c>
      <c r="K66" s="73" t="s">
        <v>31</v>
      </c>
      <c r="L66" s="50">
        <v>-104535.93200000002</v>
      </c>
      <c r="M66" s="47">
        <v>-13227.599999999999</v>
      </c>
      <c r="N66" s="48">
        <f t="shared" si="48"/>
        <v>106474.66800000001</v>
      </c>
      <c r="O66" s="47"/>
      <c r="P66" s="47">
        <v>16247</v>
      </c>
      <c r="Q66" s="48">
        <v>295757.5</v>
      </c>
      <c r="R66" s="53">
        <v>130.70000000000002</v>
      </c>
      <c r="S66" s="47">
        <f t="shared" si="49"/>
        <v>312135.2</v>
      </c>
      <c r="T66" s="48">
        <f t="shared" si="50"/>
        <v>418609.86800000002</v>
      </c>
      <c r="U66" s="48">
        <f t="shared" si="51"/>
        <v>631750.06800000009</v>
      </c>
      <c r="Y66" s="6"/>
      <c r="Z66" s="6"/>
      <c r="AA66" s="6"/>
      <c r="AB66" s="6"/>
      <c r="AC66" s="6"/>
      <c r="AD66" s="6"/>
    </row>
    <row r="67" spans="1:30" ht="13.5" hidden="1" customHeight="1" x14ac:dyDescent="0.2">
      <c r="A67" s="33" t="s">
        <v>92</v>
      </c>
      <c r="B67" s="48">
        <v>407089.9</v>
      </c>
      <c r="C67" s="47">
        <v>-210947.69999999998</v>
      </c>
      <c r="D67" s="48">
        <f t="shared" si="47"/>
        <v>196142.20000000004</v>
      </c>
      <c r="E67" s="47"/>
      <c r="F67" s="47">
        <v>157525.1</v>
      </c>
      <c r="G67" s="48">
        <v>67087.5</v>
      </c>
      <c r="H67" s="47" t="s">
        <v>31</v>
      </c>
      <c r="I67" s="48">
        <v>7001.2</v>
      </c>
      <c r="J67" s="76" t="s">
        <v>31</v>
      </c>
      <c r="K67" s="73" t="s">
        <v>31</v>
      </c>
      <c r="L67" s="50">
        <v>-101821.9</v>
      </c>
      <c r="M67" s="47">
        <v>-10745.9</v>
      </c>
      <c r="N67" s="48">
        <f t="shared" si="48"/>
        <v>119046.00000000003</v>
      </c>
      <c r="O67" s="47"/>
      <c r="P67" s="47">
        <v>12984.5</v>
      </c>
      <c r="Q67" s="48">
        <v>303954.20000000007</v>
      </c>
      <c r="R67" s="53">
        <v>126.7</v>
      </c>
      <c r="S67" s="47">
        <f t="shared" si="49"/>
        <v>317065.40000000008</v>
      </c>
      <c r="T67" s="48">
        <f t="shared" si="50"/>
        <v>436111.40000000014</v>
      </c>
      <c r="U67" s="48">
        <f t="shared" si="51"/>
        <v>632253.60000000021</v>
      </c>
      <c r="Y67" s="6"/>
      <c r="Z67" s="6"/>
      <c r="AA67" s="6"/>
      <c r="AB67" s="6"/>
      <c r="AC67" s="6"/>
      <c r="AD67" s="6"/>
    </row>
    <row r="68" spans="1:30" ht="11.25" hidden="1" customHeight="1" x14ac:dyDescent="0.2">
      <c r="A68" s="33" t="s">
        <v>93</v>
      </c>
      <c r="B68" s="48">
        <v>397929.4</v>
      </c>
      <c r="C68" s="47">
        <v>-219245.69999999998</v>
      </c>
      <c r="D68" s="48">
        <f t="shared" si="47"/>
        <v>178683.70000000004</v>
      </c>
      <c r="E68" s="47"/>
      <c r="F68" s="47">
        <v>163693.70000000001</v>
      </c>
      <c r="G68" s="48">
        <v>67187.5</v>
      </c>
      <c r="H68" s="47" t="s">
        <v>31</v>
      </c>
      <c r="I68" s="48">
        <v>9057.5</v>
      </c>
      <c r="J68" s="76" t="s">
        <v>31</v>
      </c>
      <c r="K68" s="73" t="s">
        <v>31</v>
      </c>
      <c r="L68" s="50">
        <v>-93936.799999999988</v>
      </c>
      <c r="M68" s="47">
        <v>-11639.400000000003</v>
      </c>
      <c r="N68" s="48">
        <f t="shared" si="48"/>
        <v>134362.50000000003</v>
      </c>
      <c r="O68" s="47"/>
      <c r="P68" s="47">
        <v>11658.1</v>
      </c>
      <c r="Q68" s="48">
        <v>307197.7</v>
      </c>
      <c r="R68" s="53">
        <v>152.1</v>
      </c>
      <c r="S68" s="47">
        <f t="shared" si="49"/>
        <v>319007.89999999997</v>
      </c>
      <c r="T68" s="48">
        <f t="shared" si="50"/>
        <v>453370.4</v>
      </c>
      <c r="U68" s="48">
        <f t="shared" si="51"/>
        <v>632054.10000000009</v>
      </c>
      <c r="Y68" s="6"/>
      <c r="Z68" s="6"/>
      <c r="AA68" s="6"/>
      <c r="AB68" s="6"/>
      <c r="AC68" s="6"/>
      <c r="AD68" s="6"/>
    </row>
    <row r="69" spans="1:30" ht="11.25" hidden="1" customHeight="1" x14ac:dyDescent="0.2">
      <c r="A69" s="33" t="s">
        <v>94</v>
      </c>
      <c r="B69" s="48">
        <v>404191.00000000006</v>
      </c>
      <c r="C69" s="47">
        <v>-162760.49999999997</v>
      </c>
      <c r="D69" s="48">
        <f t="shared" si="47"/>
        <v>241430.50000000009</v>
      </c>
      <c r="E69" s="47"/>
      <c r="F69" s="47">
        <v>131037.20000000001</v>
      </c>
      <c r="G69" s="48">
        <v>104028.7</v>
      </c>
      <c r="H69" s="47" t="s">
        <v>31</v>
      </c>
      <c r="I69" s="48">
        <v>6744.9</v>
      </c>
      <c r="J69" s="76" t="s">
        <v>31</v>
      </c>
      <c r="K69" s="73" t="s">
        <v>31</v>
      </c>
      <c r="L69" s="50">
        <v>-127228.60000000002</v>
      </c>
      <c r="M69" s="47">
        <v>-10597.9</v>
      </c>
      <c r="N69" s="48">
        <f t="shared" si="48"/>
        <v>103984.3</v>
      </c>
      <c r="O69" s="47"/>
      <c r="P69" s="47">
        <v>10241.200000000001</v>
      </c>
      <c r="Q69" s="48">
        <v>312434.30000000005</v>
      </c>
      <c r="R69" s="53">
        <v>146.30000000000001</v>
      </c>
      <c r="S69" s="47">
        <f t="shared" si="49"/>
        <v>322821.80000000005</v>
      </c>
      <c r="T69" s="48">
        <f t="shared" si="50"/>
        <v>426806.10000000003</v>
      </c>
      <c r="U69" s="48">
        <f t="shared" si="51"/>
        <v>668236.60000000009</v>
      </c>
      <c r="Y69" s="6"/>
      <c r="Z69" s="6"/>
      <c r="AA69" s="6"/>
      <c r="AB69" s="6"/>
      <c r="AC69" s="6"/>
      <c r="AD69" s="6"/>
    </row>
    <row r="70" spans="1:30" ht="11.25" hidden="1" customHeight="1" x14ac:dyDescent="0.2">
      <c r="A70" s="33" t="s">
        <v>95</v>
      </c>
      <c r="B70" s="48">
        <v>401678.1</v>
      </c>
      <c r="C70" s="47">
        <v>-166458.5</v>
      </c>
      <c r="D70" s="48">
        <f t="shared" si="47"/>
        <v>235219.59999999998</v>
      </c>
      <c r="E70" s="47"/>
      <c r="F70" s="47">
        <v>153145.30000000002</v>
      </c>
      <c r="G70" s="48">
        <v>101503.8</v>
      </c>
      <c r="H70" s="47" t="s">
        <v>31</v>
      </c>
      <c r="I70" s="48">
        <v>9746.6</v>
      </c>
      <c r="J70" s="76" t="s">
        <v>31</v>
      </c>
      <c r="K70" s="73" t="s">
        <v>31</v>
      </c>
      <c r="L70" s="50">
        <v>-125064.5</v>
      </c>
      <c r="M70" s="47">
        <v>-13685.099999999999</v>
      </c>
      <c r="N70" s="48">
        <f t="shared" si="48"/>
        <v>125646.1</v>
      </c>
      <c r="O70" s="47"/>
      <c r="P70" s="47">
        <v>11230.6</v>
      </c>
      <c r="Q70" s="48">
        <v>317811.99999999994</v>
      </c>
      <c r="R70" s="53">
        <v>142.10000000000002</v>
      </c>
      <c r="S70" s="47">
        <f t="shared" si="49"/>
        <v>329184.6999999999</v>
      </c>
      <c r="T70" s="48">
        <f t="shared" si="50"/>
        <v>454830.79999999993</v>
      </c>
      <c r="U70" s="48">
        <f t="shared" si="51"/>
        <v>690050.39999999991</v>
      </c>
      <c r="Y70" s="6"/>
      <c r="Z70" s="6"/>
      <c r="AA70" s="6"/>
      <c r="AB70" s="6"/>
      <c r="AC70" s="6"/>
      <c r="AD70" s="6"/>
    </row>
    <row r="71" spans="1:30" ht="11.25" hidden="1" customHeight="1" x14ac:dyDescent="0.2">
      <c r="A71" s="33" t="s">
        <v>96</v>
      </c>
      <c r="B71" s="48">
        <v>391542.30000000005</v>
      </c>
      <c r="C71" s="47">
        <v>-173624</v>
      </c>
      <c r="D71" s="48">
        <f t="shared" si="47"/>
        <v>217918.30000000005</v>
      </c>
      <c r="E71" s="47"/>
      <c r="F71" s="47">
        <v>147058</v>
      </c>
      <c r="G71" s="48">
        <v>106836</v>
      </c>
      <c r="H71" s="47" t="s">
        <v>31</v>
      </c>
      <c r="I71" s="48">
        <v>7339.3</v>
      </c>
      <c r="J71" s="76" t="s">
        <v>31</v>
      </c>
      <c r="K71" s="73" t="s">
        <v>31</v>
      </c>
      <c r="L71" s="50">
        <v>-115672.20000000001</v>
      </c>
      <c r="M71" s="47">
        <v>-12756.2</v>
      </c>
      <c r="N71" s="48">
        <f t="shared" si="48"/>
        <v>132804.89999999997</v>
      </c>
      <c r="O71" s="47"/>
      <c r="P71" s="47">
        <v>15357.499999999998</v>
      </c>
      <c r="Q71" s="48">
        <v>321973.89999999997</v>
      </c>
      <c r="R71" s="53">
        <v>429.20000000000005</v>
      </c>
      <c r="S71" s="47">
        <f t="shared" si="49"/>
        <v>337760.6</v>
      </c>
      <c r="T71" s="48">
        <f t="shared" si="50"/>
        <v>470565.49999999994</v>
      </c>
      <c r="U71" s="48">
        <f t="shared" si="51"/>
        <v>688483.8</v>
      </c>
      <c r="Y71" s="6"/>
      <c r="Z71" s="6"/>
      <c r="AA71" s="6"/>
      <c r="AB71" s="6"/>
      <c r="AC71" s="6"/>
      <c r="AD71" s="6"/>
    </row>
    <row r="72" spans="1:30" ht="11.25" hidden="1" customHeight="1" x14ac:dyDescent="0.2">
      <c r="A72" s="33" t="s">
        <v>97</v>
      </c>
      <c r="B72" s="48">
        <v>493609.5</v>
      </c>
      <c r="C72" s="47">
        <v>-287573.09999999998</v>
      </c>
      <c r="D72" s="48">
        <f t="shared" si="47"/>
        <v>206036.40000000002</v>
      </c>
      <c r="E72" s="47"/>
      <c r="F72" s="47">
        <v>156341.6</v>
      </c>
      <c r="G72" s="48">
        <v>106418.7</v>
      </c>
      <c r="H72" s="47" t="s">
        <v>31</v>
      </c>
      <c r="I72" s="48">
        <v>7169.7000000000007</v>
      </c>
      <c r="J72" s="76" t="s">
        <v>31</v>
      </c>
      <c r="K72" s="73" t="s">
        <v>31</v>
      </c>
      <c r="L72" s="50">
        <v>-110405.90000000001</v>
      </c>
      <c r="M72" s="47">
        <v>-11905</v>
      </c>
      <c r="N72" s="48">
        <f t="shared" si="48"/>
        <v>147619.09999999998</v>
      </c>
      <c r="O72" s="47"/>
      <c r="P72" s="47">
        <v>17017.199999999997</v>
      </c>
      <c r="Q72" s="48">
        <v>323142.69999999995</v>
      </c>
      <c r="R72" s="53">
        <v>405.20000000000005</v>
      </c>
      <c r="S72" s="47">
        <f t="shared" si="49"/>
        <v>340565.1</v>
      </c>
      <c r="T72" s="48">
        <f t="shared" si="50"/>
        <v>488184.19999999995</v>
      </c>
      <c r="U72" s="48">
        <f t="shared" si="51"/>
        <v>694220.6</v>
      </c>
      <c r="Y72" s="6"/>
      <c r="Z72" s="6"/>
      <c r="AA72" s="6"/>
      <c r="AB72" s="6"/>
      <c r="AC72" s="6"/>
      <c r="AD72" s="6"/>
    </row>
    <row r="73" spans="1:30" ht="11.25" hidden="1" customHeight="1" x14ac:dyDescent="0.2">
      <c r="A73" s="33" t="s">
        <v>98</v>
      </c>
      <c r="B73" s="48">
        <v>518794.80000000005</v>
      </c>
      <c r="C73" s="47">
        <v>-298425.7</v>
      </c>
      <c r="D73" s="48">
        <f t="shared" si="47"/>
        <v>220369.10000000003</v>
      </c>
      <c r="E73" s="47"/>
      <c r="F73" s="47">
        <v>138074.1</v>
      </c>
      <c r="G73" s="48">
        <v>112536.70000000001</v>
      </c>
      <c r="H73" s="47" t="s">
        <v>31</v>
      </c>
      <c r="I73" s="48">
        <v>7131.5</v>
      </c>
      <c r="J73" s="76" t="s">
        <v>31</v>
      </c>
      <c r="K73" s="73" t="s">
        <v>31</v>
      </c>
      <c r="L73" s="50">
        <v>-103970.1</v>
      </c>
      <c r="M73" s="47">
        <v>-13697.7</v>
      </c>
      <c r="N73" s="48">
        <f t="shared" si="48"/>
        <v>140074.5</v>
      </c>
      <c r="O73" s="47"/>
      <c r="P73" s="47">
        <v>14512.600000000002</v>
      </c>
      <c r="Q73" s="48">
        <v>335427.80000000005</v>
      </c>
      <c r="R73" s="53">
        <v>396.70000000000005</v>
      </c>
      <c r="S73" s="47">
        <f t="shared" si="49"/>
        <v>350337.10000000003</v>
      </c>
      <c r="T73" s="48">
        <f t="shared" si="50"/>
        <v>490411.60000000003</v>
      </c>
      <c r="U73" s="48">
        <f t="shared" si="51"/>
        <v>710780.70000000007</v>
      </c>
      <c r="Y73" s="6"/>
      <c r="Z73" s="6"/>
      <c r="AA73" s="6"/>
      <c r="AB73" s="6"/>
      <c r="AC73" s="6"/>
      <c r="AD73" s="6"/>
    </row>
    <row r="74" spans="1:30" ht="11.25" hidden="1" customHeight="1" x14ac:dyDescent="0.2">
      <c r="A74" s="33" t="s">
        <v>99</v>
      </c>
      <c r="B74" s="48">
        <v>514095.8</v>
      </c>
      <c r="C74" s="47">
        <v>-299875.8</v>
      </c>
      <c r="D74" s="48">
        <f t="shared" si="47"/>
        <v>214220</v>
      </c>
      <c r="E74" s="47"/>
      <c r="F74" s="47">
        <v>148531</v>
      </c>
      <c r="G74" s="48">
        <v>114194.3</v>
      </c>
      <c r="H74" s="47" t="s">
        <v>31</v>
      </c>
      <c r="I74" s="48">
        <v>7362.5999999999995</v>
      </c>
      <c r="J74" s="76" t="s">
        <v>31</v>
      </c>
      <c r="K74" s="73" t="s">
        <v>31</v>
      </c>
      <c r="L74" s="50">
        <v>-104100.2</v>
      </c>
      <c r="M74" s="47">
        <v>-15167.399999999998</v>
      </c>
      <c r="N74" s="48">
        <f t="shared" si="48"/>
        <v>150820.29999999996</v>
      </c>
      <c r="O74" s="47"/>
      <c r="P74" s="47">
        <v>12979.600000000002</v>
      </c>
      <c r="Q74" s="48">
        <v>344554.30000000005</v>
      </c>
      <c r="R74" s="53">
        <v>295.3</v>
      </c>
      <c r="S74" s="47">
        <f t="shared" si="49"/>
        <v>357829.2</v>
      </c>
      <c r="T74" s="48">
        <f t="shared" si="50"/>
        <v>508649.5</v>
      </c>
      <c r="U74" s="48">
        <f t="shared" si="51"/>
        <v>722869.5</v>
      </c>
      <c r="Y74" s="6"/>
      <c r="Z74" s="6"/>
      <c r="AA74" s="6"/>
      <c r="AB74" s="6"/>
      <c r="AC74" s="6"/>
      <c r="AD74" s="6"/>
    </row>
    <row r="75" spans="1:30" ht="11.25" hidden="1" customHeight="1" x14ac:dyDescent="0.2">
      <c r="A75" s="33" t="s">
        <v>100</v>
      </c>
      <c r="B75" s="48">
        <v>514269.20000000007</v>
      </c>
      <c r="C75" s="47">
        <v>-303065.40000000002</v>
      </c>
      <c r="D75" s="48">
        <f t="shared" si="47"/>
        <v>211203.80000000005</v>
      </c>
      <c r="E75" s="47"/>
      <c r="F75" s="47">
        <v>174575.8</v>
      </c>
      <c r="G75" s="48">
        <v>102484.1</v>
      </c>
      <c r="H75" s="47" t="s">
        <v>31</v>
      </c>
      <c r="I75" s="48">
        <v>7249.3</v>
      </c>
      <c r="J75" s="76" t="s">
        <v>31</v>
      </c>
      <c r="K75" s="73" t="s">
        <v>31</v>
      </c>
      <c r="L75" s="50">
        <v>-123884.8</v>
      </c>
      <c r="M75" s="47">
        <v>-15123.200000000003</v>
      </c>
      <c r="N75" s="48">
        <f t="shared" si="48"/>
        <v>145301.20000000001</v>
      </c>
      <c r="O75" s="47"/>
      <c r="P75" s="47">
        <v>10562.000000000002</v>
      </c>
      <c r="Q75" s="48">
        <v>356903.9</v>
      </c>
      <c r="R75" s="53">
        <v>277</v>
      </c>
      <c r="S75" s="47">
        <f t="shared" si="49"/>
        <v>367742.9</v>
      </c>
      <c r="T75" s="48">
        <f t="shared" si="50"/>
        <v>513044.10000000003</v>
      </c>
      <c r="U75" s="48">
        <f t="shared" si="51"/>
        <v>724247.90000000014</v>
      </c>
      <c r="Y75" s="6"/>
      <c r="Z75" s="6"/>
      <c r="AA75" s="6"/>
      <c r="AB75" s="6"/>
      <c r="AC75" s="6"/>
      <c r="AD75" s="6"/>
    </row>
    <row r="76" spans="1:30" ht="11.25" hidden="1" customHeight="1" x14ac:dyDescent="0.2">
      <c r="A76" s="33" t="s">
        <v>101</v>
      </c>
      <c r="B76" s="48">
        <v>556720.30000000005</v>
      </c>
      <c r="C76" s="47">
        <v>-293987.49999999994</v>
      </c>
      <c r="D76" s="48">
        <f t="shared" si="47"/>
        <v>262732.8000000001</v>
      </c>
      <c r="E76" s="47"/>
      <c r="F76" s="47">
        <v>215622.30000000002</v>
      </c>
      <c r="G76" s="48">
        <v>100906.6</v>
      </c>
      <c r="H76" s="47" t="s">
        <v>31</v>
      </c>
      <c r="I76" s="48">
        <v>11980.5</v>
      </c>
      <c r="J76" s="76" t="s">
        <v>31</v>
      </c>
      <c r="K76" s="73" t="s">
        <v>31</v>
      </c>
      <c r="L76" s="50">
        <v>-134063.79999999999</v>
      </c>
      <c r="M76" s="47">
        <v>-14842.5</v>
      </c>
      <c r="N76" s="48">
        <f t="shared" si="48"/>
        <v>179603.10000000003</v>
      </c>
      <c r="O76" s="47"/>
      <c r="P76" s="47">
        <v>9204.2000000000025</v>
      </c>
      <c r="Q76" s="48">
        <v>355047.5</v>
      </c>
      <c r="R76" s="53">
        <v>497.1</v>
      </c>
      <c r="S76" s="47">
        <f t="shared" si="49"/>
        <v>364748.79999999999</v>
      </c>
      <c r="T76" s="48">
        <f t="shared" si="50"/>
        <v>544351.9</v>
      </c>
      <c r="U76" s="48">
        <f t="shared" si="51"/>
        <v>807084.70000000019</v>
      </c>
      <c r="Y76" s="6"/>
      <c r="Z76" s="6"/>
      <c r="AA76" s="6"/>
      <c r="AB76" s="6"/>
      <c r="AC76" s="6"/>
      <c r="AD76" s="6"/>
    </row>
    <row r="77" spans="1:30" ht="11.25" hidden="1" customHeight="1" x14ac:dyDescent="0.2">
      <c r="A77" s="33"/>
      <c r="B77" s="48"/>
      <c r="C77" s="47"/>
      <c r="D77" s="48"/>
      <c r="E77" s="47"/>
      <c r="F77" s="47"/>
      <c r="G77" s="48"/>
      <c r="H77" s="47"/>
      <c r="I77" s="48"/>
      <c r="J77" s="76"/>
      <c r="K77" s="73"/>
      <c r="L77" s="50"/>
      <c r="M77" s="47"/>
      <c r="N77" s="48"/>
      <c r="O77" s="47"/>
      <c r="P77" s="47"/>
      <c r="Q77" s="48"/>
      <c r="R77" s="53"/>
      <c r="S77" s="47"/>
      <c r="T77" s="48"/>
      <c r="U77" s="48"/>
      <c r="Y77" s="6"/>
      <c r="Z77" s="6"/>
      <c r="AA77" s="6"/>
      <c r="AB77" s="6"/>
      <c r="AC77" s="6"/>
      <c r="AD77" s="6"/>
    </row>
    <row r="78" spans="1:30" ht="11.25" hidden="1" customHeight="1" x14ac:dyDescent="0.2">
      <c r="A78" s="33" t="s">
        <v>49</v>
      </c>
      <c r="B78" s="48">
        <v>561525.70000000007</v>
      </c>
      <c r="C78" s="47">
        <v>-292443.90000000002</v>
      </c>
      <c r="D78" s="48">
        <f t="shared" si="47"/>
        <v>269081.80000000005</v>
      </c>
      <c r="E78" s="47"/>
      <c r="F78" s="47">
        <v>161824.1</v>
      </c>
      <c r="G78" s="48">
        <v>99957.6</v>
      </c>
      <c r="H78" s="47" t="s">
        <v>31</v>
      </c>
      <c r="I78" s="48">
        <v>10079.199999999999</v>
      </c>
      <c r="J78" s="48">
        <v>6525</v>
      </c>
      <c r="K78" s="73" t="s">
        <v>31</v>
      </c>
      <c r="L78" s="50">
        <v>-135142.20000000001</v>
      </c>
      <c r="M78" s="47">
        <v>-12646.6</v>
      </c>
      <c r="N78" s="48">
        <f t="shared" si="48"/>
        <v>130597.1</v>
      </c>
      <c r="O78" s="47"/>
      <c r="P78" s="47">
        <v>8021.1</v>
      </c>
      <c r="Q78" s="48">
        <v>357380.6</v>
      </c>
      <c r="R78" s="53">
        <v>363.6</v>
      </c>
      <c r="S78" s="47">
        <f t="shared" si="49"/>
        <v>365765.29999999993</v>
      </c>
      <c r="T78" s="48">
        <f t="shared" si="50"/>
        <v>496362.39999999991</v>
      </c>
      <c r="U78" s="48">
        <f t="shared" si="51"/>
        <v>765444.2</v>
      </c>
      <c r="Y78" s="6"/>
      <c r="Z78" s="6"/>
      <c r="AA78" s="6"/>
      <c r="AB78" s="6"/>
      <c r="AC78" s="6"/>
      <c r="AD78" s="6"/>
    </row>
    <row r="79" spans="1:30" ht="11.25" hidden="1" customHeight="1" x14ac:dyDescent="0.2">
      <c r="A79" s="33" t="s">
        <v>91</v>
      </c>
      <c r="B79" s="48">
        <v>569698</v>
      </c>
      <c r="C79" s="47">
        <v>-299200.8</v>
      </c>
      <c r="D79" s="48">
        <f t="shared" si="47"/>
        <v>270497.2</v>
      </c>
      <c r="E79" s="47"/>
      <c r="F79" s="47">
        <v>171434.6</v>
      </c>
      <c r="G79" s="48">
        <v>100184.4</v>
      </c>
      <c r="H79" s="47" t="s">
        <v>31</v>
      </c>
      <c r="I79" s="48">
        <v>9814</v>
      </c>
      <c r="J79" s="48">
        <v>6525</v>
      </c>
      <c r="K79" s="73" t="s">
        <v>31</v>
      </c>
      <c r="L79" s="50">
        <v>-145574.20000000001</v>
      </c>
      <c r="M79" s="47">
        <v>-14153.599999999999</v>
      </c>
      <c r="N79" s="48">
        <f t="shared" si="48"/>
        <v>128230.19999999998</v>
      </c>
      <c r="O79" s="47"/>
      <c r="P79" s="47">
        <v>7189</v>
      </c>
      <c r="Q79" s="48">
        <v>368619.1</v>
      </c>
      <c r="R79" s="53">
        <v>457.29999999999995</v>
      </c>
      <c r="S79" s="47">
        <f t="shared" si="49"/>
        <v>376265.39999999997</v>
      </c>
      <c r="T79" s="48">
        <f t="shared" si="50"/>
        <v>504495.6</v>
      </c>
      <c r="U79" s="48">
        <f t="shared" si="51"/>
        <v>774992.8</v>
      </c>
      <c r="W79" s="5">
        <f>U79-774991.8</f>
        <v>1</v>
      </c>
      <c r="Y79" s="6"/>
      <c r="Z79" s="6"/>
      <c r="AA79" s="6"/>
      <c r="AB79" s="6"/>
      <c r="AC79" s="6"/>
      <c r="AD79" s="6"/>
    </row>
    <row r="80" spans="1:30" ht="11.25" hidden="1" customHeight="1" x14ac:dyDescent="0.2">
      <c r="A80" s="33" t="s">
        <v>92</v>
      </c>
      <c r="B80" s="48">
        <v>552267.30000000005</v>
      </c>
      <c r="C80" s="47">
        <v>-295548.10000000003</v>
      </c>
      <c r="D80" s="48">
        <f t="shared" si="47"/>
        <v>256719.2</v>
      </c>
      <c r="E80" s="47"/>
      <c r="F80" s="47">
        <v>154941.59999999998</v>
      </c>
      <c r="G80" s="48">
        <v>115655.2</v>
      </c>
      <c r="H80" s="47" t="s">
        <v>31</v>
      </c>
      <c r="I80" s="48">
        <v>9282.0000000000018</v>
      </c>
      <c r="J80" s="48">
        <v>18525</v>
      </c>
      <c r="K80" s="73" t="s">
        <v>31</v>
      </c>
      <c r="L80" s="50">
        <v>-137226.5</v>
      </c>
      <c r="M80" s="47">
        <v>-15411</v>
      </c>
      <c r="N80" s="48">
        <f t="shared" si="48"/>
        <v>145766.29999999999</v>
      </c>
      <c r="O80" s="47"/>
      <c r="P80" s="47">
        <v>7059.8000000000011</v>
      </c>
      <c r="Q80" s="48">
        <v>377237.60000000009</v>
      </c>
      <c r="R80" s="53">
        <v>462.8</v>
      </c>
      <c r="S80" s="47">
        <f t="shared" si="49"/>
        <v>384760.20000000007</v>
      </c>
      <c r="T80" s="48">
        <f t="shared" si="50"/>
        <v>530526.5</v>
      </c>
      <c r="U80" s="48">
        <f t="shared" si="51"/>
        <v>787245.7</v>
      </c>
      <c r="Y80" s="6"/>
      <c r="Z80" s="6"/>
      <c r="AA80" s="6"/>
      <c r="AB80" s="6"/>
      <c r="AC80" s="6"/>
      <c r="AD80" s="6"/>
    </row>
    <row r="81" spans="1:30" ht="11.25" hidden="1" customHeight="1" x14ac:dyDescent="0.2">
      <c r="A81" s="33" t="s">
        <v>93</v>
      </c>
      <c r="B81" s="48">
        <v>531491.50000000012</v>
      </c>
      <c r="C81" s="47">
        <v>-299073.90000000002</v>
      </c>
      <c r="D81" s="48">
        <f t="shared" si="47"/>
        <v>232417.60000000009</v>
      </c>
      <c r="E81" s="47"/>
      <c r="F81" s="47">
        <v>45521.4</v>
      </c>
      <c r="G81" s="48">
        <v>73986.7</v>
      </c>
      <c r="H81" s="47" t="s">
        <v>31</v>
      </c>
      <c r="I81" s="48">
        <v>9385.4</v>
      </c>
      <c r="J81" s="48">
        <v>18525</v>
      </c>
      <c r="K81" s="75">
        <v>147596</v>
      </c>
      <c r="L81" s="50">
        <v>-121266.80000000002</v>
      </c>
      <c r="M81" s="47">
        <v>-15187.500000000004</v>
      </c>
      <c r="N81" s="48">
        <f t="shared" si="48"/>
        <v>158560.19999999998</v>
      </c>
      <c r="O81" s="47"/>
      <c r="P81" s="47">
        <v>6983.4000000000005</v>
      </c>
      <c r="Q81" s="48">
        <v>384575.9</v>
      </c>
      <c r="R81" s="53">
        <v>429.1</v>
      </c>
      <c r="S81" s="47">
        <f t="shared" si="49"/>
        <v>391988.4</v>
      </c>
      <c r="T81" s="48">
        <f t="shared" si="50"/>
        <v>550548.6</v>
      </c>
      <c r="U81" s="48">
        <f t="shared" si="51"/>
        <v>782966.20000000007</v>
      </c>
      <c r="Y81" s="6"/>
      <c r="Z81" s="6"/>
      <c r="AA81" s="6"/>
      <c r="AB81" s="6"/>
      <c r="AC81" s="6"/>
      <c r="AD81" s="6"/>
    </row>
    <row r="82" spans="1:30" ht="11.25" hidden="1" customHeight="1" x14ac:dyDescent="0.2">
      <c r="A82" s="33" t="s">
        <v>94</v>
      </c>
      <c r="B82" s="48">
        <v>498996.80000000005</v>
      </c>
      <c r="C82" s="47">
        <v>-289210</v>
      </c>
      <c r="D82" s="48">
        <f t="shared" si="47"/>
        <v>209786.80000000005</v>
      </c>
      <c r="E82" s="47"/>
      <c r="F82" s="47">
        <v>24665.8</v>
      </c>
      <c r="G82" s="48">
        <v>87492.3</v>
      </c>
      <c r="H82" s="47" t="s">
        <v>31</v>
      </c>
      <c r="I82" s="48">
        <v>8601.4</v>
      </c>
      <c r="J82" s="48">
        <v>18525</v>
      </c>
      <c r="K82" s="75">
        <v>147287.9</v>
      </c>
      <c r="L82" s="50">
        <v>-109494.59999999999</v>
      </c>
      <c r="M82" s="47">
        <v>-14048.7</v>
      </c>
      <c r="N82" s="48">
        <f t="shared" si="48"/>
        <v>163029.10000000003</v>
      </c>
      <c r="O82" s="47"/>
      <c r="P82" s="47">
        <v>8973.7000000000007</v>
      </c>
      <c r="Q82" s="48">
        <v>389881.09999999992</v>
      </c>
      <c r="R82" s="53">
        <v>595.79999999999995</v>
      </c>
      <c r="S82" s="47">
        <f t="shared" si="49"/>
        <v>399450.59999999992</v>
      </c>
      <c r="T82" s="48">
        <f t="shared" si="50"/>
        <v>562479.69999999995</v>
      </c>
      <c r="U82" s="48">
        <f t="shared" si="51"/>
        <v>772266.5</v>
      </c>
      <c r="Y82" s="6"/>
      <c r="Z82" s="6"/>
      <c r="AA82" s="6"/>
      <c r="AB82" s="6"/>
      <c r="AC82" s="6"/>
      <c r="AD82" s="6"/>
    </row>
    <row r="83" spans="1:30" ht="11.25" hidden="1" customHeight="1" x14ac:dyDescent="0.2">
      <c r="A83" s="33" t="s">
        <v>95</v>
      </c>
      <c r="B83" s="48">
        <v>485502.69999999995</v>
      </c>
      <c r="C83" s="47">
        <v>-290429.60000000003</v>
      </c>
      <c r="D83" s="48">
        <f t="shared" si="47"/>
        <v>195073.09999999992</v>
      </c>
      <c r="E83" s="47"/>
      <c r="F83" s="47">
        <v>33331.199999999997</v>
      </c>
      <c r="G83" s="48">
        <v>79835.3</v>
      </c>
      <c r="H83" s="47" t="s">
        <v>31</v>
      </c>
      <c r="I83" s="48">
        <v>10424.999999999998</v>
      </c>
      <c r="J83" s="48">
        <v>40525</v>
      </c>
      <c r="K83" s="75">
        <v>146979.70000000001</v>
      </c>
      <c r="L83" s="50">
        <v>-114309.09999999999</v>
      </c>
      <c r="M83" s="47">
        <v>-15094.000000000002</v>
      </c>
      <c r="N83" s="48">
        <f t="shared" si="48"/>
        <v>181693.10000000003</v>
      </c>
      <c r="O83" s="47"/>
      <c r="P83" s="47">
        <v>10498.300000000001</v>
      </c>
      <c r="Q83" s="48">
        <v>415908.50000000006</v>
      </c>
      <c r="R83" s="53">
        <v>512.09999999999991</v>
      </c>
      <c r="S83" s="47">
        <f t="shared" si="49"/>
        <v>426918.9</v>
      </c>
      <c r="T83" s="48">
        <f t="shared" si="50"/>
        <v>608612</v>
      </c>
      <c r="U83" s="48">
        <f t="shared" si="51"/>
        <v>803685.09999999986</v>
      </c>
      <c r="Y83" s="6"/>
      <c r="Z83" s="6"/>
      <c r="AA83" s="6"/>
      <c r="AB83" s="6"/>
      <c r="AC83" s="6"/>
      <c r="AD83" s="6"/>
    </row>
    <row r="84" spans="1:30" ht="11.25" hidden="1" customHeight="1" x14ac:dyDescent="0.2">
      <c r="A84" s="33" t="s">
        <v>96</v>
      </c>
      <c r="B84" s="48">
        <v>500593.7</v>
      </c>
      <c r="C84" s="47">
        <v>-300633.80000000005</v>
      </c>
      <c r="D84" s="48">
        <f t="shared" si="47"/>
        <v>199959.89999999997</v>
      </c>
      <c r="E84" s="47"/>
      <c r="F84" s="47">
        <v>30261.7</v>
      </c>
      <c r="G84" s="48">
        <v>77712.3</v>
      </c>
      <c r="H84" s="47" t="s">
        <v>31</v>
      </c>
      <c r="I84" s="48">
        <v>11291.300000000001</v>
      </c>
      <c r="J84" s="48">
        <v>50525</v>
      </c>
      <c r="K84" s="75">
        <v>146671.6</v>
      </c>
      <c r="L84" s="50">
        <v>-104343</v>
      </c>
      <c r="M84" s="47">
        <v>-17832.2</v>
      </c>
      <c r="N84" s="48">
        <f t="shared" si="48"/>
        <v>194286.7</v>
      </c>
      <c r="O84" s="47"/>
      <c r="P84" s="47">
        <v>24947</v>
      </c>
      <c r="Q84" s="48">
        <v>420878.3</v>
      </c>
      <c r="R84" s="53">
        <v>677.2</v>
      </c>
      <c r="S84" s="47">
        <f t="shared" si="49"/>
        <v>446502.5</v>
      </c>
      <c r="T84" s="48">
        <f t="shared" si="50"/>
        <v>640789.19999999995</v>
      </c>
      <c r="U84" s="48">
        <f t="shared" si="51"/>
        <v>840749.09999999986</v>
      </c>
      <c r="Y84" s="6"/>
      <c r="Z84" s="6"/>
      <c r="AA84" s="6"/>
      <c r="AB84" s="6"/>
      <c r="AC84" s="6"/>
      <c r="AD84" s="6"/>
    </row>
    <row r="85" spans="1:30" ht="12" hidden="1" customHeight="1" x14ac:dyDescent="0.2">
      <c r="A85" s="33" t="s">
        <v>97</v>
      </c>
      <c r="B85" s="48">
        <v>492033.1</v>
      </c>
      <c r="C85" s="47">
        <v>-308182.3</v>
      </c>
      <c r="D85" s="48">
        <f t="shared" si="47"/>
        <v>183850.8</v>
      </c>
      <c r="E85" s="47"/>
      <c r="F85" s="47">
        <v>37841.9</v>
      </c>
      <c r="G85" s="48">
        <v>88076.800000000003</v>
      </c>
      <c r="H85" s="47" t="s">
        <v>31</v>
      </c>
      <c r="I85" s="48">
        <v>10998.499999999998</v>
      </c>
      <c r="J85" s="48">
        <v>50525</v>
      </c>
      <c r="K85" s="75">
        <v>146363.5</v>
      </c>
      <c r="L85" s="50">
        <v>-116379.92</v>
      </c>
      <c r="M85" s="47">
        <v>-14284.900000000001</v>
      </c>
      <c r="N85" s="48">
        <f t="shared" si="48"/>
        <v>203140.88000000003</v>
      </c>
      <c r="O85" s="47"/>
      <c r="P85" s="47">
        <v>24907.299999999996</v>
      </c>
      <c r="Q85" s="48">
        <v>434372.69999999995</v>
      </c>
      <c r="R85" s="53">
        <v>678.59999999999991</v>
      </c>
      <c r="S85" s="47">
        <f t="shared" si="49"/>
        <v>459958.59999999992</v>
      </c>
      <c r="T85" s="48">
        <f t="shared" si="50"/>
        <v>663099.48</v>
      </c>
      <c r="U85" s="48">
        <f t="shared" si="51"/>
        <v>846950.28</v>
      </c>
      <c r="Y85" s="6"/>
      <c r="Z85" s="6"/>
      <c r="AA85" s="6"/>
      <c r="AB85" s="6"/>
      <c r="AC85" s="6"/>
      <c r="AD85" s="6"/>
    </row>
    <row r="86" spans="1:30" ht="12" hidden="1" customHeight="1" x14ac:dyDescent="0.2">
      <c r="A86" s="33" t="s">
        <v>98</v>
      </c>
      <c r="B86" s="48">
        <v>484285.80000000005</v>
      </c>
      <c r="C86" s="47">
        <v>-317965.89999999997</v>
      </c>
      <c r="D86" s="48">
        <f t="shared" si="47"/>
        <v>166319.90000000008</v>
      </c>
      <c r="E86" s="47"/>
      <c r="F86" s="47">
        <v>37014.199999999997</v>
      </c>
      <c r="G86" s="48">
        <v>98442.900000000009</v>
      </c>
      <c r="H86" s="47" t="s">
        <v>31</v>
      </c>
      <c r="I86" s="48">
        <v>10299.9</v>
      </c>
      <c r="J86" s="48">
        <v>50525</v>
      </c>
      <c r="K86" s="75">
        <v>146055.29999999999</v>
      </c>
      <c r="L86" s="50">
        <v>-109029</v>
      </c>
      <c r="M86" s="47">
        <v>-13247.7</v>
      </c>
      <c r="N86" s="48">
        <f t="shared" si="48"/>
        <v>220060.59999999998</v>
      </c>
      <c r="O86" s="47"/>
      <c r="P86" s="47">
        <v>21888.899999999998</v>
      </c>
      <c r="Q86" s="48">
        <v>445162.19999999995</v>
      </c>
      <c r="R86" s="53">
        <v>647.79999999999995</v>
      </c>
      <c r="S86" s="47">
        <f t="shared" si="49"/>
        <v>467698.89999999997</v>
      </c>
      <c r="T86" s="48">
        <f t="shared" si="50"/>
        <v>687759.5</v>
      </c>
      <c r="U86" s="48">
        <f t="shared" si="51"/>
        <v>854079.40000000014</v>
      </c>
      <c r="Y86" s="6"/>
      <c r="Z86" s="6"/>
      <c r="AA86" s="6"/>
      <c r="AB86" s="6"/>
      <c r="AC86" s="6"/>
      <c r="AD86" s="6"/>
    </row>
    <row r="87" spans="1:30" ht="12" hidden="1" customHeight="1" x14ac:dyDescent="0.2">
      <c r="A87" s="33" t="s">
        <v>99</v>
      </c>
      <c r="B87" s="48">
        <v>496202.5</v>
      </c>
      <c r="C87" s="47">
        <v>-323025.3</v>
      </c>
      <c r="D87" s="48">
        <f t="shared" si="47"/>
        <v>173177.2</v>
      </c>
      <c r="E87" s="47"/>
      <c r="F87" s="47">
        <v>25932</v>
      </c>
      <c r="G87" s="48">
        <v>109099</v>
      </c>
      <c r="H87" s="47" t="s">
        <v>31</v>
      </c>
      <c r="I87" s="48">
        <v>9878.7000000000007</v>
      </c>
      <c r="J87" s="48">
        <v>50525</v>
      </c>
      <c r="K87" s="75">
        <v>145747.20000000001</v>
      </c>
      <c r="L87" s="50">
        <v>-122987.3</v>
      </c>
      <c r="M87" s="47">
        <v>-12589.2</v>
      </c>
      <c r="N87" s="48">
        <f t="shared" si="48"/>
        <v>205605.40000000002</v>
      </c>
      <c r="O87" s="47"/>
      <c r="P87" s="47">
        <v>17879.599999999999</v>
      </c>
      <c r="Q87" s="48">
        <v>456119.30000000005</v>
      </c>
      <c r="R87" s="53">
        <v>656.2</v>
      </c>
      <c r="S87" s="47">
        <f t="shared" si="49"/>
        <v>474655.10000000003</v>
      </c>
      <c r="T87" s="48">
        <f t="shared" si="50"/>
        <v>680260.5</v>
      </c>
      <c r="U87" s="48">
        <f t="shared" si="51"/>
        <v>853437.7</v>
      </c>
      <c r="Y87" s="6"/>
      <c r="Z87" s="6"/>
      <c r="AA87" s="6"/>
      <c r="AB87" s="6"/>
      <c r="AC87" s="6"/>
      <c r="AD87" s="6"/>
    </row>
    <row r="88" spans="1:30" ht="12" hidden="1" customHeight="1" x14ac:dyDescent="0.2">
      <c r="A88" s="33" t="s">
        <v>100</v>
      </c>
      <c r="B88" s="48">
        <v>499271.9</v>
      </c>
      <c r="C88" s="47">
        <v>-322651.59999999998</v>
      </c>
      <c r="D88" s="48">
        <f t="shared" si="47"/>
        <v>176620.30000000005</v>
      </c>
      <c r="E88" s="47"/>
      <c r="F88" s="47">
        <v>35424.1</v>
      </c>
      <c r="G88" s="48">
        <v>107991</v>
      </c>
      <c r="H88" s="47" t="s">
        <v>31</v>
      </c>
      <c r="I88" s="48">
        <v>10963.8</v>
      </c>
      <c r="J88" s="49">
        <v>50525</v>
      </c>
      <c r="K88" s="48">
        <v>145439.1</v>
      </c>
      <c r="L88" s="50">
        <v>-112981.90000000001</v>
      </c>
      <c r="M88" s="47">
        <v>-12494.599999999999</v>
      </c>
      <c r="N88" s="48">
        <f t="shared" si="48"/>
        <v>224866.49999999997</v>
      </c>
      <c r="O88" s="47"/>
      <c r="P88" s="47">
        <v>13520.699999999999</v>
      </c>
      <c r="Q88" s="48">
        <v>458351.50000000006</v>
      </c>
      <c r="R88" s="53">
        <v>620.79999999999995</v>
      </c>
      <c r="S88" s="47">
        <f t="shared" si="49"/>
        <v>472493.00000000006</v>
      </c>
      <c r="T88" s="48">
        <f t="shared" si="50"/>
        <v>697359.5</v>
      </c>
      <c r="U88" s="48">
        <f t="shared" si="51"/>
        <v>873979.8</v>
      </c>
      <c r="Y88" s="6"/>
      <c r="Z88" s="6"/>
      <c r="AA88" s="6"/>
      <c r="AB88" s="6"/>
      <c r="AC88" s="6"/>
      <c r="AD88" s="6"/>
    </row>
    <row r="89" spans="1:30" s="69" customFormat="1" ht="12" hidden="1" customHeight="1" x14ac:dyDescent="0.2">
      <c r="A89" s="33" t="s">
        <v>101</v>
      </c>
      <c r="B89" s="53">
        <v>581195.19999999995</v>
      </c>
      <c r="C89" s="54">
        <v>-328494.40000000002</v>
      </c>
      <c r="D89" s="48">
        <f t="shared" si="47"/>
        <v>252700.79999999993</v>
      </c>
      <c r="E89" s="54"/>
      <c r="F89" s="54">
        <v>19134.2</v>
      </c>
      <c r="G89" s="53">
        <v>109938.3</v>
      </c>
      <c r="H89" s="54" t="s">
        <v>31</v>
      </c>
      <c r="I89" s="53">
        <v>14362.999999999998</v>
      </c>
      <c r="J89" s="70">
        <v>88925</v>
      </c>
      <c r="K89" s="53">
        <v>145130.9</v>
      </c>
      <c r="L89" s="71">
        <v>-154083.20000000001</v>
      </c>
      <c r="M89" s="54">
        <v>-11748.2</v>
      </c>
      <c r="N89" s="48">
        <f t="shared" si="48"/>
        <v>211660</v>
      </c>
      <c r="O89" s="54"/>
      <c r="P89" s="54">
        <v>9602.8000000000011</v>
      </c>
      <c r="Q89" s="53">
        <v>467793.2</v>
      </c>
      <c r="R89" s="53">
        <v>599.4</v>
      </c>
      <c r="S89" s="47">
        <f t="shared" si="49"/>
        <v>477995.4</v>
      </c>
      <c r="T89" s="48">
        <f t="shared" si="50"/>
        <v>689655.4</v>
      </c>
      <c r="U89" s="53">
        <f t="shared" si="51"/>
        <v>942356.2</v>
      </c>
      <c r="V89" s="5"/>
      <c r="W89" s="5"/>
      <c r="Y89" s="72"/>
      <c r="Z89" s="72"/>
      <c r="AA89" s="72"/>
      <c r="AB89" s="72"/>
      <c r="AC89" s="72"/>
      <c r="AD89" s="72"/>
    </row>
    <row r="90" spans="1:30" s="69" customFormat="1" ht="12" hidden="1" customHeight="1" x14ac:dyDescent="0.2">
      <c r="A90" s="57"/>
      <c r="B90" s="53"/>
      <c r="C90" s="54"/>
      <c r="D90" s="48"/>
      <c r="E90" s="54"/>
      <c r="F90" s="54"/>
      <c r="G90" s="53"/>
      <c r="H90" s="54"/>
      <c r="I90" s="53"/>
      <c r="J90" s="70"/>
      <c r="K90" s="53"/>
      <c r="L90" s="71"/>
      <c r="M90" s="54"/>
      <c r="N90" s="48"/>
      <c r="O90" s="54"/>
      <c r="P90" s="54"/>
      <c r="Q90" s="53"/>
      <c r="R90" s="53"/>
      <c r="S90" s="47"/>
      <c r="T90" s="48"/>
      <c r="U90" s="53"/>
      <c r="V90" s="5"/>
      <c r="W90" s="5"/>
      <c r="Y90" s="72"/>
      <c r="Z90" s="72"/>
      <c r="AA90" s="72"/>
      <c r="AB90" s="72"/>
      <c r="AC90" s="72"/>
      <c r="AD90" s="72"/>
    </row>
    <row r="91" spans="1:30" s="69" customFormat="1" ht="12" hidden="1" customHeight="1" x14ac:dyDescent="0.2">
      <c r="A91" s="57" t="s">
        <v>52</v>
      </c>
      <c r="B91" s="53">
        <v>565680</v>
      </c>
      <c r="C91" s="54">
        <v>-327551.8</v>
      </c>
      <c r="D91" s="48">
        <f t="shared" si="47"/>
        <v>238128.2</v>
      </c>
      <c r="E91" s="54"/>
      <c r="F91" s="73" t="s">
        <v>31</v>
      </c>
      <c r="G91" s="53">
        <v>120955.8</v>
      </c>
      <c r="H91" s="54" t="s">
        <v>31</v>
      </c>
      <c r="I91" s="53">
        <v>11866.4</v>
      </c>
      <c r="J91" s="70">
        <v>88925</v>
      </c>
      <c r="K91" s="53">
        <v>144822.79999999999</v>
      </c>
      <c r="L91" s="71">
        <v>-177784.3</v>
      </c>
      <c r="M91" s="54">
        <v>-9081.1</v>
      </c>
      <c r="N91" s="48">
        <f t="shared" si="48"/>
        <v>179704.6</v>
      </c>
      <c r="O91" s="54"/>
      <c r="P91" s="54">
        <v>8484.1000000000022</v>
      </c>
      <c r="Q91" s="53">
        <v>473361.8</v>
      </c>
      <c r="R91" s="53">
        <v>588.79999999999995</v>
      </c>
      <c r="S91" s="47">
        <f t="shared" si="49"/>
        <v>482434.69999999995</v>
      </c>
      <c r="T91" s="48">
        <f t="shared" si="50"/>
        <v>662139.29999999993</v>
      </c>
      <c r="U91" s="53">
        <f t="shared" si="51"/>
        <v>900267.5</v>
      </c>
      <c r="V91" s="5"/>
      <c r="W91" s="5"/>
      <c r="Y91" s="72"/>
      <c r="Z91" s="72"/>
      <c r="AA91" s="72"/>
      <c r="AB91" s="72"/>
      <c r="AC91" s="72"/>
      <c r="AD91" s="72"/>
    </row>
    <row r="92" spans="1:30" s="69" customFormat="1" ht="12" hidden="1" customHeight="1" x14ac:dyDescent="0.2">
      <c r="A92" s="57" t="s">
        <v>91</v>
      </c>
      <c r="B92" s="53">
        <v>587925.60000000009</v>
      </c>
      <c r="C92" s="54">
        <v>-332437.80000000005</v>
      </c>
      <c r="D92" s="48">
        <f t="shared" si="47"/>
        <v>255487.80000000005</v>
      </c>
      <c r="E92" s="54"/>
      <c r="F92" s="73" t="s">
        <v>31</v>
      </c>
      <c r="G92" s="53">
        <v>130860.5</v>
      </c>
      <c r="H92" s="54" t="s">
        <v>31</v>
      </c>
      <c r="I92" s="53">
        <v>10899.3</v>
      </c>
      <c r="J92" s="70">
        <v>88925</v>
      </c>
      <c r="K92" s="53">
        <v>144514.70000000001</v>
      </c>
      <c r="L92" s="71">
        <v>-211186.99999999997</v>
      </c>
      <c r="M92" s="54">
        <v>-11244.5</v>
      </c>
      <c r="N92" s="48">
        <f t="shared" si="48"/>
        <v>152768.00000000003</v>
      </c>
      <c r="O92" s="54"/>
      <c r="P92" s="54">
        <v>8080.3000000000011</v>
      </c>
      <c r="Q92" s="53">
        <v>489467.29999999993</v>
      </c>
      <c r="R92" s="53">
        <v>508.4</v>
      </c>
      <c r="S92" s="47">
        <f t="shared" si="49"/>
        <v>498055.99999999994</v>
      </c>
      <c r="T92" s="48">
        <f t="shared" si="50"/>
        <v>650824</v>
      </c>
      <c r="U92" s="53">
        <f t="shared" si="51"/>
        <v>906311.8</v>
      </c>
      <c r="V92" s="5"/>
      <c r="W92" s="5"/>
      <c r="Y92" s="72"/>
      <c r="Z92" s="72"/>
      <c r="AA92" s="72"/>
      <c r="AB92" s="72"/>
      <c r="AC92" s="72"/>
      <c r="AD92" s="72"/>
    </row>
    <row r="93" spans="1:30" s="69" customFormat="1" ht="12" hidden="1" customHeight="1" x14ac:dyDescent="0.2">
      <c r="A93" s="57" t="s">
        <v>92</v>
      </c>
      <c r="B93" s="53">
        <v>570114.29999999993</v>
      </c>
      <c r="C93" s="54">
        <v>-323709.5</v>
      </c>
      <c r="D93" s="48">
        <f t="shared" si="47"/>
        <v>246404.79999999993</v>
      </c>
      <c r="E93" s="54"/>
      <c r="F93" s="54">
        <v>2480.5</v>
      </c>
      <c r="G93" s="53">
        <v>120400.09999999999</v>
      </c>
      <c r="H93" s="54" t="s">
        <v>31</v>
      </c>
      <c r="I93" s="53">
        <v>13218.2</v>
      </c>
      <c r="J93" s="70">
        <v>74325</v>
      </c>
      <c r="K93" s="53">
        <v>144206.6</v>
      </c>
      <c r="L93" s="71">
        <v>-167648.4</v>
      </c>
      <c r="M93" s="54">
        <v>-9395.7999999999993</v>
      </c>
      <c r="N93" s="48">
        <f t="shared" si="48"/>
        <v>177586.20000000004</v>
      </c>
      <c r="O93" s="54"/>
      <c r="P93" s="54">
        <v>7087.5</v>
      </c>
      <c r="Q93" s="53">
        <v>498482.99999999994</v>
      </c>
      <c r="R93" s="53">
        <v>599</v>
      </c>
      <c r="S93" s="47">
        <f t="shared" si="49"/>
        <v>506169.49999999994</v>
      </c>
      <c r="T93" s="48">
        <f t="shared" si="50"/>
        <v>683755.7</v>
      </c>
      <c r="U93" s="53">
        <f t="shared" si="51"/>
        <v>930160.49999999988</v>
      </c>
      <c r="V93" s="5"/>
      <c r="W93" s="5"/>
      <c r="Y93" s="72"/>
      <c r="Z93" s="72"/>
      <c r="AA93" s="72"/>
      <c r="AB93" s="72"/>
      <c r="AC93" s="72"/>
      <c r="AD93" s="72"/>
    </row>
    <row r="94" spans="1:30" ht="12" hidden="1" customHeight="1" x14ac:dyDescent="0.2">
      <c r="A94" s="57" t="s">
        <v>93</v>
      </c>
      <c r="B94" s="48">
        <v>597757.1</v>
      </c>
      <c r="C94" s="47">
        <v>-348763.9</v>
      </c>
      <c r="D94" s="48">
        <f t="shared" si="47"/>
        <v>248993.19999999995</v>
      </c>
      <c r="E94" s="47"/>
      <c r="F94" s="73">
        <v>0</v>
      </c>
      <c r="G94" s="48">
        <v>122799.90000000001</v>
      </c>
      <c r="H94" s="47" t="s">
        <v>31</v>
      </c>
      <c r="I94" s="48">
        <v>15981.800000000001</v>
      </c>
      <c r="J94" s="49">
        <v>74325</v>
      </c>
      <c r="K94" s="48">
        <v>143898.4</v>
      </c>
      <c r="L94" s="50">
        <v>-172843.5</v>
      </c>
      <c r="M94" s="47">
        <v>-11236.499999999998</v>
      </c>
      <c r="N94" s="48">
        <f t="shared" si="48"/>
        <v>172925.09999999998</v>
      </c>
      <c r="O94" s="47"/>
      <c r="P94" s="47">
        <v>5676.3000000000011</v>
      </c>
      <c r="Q94" s="48">
        <v>506079.4</v>
      </c>
      <c r="R94" s="53">
        <v>583.6</v>
      </c>
      <c r="S94" s="47">
        <f t="shared" si="49"/>
        <v>512339.3</v>
      </c>
      <c r="T94" s="48">
        <f t="shared" si="50"/>
        <v>685264.39999999991</v>
      </c>
      <c r="U94" s="48">
        <f t="shared" si="51"/>
        <v>934257.59999999986</v>
      </c>
      <c r="Y94" s="6"/>
      <c r="Z94" s="6"/>
      <c r="AA94" s="6"/>
      <c r="AB94" s="6"/>
      <c r="AC94" s="6"/>
      <c r="AD94" s="6"/>
    </row>
    <row r="95" spans="1:30" ht="12" hidden="1" customHeight="1" x14ac:dyDescent="0.2">
      <c r="A95" s="33" t="s">
        <v>46</v>
      </c>
      <c r="B95" s="48">
        <v>581040.80000000005</v>
      </c>
      <c r="C95" s="47">
        <v>-341861.2</v>
      </c>
      <c r="D95" s="48">
        <f t="shared" si="47"/>
        <v>239179.60000000003</v>
      </c>
      <c r="E95" s="47"/>
      <c r="F95" s="47">
        <v>12986.3</v>
      </c>
      <c r="G95" s="48">
        <v>125073.99999999999</v>
      </c>
      <c r="H95" s="47" t="s">
        <v>31</v>
      </c>
      <c r="I95" s="48">
        <v>19801</v>
      </c>
      <c r="J95" s="49">
        <v>74325</v>
      </c>
      <c r="K95" s="48">
        <v>143590.29999999999</v>
      </c>
      <c r="L95" s="50">
        <v>-190778.6</v>
      </c>
      <c r="M95" s="47">
        <v>-10405.5</v>
      </c>
      <c r="N95" s="48">
        <f t="shared" si="48"/>
        <v>174592.49999999997</v>
      </c>
      <c r="O95" s="47"/>
      <c r="P95" s="47">
        <v>5589.6000000000013</v>
      </c>
      <c r="Q95" s="48">
        <v>526046.9</v>
      </c>
      <c r="R95" s="53">
        <v>631.5</v>
      </c>
      <c r="S95" s="47">
        <f t="shared" si="49"/>
        <v>532268</v>
      </c>
      <c r="T95" s="48">
        <f t="shared" si="50"/>
        <v>706860.5</v>
      </c>
      <c r="U95" s="48">
        <f t="shared" si="51"/>
        <v>946040.10000000009</v>
      </c>
      <c r="Y95" s="6"/>
      <c r="Z95" s="6"/>
      <c r="AA95" s="6"/>
      <c r="AB95" s="6"/>
      <c r="AC95" s="6"/>
      <c r="AD95" s="6"/>
    </row>
    <row r="96" spans="1:30" ht="12" hidden="1" customHeight="1" x14ac:dyDescent="0.2">
      <c r="A96" s="33" t="s">
        <v>37</v>
      </c>
      <c r="B96" s="48">
        <v>563954.20000000007</v>
      </c>
      <c r="C96" s="47">
        <v>-341027.60000000003</v>
      </c>
      <c r="D96" s="48">
        <f t="shared" si="47"/>
        <v>222926.60000000003</v>
      </c>
      <c r="E96" s="47"/>
      <c r="F96" s="47">
        <v>24462.799999999999</v>
      </c>
      <c r="G96" s="48">
        <v>118274.7</v>
      </c>
      <c r="H96" s="47" t="s">
        <v>31</v>
      </c>
      <c r="I96" s="48">
        <v>18392.2</v>
      </c>
      <c r="J96" s="49">
        <v>74325</v>
      </c>
      <c r="K96" s="48">
        <v>143282.1</v>
      </c>
      <c r="L96" s="50">
        <v>-178260</v>
      </c>
      <c r="M96" s="47">
        <v>-12941</v>
      </c>
      <c r="N96" s="48">
        <f t="shared" si="48"/>
        <v>187535.80000000005</v>
      </c>
      <c r="O96" s="47"/>
      <c r="P96" s="47">
        <v>5763.1</v>
      </c>
      <c r="Q96" s="48">
        <v>556448.6</v>
      </c>
      <c r="R96" s="53">
        <v>597.5</v>
      </c>
      <c r="S96" s="47">
        <f t="shared" si="49"/>
        <v>562809.19999999995</v>
      </c>
      <c r="T96" s="48">
        <f t="shared" si="50"/>
        <v>750345</v>
      </c>
      <c r="U96" s="48">
        <f t="shared" si="51"/>
        <v>973271.60000000009</v>
      </c>
      <c r="Y96" s="6"/>
      <c r="Z96" s="6"/>
      <c r="AA96" s="6"/>
      <c r="AB96" s="6"/>
      <c r="AC96" s="6"/>
      <c r="AD96" s="6"/>
    </row>
    <row r="97" spans="1:30" ht="12" hidden="1" customHeight="1" x14ac:dyDescent="0.2">
      <c r="A97" s="33" t="s">
        <v>41</v>
      </c>
      <c r="B97" s="48">
        <v>573632</v>
      </c>
      <c r="C97" s="47">
        <v>-360504.3</v>
      </c>
      <c r="D97" s="48">
        <f t="shared" si="47"/>
        <v>213127.7</v>
      </c>
      <c r="E97" s="47"/>
      <c r="F97" s="47">
        <v>31447.8</v>
      </c>
      <c r="G97" s="48">
        <v>120374.7</v>
      </c>
      <c r="H97" s="47" t="s">
        <v>31</v>
      </c>
      <c r="I97" s="48">
        <v>16717.900000000001</v>
      </c>
      <c r="J97" s="49">
        <v>74325</v>
      </c>
      <c r="K97" s="48">
        <v>142974</v>
      </c>
      <c r="L97" s="50">
        <v>-159274.59999999998</v>
      </c>
      <c r="M97" s="47">
        <v>-12144.3</v>
      </c>
      <c r="N97" s="48">
        <f t="shared" si="48"/>
        <v>214420.50000000006</v>
      </c>
      <c r="O97" s="47"/>
      <c r="P97" s="47">
        <v>9179</v>
      </c>
      <c r="Q97" s="48">
        <v>572298</v>
      </c>
      <c r="R97" s="53">
        <v>600</v>
      </c>
      <c r="S97" s="47">
        <f t="shared" si="49"/>
        <v>582077</v>
      </c>
      <c r="T97" s="48">
        <f t="shared" si="50"/>
        <v>796497.5</v>
      </c>
      <c r="U97" s="48">
        <f t="shared" si="51"/>
        <v>1009625.2</v>
      </c>
      <c r="Y97" s="6"/>
      <c r="Z97" s="6"/>
      <c r="AA97" s="6"/>
      <c r="AB97" s="6"/>
      <c r="AC97" s="6"/>
      <c r="AD97" s="6"/>
    </row>
    <row r="98" spans="1:30" ht="12" hidden="1" customHeight="1" x14ac:dyDescent="0.2">
      <c r="A98" s="33" t="s">
        <v>38</v>
      </c>
      <c r="B98" s="48">
        <v>557494.4</v>
      </c>
      <c r="C98" s="47">
        <v>-361869.7</v>
      </c>
      <c r="D98" s="48">
        <f t="shared" si="47"/>
        <v>195624.7</v>
      </c>
      <c r="E98" s="47"/>
      <c r="F98" s="47">
        <v>35035.800000000003</v>
      </c>
      <c r="G98" s="48">
        <v>105018.2</v>
      </c>
      <c r="H98" s="47" t="s">
        <v>31</v>
      </c>
      <c r="I98" s="48">
        <v>14239</v>
      </c>
      <c r="J98" s="49">
        <v>74325</v>
      </c>
      <c r="K98" s="48">
        <v>142665.9</v>
      </c>
      <c r="L98" s="50">
        <v>-157146.1</v>
      </c>
      <c r="M98" s="47">
        <v>-13843.4</v>
      </c>
      <c r="N98" s="48">
        <f t="shared" si="48"/>
        <v>200294.40000000002</v>
      </c>
      <c r="O98" s="47"/>
      <c r="P98" s="47">
        <v>11463.899999999998</v>
      </c>
      <c r="Q98" s="48">
        <v>589439.60000000009</v>
      </c>
      <c r="R98" s="53">
        <v>573.40000000000009</v>
      </c>
      <c r="S98" s="47">
        <f t="shared" si="49"/>
        <v>601476.90000000014</v>
      </c>
      <c r="T98" s="48">
        <f t="shared" si="50"/>
        <v>801771.30000000016</v>
      </c>
      <c r="U98" s="48">
        <f t="shared" si="51"/>
        <v>997396.00000000023</v>
      </c>
      <c r="Y98" s="6"/>
      <c r="Z98" s="6"/>
      <c r="AA98" s="6"/>
      <c r="AB98" s="6"/>
      <c r="AC98" s="6"/>
      <c r="AD98" s="6"/>
    </row>
    <row r="99" spans="1:30" ht="12" hidden="1" customHeight="1" x14ac:dyDescent="0.2">
      <c r="A99" s="33" t="s">
        <v>42</v>
      </c>
      <c r="B99" s="48">
        <v>524576.60000000009</v>
      </c>
      <c r="C99" s="47">
        <v>-356183.30000000005</v>
      </c>
      <c r="D99" s="48">
        <f t="shared" si="47"/>
        <v>168393.30000000005</v>
      </c>
      <c r="E99" s="47"/>
      <c r="F99" s="47">
        <v>29256.3</v>
      </c>
      <c r="G99" s="48">
        <v>107818.2</v>
      </c>
      <c r="H99" s="47" t="s">
        <v>31</v>
      </c>
      <c r="I99" s="48">
        <v>13355.400000000001</v>
      </c>
      <c r="J99" s="49">
        <v>74325</v>
      </c>
      <c r="K99" s="48">
        <v>142357.70000000001</v>
      </c>
      <c r="L99" s="50">
        <v>-152731.59999999998</v>
      </c>
      <c r="M99" s="47">
        <v>-13503.9</v>
      </c>
      <c r="N99" s="48">
        <f t="shared" si="48"/>
        <v>200877.1</v>
      </c>
      <c r="O99" s="47"/>
      <c r="P99" s="47">
        <v>9478.6999999999989</v>
      </c>
      <c r="Q99" s="48">
        <v>598072.40000000014</v>
      </c>
      <c r="R99" s="53">
        <v>1019.5999999999999</v>
      </c>
      <c r="S99" s="47">
        <f t="shared" si="49"/>
        <v>608570.70000000007</v>
      </c>
      <c r="T99" s="48">
        <f t="shared" si="50"/>
        <v>809447.8</v>
      </c>
      <c r="U99" s="48">
        <f t="shared" si="51"/>
        <v>977841.10000000009</v>
      </c>
      <c r="Y99" s="6"/>
      <c r="Z99" s="6"/>
      <c r="AA99" s="6"/>
      <c r="AB99" s="6"/>
      <c r="AC99" s="6"/>
      <c r="AD99" s="6"/>
    </row>
    <row r="100" spans="1:30" ht="12" hidden="1" customHeight="1" x14ac:dyDescent="0.2">
      <c r="A100" s="55" t="s">
        <v>55</v>
      </c>
      <c r="B100" s="48">
        <v>527113.60000000009</v>
      </c>
      <c r="C100" s="47">
        <v>-374605.9</v>
      </c>
      <c r="D100" s="48">
        <f t="shared" si="47"/>
        <v>152507.70000000007</v>
      </c>
      <c r="E100" s="47"/>
      <c r="F100" s="54">
        <v>29858.9</v>
      </c>
      <c r="G100" s="48">
        <v>106218.2</v>
      </c>
      <c r="H100" s="47" t="s">
        <v>31</v>
      </c>
      <c r="I100" s="53">
        <v>14507.2</v>
      </c>
      <c r="J100" s="49">
        <v>94325</v>
      </c>
      <c r="K100" s="48">
        <v>142049.60000000001</v>
      </c>
      <c r="L100" s="50">
        <v>-161046.70000000001</v>
      </c>
      <c r="M100" s="47">
        <v>-14274.7</v>
      </c>
      <c r="N100" s="48">
        <f t="shared" si="48"/>
        <v>211637.5</v>
      </c>
      <c r="O100" s="47"/>
      <c r="P100" s="47">
        <v>5962.6</v>
      </c>
      <c r="Q100" s="48">
        <v>618543.4</v>
      </c>
      <c r="R100" s="53">
        <v>994.09999999999991</v>
      </c>
      <c r="S100" s="47">
        <f t="shared" si="49"/>
        <v>625500.1</v>
      </c>
      <c r="T100" s="48">
        <f t="shared" si="50"/>
        <v>837137.6</v>
      </c>
      <c r="U100" s="48">
        <f t="shared" si="51"/>
        <v>989645.3</v>
      </c>
      <c r="Y100" s="6"/>
      <c r="Z100" s="6"/>
      <c r="AA100" s="6"/>
      <c r="AB100" s="6"/>
      <c r="AC100" s="6"/>
      <c r="AD100" s="6"/>
    </row>
    <row r="101" spans="1:30" ht="11.25" hidden="1" customHeight="1" x14ac:dyDescent="0.2">
      <c r="A101" s="55" t="s">
        <v>39</v>
      </c>
      <c r="B101" s="48">
        <v>544404.5</v>
      </c>
      <c r="C101" s="47">
        <v>-384298.7</v>
      </c>
      <c r="D101" s="48">
        <f t="shared" si="47"/>
        <v>160105.79999999999</v>
      </c>
      <c r="E101" s="47"/>
      <c r="F101" s="54">
        <v>13631.5</v>
      </c>
      <c r="G101" s="48">
        <v>95718.2</v>
      </c>
      <c r="H101" s="47" t="s">
        <v>31</v>
      </c>
      <c r="I101" s="53">
        <v>14376.4</v>
      </c>
      <c r="J101" s="49">
        <v>94325</v>
      </c>
      <c r="K101" s="48">
        <v>142049.60000000001</v>
      </c>
      <c r="L101" s="50">
        <v>-163943.59999999998</v>
      </c>
      <c r="M101" s="47">
        <v>-14823.400000000001</v>
      </c>
      <c r="N101" s="48">
        <f t="shared" si="48"/>
        <v>181333.69999999998</v>
      </c>
      <c r="O101" s="47"/>
      <c r="P101" s="47">
        <v>7901.4000000000015</v>
      </c>
      <c r="Q101" s="48">
        <v>626426.1</v>
      </c>
      <c r="R101" s="53">
        <v>1003.0999999999999</v>
      </c>
      <c r="S101" s="47">
        <f t="shared" si="49"/>
        <v>635330.6</v>
      </c>
      <c r="T101" s="48">
        <f t="shared" si="50"/>
        <v>816664.29999999993</v>
      </c>
      <c r="U101" s="48">
        <f t="shared" si="51"/>
        <v>976770.09999999986</v>
      </c>
      <c r="Y101" s="6"/>
      <c r="Z101" s="6"/>
      <c r="AA101" s="6"/>
      <c r="AB101" s="6"/>
      <c r="AC101" s="6"/>
      <c r="AD101" s="6"/>
    </row>
    <row r="102" spans="1:30" ht="10.5" hidden="1" customHeight="1" x14ac:dyDescent="0.2">
      <c r="A102" s="55" t="s">
        <v>57</v>
      </c>
      <c r="B102" s="48">
        <v>586011.4</v>
      </c>
      <c r="C102" s="47">
        <v>-381573.7</v>
      </c>
      <c r="D102" s="48">
        <f t="shared" si="47"/>
        <v>204437.7</v>
      </c>
      <c r="E102" s="47"/>
      <c r="F102" s="54">
        <v>86260.6</v>
      </c>
      <c r="G102" s="48">
        <v>85318.2</v>
      </c>
      <c r="H102" s="47" t="s">
        <v>31</v>
      </c>
      <c r="I102" s="53">
        <v>15025.099999999999</v>
      </c>
      <c r="J102" s="49">
        <v>94325</v>
      </c>
      <c r="K102" s="48">
        <v>141433.29999999999</v>
      </c>
      <c r="L102" s="50">
        <v>-175010.40000000002</v>
      </c>
      <c r="M102" s="47">
        <v>-14154.1</v>
      </c>
      <c r="N102" s="48">
        <f t="shared" si="48"/>
        <v>233197.69999999998</v>
      </c>
      <c r="O102" s="47"/>
      <c r="P102" s="47">
        <v>4977.5</v>
      </c>
      <c r="Q102" s="48">
        <v>618097.5</v>
      </c>
      <c r="R102" s="53">
        <v>1021.9000000000001</v>
      </c>
      <c r="S102" s="47">
        <f t="shared" si="49"/>
        <v>624096.9</v>
      </c>
      <c r="T102" s="48">
        <f t="shared" si="50"/>
        <v>857294.6</v>
      </c>
      <c r="U102" s="48">
        <f t="shared" si="51"/>
        <v>1061732.3</v>
      </c>
      <c r="Y102" s="6"/>
      <c r="Z102" s="6"/>
      <c r="AA102" s="6"/>
      <c r="AB102" s="6"/>
      <c r="AC102" s="6"/>
      <c r="AD102" s="6"/>
    </row>
    <row r="103" spans="1:30" ht="10.5" hidden="1" customHeight="1" x14ac:dyDescent="0.2">
      <c r="A103" s="55"/>
      <c r="B103" s="48"/>
      <c r="C103" s="47"/>
      <c r="D103" s="48"/>
      <c r="E103" s="47"/>
      <c r="F103" s="54"/>
      <c r="G103" s="48"/>
      <c r="H103" s="47"/>
      <c r="I103" s="53"/>
      <c r="J103" s="49"/>
      <c r="K103" s="48"/>
      <c r="L103" s="50"/>
      <c r="M103" s="47"/>
      <c r="N103" s="48"/>
      <c r="O103" s="47"/>
      <c r="P103" s="47"/>
      <c r="Q103" s="48"/>
      <c r="R103" s="53"/>
      <c r="S103" s="47"/>
      <c r="T103" s="48"/>
      <c r="U103" s="48"/>
      <c r="Y103" s="6"/>
      <c r="Z103" s="6"/>
      <c r="AA103" s="6"/>
      <c r="AB103" s="6"/>
      <c r="AC103" s="6"/>
      <c r="AD103" s="6"/>
    </row>
    <row r="104" spans="1:30" ht="15" hidden="1" customHeight="1" x14ac:dyDescent="0.2">
      <c r="A104" s="33" t="s">
        <v>58</v>
      </c>
      <c r="B104" s="48">
        <v>639494.00000000012</v>
      </c>
      <c r="C104" s="47">
        <v>-402181.59999999992</v>
      </c>
      <c r="D104" s="48">
        <f t="shared" si="47"/>
        <v>237312.4000000002</v>
      </c>
      <c r="E104" s="47"/>
      <c r="F104" s="54">
        <v>23225.200000000001</v>
      </c>
      <c r="G104" s="48">
        <v>86241.2</v>
      </c>
      <c r="H104" s="47" t="s">
        <v>31</v>
      </c>
      <c r="I104" s="53">
        <v>15587.4</v>
      </c>
      <c r="J104" s="49">
        <v>94325</v>
      </c>
      <c r="K104" s="48">
        <v>141125.20000000001</v>
      </c>
      <c r="L104" s="50">
        <v>-186765.10000000003</v>
      </c>
      <c r="M104" s="47">
        <v>-16320.800000000001</v>
      </c>
      <c r="N104" s="48">
        <f t="shared" si="48"/>
        <v>157418.09999999998</v>
      </c>
      <c r="O104" s="47"/>
      <c r="P104" s="47">
        <v>4827.8</v>
      </c>
      <c r="Q104" s="48">
        <v>621401.40000000014</v>
      </c>
      <c r="R104" s="53">
        <v>1011.8</v>
      </c>
      <c r="S104" s="47">
        <f t="shared" si="49"/>
        <v>627241.00000000023</v>
      </c>
      <c r="T104" s="48">
        <f t="shared" si="50"/>
        <v>784659.10000000021</v>
      </c>
      <c r="U104" s="48">
        <f t="shared" si="51"/>
        <v>1021971.5000000005</v>
      </c>
      <c r="Y104" s="6"/>
      <c r="Z104" s="6"/>
      <c r="AA104" s="6"/>
      <c r="AB104" s="6"/>
      <c r="AC104" s="6"/>
      <c r="AD104" s="6"/>
    </row>
    <row r="105" spans="1:30" ht="15" hidden="1" customHeight="1" x14ac:dyDescent="0.2">
      <c r="A105" s="33" t="s">
        <v>91</v>
      </c>
      <c r="B105" s="48">
        <v>633150.6</v>
      </c>
      <c r="C105" s="47">
        <v>-412745.69999999995</v>
      </c>
      <c r="D105" s="48">
        <f t="shared" si="47"/>
        <v>220404.90000000002</v>
      </c>
      <c r="E105" s="47"/>
      <c r="F105" s="54">
        <v>19733.599999999999</v>
      </c>
      <c r="G105" s="48">
        <v>82384.899999999994</v>
      </c>
      <c r="H105" s="47" t="s">
        <v>31</v>
      </c>
      <c r="I105" s="53">
        <v>15368.5</v>
      </c>
      <c r="J105" s="49">
        <v>94325</v>
      </c>
      <c r="K105" s="48">
        <v>140817.1</v>
      </c>
      <c r="L105" s="50">
        <v>-172537.7</v>
      </c>
      <c r="M105" s="47">
        <v>-17114.3</v>
      </c>
      <c r="N105" s="48">
        <f t="shared" si="48"/>
        <v>162977.09999999998</v>
      </c>
      <c r="O105" s="47"/>
      <c r="P105" s="47">
        <v>9057.6</v>
      </c>
      <c r="Q105" s="48">
        <v>622015.70000000007</v>
      </c>
      <c r="R105" s="53">
        <v>953.59999999999991</v>
      </c>
      <c r="S105" s="47">
        <f t="shared" si="49"/>
        <v>632026.9</v>
      </c>
      <c r="T105" s="48">
        <f t="shared" si="50"/>
        <v>795004</v>
      </c>
      <c r="U105" s="48">
        <f t="shared" si="51"/>
        <v>1015408.9</v>
      </c>
      <c r="Y105" s="6"/>
      <c r="Z105" s="6"/>
      <c r="AA105" s="6"/>
      <c r="AB105" s="6"/>
      <c r="AC105" s="6"/>
      <c r="AD105" s="6"/>
    </row>
    <row r="106" spans="1:30" ht="15" hidden="1" customHeight="1" x14ac:dyDescent="0.2">
      <c r="A106" s="33" t="s">
        <v>92</v>
      </c>
      <c r="B106" s="48">
        <v>599927.90000000014</v>
      </c>
      <c r="C106" s="47">
        <v>-414833.89999999997</v>
      </c>
      <c r="D106" s="48">
        <f t="shared" si="47"/>
        <v>185094.00000000017</v>
      </c>
      <c r="E106" s="47"/>
      <c r="F106" s="54">
        <v>41361.199999999997</v>
      </c>
      <c r="G106" s="48">
        <v>73584.899999999994</v>
      </c>
      <c r="H106" s="47" t="s">
        <v>31</v>
      </c>
      <c r="I106" s="53">
        <v>16899.8</v>
      </c>
      <c r="J106" s="49">
        <v>94325</v>
      </c>
      <c r="K106" s="48">
        <v>140508.9</v>
      </c>
      <c r="L106" s="50">
        <v>-188887.7</v>
      </c>
      <c r="M106" s="47">
        <v>-16840.8</v>
      </c>
      <c r="N106" s="48">
        <f t="shared" si="48"/>
        <v>160951.29999999999</v>
      </c>
      <c r="O106" s="47"/>
      <c r="P106" s="47">
        <v>8017.2000000000007</v>
      </c>
      <c r="Q106" s="48">
        <v>631475.5</v>
      </c>
      <c r="R106" s="53">
        <v>943.4</v>
      </c>
      <c r="S106" s="47">
        <f t="shared" si="49"/>
        <v>640436.1</v>
      </c>
      <c r="T106" s="48">
        <f t="shared" si="50"/>
        <v>801387.39999999991</v>
      </c>
      <c r="U106" s="48">
        <f t="shared" si="51"/>
        <v>986481.40000000014</v>
      </c>
      <c r="Y106" s="6"/>
      <c r="Z106" s="6"/>
      <c r="AA106" s="6"/>
      <c r="AB106" s="6"/>
      <c r="AC106" s="6"/>
      <c r="AD106" s="6"/>
    </row>
    <row r="107" spans="1:30" ht="15" hidden="1" customHeight="1" x14ac:dyDescent="0.2">
      <c r="A107" s="33" t="s">
        <v>93</v>
      </c>
      <c r="B107" s="48">
        <v>586713.40000000014</v>
      </c>
      <c r="C107" s="47">
        <v>-423602.8</v>
      </c>
      <c r="D107" s="48">
        <f t="shared" si="47"/>
        <v>163110.60000000015</v>
      </c>
      <c r="E107" s="47"/>
      <c r="F107" s="54">
        <v>51796.5</v>
      </c>
      <c r="G107" s="48">
        <v>69078.7</v>
      </c>
      <c r="H107" s="47" t="s">
        <v>31</v>
      </c>
      <c r="I107" s="53">
        <v>18207.900000000001</v>
      </c>
      <c r="J107" s="49">
        <v>94325</v>
      </c>
      <c r="K107" s="48">
        <v>140200.79999999999</v>
      </c>
      <c r="L107" s="50">
        <v>-166772.39999999997</v>
      </c>
      <c r="M107" s="47">
        <v>-19564.399999999994</v>
      </c>
      <c r="N107" s="48">
        <f t="shared" si="48"/>
        <v>187272.10000000006</v>
      </c>
      <c r="O107" s="47"/>
      <c r="P107" s="47">
        <v>8553</v>
      </c>
      <c r="Q107" s="48">
        <v>636410.30000000005</v>
      </c>
      <c r="R107" s="53">
        <v>916.8</v>
      </c>
      <c r="S107" s="47">
        <f t="shared" si="49"/>
        <v>645880.10000000009</v>
      </c>
      <c r="T107" s="48">
        <f t="shared" si="50"/>
        <v>833152.20000000019</v>
      </c>
      <c r="U107" s="48">
        <f t="shared" si="51"/>
        <v>996262.80000000028</v>
      </c>
      <c r="Y107" s="6"/>
      <c r="Z107" s="6"/>
      <c r="AA107" s="6"/>
      <c r="AB107" s="6"/>
      <c r="AC107" s="6"/>
      <c r="AD107" s="6"/>
    </row>
    <row r="108" spans="1:30" ht="15" hidden="1" customHeight="1" x14ac:dyDescent="0.2">
      <c r="A108" s="33" t="s">
        <v>94</v>
      </c>
      <c r="B108" s="48">
        <v>558824.70000000007</v>
      </c>
      <c r="C108" s="47">
        <v>-415704.19999999995</v>
      </c>
      <c r="D108" s="48">
        <f t="shared" si="47"/>
        <v>143120.50000000012</v>
      </c>
      <c r="E108" s="47"/>
      <c r="F108" s="54">
        <v>32561.9</v>
      </c>
      <c r="G108" s="48">
        <v>67634.900000000009</v>
      </c>
      <c r="H108" s="47" t="s">
        <v>31</v>
      </c>
      <c r="I108" s="53">
        <v>16763.7</v>
      </c>
      <c r="J108" s="49">
        <v>94325</v>
      </c>
      <c r="K108" s="48">
        <v>140200.79999999999</v>
      </c>
      <c r="L108" s="50">
        <v>-151664.20000000001</v>
      </c>
      <c r="M108" s="47">
        <v>-13236.300000000001</v>
      </c>
      <c r="N108" s="48">
        <f t="shared" si="48"/>
        <v>186585.8</v>
      </c>
      <c r="O108" s="47"/>
      <c r="P108" s="47">
        <v>8271.7999999999993</v>
      </c>
      <c r="Q108" s="48">
        <v>666163.29999999993</v>
      </c>
      <c r="R108" s="53">
        <v>992.09999999999991</v>
      </c>
      <c r="S108" s="47">
        <f t="shared" si="49"/>
        <v>675427.2</v>
      </c>
      <c r="T108" s="48">
        <f t="shared" si="50"/>
        <v>862013</v>
      </c>
      <c r="U108" s="48">
        <f t="shared" si="51"/>
        <v>1005133.5000000001</v>
      </c>
      <c r="Y108" s="6"/>
      <c r="Z108" s="6"/>
      <c r="AA108" s="6"/>
      <c r="AB108" s="6"/>
      <c r="AC108" s="6"/>
      <c r="AD108" s="6"/>
    </row>
    <row r="109" spans="1:30" ht="15" hidden="1" customHeight="1" x14ac:dyDescent="0.2">
      <c r="A109" s="33" t="s">
        <v>95</v>
      </c>
      <c r="B109" s="48">
        <v>558986.9</v>
      </c>
      <c r="C109" s="47">
        <v>-431889.6</v>
      </c>
      <c r="D109" s="48">
        <f t="shared" si="47"/>
        <v>127097.30000000005</v>
      </c>
      <c r="E109" s="47"/>
      <c r="F109" s="54">
        <v>49375</v>
      </c>
      <c r="G109" s="48">
        <v>63934.9</v>
      </c>
      <c r="H109" s="47" t="s">
        <v>31</v>
      </c>
      <c r="I109" s="53">
        <v>19388.099999999999</v>
      </c>
      <c r="J109" s="49">
        <v>94325</v>
      </c>
      <c r="K109" s="48">
        <v>139584.5</v>
      </c>
      <c r="L109" s="50">
        <v>-145624.5</v>
      </c>
      <c r="M109" s="47">
        <v>-13565.2</v>
      </c>
      <c r="N109" s="48">
        <f t="shared" si="48"/>
        <v>207417.8</v>
      </c>
      <c r="O109" s="47"/>
      <c r="P109" s="47">
        <v>8494.6</v>
      </c>
      <c r="Q109" s="48">
        <v>688968.39999999991</v>
      </c>
      <c r="R109" s="53">
        <v>1005.8</v>
      </c>
      <c r="S109" s="47">
        <f t="shared" si="49"/>
        <v>698468.79999999993</v>
      </c>
      <c r="T109" s="48">
        <f t="shared" si="50"/>
        <v>905886.59999999986</v>
      </c>
      <c r="U109" s="48">
        <f t="shared" si="51"/>
        <v>1032983.8999999999</v>
      </c>
      <c r="Y109" s="6"/>
      <c r="Z109" s="6"/>
      <c r="AA109" s="6"/>
      <c r="AB109" s="6"/>
      <c r="AC109" s="6"/>
      <c r="AD109" s="6"/>
    </row>
    <row r="110" spans="1:30" ht="15" hidden="1" customHeight="1" x14ac:dyDescent="0.2">
      <c r="A110" s="33" t="s">
        <v>96</v>
      </c>
      <c r="B110" s="48">
        <v>573186.20000000007</v>
      </c>
      <c r="C110" s="47">
        <v>-428944.1</v>
      </c>
      <c r="D110" s="48">
        <f t="shared" si="47"/>
        <v>144242.10000000009</v>
      </c>
      <c r="E110" s="47"/>
      <c r="F110" s="54">
        <v>53695.7</v>
      </c>
      <c r="G110" s="48">
        <v>53318.200000000004</v>
      </c>
      <c r="H110" s="47" t="s">
        <v>31</v>
      </c>
      <c r="I110" s="53">
        <v>17583.3</v>
      </c>
      <c r="J110" s="49">
        <v>108925</v>
      </c>
      <c r="K110" s="48">
        <v>139276.4</v>
      </c>
      <c r="L110" s="50">
        <v>-142647.59999999998</v>
      </c>
      <c r="M110" s="47">
        <v>-16513.699999999997</v>
      </c>
      <c r="N110" s="48">
        <f t="shared" si="48"/>
        <v>213637.3</v>
      </c>
      <c r="O110" s="47"/>
      <c r="P110" s="47">
        <v>8551.3000000000011</v>
      </c>
      <c r="Q110" s="48">
        <v>691845.79999999981</v>
      </c>
      <c r="R110" s="53">
        <v>993.4</v>
      </c>
      <c r="S110" s="47">
        <f t="shared" si="49"/>
        <v>701390.49999999988</v>
      </c>
      <c r="T110" s="48">
        <f t="shared" si="50"/>
        <v>915027.79999999981</v>
      </c>
      <c r="U110" s="48">
        <f t="shared" si="51"/>
        <v>1059269.8999999999</v>
      </c>
      <c r="Y110" s="6"/>
      <c r="Z110" s="6"/>
      <c r="AA110" s="6"/>
      <c r="AB110" s="6"/>
      <c r="AC110" s="6"/>
      <c r="AD110" s="6"/>
    </row>
    <row r="111" spans="1:30" ht="15" hidden="1" customHeight="1" x14ac:dyDescent="0.2">
      <c r="A111" s="33" t="s">
        <v>97</v>
      </c>
      <c r="B111" s="48">
        <v>586489.30000000005</v>
      </c>
      <c r="C111" s="47">
        <v>-445579.3</v>
      </c>
      <c r="D111" s="48">
        <f t="shared" si="47"/>
        <v>140910.00000000006</v>
      </c>
      <c r="E111" s="47"/>
      <c r="F111" s="54">
        <v>65092</v>
      </c>
      <c r="G111" s="48">
        <v>45569</v>
      </c>
      <c r="H111" s="47" t="s">
        <v>31</v>
      </c>
      <c r="I111" s="53">
        <v>14425.899999999998</v>
      </c>
      <c r="J111" s="49">
        <v>108925</v>
      </c>
      <c r="K111" s="48">
        <v>138968.29999999999</v>
      </c>
      <c r="L111" s="50">
        <v>-130372.70000000001</v>
      </c>
      <c r="M111" s="47">
        <v>-18916.900000000001</v>
      </c>
      <c r="N111" s="48">
        <f t="shared" si="48"/>
        <v>223690.59999999995</v>
      </c>
      <c r="O111" s="47"/>
      <c r="P111" s="47">
        <v>15678.7</v>
      </c>
      <c r="Q111" s="48">
        <v>702603.1</v>
      </c>
      <c r="R111" s="53">
        <v>1013</v>
      </c>
      <c r="S111" s="47">
        <f t="shared" si="49"/>
        <v>719294.79999999993</v>
      </c>
      <c r="T111" s="48">
        <f t="shared" si="50"/>
        <v>942985.39999999991</v>
      </c>
      <c r="U111" s="48">
        <f t="shared" si="51"/>
        <v>1083895.3999999999</v>
      </c>
      <c r="Y111" s="6"/>
      <c r="Z111" s="6"/>
      <c r="AA111" s="6"/>
      <c r="AB111" s="6"/>
      <c r="AC111" s="6"/>
      <c r="AD111" s="6"/>
    </row>
    <row r="112" spans="1:30" ht="12.75" hidden="1" customHeight="1" x14ac:dyDescent="0.2">
      <c r="A112" s="33" t="s">
        <v>98</v>
      </c>
      <c r="B112" s="48">
        <v>598924.30000000005</v>
      </c>
      <c r="C112" s="47">
        <v>-438681.60000000003</v>
      </c>
      <c r="D112" s="48">
        <f t="shared" si="47"/>
        <v>160242.70000000001</v>
      </c>
      <c r="E112" s="47"/>
      <c r="F112" s="54">
        <v>51763.199999999997</v>
      </c>
      <c r="G112" s="48">
        <v>39000.600000000006</v>
      </c>
      <c r="H112" s="47" t="s">
        <v>31</v>
      </c>
      <c r="I112" s="53">
        <v>14646.199999999999</v>
      </c>
      <c r="J112" s="49">
        <v>108925</v>
      </c>
      <c r="K112" s="48">
        <v>138968.29999999999</v>
      </c>
      <c r="L112" s="50">
        <v>-133036.4</v>
      </c>
      <c r="M112" s="47">
        <v>-15255.2</v>
      </c>
      <c r="N112" s="48">
        <f t="shared" si="48"/>
        <v>205011.69999999998</v>
      </c>
      <c r="O112" s="47"/>
      <c r="P112" s="47">
        <v>12849</v>
      </c>
      <c r="Q112" s="48">
        <v>696983.29999999993</v>
      </c>
      <c r="R112" s="53">
        <v>1059.5</v>
      </c>
      <c r="S112" s="47">
        <f t="shared" si="49"/>
        <v>710891.79999999993</v>
      </c>
      <c r="T112" s="48">
        <f t="shared" si="50"/>
        <v>915903.49999999988</v>
      </c>
      <c r="U112" s="48">
        <f t="shared" si="51"/>
        <v>1076146.2</v>
      </c>
      <c r="Y112" s="6"/>
      <c r="Z112" s="6"/>
      <c r="AA112" s="6"/>
      <c r="AB112" s="6"/>
      <c r="AC112" s="6"/>
      <c r="AD112" s="6"/>
    </row>
    <row r="113" spans="1:30" ht="12.75" hidden="1" customHeight="1" x14ac:dyDescent="0.2">
      <c r="A113" s="33" t="s">
        <v>99</v>
      </c>
      <c r="B113" s="48">
        <v>587833.70000000007</v>
      </c>
      <c r="C113" s="47">
        <v>-438345.3</v>
      </c>
      <c r="D113" s="48">
        <f t="shared" si="47"/>
        <v>149488.40000000008</v>
      </c>
      <c r="E113" s="47"/>
      <c r="F113" s="54">
        <v>78836.5</v>
      </c>
      <c r="G113" s="48">
        <v>35069</v>
      </c>
      <c r="H113" s="47" t="s">
        <v>31</v>
      </c>
      <c r="I113" s="53">
        <v>15007.599999999999</v>
      </c>
      <c r="J113" s="49">
        <v>108925</v>
      </c>
      <c r="K113" s="48">
        <v>138352</v>
      </c>
      <c r="L113" s="50">
        <v>-151912.6</v>
      </c>
      <c r="M113" s="47">
        <v>-14718.9</v>
      </c>
      <c r="N113" s="48">
        <f t="shared" si="48"/>
        <v>209558.59999999998</v>
      </c>
      <c r="O113" s="47"/>
      <c r="P113" s="47">
        <v>9609.9000000000015</v>
      </c>
      <c r="Q113" s="48">
        <v>708316.20000000007</v>
      </c>
      <c r="R113" s="53">
        <v>1087.2</v>
      </c>
      <c r="S113" s="47">
        <f t="shared" si="49"/>
        <v>719013.3</v>
      </c>
      <c r="T113" s="48">
        <f t="shared" si="50"/>
        <v>928571.9</v>
      </c>
      <c r="U113" s="48">
        <f t="shared" si="51"/>
        <v>1078060.3</v>
      </c>
      <c r="Y113" s="6"/>
      <c r="Z113" s="6"/>
      <c r="AA113" s="6"/>
      <c r="AB113" s="6"/>
      <c r="AC113" s="6"/>
      <c r="AD113" s="6"/>
    </row>
    <row r="114" spans="1:30" ht="12.75" hidden="1" customHeight="1" x14ac:dyDescent="0.2">
      <c r="A114" s="33" t="s">
        <v>100</v>
      </c>
      <c r="B114" s="48">
        <v>605088.30000000005</v>
      </c>
      <c r="C114" s="47">
        <v>-448421.69999999995</v>
      </c>
      <c r="D114" s="48">
        <f t="shared" si="47"/>
        <v>156666.60000000009</v>
      </c>
      <c r="E114" s="47"/>
      <c r="F114" s="54">
        <v>104206.5</v>
      </c>
      <c r="G114" s="48">
        <v>36698.700000000004</v>
      </c>
      <c r="H114" s="47"/>
      <c r="I114" s="53">
        <v>16535.8</v>
      </c>
      <c r="J114" s="49">
        <v>108925</v>
      </c>
      <c r="K114" s="48">
        <v>138043.9</v>
      </c>
      <c r="L114" s="50">
        <v>-153528.80000000002</v>
      </c>
      <c r="M114" s="47">
        <v>-17782.100000000002</v>
      </c>
      <c r="N114" s="48">
        <f t="shared" si="48"/>
        <v>233099</v>
      </c>
      <c r="O114" s="47"/>
      <c r="P114" s="47">
        <v>8391.9</v>
      </c>
      <c r="Q114" s="48">
        <v>712028.00000000012</v>
      </c>
      <c r="R114" s="53">
        <v>1050.5999999999999</v>
      </c>
      <c r="S114" s="47">
        <f t="shared" si="49"/>
        <v>721470.50000000012</v>
      </c>
      <c r="T114" s="48">
        <f t="shared" si="50"/>
        <v>954569.50000000012</v>
      </c>
      <c r="U114" s="48">
        <f t="shared" si="51"/>
        <v>1111236.1000000001</v>
      </c>
      <c r="Y114" s="6"/>
      <c r="Z114" s="6"/>
      <c r="AA114" s="6"/>
      <c r="AB114" s="6"/>
      <c r="AC114" s="6"/>
      <c r="AD114" s="6"/>
    </row>
    <row r="115" spans="1:30" ht="12.75" hidden="1" customHeight="1" x14ac:dyDescent="0.2">
      <c r="A115" s="33" t="s">
        <v>101</v>
      </c>
      <c r="B115" s="48">
        <v>677706</v>
      </c>
      <c r="C115" s="47">
        <v>-481881.1</v>
      </c>
      <c r="D115" s="48">
        <f t="shared" si="47"/>
        <v>195824.90000000002</v>
      </c>
      <c r="E115" s="47"/>
      <c r="F115" s="54">
        <v>155251.9</v>
      </c>
      <c r="G115" s="48">
        <v>49858.100000000006</v>
      </c>
      <c r="H115" s="47"/>
      <c r="I115" s="53">
        <v>18665.699999999997</v>
      </c>
      <c r="J115" s="49">
        <v>117037.4</v>
      </c>
      <c r="K115" s="48">
        <v>137735.70000000001</v>
      </c>
      <c r="L115" s="50">
        <v>-182015.08600000001</v>
      </c>
      <c r="M115" s="47">
        <v>-18296</v>
      </c>
      <c r="N115" s="48">
        <f t="shared" si="48"/>
        <v>278237.71399999998</v>
      </c>
      <c r="O115" s="47"/>
      <c r="P115" s="47">
        <v>7690</v>
      </c>
      <c r="Q115" s="48">
        <v>695414.6</v>
      </c>
      <c r="R115" s="53">
        <v>1057.9000000000001</v>
      </c>
      <c r="S115" s="47">
        <f t="shared" si="49"/>
        <v>704162.5</v>
      </c>
      <c r="T115" s="48">
        <f t="shared" si="50"/>
        <v>982400.21399999992</v>
      </c>
      <c r="U115" s="48">
        <f t="shared" si="51"/>
        <v>1178225.1140000001</v>
      </c>
      <c r="Y115" s="6"/>
      <c r="Z115" s="6"/>
      <c r="AA115" s="6"/>
      <c r="AB115" s="6"/>
      <c r="AC115" s="6"/>
      <c r="AD115" s="6"/>
    </row>
    <row r="116" spans="1:30" ht="12.75" hidden="1" customHeight="1" x14ac:dyDescent="0.2">
      <c r="A116" s="55"/>
      <c r="B116" s="48"/>
      <c r="C116" s="47"/>
      <c r="D116" s="48"/>
      <c r="E116" s="47"/>
      <c r="F116" s="54"/>
      <c r="G116" s="48"/>
      <c r="H116" s="47"/>
      <c r="I116" s="53"/>
      <c r="J116" s="49"/>
      <c r="K116" s="48"/>
      <c r="L116" s="50"/>
      <c r="M116" s="47"/>
      <c r="N116" s="48"/>
      <c r="O116" s="47"/>
      <c r="P116" s="47"/>
      <c r="Q116" s="48"/>
      <c r="R116" s="53"/>
      <c r="S116" s="47"/>
      <c r="T116" s="48"/>
      <c r="U116" s="48"/>
      <c r="Y116" s="6"/>
      <c r="Z116" s="6"/>
      <c r="AA116" s="6"/>
      <c r="AB116" s="6"/>
      <c r="AC116" s="6"/>
      <c r="AD116" s="6"/>
    </row>
    <row r="117" spans="1:30" ht="12.75" hidden="1" customHeight="1" x14ac:dyDescent="0.2">
      <c r="A117" s="55" t="s">
        <v>63</v>
      </c>
      <c r="B117" s="48">
        <v>693972.8</v>
      </c>
      <c r="C117" s="47">
        <v>-498527.5</v>
      </c>
      <c r="D117" s="48">
        <f t="shared" si="47"/>
        <v>195445.30000000005</v>
      </c>
      <c r="E117" s="47"/>
      <c r="F117" s="54" t="s">
        <v>31</v>
      </c>
      <c r="G117" s="48">
        <v>53829.600000000006</v>
      </c>
      <c r="H117" s="47"/>
      <c r="I117" s="53">
        <v>15231.9</v>
      </c>
      <c r="J117" s="49">
        <v>115644.1</v>
      </c>
      <c r="K117" s="48">
        <v>292679.5</v>
      </c>
      <c r="L117" s="50">
        <v>-219660.80799999999</v>
      </c>
      <c r="M117" s="47">
        <v>-21555.599999999999</v>
      </c>
      <c r="N117" s="48">
        <f t="shared" si="48"/>
        <v>236168.69199999998</v>
      </c>
      <c r="O117" s="47"/>
      <c r="P117" s="47">
        <v>6957.7000000000007</v>
      </c>
      <c r="Q117" s="48">
        <v>719739.2</v>
      </c>
      <c r="R117" s="53">
        <v>1099.5999999999999</v>
      </c>
      <c r="S117" s="47">
        <f t="shared" si="49"/>
        <v>727796.49999999988</v>
      </c>
      <c r="T117" s="48">
        <f t="shared" si="50"/>
        <v>963965.19199999981</v>
      </c>
      <c r="U117" s="48">
        <f t="shared" si="51"/>
        <v>1159410.4919999999</v>
      </c>
      <c r="Y117" s="6"/>
      <c r="Z117" s="6"/>
      <c r="AA117" s="6"/>
      <c r="AB117" s="6"/>
      <c r="AC117" s="6"/>
      <c r="AD117" s="6"/>
    </row>
    <row r="118" spans="1:30" ht="12.75" hidden="1" customHeight="1" x14ac:dyDescent="0.2">
      <c r="A118" s="55" t="s">
        <v>91</v>
      </c>
      <c r="B118" s="48">
        <v>776858.79999999993</v>
      </c>
      <c r="C118" s="47">
        <v>-521900.5</v>
      </c>
      <c r="D118" s="48">
        <f t="shared" si="47"/>
        <v>254958.29999999993</v>
      </c>
      <c r="E118" s="47"/>
      <c r="F118" s="54" t="s">
        <v>31</v>
      </c>
      <c r="G118" s="48">
        <v>51191</v>
      </c>
      <c r="H118" s="47"/>
      <c r="I118" s="53">
        <v>16811.699999999997</v>
      </c>
      <c r="J118" s="49">
        <v>114250.8</v>
      </c>
      <c r="K118" s="48">
        <v>292371.40000000002</v>
      </c>
      <c r="L118" s="50">
        <v>-240643.04300000001</v>
      </c>
      <c r="M118" s="47">
        <v>-22934.400000000001</v>
      </c>
      <c r="N118" s="48">
        <f t="shared" si="48"/>
        <v>211047.45700000002</v>
      </c>
      <c r="O118" s="47"/>
      <c r="P118" s="47">
        <v>6677.1000000000013</v>
      </c>
      <c r="Q118" s="48">
        <v>723470.4</v>
      </c>
      <c r="R118" s="53">
        <v>1413.7</v>
      </c>
      <c r="S118" s="47">
        <f t="shared" si="49"/>
        <v>731561.2</v>
      </c>
      <c r="T118" s="48">
        <f t="shared" si="50"/>
        <v>942608.65700000001</v>
      </c>
      <c r="U118" s="48">
        <f t="shared" si="51"/>
        <v>1197566.9569999999</v>
      </c>
      <c r="Y118" s="6"/>
      <c r="Z118" s="6"/>
      <c r="AA118" s="6"/>
      <c r="AB118" s="6"/>
      <c r="AC118" s="6"/>
      <c r="AD118" s="6"/>
    </row>
    <row r="119" spans="1:30" ht="12.75" hidden="1" customHeight="1" x14ac:dyDescent="0.2">
      <c r="A119" s="55" t="s">
        <v>92</v>
      </c>
      <c r="B119" s="48">
        <v>669812.40000000014</v>
      </c>
      <c r="C119" s="47">
        <v>-472765.4</v>
      </c>
      <c r="D119" s="48">
        <f t="shared" si="47"/>
        <v>197047.00000000012</v>
      </c>
      <c r="E119" s="47"/>
      <c r="F119" s="54" t="s">
        <v>31</v>
      </c>
      <c r="G119" s="48">
        <v>47661.399999999994</v>
      </c>
      <c r="H119" s="47"/>
      <c r="I119" s="53">
        <v>19554.399999999998</v>
      </c>
      <c r="J119" s="49">
        <v>112857.5</v>
      </c>
      <c r="K119" s="48">
        <v>292063.09999999998</v>
      </c>
      <c r="L119" s="50">
        <v>-205440.2</v>
      </c>
      <c r="M119" s="47">
        <v>-23122.7</v>
      </c>
      <c r="N119" s="48">
        <f t="shared" si="48"/>
        <v>243573.49999999994</v>
      </c>
      <c r="O119" s="47"/>
      <c r="P119" s="47">
        <v>7262.1</v>
      </c>
      <c r="Q119" s="48">
        <v>733058.8</v>
      </c>
      <c r="R119" s="53">
        <v>1398.1999999999998</v>
      </c>
      <c r="S119" s="47">
        <f t="shared" si="49"/>
        <v>741719.1</v>
      </c>
      <c r="T119" s="48">
        <f t="shared" si="50"/>
        <v>985292.59999999986</v>
      </c>
      <c r="U119" s="48">
        <f t="shared" si="51"/>
        <v>1182339.6000000001</v>
      </c>
      <c r="Y119" s="6"/>
      <c r="Z119" s="6"/>
      <c r="AA119" s="6"/>
      <c r="AB119" s="6"/>
      <c r="AC119" s="6"/>
      <c r="AD119" s="6"/>
    </row>
    <row r="120" spans="1:30" ht="12.75" hidden="1" customHeight="1" x14ac:dyDescent="0.2">
      <c r="A120" s="55" t="s">
        <v>93</v>
      </c>
      <c r="B120" s="48">
        <v>659785.19999999995</v>
      </c>
      <c r="C120" s="47">
        <v>-463941.60000000003</v>
      </c>
      <c r="D120" s="48">
        <f t="shared" si="47"/>
        <v>195843.59999999992</v>
      </c>
      <c r="E120" s="47"/>
      <c r="F120" s="54">
        <v>11186</v>
      </c>
      <c r="G120" s="48">
        <v>42885.399999999994</v>
      </c>
      <c r="H120" s="47"/>
      <c r="I120" s="53">
        <v>21513.299999999996</v>
      </c>
      <c r="J120" s="49">
        <v>111464.2</v>
      </c>
      <c r="K120" s="48">
        <v>291755.09999999998</v>
      </c>
      <c r="L120" s="50">
        <v>-180519.40000000002</v>
      </c>
      <c r="M120" s="47">
        <v>-21146.5</v>
      </c>
      <c r="N120" s="48">
        <f t="shared" si="48"/>
        <v>277138.09999999992</v>
      </c>
      <c r="O120" s="47"/>
      <c r="P120" s="47">
        <v>6744.9000000000005</v>
      </c>
      <c r="Q120" s="48">
        <v>731042.09999999986</v>
      </c>
      <c r="R120" s="53">
        <v>1390.8</v>
      </c>
      <c r="S120" s="47">
        <f t="shared" si="49"/>
        <v>739177.79999999993</v>
      </c>
      <c r="T120" s="48">
        <f t="shared" si="50"/>
        <v>1016315.8999999999</v>
      </c>
      <c r="U120" s="48">
        <f t="shared" si="51"/>
        <v>1212159.4999999998</v>
      </c>
      <c r="Y120" s="6"/>
      <c r="Z120" s="6"/>
      <c r="AA120" s="6"/>
      <c r="AB120" s="6"/>
      <c r="AC120" s="6"/>
      <c r="AD120" s="6"/>
    </row>
    <row r="121" spans="1:30" ht="12.75" hidden="1" customHeight="1" x14ac:dyDescent="0.2">
      <c r="A121" s="55" t="s">
        <v>94</v>
      </c>
      <c r="B121" s="48">
        <v>648813.6</v>
      </c>
      <c r="C121" s="47">
        <v>-463259.39999999997</v>
      </c>
      <c r="D121" s="48">
        <f t="shared" ref="D121:D130" si="52">SUM(B121:C121)</f>
        <v>185554.2</v>
      </c>
      <c r="E121" s="47"/>
      <c r="F121" s="54" t="s">
        <v>31</v>
      </c>
      <c r="G121" s="48">
        <v>68669</v>
      </c>
      <c r="H121" s="47"/>
      <c r="I121" s="53">
        <f>15592.5+1350.2+866.2+2.8</f>
        <v>17811.7</v>
      </c>
      <c r="J121" s="49">
        <v>110070.9</v>
      </c>
      <c r="K121" s="48">
        <v>291446.90000000002</v>
      </c>
      <c r="L121" s="50">
        <v>-197212.09999999998</v>
      </c>
      <c r="M121" s="47">
        <v>-19112.000000000004</v>
      </c>
      <c r="N121" s="48">
        <f t="shared" ref="N121:N130" si="53">SUM( (F121:M121))</f>
        <v>271674.40000000002</v>
      </c>
      <c r="O121" s="47"/>
      <c r="P121" s="47">
        <v>7009.8</v>
      </c>
      <c r="Q121" s="48">
        <v>735936.00000000012</v>
      </c>
      <c r="R121" s="53">
        <v>1390.6999999999998</v>
      </c>
      <c r="S121" s="47">
        <f t="shared" ref="S121:S130" si="54">SUM(P121:R121)</f>
        <v>744336.50000000012</v>
      </c>
      <c r="T121" s="48">
        <f t="shared" ref="T121:T130" si="55">SUM(N121,S121)</f>
        <v>1016010.9000000001</v>
      </c>
      <c r="U121" s="48">
        <f t="shared" ref="U121:U130" si="56">SUM(D121,T121)</f>
        <v>1201565.1000000001</v>
      </c>
      <c r="Y121" s="6"/>
      <c r="Z121" s="6"/>
      <c r="AA121" s="6"/>
      <c r="AB121" s="6"/>
      <c r="AC121" s="6"/>
      <c r="AD121" s="6"/>
    </row>
    <row r="122" spans="1:30" ht="12.75" hidden="1" customHeight="1" x14ac:dyDescent="0.2">
      <c r="A122" s="55" t="s">
        <v>95</v>
      </c>
      <c r="B122" s="48">
        <v>593764.5</v>
      </c>
      <c r="C122" s="47">
        <v>-435675.79999999993</v>
      </c>
      <c r="D122" s="48">
        <f t="shared" si="52"/>
        <v>158088.70000000007</v>
      </c>
      <c r="E122" s="47"/>
      <c r="F122" s="54" t="s">
        <v>31</v>
      </c>
      <c r="G122" s="48">
        <v>70934.600000000006</v>
      </c>
      <c r="H122" s="47"/>
      <c r="I122" s="53">
        <f>17430.8+1294.8+1041.2+2.8</f>
        <v>19769.599999999999</v>
      </c>
      <c r="J122" s="49">
        <v>108677.6</v>
      </c>
      <c r="K122" s="48">
        <v>291138.8</v>
      </c>
      <c r="L122" s="50">
        <v>-188396.90000000002</v>
      </c>
      <c r="M122" s="47">
        <v>-15910.9</v>
      </c>
      <c r="N122" s="48">
        <f t="shared" si="53"/>
        <v>286212.79999999993</v>
      </c>
      <c r="O122" s="47"/>
      <c r="P122" s="47">
        <v>7364.7</v>
      </c>
      <c r="Q122" s="48">
        <v>739672.1</v>
      </c>
      <c r="R122" s="53">
        <v>1401.7</v>
      </c>
      <c r="S122" s="47">
        <f t="shared" si="54"/>
        <v>748438.49999999988</v>
      </c>
      <c r="T122" s="48">
        <f t="shared" si="55"/>
        <v>1034651.2999999998</v>
      </c>
      <c r="U122" s="48">
        <f t="shared" si="56"/>
        <v>1192740</v>
      </c>
      <c r="Y122" s="6"/>
      <c r="Z122" s="6"/>
      <c r="AA122" s="6"/>
      <c r="AB122" s="6"/>
      <c r="AC122" s="6"/>
      <c r="AD122" s="6"/>
    </row>
    <row r="123" spans="1:30" ht="12.75" hidden="1" customHeight="1" x14ac:dyDescent="0.2">
      <c r="A123" s="55" t="s">
        <v>96</v>
      </c>
      <c r="B123" s="48">
        <v>650217.9</v>
      </c>
      <c r="C123" s="47">
        <v>-465232.69999999995</v>
      </c>
      <c r="D123" s="48">
        <f t="shared" si="52"/>
        <v>184985.20000000007</v>
      </c>
      <c r="E123" s="47"/>
      <c r="F123" s="54" t="s">
        <v>31</v>
      </c>
      <c r="G123" s="48">
        <v>100965.3</v>
      </c>
      <c r="H123" s="47"/>
      <c r="I123" s="53">
        <f>16818+581.5+803.3+2.8</f>
        <v>18205.599999999999</v>
      </c>
      <c r="J123" s="49">
        <v>107284.3</v>
      </c>
      <c r="K123" s="48">
        <v>290830.7</v>
      </c>
      <c r="L123" s="50">
        <v>-243569.40000000002</v>
      </c>
      <c r="M123" s="47">
        <v>-18379.300000000003</v>
      </c>
      <c r="N123" s="48">
        <f t="shared" si="53"/>
        <v>255337.2</v>
      </c>
      <c r="O123" s="47"/>
      <c r="P123" s="47">
        <v>6065.9</v>
      </c>
      <c r="Q123" s="48">
        <v>762374.50000000012</v>
      </c>
      <c r="R123" s="53">
        <v>1754.2</v>
      </c>
      <c r="S123" s="47">
        <f t="shared" si="54"/>
        <v>770194.60000000009</v>
      </c>
      <c r="T123" s="48">
        <f t="shared" si="55"/>
        <v>1025531.8</v>
      </c>
      <c r="U123" s="48">
        <f t="shared" si="56"/>
        <v>1210517</v>
      </c>
      <c r="Y123" s="6"/>
      <c r="Z123" s="6"/>
      <c r="AA123" s="6"/>
      <c r="AB123" s="6"/>
      <c r="AC123" s="6"/>
      <c r="AD123" s="6"/>
    </row>
    <row r="124" spans="1:30" ht="12.75" hidden="1" customHeight="1" x14ac:dyDescent="0.2">
      <c r="A124" s="55" t="s">
        <v>97</v>
      </c>
      <c r="B124" s="48">
        <v>631344.9</v>
      </c>
      <c r="C124" s="47">
        <v>-464144.5</v>
      </c>
      <c r="D124" s="48">
        <f t="shared" si="52"/>
        <v>167200.40000000002</v>
      </c>
      <c r="E124" s="47"/>
      <c r="F124" s="54" t="s">
        <v>31</v>
      </c>
      <c r="G124" s="48">
        <v>96477.700000000012</v>
      </c>
      <c r="H124" s="47"/>
      <c r="I124" s="53">
        <f>23976.4+608.6+829.2+2.8</f>
        <v>25417</v>
      </c>
      <c r="J124" s="49">
        <v>107284.3</v>
      </c>
      <c r="K124" s="48">
        <v>290830.7</v>
      </c>
      <c r="L124" s="50">
        <v>-195560.8</v>
      </c>
      <c r="M124" s="47">
        <v>-19610.8</v>
      </c>
      <c r="N124" s="48">
        <f t="shared" si="53"/>
        <v>304838.10000000003</v>
      </c>
      <c r="O124" s="47"/>
      <c r="P124" s="47">
        <v>7051.2000000000007</v>
      </c>
      <c r="Q124" s="48">
        <v>765891.89999999991</v>
      </c>
      <c r="R124" s="53">
        <v>1758.2</v>
      </c>
      <c r="S124" s="47">
        <f t="shared" si="54"/>
        <v>774701.29999999981</v>
      </c>
      <c r="T124" s="48">
        <f t="shared" si="55"/>
        <v>1079539.3999999999</v>
      </c>
      <c r="U124" s="48">
        <f t="shared" si="56"/>
        <v>1246739.7999999998</v>
      </c>
      <c r="Y124" s="6"/>
      <c r="Z124" s="6"/>
      <c r="AA124" s="6"/>
      <c r="AB124" s="6"/>
      <c r="AC124" s="6"/>
      <c r="AD124" s="6"/>
    </row>
    <row r="125" spans="1:30" ht="12.75" hidden="1" customHeight="1" x14ac:dyDescent="0.2">
      <c r="A125" s="57" t="s">
        <v>102</v>
      </c>
      <c r="B125" s="48">
        <v>642817.80000000005</v>
      </c>
      <c r="C125" s="47">
        <v>-478377.5</v>
      </c>
      <c r="D125" s="48">
        <f t="shared" si="52"/>
        <v>164440.30000000005</v>
      </c>
      <c r="E125" s="47"/>
      <c r="F125" s="54" t="s">
        <v>31</v>
      </c>
      <c r="G125" s="48">
        <v>104499.4</v>
      </c>
      <c r="H125" s="47"/>
      <c r="I125" s="53">
        <f>21844.2+582.5+550.7</f>
        <v>22977.4</v>
      </c>
      <c r="J125" s="49">
        <v>107284.3</v>
      </c>
      <c r="K125" s="48">
        <v>290214.40000000002</v>
      </c>
      <c r="L125" s="50">
        <v>-211524.6</v>
      </c>
      <c r="M125" s="47">
        <v>-21460.2</v>
      </c>
      <c r="N125" s="48">
        <f t="shared" si="53"/>
        <v>291990.7</v>
      </c>
      <c r="O125" s="47"/>
      <c r="P125" s="47">
        <v>11025.9</v>
      </c>
      <c r="Q125" s="48">
        <v>776088</v>
      </c>
      <c r="R125" s="53">
        <v>2197.5</v>
      </c>
      <c r="S125" s="47">
        <f t="shared" si="54"/>
        <v>789311.4</v>
      </c>
      <c r="T125" s="48">
        <f t="shared" si="55"/>
        <v>1081302.1000000001</v>
      </c>
      <c r="U125" s="48">
        <f t="shared" si="56"/>
        <v>1245742.4000000001</v>
      </c>
      <c r="Y125" s="6"/>
      <c r="Z125" s="6"/>
      <c r="AA125" s="6"/>
      <c r="AB125" s="6"/>
      <c r="AC125" s="6"/>
      <c r="AD125" s="6"/>
    </row>
    <row r="126" spans="1:30" ht="12.75" hidden="1" customHeight="1" x14ac:dyDescent="0.2">
      <c r="A126" s="57" t="s">
        <v>103</v>
      </c>
      <c r="B126" s="48">
        <v>664756.60000000009</v>
      </c>
      <c r="C126" s="47">
        <v>-476341.3</v>
      </c>
      <c r="D126" s="48">
        <f t="shared" si="52"/>
        <v>188415.3000000001</v>
      </c>
      <c r="E126" s="47"/>
      <c r="F126" s="73">
        <v>6525.5</v>
      </c>
      <c r="G126" s="48">
        <v>108413.2</v>
      </c>
      <c r="H126" s="47"/>
      <c r="I126" s="53">
        <f>16870.9+620.8+698.4</f>
        <v>18190.100000000002</v>
      </c>
      <c r="J126" s="49">
        <v>107284.3</v>
      </c>
      <c r="K126" s="48">
        <v>289906.3</v>
      </c>
      <c r="L126" s="50">
        <v>-213913.5</v>
      </c>
      <c r="M126" s="47">
        <v>-21130.1</v>
      </c>
      <c r="N126" s="48">
        <f t="shared" si="53"/>
        <v>295275.79999999993</v>
      </c>
      <c r="O126" s="47"/>
      <c r="P126" s="47">
        <v>10137.800000000001</v>
      </c>
      <c r="Q126" s="48">
        <v>771440.3</v>
      </c>
      <c r="R126" s="53">
        <v>2357.1999999999998</v>
      </c>
      <c r="S126" s="47">
        <f t="shared" si="54"/>
        <v>783935.3</v>
      </c>
      <c r="T126" s="48">
        <f t="shared" si="55"/>
        <v>1079211.1000000001</v>
      </c>
      <c r="U126" s="48">
        <f t="shared" si="56"/>
        <v>1267626.4000000001</v>
      </c>
      <c r="Y126" s="6"/>
      <c r="Z126" s="6"/>
      <c r="AA126" s="6"/>
      <c r="AB126" s="6"/>
      <c r="AC126" s="6"/>
      <c r="AD126" s="6"/>
    </row>
    <row r="127" spans="1:30" ht="12.75" hidden="1" customHeight="1" x14ac:dyDescent="0.2">
      <c r="A127" s="57" t="s">
        <v>104</v>
      </c>
      <c r="B127" s="48">
        <v>651959.80000000005</v>
      </c>
      <c r="C127" s="47">
        <v>-475314.49999999994</v>
      </c>
      <c r="D127" s="48">
        <f t="shared" si="52"/>
        <v>176645.3000000001</v>
      </c>
      <c r="E127" s="47"/>
      <c r="F127" s="73">
        <v>20947.400000000001</v>
      </c>
      <c r="G127" s="48">
        <v>107312.8</v>
      </c>
      <c r="H127" s="47"/>
      <c r="I127" s="53">
        <f>21499.7+606.1+372.6</f>
        <v>22478.399999999998</v>
      </c>
      <c r="J127" s="49">
        <v>107284.3</v>
      </c>
      <c r="K127" s="48">
        <v>289906.3</v>
      </c>
      <c r="L127" s="50">
        <v>-217550.2</v>
      </c>
      <c r="M127" s="47">
        <v>-24576.5</v>
      </c>
      <c r="N127" s="48">
        <f t="shared" si="53"/>
        <v>305802.49999999994</v>
      </c>
      <c r="O127" s="47"/>
      <c r="P127" s="47">
        <v>9604.5000000000018</v>
      </c>
      <c r="Q127" s="48">
        <v>768503.3</v>
      </c>
      <c r="R127" s="53">
        <v>2366.6</v>
      </c>
      <c r="S127" s="47">
        <f t="shared" si="54"/>
        <v>780474.4</v>
      </c>
      <c r="T127" s="48">
        <f t="shared" si="55"/>
        <v>1086276.8999999999</v>
      </c>
      <c r="U127" s="48">
        <f t="shared" si="56"/>
        <v>1262922.2</v>
      </c>
      <c r="Y127" s="6"/>
      <c r="Z127" s="6"/>
      <c r="AA127" s="6"/>
      <c r="AB127" s="6"/>
      <c r="AC127" s="6"/>
      <c r="AD127" s="6"/>
    </row>
    <row r="128" spans="1:30" ht="12.75" hidden="1" customHeight="1" x14ac:dyDescent="0.2">
      <c r="A128" s="57" t="s">
        <v>105</v>
      </c>
      <c r="B128" s="48">
        <v>702734.69999999984</v>
      </c>
      <c r="C128" s="47">
        <v>-473309.8</v>
      </c>
      <c r="D128" s="48">
        <f t="shared" si="52"/>
        <v>229424.89999999985</v>
      </c>
      <c r="E128" s="47"/>
      <c r="F128" s="54" t="s">
        <v>31</v>
      </c>
      <c r="G128" s="48">
        <v>109019.90000000001</v>
      </c>
      <c r="H128" s="47"/>
      <c r="I128" s="53">
        <f>17922.9+539.1+609.8</f>
        <v>19071.8</v>
      </c>
      <c r="J128" s="49">
        <v>107284.3</v>
      </c>
      <c r="K128" s="48">
        <v>289290</v>
      </c>
      <c r="L128" s="50">
        <v>-225785.80000000002</v>
      </c>
      <c r="M128" s="47">
        <v>-23790.1</v>
      </c>
      <c r="N128" s="48">
        <f t="shared" si="53"/>
        <v>275090.09999999998</v>
      </c>
      <c r="O128" s="47"/>
      <c r="P128" s="47">
        <v>9135</v>
      </c>
      <c r="Q128" s="48">
        <v>762034.60000000021</v>
      </c>
      <c r="R128" s="53">
        <v>2469.1999999999998</v>
      </c>
      <c r="S128" s="47">
        <f t="shared" si="54"/>
        <v>773638.80000000016</v>
      </c>
      <c r="T128" s="48">
        <f t="shared" si="55"/>
        <v>1048728.9000000001</v>
      </c>
      <c r="U128" s="48">
        <f t="shared" si="56"/>
        <v>1278153.8</v>
      </c>
      <c r="Y128" s="6"/>
      <c r="Z128" s="6"/>
      <c r="AA128" s="6"/>
      <c r="AB128" s="6"/>
      <c r="AC128" s="6"/>
      <c r="AD128" s="6"/>
    </row>
    <row r="129" spans="1:30" ht="12.75" customHeight="1" x14ac:dyDescent="0.2">
      <c r="A129" s="55"/>
      <c r="B129" s="48"/>
      <c r="C129" s="47"/>
      <c r="D129" s="48"/>
      <c r="E129" s="47"/>
      <c r="F129" s="73"/>
      <c r="G129" s="48"/>
      <c r="H129" s="47"/>
      <c r="I129" s="53"/>
      <c r="J129" s="49"/>
      <c r="K129" s="48"/>
      <c r="L129" s="50"/>
      <c r="M129" s="47"/>
      <c r="N129" s="48"/>
      <c r="O129" s="47"/>
      <c r="P129" s="47"/>
      <c r="Q129" s="48"/>
      <c r="R129" s="53"/>
      <c r="S129" s="47"/>
      <c r="T129" s="48"/>
      <c r="U129" s="48"/>
      <c r="Y129" s="6"/>
      <c r="Z129" s="6"/>
      <c r="AA129" s="6"/>
      <c r="AB129" s="6"/>
      <c r="AC129" s="6"/>
      <c r="AD129" s="6"/>
    </row>
    <row r="130" spans="1:30" ht="12.75" hidden="1" customHeight="1" x14ac:dyDescent="0.2">
      <c r="A130" s="55" t="s">
        <v>83</v>
      </c>
      <c r="B130" s="48">
        <v>688899.10000000009</v>
      </c>
      <c r="C130" s="47">
        <v>-474320.3</v>
      </c>
      <c r="D130" s="48">
        <f t="shared" si="52"/>
        <v>214578.8000000001</v>
      </c>
      <c r="E130" s="47"/>
      <c r="F130" s="54" t="s">
        <v>31</v>
      </c>
      <c r="G130" s="48">
        <v>108779.5</v>
      </c>
      <c r="H130" s="47"/>
      <c r="I130" s="53">
        <f>14755.1+541.4+433.2</f>
        <v>15729.7</v>
      </c>
      <c r="J130" s="49">
        <v>107284.3</v>
      </c>
      <c r="K130" s="48">
        <v>289290</v>
      </c>
      <c r="L130" s="50">
        <v>-235808.40000000002</v>
      </c>
      <c r="M130" s="47">
        <v>-23611.000000000004</v>
      </c>
      <c r="N130" s="48">
        <f t="shared" si="53"/>
        <v>261664.09999999998</v>
      </c>
      <c r="O130" s="47"/>
      <c r="P130" s="47">
        <v>8810.1</v>
      </c>
      <c r="Q130" s="48">
        <v>769672.79999999993</v>
      </c>
      <c r="R130" s="53">
        <v>2774.6000000000004</v>
      </c>
      <c r="S130" s="47">
        <f t="shared" si="54"/>
        <v>781257.49999999988</v>
      </c>
      <c r="T130" s="48">
        <f t="shared" si="55"/>
        <v>1042921.5999999999</v>
      </c>
      <c r="U130" s="48">
        <f t="shared" si="56"/>
        <v>1257500.3999999999</v>
      </c>
      <c r="Y130" s="6"/>
      <c r="Z130" s="6"/>
      <c r="AA130" s="6"/>
      <c r="AB130" s="6"/>
      <c r="AC130" s="6"/>
      <c r="AD130" s="6"/>
    </row>
    <row r="131" spans="1:30" ht="12.75" hidden="1" customHeight="1" x14ac:dyDescent="0.2">
      <c r="A131" s="55" t="s">
        <v>107</v>
      </c>
      <c r="B131" s="48">
        <v>708135.2</v>
      </c>
      <c r="C131" s="47">
        <v>-478585.59999999998</v>
      </c>
      <c r="D131" s="48">
        <f t="shared" ref="D131" si="57">SUM(B131:C131)</f>
        <v>229549.59999999998</v>
      </c>
      <c r="E131" s="47"/>
      <c r="F131" s="54" t="s">
        <v>31</v>
      </c>
      <c r="G131" s="48">
        <f>80164+32000</f>
        <v>112164</v>
      </c>
      <c r="H131" s="47"/>
      <c r="I131" s="53">
        <f>16444.5+543.2+65.9</f>
        <v>17053.600000000002</v>
      </c>
      <c r="J131" s="49">
        <v>107284.3</v>
      </c>
      <c r="K131" s="48">
        <v>288673.7</v>
      </c>
      <c r="L131" s="50">
        <v>-241378.4</v>
      </c>
      <c r="M131" s="47">
        <v>-21791.599999999999</v>
      </c>
      <c r="N131" s="48">
        <f t="shared" ref="N131" si="58">SUM( (F131:M131))</f>
        <v>262005.60000000006</v>
      </c>
      <c r="O131" s="47"/>
      <c r="P131" s="47">
        <f>8378.5+62.6</f>
        <v>8441.1</v>
      </c>
      <c r="Q131" s="48">
        <f>693394.3+79481.1</f>
        <v>772875.4</v>
      </c>
      <c r="R131" s="53">
        <v>3027.3</v>
      </c>
      <c r="S131" s="47">
        <f t="shared" ref="S131" si="59">SUM(P131:R131)</f>
        <v>784343.8</v>
      </c>
      <c r="T131" s="48">
        <f t="shared" ref="T131" si="60">SUM(N131,S131)</f>
        <v>1046349.4000000001</v>
      </c>
      <c r="U131" s="48">
        <f t="shared" ref="U131" si="61">SUM(D131,T131)</f>
        <v>1275899</v>
      </c>
      <c r="Y131" s="6"/>
      <c r="Z131" s="6"/>
      <c r="AA131" s="6"/>
      <c r="AB131" s="6"/>
      <c r="AC131" s="6"/>
      <c r="AD131" s="6"/>
    </row>
    <row r="132" spans="1:30" ht="12.75" hidden="1" customHeight="1" x14ac:dyDescent="0.2">
      <c r="A132" s="55" t="s">
        <v>75</v>
      </c>
      <c r="B132" s="48">
        <v>708261.2</v>
      </c>
      <c r="C132" s="47">
        <v>-497644.3</v>
      </c>
      <c r="D132" s="48">
        <f t="shared" ref="D132" si="62">SUM(B132:C132)</f>
        <v>210616.89999999997</v>
      </c>
      <c r="E132" s="47"/>
      <c r="F132" s="54">
        <v>8513</v>
      </c>
      <c r="G132" s="48">
        <f>76771.9+32000</f>
        <v>108771.9</v>
      </c>
      <c r="H132" s="47"/>
      <c r="I132" s="53">
        <f>12016.1+1314.8+461.5</f>
        <v>13792.4</v>
      </c>
      <c r="J132" s="49">
        <v>107284.3</v>
      </c>
      <c r="K132" s="48">
        <v>288673.7</v>
      </c>
      <c r="L132" s="50">
        <v>-225354.5</v>
      </c>
      <c r="M132" s="47">
        <v>-17505</v>
      </c>
      <c r="N132" s="48">
        <f t="shared" ref="N132" si="63">SUM( (F132:M132))</f>
        <v>284175.80000000005</v>
      </c>
      <c r="O132" s="47"/>
      <c r="P132" s="47">
        <f>7761.4+62.6</f>
        <v>7824</v>
      </c>
      <c r="Q132" s="48">
        <f>692146.7+67184.1</f>
        <v>759330.79999999993</v>
      </c>
      <c r="R132" s="53">
        <v>3128.7</v>
      </c>
      <c r="S132" s="47">
        <f t="shared" ref="S132" si="64">SUM(P132:R132)</f>
        <v>770283.49999999988</v>
      </c>
      <c r="T132" s="48">
        <f t="shared" ref="T132" si="65">SUM(N132,S132)</f>
        <v>1054459.2999999998</v>
      </c>
      <c r="U132" s="48">
        <f t="shared" ref="U132" si="66">SUM(D132,T132)</f>
        <v>1265076.1999999997</v>
      </c>
      <c r="Y132" s="6"/>
      <c r="Z132" s="6"/>
      <c r="AA132" s="6"/>
      <c r="AB132" s="6"/>
      <c r="AC132" s="6"/>
      <c r="AD132" s="6"/>
    </row>
    <row r="133" spans="1:30" ht="12.75" hidden="1" customHeight="1" x14ac:dyDescent="0.2">
      <c r="A133" s="55" t="s">
        <v>109</v>
      </c>
      <c r="B133" s="48">
        <v>720143.7</v>
      </c>
      <c r="C133" s="47">
        <v>-506132.9</v>
      </c>
      <c r="D133" s="48">
        <f t="shared" ref="D133" si="67">SUM(B133:C133)</f>
        <v>214010.79999999993</v>
      </c>
      <c r="E133" s="47"/>
      <c r="F133" s="54">
        <v>14256.4</v>
      </c>
      <c r="G133" s="48">
        <f>90431.1+47500</f>
        <v>137931.1</v>
      </c>
      <c r="H133" s="47"/>
      <c r="I133" s="53">
        <f>15832.1+2342.1+382.1</f>
        <v>18556.3</v>
      </c>
      <c r="J133" s="49">
        <v>107284.3</v>
      </c>
      <c r="K133" s="48">
        <v>288365.59999999998</v>
      </c>
      <c r="L133" s="50">
        <v>-216225.3</v>
      </c>
      <c r="M133" s="47">
        <v>-16793.5</v>
      </c>
      <c r="N133" s="48">
        <f t="shared" ref="N133" si="68">SUM( (F133:M133))</f>
        <v>333374.89999999997</v>
      </c>
      <c r="O133" s="47"/>
      <c r="P133" s="47">
        <f>7677.8+62.6</f>
        <v>7740.4000000000005</v>
      </c>
      <c r="Q133" s="48">
        <f>692134.3+70429</f>
        <v>762563.3</v>
      </c>
      <c r="R133" s="53">
        <v>3057.1</v>
      </c>
      <c r="S133" s="47">
        <f t="shared" ref="S133" si="69">SUM(P133:R133)</f>
        <v>773360.8</v>
      </c>
      <c r="T133" s="48">
        <f t="shared" ref="T133" si="70">SUM(N133,S133)</f>
        <v>1106735.7</v>
      </c>
      <c r="U133" s="48">
        <f t="shared" ref="U133" si="71">SUM(D133,T133)</f>
        <v>1320746.5</v>
      </c>
      <c r="Y133" s="6"/>
      <c r="Z133" s="6"/>
      <c r="AA133" s="6"/>
      <c r="AB133" s="6"/>
      <c r="AC133" s="6"/>
      <c r="AD133" s="6"/>
    </row>
    <row r="134" spans="1:30" ht="12.75" hidden="1" customHeight="1" x14ac:dyDescent="0.2">
      <c r="A134" s="55" t="s">
        <v>111</v>
      </c>
      <c r="B134" s="48">
        <v>681841.8</v>
      </c>
      <c r="C134" s="47">
        <v>-498387.4</v>
      </c>
      <c r="D134" s="48">
        <f t="shared" ref="D134" si="72">SUM(B134:C134)</f>
        <v>183454.40000000002</v>
      </c>
      <c r="E134" s="47"/>
      <c r="F134" s="54">
        <v>16076.5</v>
      </c>
      <c r="G134" s="48">
        <f>83583.8+47500</f>
        <v>131083.79999999999</v>
      </c>
      <c r="H134" s="47"/>
      <c r="I134" s="53">
        <f>14486.1+1330.6+55.4</f>
        <v>15872.1</v>
      </c>
      <c r="J134" s="49">
        <v>107284.3</v>
      </c>
      <c r="K134" s="48">
        <v>287749.3</v>
      </c>
      <c r="L134" s="50">
        <v>-199767.2</v>
      </c>
      <c r="M134" s="47">
        <v>-12657.7</v>
      </c>
      <c r="N134" s="48">
        <f t="shared" ref="N134" si="73">SUM( (F134:M134))</f>
        <v>345641.1</v>
      </c>
      <c r="O134" s="47"/>
      <c r="P134" s="47">
        <f>9866.3+62.6</f>
        <v>9928.9</v>
      </c>
      <c r="Q134" s="48">
        <f>695279+71557.2</f>
        <v>766836.2</v>
      </c>
      <c r="R134" s="53">
        <v>3066.6</v>
      </c>
      <c r="S134" s="47">
        <f t="shared" ref="S134" si="74">SUM(P134:R134)</f>
        <v>779831.7</v>
      </c>
      <c r="T134" s="48">
        <f t="shared" ref="T134" si="75">SUM(N134,S134)</f>
        <v>1125472.7999999998</v>
      </c>
      <c r="U134" s="48">
        <f t="shared" ref="U134" si="76">SUM(D134,T134)</f>
        <v>1308927.1999999997</v>
      </c>
      <c r="Y134" s="6"/>
      <c r="Z134" s="6"/>
      <c r="AA134" s="6"/>
      <c r="AB134" s="6"/>
      <c r="AC134" s="6"/>
      <c r="AD134" s="6"/>
    </row>
    <row r="135" spans="1:30" ht="12.75" hidden="1" customHeight="1" x14ac:dyDescent="0.2">
      <c r="A135" s="55" t="s">
        <v>115</v>
      </c>
      <c r="B135" s="48">
        <v>685013.1</v>
      </c>
      <c r="C135" s="47">
        <v>-500571.5</v>
      </c>
      <c r="D135" s="48">
        <f t="shared" ref="D135" si="77">SUM(B135:C135)</f>
        <v>184441.59999999998</v>
      </c>
      <c r="E135" s="47"/>
      <c r="F135" s="54">
        <v>39309.599999999999</v>
      </c>
      <c r="G135" s="48">
        <f>86709.1+47500</f>
        <v>134209.1</v>
      </c>
      <c r="H135" s="47"/>
      <c r="I135" s="53">
        <f>17808.9+1296.6+444.8+73.2</f>
        <v>19623.5</v>
      </c>
      <c r="J135" s="49">
        <v>107284.3</v>
      </c>
      <c r="K135" s="48">
        <v>287441.2</v>
      </c>
      <c r="L135" s="50">
        <v>-209960.5</v>
      </c>
      <c r="M135" s="47">
        <v>-17287.8</v>
      </c>
      <c r="N135" s="48">
        <f t="shared" ref="N135" si="78">SUM( (F135:M135))</f>
        <v>360619.39999999997</v>
      </c>
      <c r="O135" s="47"/>
      <c r="P135" s="47">
        <f>13212.8+68.7</f>
        <v>13281.5</v>
      </c>
      <c r="Q135" s="48">
        <f>714945.7+68920.3</f>
        <v>783866</v>
      </c>
      <c r="R135" s="53">
        <v>3154.2</v>
      </c>
      <c r="S135" s="47">
        <f t="shared" ref="S135" si="79">SUM(P135:R135)</f>
        <v>800301.7</v>
      </c>
      <c r="T135" s="48">
        <f t="shared" ref="T135" si="80">SUM(N135,S135)</f>
        <v>1160921.0999999999</v>
      </c>
      <c r="U135" s="48">
        <f t="shared" ref="U135" si="81">SUM(D135,T135)</f>
        <v>1345362.6999999997</v>
      </c>
      <c r="Y135" s="6"/>
      <c r="Z135" s="6"/>
      <c r="AA135" s="6"/>
      <c r="AB135" s="6"/>
      <c r="AC135" s="6"/>
      <c r="AD135" s="6"/>
    </row>
    <row r="136" spans="1:30" ht="12.75" hidden="1" customHeight="1" x14ac:dyDescent="0.2">
      <c r="A136" s="55" t="s">
        <v>87</v>
      </c>
      <c r="B136" s="48">
        <v>687158.2</v>
      </c>
      <c r="C136" s="47">
        <v>-494893.8</v>
      </c>
      <c r="D136" s="48">
        <f t="shared" ref="D136" si="82">SUM(B136:C136)</f>
        <v>192264.39999999997</v>
      </c>
      <c r="E136" s="47"/>
      <c r="F136" s="54">
        <v>52779.8</v>
      </c>
      <c r="G136" s="48">
        <f>89256.6+47500</f>
        <v>136756.6</v>
      </c>
      <c r="H136" s="47"/>
      <c r="I136" s="53">
        <f>19112.1+3306.9+341</f>
        <v>22760</v>
      </c>
      <c r="J136" s="49">
        <v>107284.3</v>
      </c>
      <c r="K136" s="48">
        <v>287441.2</v>
      </c>
      <c r="L136" s="50">
        <f>-202215.5</f>
        <v>-202215.5</v>
      </c>
      <c r="M136" s="47">
        <v>-17393.5</v>
      </c>
      <c r="N136" s="48">
        <f t="shared" ref="N136" si="83">SUM( (F136:M136))</f>
        <v>387412.9</v>
      </c>
      <c r="O136" s="47"/>
      <c r="P136" s="47">
        <f>17500+68.7</f>
        <v>17568.7</v>
      </c>
      <c r="Q136" s="48">
        <f>721102.8+69992.4</f>
        <v>791095.20000000007</v>
      </c>
      <c r="R136" s="53">
        <v>3132.8</v>
      </c>
      <c r="S136" s="47">
        <f t="shared" ref="S136" si="84">SUM(P136:R136)</f>
        <v>811796.70000000007</v>
      </c>
      <c r="T136" s="48">
        <f t="shared" ref="T136" si="85">SUM(N136,S136)</f>
        <v>1199209.6000000001</v>
      </c>
      <c r="U136" s="48">
        <f t="shared" ref="U136" si="86">SUM(D136,T136)</f>
        <v>1391474</v>
      </c>
      <c r="Y136" s="6"/>
      <c r="Z136" s="6"/>
      <c r="AA136" s="6"/>
      <c r="AB136" s="6"/>
      <c r="AC136" s="6"/>
      <c r="AD136" s="6"/>
    </row>
    <row r="137" spans="1:30" ht="12.75" customHeight="1" x14ac:dyDescent="0.2">
      <c r="A137" s="55" t="s">
        <v>119</v>
      </c>
      <c r="B137" s="48">
        <v>655769.69999999995</v>
      </c>
      <c r="C137" s="47">
        <v>-504976</v>
      </c>
      <c r="D137" s="48">
        <f t="shared" ref="D137" si="87">SUM(B137:C137)</f>
        <v>150793.69999999995</v>
      </c>
      <c r="E137" s="47"/>
      <c r="F137" s="54">
        <v>43358.6</v>
      </c>
      <c r="G137" s="48">
        <f>90001+67163.6</f>
        <v>157164.6</v>
      </c>
      <c r="H137" s="47"/>
      <c r="I137" s="53">
        <f>21214.4+1421.8+384.4</f>
        <v>23020.600000000002</v>
      </c>
      <c r="J137" s="49">
        <v>107284.3</v>
      </c>
      <c r="K137" s="48">
        <v>286825</v>
      </c>
      <c r="L137" s="50">
        <v>-196181.9</v>
      </c>
      <c r="M137" s="47">
        <v>-19854.8</v>
      </c>
      <c r="N137" s="48">
        <f t="shared" ref="N137" si="88">SUM( (F137:M137))</f>
        <v>401616.40000000008</v>
      </c>
      <c r="O137" s="47"/>
      <c r="P137" s="47">
        <f>17416.3+68.7</f>
        <v>17485</v>
      </c>
      <c r="Q137" s="48">
        <f>736344.9+73153.3</f>
        <v>809498.20000000007</v>
      </c>
      <c r="R137" s="53">
        <v>3150.3</v>
      </c>
      <c r="S137" s="47">
        <f t="shared" ref="S137" si="89">SUM(P137:R137)</f>
        <v>830133.50000000012</v>
      </c>
      <c r="T137" s="48">
        <f t="shared" ref="T137" si="90">SUM(N137,S137)</f>
        <v>1231749.9000000001</v>
      </c>
      <c r="U137" s="48">
        <f t="shared" ref="U137" si="91">SUM(D137,T137)</f>
        <v>1382543.6</v>
      </c>
      <c r="Y137" s="6"/>
      <c r="Z137" s="6"/>
      <c r="AA137" s="6"/>
      <c r="AB137" s="6"/>
      <c r="AC137" s="6"/>
      <c r="AD137" s="6"/>
    </row>
    <row r="138" spans="1:30" ht="12.75" customHeight="1" x14ac:dyDescent="0.2">
      <c r="A138" s="55" t="s">
        <v>79</v>
      </c>
      <c r="B138" s="48">
        <v>718897</v>
      </c>
      <c r="C138" s="47">
        <v>-506302.2</v>
      </c>
      <c r="D138" s="48">
        <f t="shared" ref="D138" si="92">SUM(B138:C138)</f>
        <v>212594.8</v>
      </c>
      <c r="E138" s="47"/>
      <c r="F138" s="54">
        <v>27300.1</v>
      </c>
      <c r="G138" s="48">
        <f>84044.4+67472</f>
        <v>151516.4</v>
      </c>
      <c r="H138" s="47"/>
      <c r="I138" s="53">
        <f>21366.1+1373.1+401.1</f>
        <v>23140.299999999996</v>
      </c>
      <c r="J138" s="49">
        <v>107284.3</v>
      </c>
      <c r="K138" s="48">
        <v>286825</v>
      </c>
      <c r="L138" s="50">
        <v>-277497.7</v>
      </c>
      <c r="M138" s="47">
        <v>-25072.2</v>
      </c>
      <c r="N138" s="48">
        <f t="shared" ref="N138" si="93">SUM( (F138:M138))</f>
        <v>293496.19999999995</v>
      </c>
      <c r="O138" s="47"/>
      <c r="P138" s="47">
        <f>14938.3+68.7</f>
        <v>15007</v>
      </c>
      <c r="Q138" s="48">
        <f>730737.5+69600.3</f>
        <v>800337.8</v>
      </c>
      <c r="R138" s="53">
        <v>3642.9</v>
      </c>
      <c r="S138" s="47">
        <f t="shared" ref="S138" si="94">SUM(P138:R138)</f>
        <v>818987.70000000007</v>
      </c>
      <c r="T138" s="48">
        <f t="shared" ref="T138" si="95">SUM(N138,S138)</f>
        <v>1112483.8999999999</v>
      </c>
      <c r="U138" s="48">
        <f t="shared" ref="U138" si="96">SUM(D138,T138)</f>
        <v>1325078.7</v>
      </c>
      <c r="Y138" s="6"/>
      <c r="Z138" s="6"/>
      <c r="AA138" s="6"/>
      <c r="AB138" s="6"/>
      <c r="AC138" s="6"/>
      <c r="AD138" s="6"/>
    </row>
    <row r="139" spans="1:30" ht="12.75" customHeight="1" x14ac:dyDescent="0.2">
      <c r="A139" s="55" t="s">
        <v>80</v>
      </c>
      <c r="B139" s="48">
        <v>709663.5</v>
      </c>
      <c r="C139" s="47">
        <v>-506752.1</v>
      </c>
      <c r="D139" s="48">
        <f t="shared" ref="D139" si="97">SUM(B139:C139)</f>
        <v>202911.40000000002</v>
      </c>
      <c r="E139" s="47"/>
      <c r="F139" s="54">
        <v>74347</v>
      </c>
      <c r="G139" s="48">
        <f>87147.5+59641.1</f>
        <v>146788.6</v>
      </c>
      <c r="H139" s="47"/>
      <c r="I139" s="53">
        <f>21075.3+1223.7+383.1</f>
        <v>22682.1</v>
      </c>
      <c r="J139" s="49">
        <v>107284.3</v>
      </c>
      <c r="K139" s="48">
        <v>286516.8</v>
      </c>
      <c r="L139" s="50">
        <v>-244833.2</v>
      </c>
      <c r="M139" s="47">
        <v>-29509.200000000001</v>
      </c>
      <c r="N139" s="48">
        <f t="shared" ref="N139" si="98">SUM( (F139:M139))</f>
        <v>363276.4</v>
      </c>
      <c r="O139" s="47"/>
      <c r="P139" s="47">
        <f>12405.8+68.7</f>
        <v>12474.5</v>
      </c>
      <c r="Q139" s="48">
        <f>735821.6+70847.7</f>
        <v>806669.29999999993</v>
      </c>
      <c r="R139" s="53">
        <v>3691</v>
      </c>
      <c r="S139" s="47">
        <f t="shared" ref="S139" si="99">SUM(P139:R139)</f>
        <v>822834.79999999993</v>
      </c>
      <c r="T139" s="48">
        <f t="shared" ref="T139" si="100">SUM(N139,S139)</f>
        <v>1186111.2</v>
      </c>
      <c r="U139" s="48">
        <f t="shared" ref="U139" si="101">SUM(D139,T139)</f>
        <v>1389022.6</v>
      </c>
      <c r="Y139" s="6"/>
      <c r="Z139" s="6"/>
      <c r="AA139" s="6"/>
      <c r="AB139" s="6"/>
      <c r="AC139" s="6"/>
      <c r="AD139" s="6"/>
    </row>
    <row r="140" spans="1:30" ht="12.75" customHeight="1" x14ac:dyDescent="0.2">
      <c r="A140" s="55" t="s">
        <v>81</v>
      </c>
      <c r="B140" s="48">
        <v>687387.7</v>
      </c>
      <c r="C140" s="47">
        <v>-495767.8</v>
      </c>
      <c r="D140" s="48">
        <f t="shared" ref="D140" si="102">SUM(B140:C140)</f>
        <v>191619.89999999997</v>
      </c>
      <c r="E140" s="47"/>
      <c r="F140" s="54">
        <v>41502.5</v>
      </c>
      <c r="G140" s="48">
        <f>94268.7+59813.8</f>
        <v>154082.5</v>
      </c>
      <c r="H140" s="47"/>
      <c r="I140" s="53">
        <f>17552.8+948.8</f>
        <v>18501.599999999999</v>
      </c>
      <c r="J140" s="49">
        <v>106976.2</v>
      </c>
      <c r="K140" s="48">
        <v>286208.59999999998</v>
      </c>
      <c r="L140" s="50">
        <v>-245054.4</v>
      </c>
      <c r="M140" s="47">
        <v>-31987.8</v>
      </c>
      <c r="N140" s="48">
        <f t="shared" ref="N140" si="103">SUM( (F140:M140))</f>
        <v>330229.1999999999</v>
      </c>
      <c r="O140" s="47"/>
      <c r="P140" s="47">
        <f>11219.3+68.7</f>
        <v>11288</v>
      </c>
      <c r="Q140" s="48">
        <f>743990.4+71865.7</f>
        <v>815856.1</v>
      </c>
      <c r="R140" s="53">
        <v>3607.1</v>
      </c>
      <c r="S140" s="47">
        <f t="shared" ref="S140" si="104">SUM(P140:R140)</f>
        <v>830751.2</v>
      </c>
      <c r="T140" s="48">
        <f t="shared" ref="T140" si="105">SUM(N140,S140)</f>
        <v>1160980.3999999999</v>
      </c>
      <c r="U140" s="48">
        <f t="shared" ref="U140" si="106">SUM(D140,T140)</f>
        <v>1352600.2999999998</v>
      </c>
      <c r="Y140" s="6"/>
      <c r="Z140" s="6"/>
      <c r="AA140" s="6"/>
      <c r="AB140" s="6"/>
      <c r="AC140" s="6"/>
      <c r="AD140" s="6"/>
    </row>
    <row r="141" spans="1:30" ht="12.75" customHeight="1" x14ac:dyDescent="0.2">
      <c r="A141" s="55" t="s">
        <v>82</v>
      </c>
      <c r="B141" s="48">
        <v>700883.1</v>
      </c>
      <c r="C141" s="47">
        <v>-520621.8</v>
      </c>
      <c r="D141" s="48">
        <f t="shared" ref="D141" si="107">SUM(B141:C141)</f>
        <v>180261.3</v>
      </c>
      <c r="E141" s="47"/>
      <c r="F141" s="54">
        <v>55186.9</v>
      </c>
      <c r="G141" s="48">
        <f>87718.9+59983.8</f>
        <v>147702.70000000001</v>
      </c>
      <c r="H141" s="47"/>
      <c r="I141" s="53">
        <f>14527.8+34633.2</f>
        <v>49161</v>
      </c>
      <c r="J141" s="49">
        <v>106976.2</v>
      </c>
      <c r="K141" s="48">
        <v>285900.5</v>
      </c>
      <c r="L141" s="50">
        <v>-238071.7</v>
      </c>
      <c r="M141" s="47">
        <v>-23004.400000000001</v>
      </c>
      <c r="N141" s="48">
        <f t="shared" ref="N141" si="108">SUM( (F141:M141))</f>
        <v>383851.2</v>
      </c>
      <c r="O141" s="47"/>
      <c r="P141" s="47">
        <f>11369.5+68.7</f>
        <v>11438.2</v>
      </c>
      <c r="Q141" s="48">
        <f>753860.5+71739.9</f>
        <v>825600.4</v>
      </c>
      <c r="R141" s="53">
        <v>3449.3</v>
      </c>
      <c r="S141" s="47">
        <f t="shared" ref="S141" si="109">SUM(P141:R141)</f>
        <v>840487.9</v>
      </c>
      <c r="T141" s="48">
        <f t="shared" ref="T141" si="110">SUM(N141,S141)</f>
        <v>1224339.1000000001</v>
      </c>
      <c r="U141" s="48">
        <f t="shared" ref="U141" si="111">SUM(D141,T141)</f>
        <v>1404600.4000000001</v>
      </c>
      <c r="Y141" s="6"/>
      <c r="Z141" s="6"/>
      <c r="AA141" s="6"/>
      <c r="AB141" s="6"/>
      <c r="AC141" s="6"/>
      <c r="AD141" s="6"/>
    </row>
    <row r="142" spans="1:30" ht="12.75" customHeight="1" x14ac:dyDescent="0.2">
      <c r="A142" s="55"/>
      <c r="B142" s="48"/>
      <c r="C142" s="47"/>
      <c r="D142" s="48"/>
      <c r="E142" s="47"/>
      <c r="F142" s="54"/>
      <c r="G142" s="48"/>
      <c r="H142" s="47"/>
      <c r="I142" s="53"/>
      <c r="J142" s="49"/>
      <c r="K142" s="48"/>
      <c r="L142" s="50"/>
      <c r="M142" s="47"/>
      <c r="N142" s="48"/>
      <c r="O142" s="47"/>
      <c r="P142" s="47"/>
      <c r="Q142" s="48"/>
      <c r="R142" s="53"/>
      <c r="S142" s="47"/>
      <c r="T142" s="48"/>
      <c r="U142" s="48"/>
      <c r="Y142" s="6"/>
      <c r="Z142" s="6"/>
      <c r="AA142" s="6"/>
      <c r="AB142" s="6"/>
      <c r="AC142" s="6"/>
      <c r="AD142" s="6"/>
    </row>
    <row r="143" spans="1:30" ht="12.75" customHeight="1" x14ac:dyDescent="0.2">
      <c r="A143" s="55" t="s">
        <v>88</v>
      </c>
      <c r="B143" s="48">
        <v>673736.2</v>
      </c>
      <c r="C143" s="47">
        <v>-498820.4</v>
      </c>
      <c r="D143" s="48">
        <f t="shared" ref="D143" si="112">SUM(B143:C143)</f>
        <v>174915.79999999993</v>
      </c>
      <c r="E143" s="47"/>
      <c r="F143" s="54">
        <v>22472.2</v>
      </c>
      <c r="G143" s="48">
        <f>89081.9+68163.2</f>
        <v>157245.09999999998</v>
      </c>
      <c r="H143" s="47"/>
      <c r="I143" s="53">
        <f>15258.8+35319</f>
        <v>50577.8</v>
      </c>
      <c r="J143" s="49">
        <v>106976.2</v>
      </c>
      <c r="K143" s="48">
        <v>285900.5</v>
      </c>
      <c r="L143" s="50">
        <v>-235895.3</v>
      </c>
      <c r="M143" s="47">
        <v>-23585.3</v>
      </c>
      <c r="N143" s="48">
        <f t="shared" ref="N143" si="113">SUM( (F143:M143))</f>
        <v>363691.20000000007</v>
      </c>
      <c r="O143" s="47"/>
      <c r="P143" s="47">
        <f>10412.2+68.7</f>
        <v>10480.900000000001</v>
      </c>
      <c r="Q143" s="48">
        <f>747842.4+76866.3</f>
        <v>824708.70000000007</v>
      </c>
      <c r="R143" s="53">
        <v>3291.2</v>
      </c>
      <c r="S143" s="47">
        <f t="shared" ref="S143" si="114">SUM(P143:R143)</f>
        <v>838480.8</v>
      </c>
      <c r="T143" s="48">
        <f t="shared" ref="T143" si="115">SUM(N143,S143)</f>
        <v>1202172</v>
      </c>
      <c r="U143" s="48">
        <f t="shared" ref="U143" si="116">SUM(D143,T143)</f>
        <v>1377087.7999999998</v>
      </c>
      <c r="Y143" s="6"/>
      <c r="Z143" s="6"/>
      <c r="AA143" s="6"/>
      <c r="AB143" s="6"/>
      <c r="AC143" s="6"/>
      <c r="AD143" s="6"/>
    </row>
    <row r="144" spans="1:30" ht="12.75" customHeight="1" x14ac:dyDescent="0.2">
      <c r="A144" s="55" t="s">
        <v>84</v>
      </c>
      <c r="B144" s="48">
        <v>654370.9</v>
      </c>
      <c r="C144" s="47">
        <v>-501999.6</v>
      </c>
      <c r="D144" s="48">
        <f t="shared" ref="D144" si="117">SUM(B144:C144)</f>
        <v>152371.30000000005</v>
      </c>
      <c r="E144" s="47"/>
      <c r="F144" s="54">
        <v>72202.7</v>
      </c>
      <c r="G144" s="48">
        <f>80498.8+60328.4</f>
        <v>140827.20000000001</v>
      </c>
      <c r="H144" s="47"/>
      <c r="I144" s="53">
        <f>16307.5+37033.8</f>
        <v>53341.3</v>
      </c>
      <c r="J144" s="49">
        <v>105891</v>
      </c>
      <c r="K144" s="48">
        <v>284644.40000000002</v>
      </c>
      <c r="L144" s="50">
        <v>-233991.7</v>
      </c>
      <c r="M144" s="47">
        <v>-26721.8</v>
      </c>
      <c r="N144" s="48">
        <f t="shared" ref="N144" si="118">SUM( (F144:M144))</f>
        <v>396193.10000000009</v>
      </c>
      <c r="O144" s="47"/>
      <c r="P144" s="47">
        <f>8106.5+68.7</f>
        <v>8175.2</v>
      </c>
      <c r="Q144" s="48">
        <f>742651.7+74928</f>
        <v>817579.7</v>
      </c>
      <c r="R144" s="53">
        <v>3220</v>
      </c>
      <c r="S144" s="47">
        <f t="shared" ref="S144" si="119">SUM(P144:R144)</f>
        <v>828974.89999999991</v>
      </c>
      <c r="T144" s="48">
        <f t="shared" ref="T144" si="120">SUM(N144,S144)</f>
        <v>1225168</v>
      </c>
      <c r="U144" s="48">
        <f t="shared" ref="U144" si="121">SUM(D144,T144)</f>
        <v>1377539.3</v>
      </c>
      <c r="Y144" s="6"/>
      <c r="Z144" s="6"/>
      <c r="AA144" s="6"/>
      <c r="AB144" s="6"/>
      <c r="AC144" s="6"/>
      <c r="AD144" s="6"/>
    </row>
    <row r="145" spans="1:30" ht="12.75" customHeight="1" x14ac:dyDescent="0.2">
      <c r="A145" s="55" t="s">
        <v>85</v>
      </c>
      <c r="B145" s="48">
        <v>664188.19999999995</v>
      </c>
      <c r="C145" s="47">
        <v>-503561.2</v>
      </c>
      <c r="D145" s="48">
        <f t="shared" ref="D145" si="122">SUM(B145:C145)</f>
        <v>160626.99999999994</v>
      </c>
      <c r="E145" s="47"/>
      <c r="F145" s="54">
        <v>23590.1</v>
      </c>
      <c r="G145" s="48">
        <f>96138+60514.5</f>
        <v>156652.5</v>
      </c>
      <c r="H145" s="47"/>
      <c r="I145" s="53">
        <f>14327.6+37342.1</f>
        <v>51669.7</v>
      </c>
      <c r="J145" s="49">
        <v>104166</v>
      </c>
      <c r="K145" s="48">
        <v>284644.40000000002</v>
      </c>
      <c r="L145" s="50">
        <v>-246499.8</v>
      </c>
      <c r="M145" s="47">
        <v>-29000.6</v>
      </c>
      <c r="N145" s="48">
        <f t="shared" ref="N145" si="123">SUM( (F145:M145))</f>
        <v>345222.3</v>
      </c>
      <c r="O145" s="47"/>
      <c r="P145" s="47">
        <f>8421.9+68.7</f>
        <v>8490.6</v>
      </c>
      <c r="Q145" s="48">
        <f>752803.3+67553.5</f>
        <v>820356.8</v>
      </c>
      <c r="R145" s="53">
        <v>3910.9</v>
      </c>
      <c r="S145" s="47">
        <f t="shared" ref="S145" si="124">SUM(P145:R145)</f>
        <v>832758.3</v>
      </c>
      <c r="T145" s="48">
        <f t="shared" ref="T145" si="125">SUM(N145,S145)</f>
        <v>1177980.6000000001</v>
      </c>
      <c r="U145" s="48">
        <f t="shared" ref="U145" si="126">SUM(D145,T145)</f>
        <v>1338607.6000000001</v>
      </c>
      <c r="Y145" s="6"/>
      <c r="Z145" s="6"/>
      <c r="AA145" s="6"/>
      <c r="AB145" s="6"/>
      <c r="AC145" s="6"/>
      <c r="AD145" s="6"/>
    </row>
    <row r="146" spans="1:30" ht="12.75" customHeight="1" x14ac:dyDescent="0.2">
      <c r="A146" s="55" t="s">
        <v>86</v>
      </c>
      <c r="B146" s="48">
        <v>656080.69999999995</v>
      </c>
      <c r="C146" s="47">
        <v>-508283.4</v>
      </c>
      <c r="D146" s="48">
        <f t="shared" ref="D146" si="127">SUM(B146:C146)</f>
        <v>147797.29999999993</v>
      </c>
      <c r="E146" s="47"/>
      <c r="F146" s="54">
        <v>54107.7</v>
      </c>
      <c r="G146" s="48">
        <f>100215.5+52716.1</f>
        <v>152931.6</v>
      </c>
      <c r="H146" s="47"/>
      <c r="I146" s="53">
        <f>11955.7+35613.2</f>
        <v>47568.899999999994</v>
      </c>
      <c r="J146" s="49">
        <v>102772.7</v>
      </c>
      <c r="K146" s="48">
        <v>284004.5</v>
      </c>
      <c r="L146" s="50">
        <v>-233564.79999999999</v>
      </c>
      <c r="M146" s="47">
        <v>-27853.4</v>
      </c>
      <c r="N146" s="48">
        <f t="shared" ref="N146" si="128">SUM( (F146:M146))</f>
        <v>379967.1999999999</v>
      </c>
      <c r="O146" s="47"/>
      <c r="P146" s="47">
        <f>10785.1+68.7</f>
        <v>10853.800000000001</v>
      </c>
      <c r="Q146" s="48">
        <f>769603+68085.7</f>
        <v>837688.7</v>
      </c>
      <c r="R146" s="53">
        <v>3961.3</v>
      </c>
      <c r="S146" s="47">
        <f t="shared" ref="S146" si="129">SUM(P146:R146)</f>
        <v>852503.8</v>
      </c>
      <c r="T146" s="48">
        <f t="shared" ref="T146" si="130">SUM(N146,S146)</f>
        <v>1232471</v>
      </c>
      <c r="U146" s="48">
        <f t="shared" ref="U146" si="131">SUM(D146,T146)</f>
        <v>1380268.2999999998</v>
      </c>
      <c r="Y146" s="6"/>
      <c r="Z146" s="6"/>
      <c r="AA146" s="6"/>
      <c r="AB146" s="6"/>
      <c r="AC146" s="6"/>
      <c r="AD146" s="6"/>
    </row>
    <row r="147" spans="1:30" ht="12.75" customHeight="1" x14ac:dyDescent="0.2">
      <c r="A147" s="55" t="s">
        <v>77</v>
      </c>
      <c r="B147" s="48">
        <v>631693.80000000005</v>
      </c>
      <c r="C147" s="47">
        <v>-493454.9</v>
      </c>
      <c r="D147" s="48">
        <f t="shared" ref="D147" si="132">SUM(B147:C147)</f>
        <v>138238.90000000002</v>
      </c>
      <c r="E147" s="47"/>
      <c r="F147" s="54">
        <v>79625</v>
      </c>
      <c r="G147" s="48">
        <f>114578.6+57887.2</f>
        <v>172465.8</v>
      </c>
      <c r="H147" s="47"/>
      <c r="I147" s="53">
        <f>16601.7+34736.2</f>
        <v>51337.899999999994</v>
      </c>
      <c r="J147" s="49">
        <v>101379.3</v>
      </c>
      <c r="K147" s="48">
        <v>283364.7</v>
      </c>
      <c r="L147" s="50">
        <v>-236933.5</v>
      </c>
      <c r="M147" s="47">
        <v>-28395.4</v>
      </c>
      <c r="N147" s="48">
        <f t="shared" ref="N147" si="133">SUM( (F147:M147))</f>
        <v>422843.79999999993</v>
      </c>
      <c r="O147" s="47"/>
      <c r="P147" s="47">
        <f>11954+68.7</f>
        <v>12022.7</v>
      </c>
      <c r="Q147" s="48">
        <f>774250.6+69589.9</f>
        <v>843840.5</v>
      </c>
      <c r="R147" s="53">
        <v>4189.7</v>
      </c>
      <c r="S147" s="47">
        <f t="shared" ref="S147" si="134">SUM(P147:R147)</f>
        <v>860052.89999999991</v>
      </c>
      <c r="T147" s="48">
        <f t="shared" ref="T147" si="135">SUM(N147,S147)</f>
        <v>1282896.6999999997</v>
      </c>
      <c r="U147" s="48">
        <f t="shared" ref="U147" si="136">SUM(D147,T147)</f>
        <v>1421135.5999999996</v>
      </c>
      <c r="Y147" s="6"/>
      <c r="Z147" s="6"/>
      <c r="AA147" s="6"/>
      <c r="AB147" s="6"/>
      <c r="AC147" s="6"/>
      <c r="AD147" s="6"/>
    </row>
    <row r="148" spans="1:30" ht="12.75" customHeight="1" x14ac:dyDescent="0.2">
      <c r="A148" s="55" t="s">
        <v>76</v>
      </c>
      <c r="B148" s="48">
        <v>566058</v>
      </c>
      <c r="C148" s="47">
        <v>-501183.4</v>
      </c>
      <c r="D148" s="48">
        <f t="shared" ref="D148" si="137">SUM(B148:C148)</f>
        <v>64874.599999999977</v>
      </c>
      <c r="E148" s="47"/>
      <c r="F148" s="54">
        <v>121700.8</v>
      </c>
      <c r="G148" s="48">
        <f>105680.9+61075.3</f>
        <v>166756.20000000001</v>
      </c>
      <c r="H148" s="47"/>
      <c r="I148" s="53">
        <f>15842.4+32993.1</f>
        <v>48835.5</v>
      </c>
      <c r="J148" s="49">
        <v>100317.8</v>
      </c>
      <c r="K148" s="48">
        <v>282393.09999999998</v>
      </c>
      <c r="L148" s="50">
        <v>-228546.4</v>
      </c>
      <c r="M148" s="47">
        <v>-26258.9</v>
      </c>
      <c r="N148" s="48">
        <f t="shared" ref="N148" si="138">SUM( (F148:M148))</f>
        <v>465198.09999999986</v>
      </c>
      <c r="O148" s="47"/>
      <c r="P148" s="47">
        <f>10157.4+68.7</f>
        <v>10226.1</v>
      </c>
      <c r="Q148" s="48">
        <f>776507.8+69575.4</f>
        <v>846083.20000000007</v>
      </c>
      <c r="R148" s="53">
        <v>3822.2</v>
      </c>
      <c r="S148" s="47">
        <f t="shared" ref="S148" si="139">SUM(P148:R148)</f>
        <v>860131.5</v>
      </c>
      <c r="T148" s="48">
        <f t="shared" ref="T148" si="140">SUM(N148,S148)</f>
        <v>1325329.5999999999</v>
      </c>
      <c r="U148" s="48">
        <f t="shared" ref="U148" si="141">SUM(D148,T148)</f>
        <v>1390204.1999999997</v>
      </c>
      <c r="Y148" s="6"/>
      <c r="Z148" s="6"/>
      <c r="AA148" s="6"/>
      <c r="AB148" s="6"/>
      <c r="AC148" s="6"/>
      <c r="AD148" s="6"/>
    </row>
    <row r="149" spans="1:30" ht="12.75" customHeight="1" x14ac:dyDescent="0.2">
      <c r="A149" s="55" t="s">
        <v>87</v>
      </c>
      <c r="B149" s="48">
        <v>521521.9</v>
      </c>
      <c r="C149" s="47">
        <v>-491891.1</v>
      </c>
      <c r="D149" s="48">
        <f t="shared" ref="D149" si="142">SUM(B149:C149)</f>
        <v>29630.800000000047</v>
      </c>
      <c r="E149" s="47"/>
      <c r="F149" s="54">
        <v>124466.2</v>
      </c>
      <c r="G149" s="48">
        <f>112827.4+57754.6</f>
        <v>170582</v>
      </c>
      <c r="H149" s="47"/>
      <c r="I149" s="53">
        <f>13954.7+34184.1</f>
        <v>48138.8</v>
      </c>
      <c r="J149" s="49">
        <v>98924.5</v>
      </c>
      <c r="K149" s="48">
        <v>281753.2</v>
      </c>
      <c r="L149" s="50">
        <v>-203186.3</v>
      </c>
      <c r="M149" s="47">
        <v>-26401.599999999999</v>
      </c>
      <c r="N149" s="48">
        <f t="shared" ref="N149" si="143">SUM( (F149:M149))</f>
        <v>494276.8</v>
      </c>
      <c r="O149" s="47"/>
      <c r="P149" s="47">
        <f>13775.1+132.8</f>
        <v>13907.9</v>
      </c>
      <c r="Q149" s="48">
        <f>773749.7+78997.8</f>
        <v>852747.5</v>
      </c>
      <c r="R149" s="53">
        <v>3822.1</v>
      </c>
      <c r="S149" s="47">
        <f t="shared" ref="S149" si="144">SUM(P149:R149)</f>
        <v>870477.5</v>
      </c>
      <c r="T149" s="48">
        <f t="shared" ref="T149" si="145">SUM(N149,S149)</f>
        <v>1364754.3</v>
      </c>
      <c r="U149" s="48">
        <f t="shared" ref="U149" si="146">SUM(D149,T149)</f>
        <v>1394385.1</v>
      </c>
      <c r="Y149" s="6"/>
      <c r="Z149" s="6"/>
      <c r="AA149" s="6"/>
      <c r="AB149" s="6"/>
      <c r="AC149" s="6"/>
      <c r="AD149" s="6"/>
    </row>
    <row r="150" spans="1:30" ht="12.75" customHeight="1" x14ac:dyDescent="0.2">
      <c r="A150" s="55" t="s">
        <v>78</v>
      </c>
      <c r="B150" s="48">
        <v>500902.8</v>
      </c>
      <c r="C150" s="47">
        <v>-497960.4</v>
      </c>
      <c r="D150" s="48">
        <f t="shared" ref="D150" si="147">SUM(B150:C150)</f>
        <v>2942.3999999999651</v>
      </c>
      <c r="E150" s="47"/>
      <c r="F150" s="54">
        <v>162684.9</v>
      </c>
      <c r="G150" s="48">
        <f>112931+57957.3</f>
        <v>170888.3</v>
      </c>
      <c r="H150" s="47"/>
      <c r="I150" s="53">
        <f>13926.8+33864.5</f>
        <v>47791.3</v>
      </c>
      <c r="J150" s="49">
        <v>97531.199999999997</v>
      </c>
      <c r="K150" s="48">
        <v>281113.3</v>
      </c>
      <c r="L150" s="50">
        <v>-191548.2</v>
      </c>
      <c r="M150" s="47">
        <v>-34152.400000000001</v>
      </c>
      <c r="N150" s="48">
        <f t="shared" ref="N150" si="148">SUM( (F150:M150))</f>
        <v>534308.4</v>
      </c>
      <c r="O150" s="47"/>
      <c r="P150" s="47">
        <f>13569.9+132.8</f>
        <v>13702.699999999999</v>
      </c>
      <c r="Q150" s="48">
        <f>773983.8+78334.6</f>
        <v>852318.4</v>
      </c>
      <c r="R150" s="53">
        <v>3846.9</v>
      </c>
      <c r="S150" s="47">
        <f t="shared" ref="S150" si="149">SUM(P150:R150)</f>
        <v>869868</v>
      </c>
      <c r="T150" s="48">
        <f t="shared" ref="T150" si="150">SUM(N150,S150)</f>
        <v>1404176.4</v>
      </c>
      <c r="U150" s="48">
        <f t="shared" ref="U150" si="151">SUM(D150,T150)</f>
        <v>1407118.7999999998</v>
      </c>
      <c r="Y150" s="6"/>
      <c r="Z150" s="6"/>
      <c r="AA150" s="6"/>
      <c r="AB150" s="6"/>
      <c r="AC150" s="6"/>
      <c r="AD150" s="6"/>
    </row>
    <row r="151" spans="1:30" ht="12.75" customHeight="1" x14ac:dyDescent="0.2">
      <c r="A151" s="55" t="s">
        <v>79</v>
      </c>
      <c r="B151" s="48">
        <v>453394</v>
      </c>
      <c r="C151" s="47">
        <v>-486902.6</v>
      </c>
      <c r="D151" s="48">
        <f t="shared" ref="D151" si="152">SUM(B151:C151)</f>
        <v>-33508.599999999977</v>
      </c>
      <c r="E151" s="47"/>
      <c r="F151" s="54">
        <v>201450.1</v>
      </c>
      <c r="G151" s="48">
        <f>118944.2+58157.4</f>
        <v>177101.6</v>
      </c>
      <c r="H151" s="47"/>
      <c r="I151" s="53">
        <f>16617.4+33329.9</f>
        <v>49947.3</v>
      </c>
      <c r="J151" s="49">
        <v>96137.9</v>
      </c>
      <c r="K151" s="48">
        <v>280473.5</v>
      </c>
      <c r="L151" s="50">
        <v>-208661.1</v>
      </c>
      <c r="M151" s="47">
        <v>-29497.3</v>
      </c>
      <c r="N151" s="48">
        <f t="shared" ref="N151" si="153">SUM( (F151:M151))</f>
        <v>566952</v>
      </c>
      <c r="O151" s="47"/>
      <c r="P151" s="47">
        <f>15430.3+132.8</f>
        <v>15563.099999999999</v>
      </c>
      <c r="Q151" s="48">
        <f>772452+76961.8</f>
        <v>849413.8</v>
      </c>
      <c r="R151" s="53">
        <v>3755.9</v>
      </c>
      <c r="S151" s="47">
        <f t="shared" ref="S151" si="154">SUM(P151:R151)</f>
        <v>868732.8</v>
      </c>
      <c r="T151" s="48">
        <f t="shared" ref="T151" si="155">SUM(N151,S151)</f>
        <v>1435684.8</v>
      </c>
      <c r="U151" s="48">
        <f t="shared" ref="U151" si="156">SUM(D151,T151)</f>
        <v>1402176.2000000002</v>
      </c>
      <c r="Y151" s="6"/>
      <c r="Z151" s="6"/>
      <c r="AA151" s="6"/>
      <c r="AB151" s="6"/>
      <c r="AC151" s="6"/>
      <c r="AD151" s="6"/>
    </row>
    <row r="152" spans="1:30" ht="12.75" customHeight="1" x14ac:dyDescent="0.2">
      <c r="A152" s="55" t="s">
        <v>80</v>
      </c>
      <c r="B152" s="48">
        <v>457895.3</v>
      </c>
      <c r="C152" s="47">
        <v>-481988.6</v>
      </c>
      <c r="D152" s="48">
        <f t="shared" ref="D152:D154" si="157">SUM(B152:C152)</f>
        <v>-24093.299999999988</v>
      </c>
      <c r="E152" s="47"/>
      <c r="F152" s="54">
        <v>227827.20000000001</v>
      </c>
      <c r="G152" s="48">
        <f>135892.3+58368.8</f>
        <v>194261.09999999998</v>
      </c>
      <c r="H152" s="47"/>
      <c r="I152" s="53">
        <f>19836.1+34898.8</f>
        <v>54734.9</v>
      </c>
      <c r="J152" s="49">
        <v>95660.7</v>
      </c>
      <c r="K152" s="48">
        <v>279193.7</v>
      </c>
      <c r="L152" s="50">
        <v>-190386.2</v>
      </c>
      <c r="M152" s="47">
        <v>-33496</v>
      </c>
      <c r="N152" s="48">
        <f t="shared" ref="N152" si="158">SUM( (F152:M152))</f>
        <v>627795.40000000014</v>
      </c>
      <c r="O152" s="47"/>
      <c r="P152" s="47">
        <f>29802.3+132.8</f>
        <v>29935.1</v>
      </c>
      <c r="Q152" s="48">
        <f>746882.8+78961.6</f>
        <v>825844.4</v>
      </c>
      <c r="R152" s="53">
        <v>4663.1000000000004</v>
      </c>
      <c r="S152" s="47">
        <f t="shared" ref="S152" si="159">SUM(P152:R152)</f>
        <v>860442.6</v>
      </c>
      <c r="T152" s="48">
        <f t="shared" ref="T152" si="160">SUM(N152,S152)</f>
        <v>1488238</v>
      </c>
      <c r="U152" s="48">
        <f t="shared" ref="U152" si="161">SUM(D152,T152)</f>
        <v>1464144.7</v>
      </c>
      <c r="Y152" s="6"/>
      <c r="Z152" s="6"/>
      <c r="AA152" s="6"/>
      <c r="AB152" s="6"/>
      <c r="AC152" s="6"/>
      <c r="AD152" s="6"/>
    </row>
    <row r="153" spans="1:30" ht="12.75" customHeight="1" x14ac:dyDescent="0.2">
      <c r="A153" s="55" t="s">
        <v>81</v>
      </c>
      <c r="B153" s="48">
        <v>420233.7</v>
      </c>
      <c r="C153" s="47">
        <v>-504968.2</v>
      </c>
      <c r="D153" s="48">
        <v>-84734.5</v>
      </c>
      <c r="E153" s="47"/>
      <c r="F153" s="54">
        <v>236897.9</v>
      </c>
      <c r="G153" s="48">
        <f>151945+70789.2</f>
        <v>222734.2</v>
      </c>
      <c r="H153" s="47"/>
      <c r="I153" s="53">
        <f>14859.9+41431.2</f>
        <v>56291.1</v>
      </c>
      <c r="J153" s="49">
        <v>94267.4</v>
      </c>
      <c r="K153" s="48">
        <v>278553.90000000002</v>
      </c>
      <c r="L153" s="50">
        <v>-197862.8</v>
      </c>
      <c r="M153" s="47">
        <v>-34062.699999999997</v>
      </c>
      <c r="N153" s="48">
        <f t="shared" ref="N153" si="162">SUM( (F153:M153))</f>
        <v>656819</v>
      </c>
      <c r="O153" s="47"/>
      <c r="P153" s="47">
        <f>10662.8+132.8</f>
        <v>10795.599999999999</v>
      </c>
      <c r="Q153" s="48">
        <f>779069.4+46338.6</f>
        <v>825408</v>
      </c>
      <c r="R153" s="53">
        <v>8.3000000000000007</v>
      </c>
      <c r="S153" s="47">
        <f t="shared" ref="S153" si="163">SUM(P153:R153)</f>
        <v>836211.9</v>
      </c>
      <c r="T153" s="48">
        <f t="shared" ref="T153" si="164">SUM(N153,S153)</f>
        <v>1493030.9</v>
      </c>
      <c r="U153" s="48">
        <f t="shared" ref="U153" si="165">SUM(D153,T153)</f>
        <v>1408296.4</v>
      </c>
      <c r="Y153" s="6"/>
      <c r="Z153" s="6"/>
      <c r="AA153" s="6"/>
      <c r="AB153" s="6"/>
      <c r="AC153" s="6"/>
      <c r="AD153" s="6"/>
    </row>
    <row r="154" spans="1:30" ht="12.75" customHeight="1" x14ac:dyDescent="0.2">
      <c r="A154" s="55" t="s">
        <v>82</v>
      </c>
      <c r="B154" s="48">
        <v>428699.1</v>
      </c>
      <c r="C154" s="47">
        <v>-505180.4</v>
      </c>
      <c r="D154" s="48">
        <f t="shared" si="157"/>
        <v>-76481.300000000047</v>
      </c>
      <c r="E154" s="47"/>
      <c r="F154" s="54">
        <v>273246</v>
      </c>
      <c r="G154" s="48">
        <f>175202.1+78586</f>
        <v>253788.1</v>
      </c>
      <c r="H154" s="47"/>
      <c r="I154" s="53">
        <f>14621.9+35319.3</f>
        <v>49941.200000000004</v>
      </c>
      <c r="J154" s="49">
        <v>90564.7</v>
      </c>
      <c r="K154" s="48">
        <v>277913.90000000002</v>
      </c>
      <c r="L154" s="50">
        <v>-231612.3</v>
      </c>
      <c r="M154" s="47">
        <v>-26290.400000000001</v>
      </c>
      <c r="N154" s="48">
        <f t="shared" ref="N154" si="166">SUM( (F154:M154))</f>
        <v>687551.19999999984</v>
      </c>
      <c r="O154" s="47"/>
      <c r="P154" s="47">
        <f>6928.3+132.8</f>
        <v>7061.1</v>
      </c>
      <c r="Q154" s="48">
        <f>759876.7+42173.8</f>
        <v>802050.5</v>
      </c>
      <c r="R154" s="53">
        <v>27.1</v>
      </c>
      <c r="S154" s="47">
        <f t="shared" ref="S154" si="167">SUM(P154:R154)</f>
        <v>809138.7</v>
      </c>
      <c r="T154" s="48">
        <f t="shared" ref="T154" si="168">SUM(N154,S154)</f>
        <v>1496689.9</v>
      </c>
      <c r="U154" s="48">
        <f t="shared" ref="U154" si="169">SUM(D154,T154)</f>
        <v>1420208.5999999999</v>
      </c>
      <c r="Y154" s="6"/>
      <c r="Z154" s="6"/>
      <c r="AA154" s="6"/>
      <c r="AB154" s="6"/>
      <c r="AC154" s="6"/>
      <c r="AD154" s="6"/>
    </row>
    <row r="155" spans="1:30" ht="12.75" customHeight="1" x14ac:dyDescent="0.2">
      <c r="A155" s="55"/>
      <c r="B155" s="48"/>
      <c r="C155" s="47"/>
      <c r="D155" s="48"/>
      <c r="E155" s="47"/>
      <c r="F155" s="54"/>
      <c r="G155" s="48"/>
      <c r="H155" s="47"/>
      <c r="I155" s="53"/>
      <c r="J155" s="49"/>
      <c r="K155" s="48"/>
      <c r="L155" s="50"/>
      <c r="M155" s="47"/>
      <c r="N155" s="48"/>
      <c r="O155" s="47"/>
      <c r="P155" s="47"/>
      <c r="Q155" s="48"/>
      <c r="R155" s="53"/>
      <c r="S155" s="47"/>
      <c r="T155" s="48"/>
      <c r="U155" s="48"/>
      <c r="Y155" s="6"/>
      <c r="Z155" s="6"/>
      <c r="AA155" s="6"/>
      <c r="AB155" s="6"/>
      <c r="AC155" s="6"/>
      <c r="AD155" s="6"/>
    </row>
    <row r="156" spans="1:30" ht="12.75" customHeight="1" x14ac:dyDescent="0.2">
      <c r="A156" s="55" t="s">
        <v>121</v>
      </c>
      <c r="B156" s="48">
        <v>378909.8</v>
      </c>
      <c r="C156" s="47">
        <v>-498475</v>
      </c>
      <c r="D156" s="48">
        <f t="shared" ref="D156" si="170">SUM(B156:C156)</f>
        <v>-119565.20000000001</v>
      </c>
      <c r="E156" s="47"/>
      <c r="F156" s="54">
        <v>230233.5</v>
      </c>
      <c r="G156" s="48">
        <f>189318.8+77215.2</f>
        <v>266534</v>
      </c>
      <c r="H156" s="47"/>
      <c r="I156" s="53">
        <f>14586.2+34968.7</f>
        <v>49554.899999999994</v>
      </c>
      <c r="J156" s="49">
        <v>90564.7</v>
      </c>
      <c r="K156" s="48">
        <v>277913.90000000002</v>
      </c>
      <c r="L156" s="50">
        <v>-194321.4</v>
      </c>
      <c r="M156" s="47">
        <v>-27211.9</v>
      </c>
      <c r="N156" s="48">
        <f t="shared" ref="N156" si="171">SUM( (F156:M156))</f>
        <v>693267.7</v>
      </c>
      <c r="O156" s="47"/>
      <c r="P156" s="47">
        <f>3378.9+132.8</f>
        <v>3511.7000000000003</v>
      </c>
      <c r="Q156" s="48">
        <f>774189.5+45368.3</f>
        <v>819557.8</v>
      </c>
      <c r="R156" s="53">
        <v>67.400000000000006</v>
      </c>
      <c r="S156" s="47">
        <f t="shared" ref="S156" si="172">SUM(P156:R156)</f>
        <v>823136.9</v>
      </c>
      <c r="T156" s="48">
        <f t="shared" ref="T156" si="173">SUM(N156,S156)</f>
        <v>1516404.6</v>
      </c>
      <c r="U156" s="48">
        <f t="shared" ref="U156" si="174">SUM(D156,T156)</f>
        <v>1396839.4000000001</v>
      </c>
      <c r="Y156" s="6"/>
      <c r="Z156" s="6"/>
      <c r="AA156" s="6"/>
      <c r="AB156" s="6"/>
      <c r="AC156" s="6"/>
      <c r="AD156" s="6"/>
    </row>
    <row r="157" spans="1:30" ht="12.75" customHeight="1" x14ac:dyDescent="0.2">
      <c r="A157" s="55" t="s">
        <v>84</v>
      </c>
      <c r="B157" s="48">
        <v>356666</v>
      </c>
      <c r="C157" s="47">
        <v>-489785.9</v>
      </c>
      <c r="D157" s="48">
        <f t="shared" ref="D157" si="175">SUM(B157:C157)</f>
        <v>-133119.90000000002</v>
      </c>
      <c r="E157" s="47"/>
      <c r="F157" s="54">
        <v>260394.9</v>
      </c>
      <c r="G157" s="48">
        <f>203350.4+79380.5</f>
        <v>282730.90000000002</v>
      </c>
      <c r="H157" s="47"/>
      <c r="I157" s="53">
        <f>19175+33693</f>
        <v>52868</v>
      </c>
      <c r="J157" s="49">
        <v>89171.4</v>
      </c>
      <c r="K157" s="48">
        <v>277274.09999999998</v>
      </c>
      <c r="L157" s="50">
        <v>-200889.60000000001</v>
      </c>
      <c r="M157" s="47">
        <v>-26537.200000000001</v>
      </c>
      <c r="N157" s="48">
        <f t="shared" ref="N157" si="176">SUM( (F157:M157))</f>
        <v>735012.50000000012</v>
      </c>
      <c r="O157" s="47"/>
      <c r="P157" s="47">
        <f>3863.5+132.8</f>
        <v>3996.3</v>
      </c>
      <c r="Q157" s="48">
        <f>770546.1+46514.6</f>
        <v>817060.7</v>
      </c>
      <c r="R157" s="53">
        <v>24.4</v>
      </c>
      <c r="S157" s="47">
        <f t="shared" ref="S157" si="177">SUM(P157:R157)</f>
        <v>821081.4</v>
      </c>
      <c r="T157" s="48">
        <f t="shared" ref="T157" si="178">SUM(N157,S157)</f>
        <v>1556093.9000000001</v>
      </c>
      <c r="U157" s="48">
        <f t="shared" ref="U157" si="179">SUM(D157,T157)</f>
        <v>1422974</v>
      </c>
      <c r="Y157" s="6"/>
      <c r="Z157" s="6"/>
      <c r="AA157" s="6"/>
      <c r="AB157" s="6"/>
      <c r="AC157" s="6"/>
      <c r="AD157" s="6"/>
    </row>
    <row r="158" spans="1:30" ht="12.75" customHeight="1" x14ac:dyDescent="0.2">
      <c r="A158" s="55" t="s">
        <v>85</v>
      </c>
      <c r="B158" s="48">
        <v>338029.5</v>
      </c>
      <c r="C158" s="47">
        <v>-499384.5</v>
      </c>
      <c r="D158" s="48">
        <f t="shared" ref="D158:D159" si="180">SUM(B158:C158)</f>
        <v>-161355</v>
      </c>
      <c r="E158" s="47"/>
      <c r="F158" s="54">
        <v>273246</v>
      </c>
      <c r="G158" s="48">
        <f>216514.6+80380.2</f>
        <v>296894.8</v>
      </c>
      <c r="H158" s="47"/>
      <c r="I158" s="53">
        <f>14402.5+34871.9</f>
        <v>49274.400000000001</v>
      </c>
      <c r="J158" s="49">
        <v>86384.8</v>
      </c>
      <c r="K158" s="48">
        <v>275994.3</v>
      </c>
      <c r="L158" s="50">
        <v>-231166.7</v>
      </c>
      <c r="M158" s="47">
        <v>-25759.7</v>
      </c>
      <c r="N158" s="48">
        <f t="shared" ref="N158" si="181">SUM( (F158:M158))</f>
        <v>724867.90000000014</v>
      </c>
      <c r="O158" s="47"/>
      <c r="P158" s="47">
        <f>3163.7+132</f>
        <v>3295.7</v>
      </c>
      <c r="Q158" s="48">
        <f>770988.3+44136.9</f>
        <v>815125.20000000007</v>
      </c>
      <c r="R158" s="53">
        <v>22.2</v>
      </c>
      <c r="S158" s="47">
        <f t="shared" ref="S158:S159" si="182">SUM(P158:R158)</f>
        <v>818443.1</v>
      </c>
      <c r="T158" s="48">
        <f t="shared" ref="T158:T159" si="183">SUM(N158,S158)</f>
        <v>1543311</v>
      </c>
      <c r="U158" s="48">
        <f t="shared" ref="U158:U159" si="184">SUM(D158,T158)</f>
        <v>1381956</v>
      </c>
      <c r="Y158" s="6"/>
      <c r="Z158" s="6"/>
      <c r="AA158" s="6"/>
      <c r="AB158" s="6"/>
      <c r="AC158" s="6"/>
      <c r="AD158" s="6"/>
    </row>
    <row r="159" spans="1:30" ht="12.75" customHeight="1" x14ac:dyDescent="0.2">
      <c r="A159" s="55" t="s">
        <v>112</v>
      </c>
      <c r="B159" s="99">
        <v>337322</v>
      </c>
      <c r="C159" s="98">
        <v>-506946</v>
      </c>
      <c r="D159" s="99">
        <f t="shared" si="180"/>
        <v>-169624</v>
      </c>
      <c r="E159" s="98"/>
      <c r="F159" s="103">
        <v>278026.09999999998</v>
      </c>
      <c r="G159" s="99">
        <f>237046.4+82538.3</f>
        <v>319584.7</v>
      </c>
      <c r="H159" s="98"/>
      <c r="I159" s="102">
        <f>14402.5+38504</f>
        <v>52906.5</v>
      </c>
      <c r="J159" s="100">
        <v>86384.8</v>
      </c>
      <c r="K159" s="99">
        <v>275994.3</v>
      </c>
      <c r="L159" s="101">
        <v>-212868.9</v>
      </c>
      <c r="M159" s="98">
        <v>-31685.9</v>
      </c>
      <c r="N159" s="99">
        <f t="shared" ref="N159" si="185">SUM( (F159:M159))</f>
        <v>768341.60000000009</v>
      </c>
      <c r="O159" s="98"/>
      <c r="P159" s="98">
        <f>6982.1+132</f>
        <v>7114.1</v>
      </c>
      <c r="Q159" s="99">
        <f>763279.4+43241.2</f>
        <v>806520.6</v>
      </c>
      <c r="R159" s="102">
        <v>46.2</v>
      </c>
      <c r="S159" s="98">
        <f t="shared" si="182"/>
        <v>813680.89999999991</v>
      </c>
      <c r="T159" s="99">
        <f t="shared" si="183"/>
        <v>1582022.5</v>
      </c>
      <c r="U159" s="99">
        <f t="shared" si="184"/>
        <v>1412398.5</v>
      </c>
      <c r="Y159" s="97"/>
      <c r="Z159" s="97"/>
      <c r="AA159" s="97"/>
      <c r="AB159" s="97"/>
      <c r="AC159" s="97"/>
      <c r="AD159" s="97"/>
    </row>
    <row r="160" spans="1:30" ht="12.75" customHeight="1" x14ac:dyDescent="0.2">
      <c r="A160" s="55" t="s">
        <v>110</v>
      </c>
      <c r="B160" s="99">
        <v>312317.3</v>
      </c>
      <c r="C160" s="98">
        <v>-507937.4</v>
      </c>
      <c r="D160" s="99">
        <f t="shared" ref="D160:D163" si="186">SUM(B160:C160)</f>
        <v>-195620.10000000003</v>
      </c>
      <c r="E160" s="98"/>
      <c r="F160" s="103">
        <v>294898.3</v>
      </c>
      <c r="G160" s="99">
        <f>241098.8+81282.9</f>
        <v>322381.69999999995</v>
      </c>
      <c r="H160" s="98"/>
      <c r="I160" s="102">
        <f>14402.5+40862.7</f>
        <v>55265.2</v>
      </c>
      <c r="J160" s="100">
        <v>84991.5</v>
      </c>
      <c r="K160" s="99">
        <v>275354.5</v>
      </c>
      <c r="L160" s="101">
        <v>-214820.5</v>
      </c>
      <c r="M160" s="98">
        <v>-33763.699999999997</v>
      </c>
      <c r="N160" s="99">
        <f t="shared" ref="N160:N163" si="187">SUM( (F160:M160))</f>
        <v>784307</v>
      </c>
      <c r="O160" s="98"/>
      <c r="P160" s="98">
        <f>7679+132</f>
        <v>7811</v>
      </c>
      <c r="Q160" s="99">
        <f>773989.2+43930.2</f>
        <v>817919.39999999991</v>
      </c>
      <c r="R160" s="102">
        <v>56.4</v>
      </c>
      <c r="S160" s="98">
        <f t="shared" ref="S160:S163" si="188">SUM(P160:R160)</f>
        <v>825786.79999999993</v>
      </c>
      <c r="T160" s="99">
        <f t="shared" ref="T160:T163" si="189">SUM(N160,S160)</f>
        <v>1610093.7999999998</v>
      </c>
      <c r="U160" s="99">
        <f t="shared" ref="U160:U163" si="190">SUM(D160,T160)</f>
        <v>1414473.6999999997</v>
      </c>
      <c r="Y160" s="97"/>
      <c r="Z160" s="97"/>
      <c r="AA160" s="97"/>
      <c r="AB160" s="97"/>
      <c r="AC160" s="97"/>
      <c r="AD160" s="97"/>
    </row>
    <row r="161" spans="1:256" ht="12.75" customHeight="1" x14ac:dyDescent="0.2">
      <c r="A161" s="55" t="s">
        <v>114</v>
      </c>
      <c r="B161" s="99">
        <v>329059.09999999998</v>
      </c>
      <c r="C161" s="98">
        <v>-495277</v>
      </c>
      <c r="D161" s="99">
        <f t="shared" si="186"/>
        <v>-166217.90000000002</v>
      </c>
      <c r="E161" s="98"/>
      <c r="F161" s="103">
        <v>292750.7</v>
      </c>
      <c r="G161" s="99">
        <f>267467.3+81275.6</f>
        <v>348742.9</v>
      </c>
      <c r="H161" s="98"/>
      <c r="I161" s="102">
        <f>14402.5+36105</f>
        <v>50507.5</v>
      </c>
      <c r="J161" s="100">
        <v>83598.2</v>
      </c>
      <c r="K161" s="99">
        <v>274074.7</v>
      </c>
      <c r="L161" s="101">
        <v>-220680.1</v>
      </c>
      <c r="M161" s="98">
        <v>-41438.5</v>
      </c>
      <c r="N161" s="99">
        <f t="shared" si="187"/>
        <v>787555.4</v>
      </c>
      <c r="O161" s="98"/>
      <c r="P161" s="98">
        <f>6802.1+132</f>
        <v>6934.1</v>
      </c>
      <c r="Q161" s="99">
        <f>45260.2+787410.6</f>
        <v>832670.79999999993</v>
      </c>
      <c r="R161" s="102">
        <v>59.2</v>
      </c>
      <c r="S161" s="98">
        <f t="shared" si="188"/>
        <v>839664.09999999986</v>
      </c>
      <c r="T161" s="99">
        <f t="shared" si="189"/>
        <v>1627219.5</v>
      </c>
      <c r="U161" s="99">
        <f t="shared" si="190"/>
        <v>1461001.6</v>
      </c>
      <c r="Y161" s="97"/>
      <c r="Z161" s="97"/>
      <c r="AA161" s="97"/>
      <c r="AB161" s="97"/>
      <c r="AC161" s="97"/>
      <c r="AD161" s="97"/>
    </row>
    <row r="162" spans="1:256" ht="12.75" customHeight="1" x14ac:dyDescent="0.2">
      <c r="A162" s="55" t="s">
        <v>117</v>
      </c>
      <c r="B162" s="99">
        <v>302242</v>
      </c>
      <c r="C162" s="98">
        <v>-491105.6</v>
      </c>
      <c r="D162" s="99">
        <f t="shared" si="186"/>
        <v>-188863.59999999998</v>
      </c>
      <c r="E162" s="98"/>
      <c r="F162" s="103">
        <v>290649.2</v>
      </c>
      <c r="G162" s="99">
        <f>277335.3+88634.5</f>
        <v>365969.8</v>
      </c>
      <c r="H162" s="98"/>
      <c r="I162" s="102">
        <f>14402.5+36494.9</f>
        <v>50897.4</v>
      </c>
      <c r="J162" s="100">
        <v>82204.899999999994</v>
      </c>
      <c r="K162" s="99">
        <v>273434.90000000002</v>
      </c>
      <c r="L162" s="101">
        <v>-217576.9</v>
      </c>
      <c r="M162" s="98">
        <v>-39553.1</v>
      </c>
      <c r="N162" s="99">
        <f t="shared" si="187"/>
        <v>806026.20000000019</v>
      </c>
      <c r="O162" s="98"/>
      <c r="P162" s="98">
        <f>11714.1+132</f>
        <v>11846.1</v>
      </c>
      <c r="Q162" s="99">
        <f>44181.9+781103.5</f>
        <v>825285.4</v>
      </c>
      <c r="R162" s="102">
        <v>35</v>
      </c>
      <c r="S162" s="98">
        <f t="shared" si="188"/>
        <v>837166.5</v>
      </c>
      <c r="T162" s="99">
        <f t="shared" si="189"/>
        <v>1643192.7000000002</v>
      </c>
      <c r="U162" s="99">
        <f t="shared" si="190"/>
        <v>1454329.1</v>
      </c>
      <c r="Y162" s="97"/>
      <c r="Z162" s="97"/>
      <c r="AA162" s="97"/>
      <c r="AB162" s="97"/>
      <c r="AC162" s="97"/>
      <c r="AD162" s="97"/>
    </row>
    <row r="163" spans="1:256" ht="12.75" customHeight="1" x14ac:dyDescent="0.2">
      <c r="A163" s="55" t="s">
        <v>118</v>
      </c>
      <c r="B163" s="99">
        <v>275294.5</v>
      </c>
      <c r="C163" s="98">
        <v>-477849</v>
      </c>
      <c r="D163" s="99">
        <f t="shared" si="186"/>
        <v>-202554.5</v>
      </c>
      <c r="E163" s="98"/>
      <c r="F163" s="103">
        <v>10113</v>
      </c>
      <c r="G163" s="99">
        <f>280601.3+88999.1</f>
        <v>369600.4</v>
      </c>
      <c r="H163" s="98"/>
      <c r="I163" s="102">
        <f>14402.5+31396.8</f>
        <v>45799.3</v>
      </c>
      <c r="J163" s="100">
        <v>80811.600000000006</v>
      </c>
      <c r="K163" s="99">
        <v>546041</v>
      </c>
      <c r="L163" s="101">
        <v>-210659.4</v>
      </c>
      <c r="M163" s="98">
        <v>-29836.799999999999</v>
      </c>
      <c r="N163" s="99">
        <f t="shared" si="187"/>
        <v>811869.1</v>
      </c>
      <c r="O163" s="98"/>
      <c r="P163" s="98">
        <f>10678.3+132</f>
        <v>10810.3</v>
      </c>
      <c r="Q163" s="99">
        <f>804808.4+48102.9</f>
        <v>852911.3</v>
      </c>
      <c r="R163" s="102">
        <v>26.9</v>
      </c>
      <c r="S163" s="98">
        <f t="shared" si="188"/>
        <v>863748.50000000012</v>
      </c>
      <c r="T163" s="99">
        <f t="shared" si="189"/>
        <v>1675617.6</v>
      </c>
      <c r="U163" s="99">
        <f t="shared" si="190"/>
        <v>1473063.1</v>
      </c>
      <c r="Y163" s="97"/>
      <c r="Z163" s="97"/>
      <c r="AA163" s="97"/>
      <c r="AB163" s="97"/>
      <c r="AC163" s="97"/>
      <c r="AD163" s="97"/>
    </row>
    <row r="164" spans="1:256" x14ac:dyDescent="0.2">
      <c r="A164" s="33"/>
      <c r="B164" s="27"/>
      <c r="C164" s="90"/>
      <c r="D164" s="91"/>
      <c r="E164" s="92"/>
      <c r="F164" s="92"/>
      <c r="G164" s="27"/>
      <c r="H164" s="92"/>
      <c r="I164" s="27"/>
      <c r="J164" s="93"/>
      <c r="K164" s="27"/>
      <c r="L164" s="48"/>
      <c r="M164" s="47"/>
      <c r="N164" s="27"/>
      <c r="O164" s="92"/>
      <c r="P164" s="92"/>
      <c r="Q164" s="27"/>
      <c r="R164" s="94"/>
      <c r="S164" s="47"/>
      <c r="T164" s="27"/>
      <c r="U164" s="27"/>
      <c r="Y164" s="6"/>
      <c r="Z164" s="6"/>
      <c r="AA164" s="6"/>
      <c r="AB164" s="6"/>
      <c r="AC164" s="6"/>
      <c r="AD164" s="6"/>
    </row>
    <row r="165" spans="1:256" x14ac:dyDescent="0.2">
      <c r="A165" s="85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68"/>
      <c r="S165" s="22"/>
      <c r="T165" s="22"/>
      <c r="U165" s="86"/>
    </row>
    <row r="166" spans="1:256" x14ac:dyDescent="0.2">
      <c r="A166" s="95" t="s">
        <v>74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8"/>
      <c r="S166" s="87"/>
      <c r="T166" s="87"/>
      <c r="U166" s="8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  <c r="HM166" s="51"/>
      <c r="HN166" s="51"/>
      <c r="HO166" s="51"/>
      <c r="HP166" s="51"/>
      <c r="HQ166" s="51"/>
      <c r="HR166" s="51"/>
      <c r="HS166" s="51"/>
      <c r="HT166" s="51"/>
      <c r="HU166" s="51"/>
      <c r="HV166" s="51"/>
      <c r="HW166" s="51"/>
      <c r="HX166" s="51"/>
      <c r="HY166" s="51"/>
      <c r="HZ166" s="51"/>
      <c r="IA166" s="51"/>
      <c r="IB166" s="51"/>
      <c r="IC166" s="51"/>
      <c r="ID166" s="51"/>
      <c r="IE166" s="51"/>
      <c r="IF166" s="51"/>
      <c r="IG166" s="51"/>
      <c r="IH166" s="51"/>
      <c r="II166" s="51"/>
      <c r="IJ166" s="51"/>
      <c r="IK166" s="51"/>
      <c r="IL166" s="51"/>
      <c r="IM166" s="51"/>
      <c r="IN166" s="51"/>
      <c r="IO166" s="51"/>
      <c r="IP166" s="51"/>
      <c r="IQ166" s="51"/>
      <c r="IR166" s="51"/>
      <c r="IS166" s="51"/>
      <c r="IT166" s="51"/>
      <c r="IU166" s="51"/>
      <c r="IV166" s="51"/>
    </row>
    <row r="167" spans="1:256" s="8" customFormat="1" x14ac:dyDescent="0.2">
      <c r="A167" s="5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9"/>
      <c r="N167" s="29"/>
      <c r="O167" s="29"/>
      <c r="P167" s="29"/>
      <c r="Q167" s="29"/>
      <c r="R167" s="63"/>
      <c r="S167" s="29"/>
      <c r="T167" s="29"/>
      <c r="U167" s="29"/>
    </row>
    <row r="168" spans="1:256" x14ac:dyDescent="0.2">
      <c r="B168" s="52"/>
      <c r="C168" s="52"/>
      <c r="D168" s="52"/>
      <c r="G168" s="52"/>
      <c r="I168" s="52"/>
      <c r="J168" s="52"/>
      <c r="K168" s="52"/>
      <c r="L168" s="52"/>
      <c r="O168" s="52"/>
      <c r="P168" s="52"/>
      <c r="S168" s="52"/>
    </row>
    <row r="169" spans="1:256" x14ac:dyDescent="0.2">
      <c r="B169" s="52"/>
      <c r="C169" s="52"/>
      <c r="D169" s="52"/>
      <c r="G169" s="52"/>
      <c r="I169" s="52"/>
      <c r="J169" s="52"/>
      <c r="K169" s="52"/>
      <c r="L169" s="52"/>
      <c r="O169" s="52"/>
      <c r="P169" s="52"/>
      <c r="S169" s="52"/>
    </row>
    <row r="170" spans="1:256" x14ac:dyDescent="0.2">
      <c r="B170" s="52"/>
      <c r="C170" s="52"/>
      <c r="D170" s="52"/>
      <c r="G170" s="52"/>
      <c r="I170" s="52"/>
      <c r="J170" s="52"/>
      <c r="K170" s="52"/>
      <c r="L170" s="52"/>
      <c r="O170" s="52"/>
      <c r="P170" s="52"/>
      <c r="S170" s="52"/>
    </row>
    <row r="171" spans="1:256" x14ac:dyDescent="0.2">
      <c r="B171" s="52"/>
      <c r="C171" s="52"/>
      <c r="D171" s="52"/>
      <c r="G171" s="52"/>
      <c r="I171" s="52"/>
      <c r="J171" s="52"/>
      <c r="K171" s="52"/>
      <c r="L171" s="52"/>
      <c r="O171" s="52"/>
      <c r="P171" s="52"/>
      <c r="S171" s="52"/>
    </row>
    <row r="172" spans="1:256" x14ac:dyDescent="0.2">
      <c r="B172" s="52"/>
      <c r="C172" s="52"/>
      <c r="D172" s="52"/>
      <c r="G172" s="52"/>
      <c r="I172" s="52"/>
      <c r="J172" s="52"/>
      <c r="K172" s="52"/>
      <c r="L172" s="52"/>
      <c r="O172" s="52"/>
      <c r="P172" s="52"/>
      <c r="S172" s="52"/>
    </row>
    <row r="173" spans="1:256" x14ac:dyDescent="0.2">
      <c r="B173" s="52"/>
      <c r="C173" s="52"/>
      <c r="D173" s="52"/>
      <c r="G173" s="52"/>
      <c r="I173" s="52"/>
      <c r="J173" s="52"/>
      <c r="K173" s="52"/>
      <c r="L173" s="52"/>
      <c r="O173" s="52"/>
      <c r="P173" s="52"/>
      <c r="S173" s="52"/>
    </row>
    <row r="174" spans="1:256" x14ac:dyDescent="0.2">
      <c r="B174" s="52"/>
      <c r="C174" s="52"/>
      <c r="D174" s="52"/>
      <c r="G174" s="52"/>
      <c r="I174" s="52"/>
      <c r="J174" s="52"/>
      <c r="K174" s="52"/>
      <c r="L174" s="52"/>
      <c r="O174" s="52"/>
      <c r="P174" s="52"/>
      <c r="S174" s="52"/>
    </row>
    <row r="175" spans="1:256" x14ac:dyDescent="0.2">
      <c r="B175" s="52"/>
      <c r="C175" s="52"/>
      <c r="D175" s="52"/>
      <c r="G175" s="52"/>
      <c r="I175" s="52"/>
      <c r="J175" s="52"/>
      <c r="K175" s="52"/>
      <c r="L175" s="52"/>
      <c r="O175" s="52"/>
      <c r="P175" s="52"/>
      <c r="S175" s="52"/>
    </row>
    <row r="176" spans="1:256" x14ac:dyDescent="0.2">
      <c r="B176" s="52"/>
      <c r="C176" s="52"/>
      <c r="D176" s="52"/>
      <c r="G176" s="52"/>
      <c r="I176" s="52"/>
      <c r="J176" s="52"/>
      <c r="K176" s="52"/>
      <c r="L176" s="52"/>
      <c r="O176" s="52"/>
      <c r="P176" s="52"/>
      <c r="S176" s="52"/>
    </row>
    <row r="177" spans="2:19" x14ac:dyDescent="0.2">
      <c r="B177" s="52"/>
      <c r="C177" s="52"/>
      <c r="D177" s="52"/>
      <c r="G177" s="52"/>
      <c r="I177" s="52"/>
      <c r="J177" s="52"/>
      <c r="K177" s="52"/>
      <c r="L177" s="52"/>
      <c r="O177" s="52"/>
      <c r="P177" s="52"/>
      <c r="S177" s="52"/>
    </row>
  </sheetData>
  <mergeCells count="5">
    <mergeCell ref="P12:S12"/>
    <mergeCell ref="F12:N12"/>
    <mergeCell ref="A2:U2"/>
    <mergeCell ref="A3:U3"/>
    <mergeCell ref="F8:T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ii6-1sitfinactif</vt:lpstr>
      <vt:lpstr>'ii6-1sitfinactif'!Zone_d_impression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2016-09-27T08:05:28Z</cp:lastPrinted>
  <dcterms:created xsi:type="dcterms:W3CDTF">2000-09-13T06:19:58Z</dcterms:created>
  <dcterms:modified xsi:type="dcterms:W3CDTF">2016-11-08T09:06:51Z</dcterms:modified>
</cp:coreProperties>
</file>