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détenteurs'!$A$1:$O$163</definedName>
    <definedName name="Zone_impres_MI">'ii8 dépôts par détenteurs'!$A$1:$O$159</definedName>
  </definedNames>
  <calcPr calcId="144525"/>
</workbook>
</file>

<file path=xl/calcChain.xml><?xml version="1.0" encoding="utf-8"?>
<calcChain xmlns="http://schemas.openxmlformats.org/spreadsheetml/2006/main">
  <c r="R152" i="1" l="1"/>
  <c r="O47" i="1"/>
  <c r="H47" i="1"/>
  <c r="E47" i="1"/>
  <c r="O46" i="1"/>
  <c r="H46" i="1"/>
  <c r="E46" i="1"/>
  <c r="E149" i="1" l="1"/>
  <c r="H149" i="1" l="1"/>
  <c r="H148" i="1"/>
  <c r="H139" i="1"/>
  <c r="H140" i="1"/>
  <c r="H141" i="1"/>
  <c r="H142" i="1"/>
  <c r="H143" i="1"/>
  <c r="H151" i="1"/>
  <c r="E151" i="1"/>
  <c r="E158" i="1"/>
  <c r="E157" i="1"/>
  <c r="E156" i="1"/>
  <c r="E155" i="1"/>
  <c r="E154" i="1"/>
  <c r="E153" i="1"/>
  <c r="E152" i="1"/>
  <c r="O158" i="1" l="1"/>
  <c r="H158" i="1"/>
  <c r="O157" i="1" l="1"/>
  <c r="H157" i="1"/>
  <c r="O156" i="1" l="1"/>
  <c r="H156" i="1"/>
  <c r="O155" i="1" l="1"/>
  <c r="H155" i="1"/>
  <c r="O154" i="1" l="1"/>
  <c r="H154" i="1"/>
  <c r="O26" i="1" l="1"/>
  <c r="O44" i="1"/>
  <c r="N43" i="1"/>
  <c r="K43" i="1"/>
  <c r="J43" i="1"/>
  <c r="I43" i="1"/>
  <c r="E43" i="1"/>
  <c r="H43" i="1" s="1"/>
  <c r="N42" i="1"/>
  <c r="K42" i="1"/>
  <c r="J42" i="1"/>
  <c r="I42" i="1"/>
  <c r="E42" i="1"/>
  <c r="H42" i="1" s="1"/>
  <c r="O43" i="1" l="1"/>
  <c r="O42" i="1"/>
  <c r="O153" i="1" l="1"/>
  <c r="H153" i="1"/>
  <c r="N41" i="1" l="1"/>
  <c r="L41" i="1"/>
  <c r="K41" i="1"/>
  <c r="J41" i="1"/>
  <c r="I41" i="1"/>
  <c r="E41" i="1"/>
  <c r="H41" i="1" s="1"/>
  <c r="O41" i="1" l="1"/>
  <c r="O152" i="1" l="1"/>
  <c r="H152" i="1"/>
  <c r="O151" i="1" l="1"/>
  <c r="O149" i="1" l="1"/>
  <c r="O148" i="1" l="1"/>
  <c r="N147" i="1" l="1"/>
  <c r="K147" i="1"/>
  <c r="J147" i="1"/>
  <c r="I147" i="1"/>
  <c r="E147" i="1"/>
  <c r="O147" i="1" l="1"/>
  <c r="H147" i="1"/>
  <c r="N25" i="1" l="1"/>
  <c r="L25" i="1"/>
  <c r="K25" i="1"/>
  <c r="J25" i="1"/>
  <c r="H25" i="1"/>
  <c r="N39" i="1"/>
  <c r="L39" i="1"/>
  <c r="K39" i="1"/>
  <c r="J39" i="1"/>
  <c r="H39" i="1"/>
  <c r="O39" i="1" l="1"/>
  <c r="O25" i="1"/>
  <c r="N146" i="1"/>
  <c r="K146" i="1"/>
  <c r="J146" i="1"/>
  <c r="I146" i="1"/>
  <c r="E146" i="1"/>
  <c r="H146" i="1" s="1"/>
  <c r="O146" i="1" l="1"/>
  <c r="N145" i="1"/>
  <c r="K145" i="1"/>
  <c r="J145" i="1"/>
  <c r="I145" i="1"/>
  <c r="E145" i="1"/>
  <c r="O145" i="1" l="1"/>
  <c r="H145" i="1"/>
  <c r="N38" i="1" l="1"/>
  <c r="L38" i="1"/>
  <c r="K38" i="1"/>
  <c r="J38" i="1"/>
  <c r="I38" i="1"/>
  <c r="E38" i="1"/>
  <c r="H38" i="1" s="1"/>
  <c r="N37" i="1"/>
  <c r="L37" i="1"/>
  <c r="K37" i="1"/>
  <c r="J37" i="1"/>
  <c r="I37" i="1"/>
  <c r="E37" i="1"/>
  <c r="H37" i="1" s="1"/>
  <c r="O37" i="1" l="1"/>
  <c r="O38" i="1"/>
  <c r="K144" i="1"/>
  <c r="J144" i="1"/>
  <c r="I144" i="1"/>
  <c r="E144" i="1"/>
  <c r="N144" i="1" l="1"/>
  <c r="O144" i="1" s="1"/>
  <c r="H144" i="1"/>
  <c r="K143" i="1" l="1"/>
  <c r="J143" i="1"/>
  <c r="I143" i="1"/>
  <c r="E143" i="1"/>
  <c r="N143" i="1" l="1"/>
  <c r="O143" i="1" s="1"/>
  <c r="N142" i="1" l="1"/>
  <c r="K142" i="1"/>
  <c r="J142" i="1"/>
  <c r="I142" i="1"/>
  <c r="E142" i="1"/>
  <c r="O142" i="1"/>
  <c r="E141" i="1" l="1"/>
  <c r="N141" i="1" l="1"/>
  <c r="K141" i="1"/>
  <c r="J141" i="1"/>
  <c r="I141" i="1"/>
  <c r="O141" i="1" l="1"/>
  <c r="E140" i="1" l="1"/>
  <c r="N140" i="1" l="1"/>
  <c r="L140" i="1"/>
  <c r="K140" i="1"/>
  <c r="J140" i="1"/>
  <c r="I140" i="1"/>
  <c r="O140" i="1" l="1"/>
  <c r="N139" i="1" l="1"/>
  <c r="L139" i="1"/>
  <c r="K139" i="1"/>
  <c r="J139" i="1"/>
  <c r="I139" i="1"/>
  <c r="E139" i="1"/>
  <c r="O139" i="1" l="1"/>
  <c r="N138" i="1" l="1"/>
  <c r="L138" i="1"/>
  <c r="K138" i="1"/>
  <c r="J138" i="1"/>
  <c r="I138" i="1"/>
  <c r="E138" i="1"/>
  <c r="O138" i="1" l="1"/>
  <c r="H138" i="1"/>
  <c r="N135" i="1" l="1"/>
  <c r="K135" i="1" l="1"/>
  <c r="K134" i="1"/>
  <c r="N136" i="1" l="1"/>
  <c r="L135" i="1"/>
  <c r="L134" i="1"/>
  <c r="L136" i="1"/>
  <c r="K136" i="1"/>
  <c r="J136" i="1"/>
  <c r="H136" i="1"/>
  <c r="O136" i="1" l="1"/>
  <c r="J135" i="1"/>
  <c r="I135" i="1"/>
  <c r="E135" i="1"/>
  <c r="H135" i="1" s="1"/>
  <c r="O135" i="1" l="1"/>
  <c r="J134" i="1"/>
  <c r="I134" i="1"/>
  <c r="E134" i="1"/>
  <c r="N134" i="1" l="1"/>
  <c r="O134" i="1"/>
  <c r="H134" i="1"/>
  <c r="O32" i="1" l="1"/>
  <c r="H32" i="1"/>
  <c r="O33" i="1" l="1"/>
  <c r="H33" i="1"/>
  <c r="E117" i="1" l="1"/>
  <c r="E116" i="1"/>
  <c r="N133" i="1" l="1"/>
  <c r="L133" i="1" l="1"/>
  <c r="K133" i="1"/>
  <c r="J133" i="1"/>
  <c r="I133" i="1"/>
  <c r="E133" i="1"/>
  <c r="H133" i="1" s="1"/>
  <c r="O133" i="1" l="1"/>
  <c r="L36" i="1"/>
  <c r="K36" i="1"/>
  <c r="J36" i="1"/>
  <c r="I36" i="1"/>
  <c r="E36" i="1"/>
  <c r="H36" i="1" s="1"/>
  <c r="O36" i="1" l="1"/>
  <c r="L132" i="1"/>
  <c r="I132" i="1"/>
  <c r="K132" i="1" l="1"/>
  <c r="J132" i="1"/>
  <c r="E132" i="1" l="1"/>
  <c r="N132" i="1" l="1"/>
  <c r="O132" i="1"/>
  <c r="H132" i="1"/>
  <c r="N131" i="1" l="1"/>
  <c r="I131" i="1"/>
  <c r="L131" i="1"/>
  <c r="K131" i="1"/>
  <c r="J131" i="1"/>
  <c r="E131" i="1"/>
  <c r="O131" i="1" l="1"/>
  <c r="H131" i="1"/>
  <c r="N130" i="1" l="1"/>
  <c r="L130" i="1"/>
  <c r="K130" i="1"/>
  <c r="J130" i="1"/>
  <c r="I130" i="1"/>
  <c r="E130" i="1"/>
  <c r="O130" i="1" l="1"/>
  <c r="H130" i="1"/>
  <c r="L129" i="1" l="1"/>
  <c r="K129" i="1"/>
  <c r="J129" i="1"/>
  <c r="I129" i="1"/>
  <c r="E129" i="1"/>
  <c r="H129" i="1" s="1"/>
  <c r="O129" i="1" l="1"/>
  <c r="L128" i="1"/>
  <c r="K128" i="1"/>
  <c r="J128" i="1"/>
  <c r="I128" i="1"/>
  <c r="E128" i="1"/>
  <c r="O128" i="1" l="1"/>
  <c r="H128" i="1"/>
  <c r="O24" i="1" l="1"/>
  <c r="H24" i="1"/>
  <c r="O34" i="1"/>
  <c r="H34" i="1"/>
  <c r="O105" i="1"/>
  <c r="H105" i="1"/>
  <c r="L127" i="1"/>
  <c r="K127" i="1"/>
  <c r="J127" i="1"/>
  <c r="I127" i="1"/>
  <c r="E127" i="1"/>
  <c r="O127" i="1" l="1"/>
  <c r="H127" i="1"/>
  <c r="L126" i="1" l="1"/>
  <c r="K126" i="1"/>
  <c r="J126" i="1"/>
  <c r="I126" i="1"/>
  <c r="E126" i="1"/>
  <c r="H126" i="1" s="1"/>
  <c r="O126" i="1" l="1"/>
  <c r="O22" i="1"/>
  <c r="H22" i="1"/>
  <c r="O30" i="1"/>
  <c r="H30" i="1"/>
  <c r="O21" i="1"/>
  <c r="H21" i="1"/>
  <c r="O20" i="1"/>
  <c r="H20" i="1"/>
  <c r="O19" i="1"/>
  <c r="H19" i="1"/>
  <c r="O18" i="1"/>
  <c r="H18" i="1"/>
  <c r="H61" i="1"/>
  <c r="O61" i="1"/>
  <c r="O125" i="1" l="1"/>
  <c r="H125" i="1"/>
  <c r="E122" i="1" l="1"/>
  <c r="H48" i="1"/>
  <c r="O48" i="1"/>
  <c r="H123" i="1" l="1"/>
  <c r="H124" i="1" l="1"/>
  <c r="O122" i="1" l="1"/>
  <c r="O123" i="1"/>
  <c r="O124" i="1"/>
  <c r="O49" i="1" l="1"/>
  <c r="O50" i="1"/>
  <c r="O51" i="1"/>
  <c r="O52" i="1"/>
  <c r="O53" i="1"/>
  <c r="O54" i="1"/>
  <c r="O55" i="1"/>
  <c r="O56" i="1"/>
  <c r="O57" i="1"/>
  <c r="O58" i="1"/>
  <c r="O59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6" i="1"/>
  <c r="O107" i="1"/>
  <c r="O108" i="1"/>
  <c r="O109" i="1"/>
  <c r="O110" i="1"/>
  <c r="O111" i="1"/>
  <c r="O113" i="1"/>
  <c r="O114" i="1"/>
  <c r="O115" i="1"/>
  <c r="O116" i="1"/>
  <c r="O117" i="1"/>
  <c r="O118" i="1"/>
  <c r="O119" i="1"/>
  <c r="O120" i="1"/>
  <c r="O121" i="1"/>
  <c r="H49" i="1" l="1"/>
  <c r="H50" i="1"/>
  <c r="H51" i="1"/>
  <c r="H52" i="1"/>
  <c r="H53" i="1"/>
  <c r="H54" i="1"/>
  <c r="H55" i="1"/>
  <c r="H56" i="1"/>
  <c r="H57" i="1"/>
  <c r="H58" i="1"/>
  <c r="H59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4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O23" i="1" l="1"/>
  <c r="H23" i="1"/>
</calcChain>
</file>

<file path=xl/sharedStrings.xml><?xml version="1.0" encoding="utf-8"?>
<sst xmlns="http://schemas.openxmlformats.org/spreadsheetml/2006/main" count="163" uniqueCount="138">
  <si>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</si>
  <si>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</si>
  <si>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</si>
  <si>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</si>
  <si>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</si>
  <si>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</si>
  <si>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</si>
  <si>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</si>
  <si>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</si>
  <si>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</si>
  <si>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</si>
  <si>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</si>
  <si>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</si>
  <si>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 xml:space="preserve">                                       Dépôts à terme</t>
  </si>
  <si>
    <t xml:space="preserve">                             Rubriques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</si>
  <si>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</si>
  <si>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</si>
  <si>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</si>
  <si>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</si>
  <si>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</si>
  <si>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</si>
  <si>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</si>
  <si>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</si>
  <si>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</si>
  <si>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</si>
  <si>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</si>
  <si>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</si>
  <si>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</si>
  <si>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</si>
  <si>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</si>
  <si>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</si>
  <si>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</si>
  <si>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</si>
  <si>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</si>
  <si>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</si>
  <si>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</si>
  <si>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</si>
  <si>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</si>
  <si>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</si>
  <si>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</si>
  <si>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</si>
  <si>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</si>
  <si>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</si>
  <si>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</si>
  <si>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</si>
  <si>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</si>
  <si>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</si>
  <si>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</si>
  <si>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</si>
  <si>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</si>
  <si>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</si>
  <si>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</si>
  <si>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</si>
  <si>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</si>
  <si>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</si>
  <si>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</si>
  <si>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</si>
  <si>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</si>
  <si>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</si>
  <si>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</si>
  <si>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</si>
  <si>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</si>
  <si>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</si>
  <si>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</si>
  <si>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</si>
  <si>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</si>
  <si>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</si>
  <si>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</si>
  <si>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</si>
  <si>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</si>
  <si>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</si>
  <si>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</si>
  <si>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</si>
  <si>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 xml:space="preserve"> II.9.1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</si>
  <si>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</si>
  <si>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</si>
  <si>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</si>
  <si>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</si>
  <si>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</si>
  <si>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</si>
  <si>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</si>
  <si>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</si>
  <si>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</si>
  <si>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</si>
  <si>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</si>
  <si>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</si>
  <si>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</si>
  <si>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</si>
  <si>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BRB,des banques commerciales et des CCP.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</si>
  <si>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</si>
  <si>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</si>
  <si>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</si>
  <si>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</si>
  <si>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r>
      <t xml:space="preserve">          Septembre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</si>
  <si>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vertAlign val="superscript"/>
        <sz val="10"/>
        <rFont val="Helv"/>
      </rPr>
      <t xml:space="preserve"> </t>
    </r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</si>
  <si>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</si>
  <si>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</si>
  <si>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</si>
  <si>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</si>
  <si>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</si>
  <si>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</si>
  <si>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</si>
  <si>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</si>
  <si>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</si>
  <si>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</si>
  <si>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</si>
  <si>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</si>
  <si>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 xml:space="preserve">          Juillet</t>
  </si>
  <si>
    <t>2015 Janvier</t>
  </si>
  <si>
    <t xml:space="preserve">          Février</t>
  </si>
  <si>
    <t xml:space="preserve">          Mars</t>
  </si>
  <si>
    <t>2015 Mars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</si>
  <si>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</si>
  <si>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</si>
  <si>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</si>
  <si>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</si>
  <si>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</si>
  <si>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</si>
  <si>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</si>
  <si>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</si>
  <si>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</si>
  <si>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</si>
  <si>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</si>
  <si>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2013 Mars</t>
  </si>
  <si>
    <t>2014 Avril</t>
  </si>
  <si>
    <r>
      <t xml:space="preserve">         Avril</t>
    </r>
    <r>
      <rPr>
        <vertAlign val="superscript"/>
        <sz val="10"/>
        <rFont val="Helv"/>
      </rPr>
      <t>(p)</t>
    </r>
  </si>
  <si>
    <r>
      <t xml:space="preserve">         Mai</t>
    </r>
    <r>
      <rPr>
        <vertAlign val="superscript"/>
        <sz val="10"/>
        <rFont val="Helv"/>
      </rPr>
      <t>(p)</t>
    </r>
  </si>
  <si>
    <t>2014 Mai</t>
  </si>
  <si>
    <r>
      <t xml:space="preserve">         Juin</t>
    </r>
    <r>
      <rPr>
        <vertAlign val="superscript"/>
        <sz val="10"/>
        <rFont val="Helv"/>
      </rPr>
      <t>(p)</t>
    </r>
  </si>
  <si>
    <r>
      <t>2014  Juin</t>
    </r>
    <r>
      <rPr>
        <vertAlign val="superscript"/>
        <sz val="10"/>
        <rFont val="Helv"/>
      </rPr>
      <t/>
    </r>
  </si>
  <si>
    <r>
      <t>2013 Juin</t>
    </r>
    <r>
      <rPr>
        <vertAlign val="superscript"/>
        <sz val="10"/>
        <rFont val="Helv"/>
      </rPr>
      <t/>
    </r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</si>
  <si>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</si>
  <si>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</si>
  <si>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</si>
  <si>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Juillet</t>
  </si>
  <si>
    <t>2016 Mars</t>
  </si>
  <si>
    <t xml:space="preserve">2016 Janvier </t>
  </si>
  <si>
    <t xml:space="preserve">        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</si>
</sst>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0"/>
      <color rgb="FF00B05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fill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5" fontId="1" fillId="2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6" fontId="5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Z167"/>
  <sheetViews>
    <sheetView showGridLines="0" tabSelected="1" view="pageBreakPreview" topLeftCell="A2" zoomScale="60" zoomScaleNormal="100" workbookViewId="0">
      <pane xSplit="1" ySplit="15" topLeftCell="B112" activePane="bottomRight" state="frozen"/>
      <selection activeCell="A2" sqref="A2"/>
      <selection pane="topRight" activeCell="B2" sqref="B2"/>
      <selection pane="bottomLeft" activeCell="A17" sqref="A17"/>
      <selection pane="bottomRight" activeCell="R153" sqref="R153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8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8" customWidth="1"/>
    <col min="15" max="15" width="9.21875" style="9" customWidth="1"/>
    <col min="16" max="17" width="12.6640625" style="9"/>
    <col min="18" max="18" width="12.6640625" style="48"/>
    <col min="19" max="16384" width="12.6640625" style="9"/>
  </cols>
  <sheetData>
    <row r="1" spans="1:2314" s="5" customFormat="1" x14ac:dyDescent="0.2">
      <c r="A1" s="1"/>
      <c r="B1" s="2"/>
      <c r="C1" s="2"/>
      <c r="D1" s="2"/>
      <c r="E1" s="2"/>
      <c r="F1" s="2"/>
      <c r="G1" s="39"/>
      <c r="H1" s="2"/>
      <c r="I1" s="2"/>
      <c r="J1" s="3"/>
      <c r="K1" s="2"/>
      <c r="L1" s="2"/>
      <c r="M1" s="2"/>
      <c r="N1" s="39"/>
      <c r="O1" s="4"/>
      <c r="R1" s="40"/>
    </row>
    <row r="2" spans="1:2314" ht="12.75" customHeight="1" x14ac:dyDescent="0.2">
      <c r="A2" s="6"/>
      <c r="B2" s="5"/>
      <c r="C2" s="5"/>
      <c r="D2" s="5"/>
      <c r="E2" s="5"/>
      <c r="F2" s="5"/>
      <c r="G2" s="40"/>
      <c r="H2" s="5"/>
      <c r="I2" s="5"/>
      <c r="J2" s="7"/>
      <c r="K2" s="5"/>
      <c r="L2" s="5"/>
      <c r="M2" s="5"/>
      <c r="N2" s="40"/>
      <c r="O2" s="8"/>
    </row>
    <row r="3" spans="1:2314" ht="12.75" customHeight="1" x14ac:dyDescent="0.2">
      <c r="A3" s="10" t="s">
        <v>0</v>
      </c>
      <c r="B3" s="5"/>
      <c r="C3" s="5"/>
      <c r="D3" s="5"/>
      <c r="E3" s="5"/>
      <c r="F3" s="5"/>
      <c r="G3" s="40"/>
      <c r="H3" s="5"/>
      <c r="I3" s="5"/>
      <c r="J3" s="7"/>
      <c r="K3" s="5"/>
      <c r="L3" s="5"/>
      <c r="M3" s="5"/>
      <c r="N3" s="40"/>
      <c r="O3" s="11" t="s">
        <v>73</v>
      </c>
    </row>
    <row r="4" spans="1:2314" s="12" customFormat="1" ht="12.75" customHeight="1" x14ac:dyDescent="0.2">
      <c r="A4" s="80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Q4" s="37"/>
      <c r="R4" s="53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  <c r="WN4" s="37"/>
      <c r="WO4" s="37"/>
      <c r="WP4" s="37"/>
      <c r="WQ4" s="37"/>
      <c r="WR4" s="37"/>
      <c r="WS4" s="37"/>
      <c r="WT4" s="37"/>
      <c r="WU4" s="37"/>
      <c r="WV4" s="37"/>
      <c r="WW4" s="37"/>
      <c r="WX4" s="37"/>
      <c r="WY4" s="37"/>
      <c r="WZ4" s="37"/>
      <c r="XA4" s="37"/>
      <c r="XB4" s="37"/>
      <c r="XC4" s="37"/>
      <c r="XD4" s="37"/>
      <c r="XE4" s="37"/>
      <c r="XF4" s="37"/>
      <c r="XG4" s="37"/>
      <c r="XH4" s="37"/>
      <c r="XI4" s="37"/>
      <c r="XJ4" s="37"/>
      <c r="XK4" s="37"/>
      <c r="XL4" s="37"/>
      <c r="XM4" s="37"/>
      <c r="XN4" s="37"/>
      <c r="XO4" s="37"/>
      <c r="XP4" s="37"/>
      <c r="XQ4" s="37"/>
      <c r="XR4" s="37"/>
      <c r="XS4" s="37"/>
      <c r="XT4" s="37"/>
      <c r="XU4" s="37"/>
      <c r="XV4" s="37"/>
      <c r="XW4" s="37"/>
      <c r="XX4" s="37"/>
      <c r="XY4" s="37"/>
      <c r="XZ4" s="37"/>
      <c r="YA4" s="37"/>
      <c r="YB4" s="37"/>
      <c r="YC4" s="37"/>
      <c r="YD4" s="37"/>
      <c r="YE4" s="37"/>
      <c r="YF4" s="37"/>
      <c r="YG4" s="37"/>
      <c r="YH4" s="37"/>
      <c r="YI4" s="37"/>
      <c r="YJ4" s="37"/>
      <c r="YK4" s="37"/>
      <c r="YL4" s="37"/>
      <c r="YM4" s="37"/>
      <c r="YN4" s="37"/>
      <c r="YO4" s="37"/>
      <c r="YP4" s="37"/>
      <c r="YQ4" s="37"/>
      <c r="YR4" s="37"/>
      <c r="YS4" s="37"/>
      <c r="YT4" s="37"/>
      <c r="YU4" s="37"/>
      <c r="YV4" s="37"/>
      <c r="YW4" s="37"/>
      <c r="YX4" s="37"/>
      <c r="YY4" s="37"/>
      <c r="YZ4" s="37"/>
      <c r="ZA4" s="37"/>
      <c r="ZB4" s="37"/>
      <c r="ZC4" s="37"/>
      <c r="ZD4" s="37"/>
      <c r="ZE4" s="37"/>
      <c r="ZF4" s="37"/>
      <c r="ZG4" s="37"/>
      <c r="ZH4" s="37"/>
      <c r="ZI4" s="37"/>
      <c r="ZJ4" s="37"/>
      <c r="ZK4" s="37"/>
      <c r="ZL4" s="37"/>
      <c r="ZM4" s="37"/>
      <c r="ZN4" s="37"/>
      <c r="ZO4" s="37"/>
      <c r="ZP4" s="37"/>
      <c r="ZQ4" s="37"/>
      <c r="ZR4" s="37"/>
      <c r="ZS4" s="37"/>
      <c r="ZT4" s="37"/>
      <c r="ZU4" s="37"/>
      <c r="ZV4" s="37"/>
      <c r="ZW4" s="37"/>
      <c r="ZX4" s="37"/>
      <c r="ZY4" s="37"/>
      <c r="ZZ4" s="37"/>
      <c r="AAA4" s="37"/>
      <c r="AAB4" s="37"/>
      <c r="AAC4" s="37"/>
      <c r="AAD4" s="37"/>
      <c r="AAE4" s="37"/>
      <c r="AAF4" s="37"/>
      <c r="AAG4" s="37"/>
      <c r="AAH4" s="37"/>
      <c r="AAI4" s="37"/>
      <c r="AAJ4" s="37"/>
      <c r="AAK4" s="37"/>
      <c r="AAL4" s="37"/>
      <c r="AAM4" s="37"/>
      <c r="AAN4" s="37"/>
      <c r="AAO4" s="37"/>
      <c r="AAP4" s="37"/>
      <c r="AAQ4" s="37"/>
      <c r="AAR4" s="37"/>
      <c r="AAS4" s="37"/>
      <c r="AAT4" s="37"/>
      <c r="AAU4" s="37"/>
      <c r="AAV4" s="37"/>
      <c r="AAW4" s="37"/>
      <c r="AAX4" s="37"/>
      <c r="AAY4" s="37"/>
      <c r="AAZ4" s="37"/>
      <c r="ABA4" s="37"/>
      <c r="ABB4" s="37"/>
      <c r="ABC4" s="37"/>
      <c r="ABD4" s="37"/>
      <c r="ABE4" s="37"/>
      <c r="ABF4" s="37"/>
      <c r="ABG4" s="37"/>
      <c r="ABH4" s="37"/>
      <c r="ABI4" s="37"/>
      <c r="ABJ4" s="37"/>
      <c r="ABK4" s="37"/>
      <c r="ABL4" s="37"/>
      <c r="ABM4" s="37"/>
      <c r="ABN4" s="37"/>
      <c r="ABO4" s="37"/>
      <c r="ABP4" s="37"/>
      <c r="ABQ4" s="37"/>
      <c r="ABR4" s="37"/>
      <c r="ABS4" s="37"/>
      <c r="ABT4" s="37"/>
      <c r="ABU4" s="37"/>
      <c r="ABV4" s="37"/>
      <c r="ABW4" s="37"/>
      <c r="ABX4" s="37"/>
      <c r="ABY4" s="37"/>
      <c r="ABZ4" s="37"/>
      <c r="ACA4" s="37"/>
      <c r="ACB4" s="37"/>
      <c r="ACC4" s="37"/>
      <c r="ACD4" s="37"/>
      <c r="ACE4" s="37"/>
      <c r="ACF4" s="37"/>
      <c r="ACG4" s="37"/>
      <c r="ACH4" s="37"/>
      <c r="ACI4" s="37"/>
      <c r="ACJ4" s="37"/>
      <c r="ACK4" s="37"/>
      <c r="ACL4" s="37"/>
      <c r="ACM4" s="37"/>
      <c r="ACN4" s="37"/>
      <c r="ACO4" s="37"/>
      <c r="ACP4" s="37"/>
      <c r="ACQ4" s="37"/>
      <c r="ACR4" s="37"/>
      <c r="ACS4" s="37"/>
      <c r="ACT4" s="37"/>
      <c r="ACU4" s="37"/>
      <c r="ACV4" s="37"/>
      <c r="ACW4" s="37"/>
      <c r="ACX4" s="37"/>
      <c r="ACY4" s="37"/>
      <c r="ACZ4" s="37"/>
      <c r="ADA4" s="37"/>
      <c r="ADB4" s="37"/>
      <c r="ADC4" s="37"/>
      <c r="ADD4" s="37"/>
      <c r="ADE4" s="37"/>
      <c r="ADF4" s="37"/>
      <c r="ADG4" s="37"/>
      <c r="ADH4" s="37"/>
      <c r="ADI4" s="37"/>
      <c r="ADJ4" s="37"/>
      <c r="ADK4" s="37"/>
      <c r="ADL4" s="37"/>
      <c r="ADM4" s="37"/>
      <c r="ADN4" s="37"/>
      <c r="ADO4" s="37"/>
      <c r="ADP4" s="37"/>
      <c r="ADQ4" s="37"/>
      <c r="ADR4" s="37"/>
      <c r="ADS4" s="37"/>
      <c r="ADT4" s="37"/>
      <c r="ADU4" s="37"/>
      <c r="ADV4" s="37"/>
      <c r="ADW4" s="37"/>
      <c r="ADX4" s="37"/>
      <c r="ADY4" s="37"/>
      <c r="ADZ4" s="37"/>
      <c r="AEA4" s="37"/>
      <c r="AEB4" s="37"/>
      <c r="AEC4" s="37"/>
      <c r="AED4" s="37"/>
      <c r="AEE4" s="37"/>
      <c r="AEF4" s="37"/>
      <c r="AEG4" s="37"/>
      <c r="AEH4" s="37"/>
      <c r="AEI4" s="37"/>
      <c r="AEJ4" s="37"/>
      <c r="AEK4" s="37"/>
      <c r="AEL4" s="37"/>
      <c r="AEM4" s="37"/>
      <c r="AEN4" s="37"/>
      <c r="AEO4" s="37"/>
      <c r="AEP4" s="37"/>
      <c r="AEQ4" s="37"/>
      <c r="AER4" s="37"/>
      <c r="AES4" s="37"/>
      <c r="AET4" s="37"/>
      <c r="AEU4" s="37"/>
      <c r="AEV4" s="37"/>
      <c r="AEW4" s="37"/>
      <c r="AEX4" s="37"/>
      <c r="AEY4" s="37"/>
      <c r="AEZ4" s="37"/>
      <c r="AFA4" s="37"/>
      <c r="AFB4" s="37"/>
      <c r="AFC4" s="37"/>
      <c r="AFD4" s="37"/>
      <c r="AFE4" s="37"/>
      <c r="AFF4" s="37"/>
      <c r="AFG4" s="37"/>
      <c r="AFH4" s="37"/>
      <c r="AFI4" s="37"/>
      <c r="AFJ4" s="37"/>
      <c r="AFK4" s="37"/>
      <c r="AFL4" s="37"/>
      <c r="AFM4" s="37"/>
      <c r="AFN4" s="37"/>
      <c r="AFO4" s="37"/>
      <c r="AFP4" s="37"/>
      <c r="AFQ4" s="37"/>
      <c r="AFR4" s="37"/>
      <c r="AFS4" s="37"/>
      <c r="AFT4" s="37"/>
      <c r="AFU4" s="37"/>
      <c r="AFV4" s="37"/>
      <c r="AFW4" s="37"/>
      <c r="AFX4" s="37"/>
      <c r="AFY4" s="37"/>
      <c r="AFZ4" s="37"/>
      <c r="AGA4" s="37"/>
      <c r="AGB4" s="37"/>
      <c r="AGC4" s="37"/>
      <c r="AGD4" s="37"/>
      <c r="AGE4" s="37"/>
      <c r="AGF4" s="37"/>
      <c r="AGG4" s="37"/>
      <c r="AGH4" s="37"/>
      <c r="AGI4" s="37"/>
      <c r="AGJ4" s="37"/>
      <c r="AGK4" s="37"/>
      <c r="AGL4" s="37"/>
      <c r="AGM4" s="37"/>
      <c r="AGN4" s="37"/>
      <c r="AGO4" s="37"/>
      <c r="AGP4" s="37"/>
      <c r="AGQ4" s="37"/>
      <c r="AGR4" s="37"/>
      <c r="AGS4" s="37"/>
      <c r="AGT4" s="37"/>
      <c r="AGU4" s="37"/>
      <c r="AGV4" s="37"/>
      <c r="AGW4" s="37"/>
      <c r="AGX4" s="37"/>
      <c r="AGY4" s="37"/>
      <c r="AGZ4" s="37"/>
      <c r="AHA4" s="37"/>
      <c r="AHB4" s="37"/>
      <c r="AHC4" s="37"/>
      <c r="AHD4" s="37"/>
      <c r="AHE4" s="37"/>
      <c r="AHF4" s="37"/>
      <c r="AHG4" s="37"/>
      <c r="AHH4" s="37"/>
      <c r="AHI4" s="37"/>
      <c r="AHJ4" s="37"/>
      <c r="AHK4" s="37"/>
      <c r="AHL4" s="37"/>
      <c r="AHM4" s="37"/>
      <c r="AHN4" s="37"/>
      <c r="AHO4" s="37"/>
      <c r="AHP4" s="37"/>
      <c r="AHQ4" s="37"/>
      <c r="AHR4" s="37"/>
      <c r="AHS4" s="37"/>
      <c r="AHT4" s="37"/>
      <c r="AHU4" s="37"/>
      <c r="AHV4" s="37"/>
      <c r="AHW4" s="37"/>
      <c r="AHX4" s="37"/>
      <c r="AHY4" s="37"/>
      <c r="AHZ4" s="37"/>
      <c r="AIA4" s="37"/>
      <c r="AIB4" s="37"/>
      <c r="AIC4" s="37"/>
      <c r="AID4" s="37"/>
      <c r="AIE4" s="37"/>
      <c r="AIF4" s="37"/>
      <c r="AIG4" s="37"/>
      <c r="AIH4" s="37"/>
      <c r="AII4" s="37"/>
      <c r="AIJ4" s="37"/>
      <c r="AIK4" s="37"/>
      <c r="AIL4" s="37"/>
      <c r="AIM4" s="37"/>
      <c r="AIN4" s="37"/>
      <c r="AIO4" s="37"/>
      <c r="AIP4" s="37"/>
      <c r="AIQ4" s="37"/>
      <c r="AIR4" s="37"/>
      <c r="AIS4" s="37"/>
      <c r="AIT4" s="37"/>
      <c r="AIU4" s="37"/>
      <c r="AIV4" s="37"/>
      <c r="AIW4" s="37"/>
      <c r="AIX4" s="37"/>
      <c r="AIY4" s="37"/>
      <c r="AIZ4" s="37"/>
      <c r="AJA4" s="37"/>
      <c r="AJB4" s="37"/>
      <c r="AJC4" s="37"/>
      <c r="AJD4" s="37"/>
      <c r="AJE4" s="37"/>
      <c r="AJF4" s="37"/>
      <c r="AJG4" s="37"/>
      <c r="AJH4" s="37"/>
      <c r="AJI4" s="37"/>
      <c r="AJJ4" s="37"/>
      <c r="AJK4" s="37"/>
      <c r="AJL4" s="37"/>
      <c r="AJM4" s="37"/>
      <c r="AJN4" s="37"/>
      <c r="AJO4" s="37"/>
      <c r="AJP4" s="37"/>
      <c r="AJQ4" s="37"/>
      <c r="AJR4" s="37"/>
      <c r="AJS4" s="37"/>
      <c r="AJT4" s="37"/>
      <c r="AJU4" s="37"/>
      <c r="AJV4" s="37"/>
      <c r="AJW4" s="37"/>
      <c r="AJX4" s="37"/>
      <c r="AJY4" s="37"/>
      <c r="AJZ4" s="37"/>
      <c r="AKA4" s="37"/>
      <c r="AKB4" s="37"/>
      <c r="AKC4" s="37"/>
      <c r="AKD4" s="37"/>
      <c r="AKE4" s="37"/>
      <c r="AKF4" s="37"/>
      <c r="AKG4" s="37"/>
      <c r="AKH4" s="37"/>
      <c r="AKI4" s="37"/>
      <c r="AKJ4" s="37"/>
      <c r="AKK4" s="37"/>
      <c r="AKL4" s="37"/>
      <c r="AKM4" s="37"/>
      <c r="AKN4" s="37"/>
      <c r="AKO4" s="37"/>
      <c r="AKP4" s="37"/>
      <c r="AKQ4" s="37"/>
      <c r="AKR4" s="37"/>
      <c r="AKS4" s="37"/>
      <c r="AKT4" s="37"/>
      <c r="AKU4" s="37"/>
      <c r="AKV4" s="37"/>
      <c r="AKW4" s="37"/>
      <c r="AKX4" s="37"/>
      <c r="AKY4" s="37"/>
      <c r="AKZ4" s="37"/>
      <c r="ALA4" s="37"/>
      <c r="ALB4" s="37"/>
      <c r="ALC4" s="37"/>
      <c r="ALD4" s="37"/>
      <c r="ALE4" s="37"/>
      <c r="ALF4" s="37"/>
      <c r="ALG4" s="37"/>
      <c r="ALH4" s="37"/>
      <c r="ALI4" s="37"/>
      <c r="ALJ4" s="37"/>
      <c r="ALK4" s="37"/>
      <c r="ALL4" s="37"/>
      <c r="ALM4" s="37"/>
      <c r="ALN4" s="37"/>
      <c r="ALO4" s="37"/>
      <c r="ALP4" s="37"/>
      <c r="ALQ4" s="37"/>
      <c r="ALR4" s="37"/>
      <c r="ALS4" s="37"/>
      <c r="ALT4" s="37"/>
      <c r="ALU4" s="37"/>
      <c r="ALV4" s="37"/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  <c r="AMJ4" s="37"/>
      <c r="AMK4" s="37"/>
      <c r="AML4" s="37"/>
      <c r="AMM4" s="37"/>
      <c r="AMN4" s="37"/>
      <c r="AMO4" s="37"/>
      <c r="AMP4" s="37"/>
      <c r="AMQ4" s="37"/>
      <c r="AMR4" s="37"/>
      <c r="AMS4" s="37"/>
      <c r="AMT4" s="37"/>
      <c r="AMU4" s="37"/>
      <c r="AMV4" s="37"/>
      <c r="AMW4" s="37"/>
      <c r="AMX4" s="37"/>
      <c r="AMY4" s="37"/>
      <c r="AMZ4" s="37"/>
      <c r="ANA4" s="37"/>
      <c r="ANB4" s="37"/>
      <c r="ANC4" s="37"/>
      <c r="AND4" s="37"/>
      <c r="ANE4" s="37"/>
      <c r="ANF4" s="37"/>
      <c r="ANG4" s="37"/>
      <c r="ANH4" s="37"/>
      <c r="ANI4" s="37"/>
      <c r="ANJ4" s="37"/>
      <c r="ANK4" s="37"/>
      <c r="ANL4" s="37"/>
      <c r="ANM4" s="37"/>
      <c r="ANN4" s="37"/>
      <c r="ANO4" s="37"/>
      <c r="ANP4" s="37"/>
      <c r="ANQ4" s="37"/>
      <c r="ANR4" s="37"/>
      <c r="ANS4" s="37"/>
      <c r="ANT4" s="37"/>
      <c r="ANU4" s="37"/>
      <c r="ANV4" s="37"/>
      <c r="ANW4" s="37"/>
      <c r="ANX4" s="37"/>
      <c r="ANY4" s="37"/>
      <c r="ANZ4" s="37"/>
      <c r="AOA4" s="37"/>
      <c r="AOB4" s="37"/>
      <c r="AOC4" s="37"/>
      <c r="AOD4" s="37"/>
      <c r="AOE4" s="37"/>
      <c r="AOF4" s="37"/>
      <c r="AOG4" s="37"/>
      <c r="AOH4" s="37"/>
      <c r="AOI4" s="37"/>
      <c r="AOJ4" s="37"/>
      <c r="AOK4" s="37"/>
      <c r="AOL4" s="37"/>
      <c r="AOM4" s="37"/>
      <c r="AON4" s="37"/>
      <c r="AOO4" s="37"/>
      <c r="AOP4" s="37"/>
      <c r="AOQ4" s="37"/>
      <c r="AOR4" s="37"/>
      <c r="AOS4" s="37"/>
      <c r="AOT4" s="37"/>
      <c r="AOU4" s="37"/>
      <c r="AOV4" s="37"/>
      <c r="AOW4" s="37"/>
      <c r="AOX4" s="37"/>
      <c r="AOY4" s="37"/>
      <c r="AOZ4" s="37"/>
      <c r="APA4" s="37"/>
      <c r="APB4" s="37"/>
      <c r="APC4" s="37"/>
      <c r="APD4" s="37"/>
      <c r="APE4" s="37"/>
      <c r="APF4" s="37"/>
      <c r="APG4" s="37"/>
      <c r="APH4" s="37"/>
      <c r="API4" s="37"/>
      <c r="APJ4" s="37"/>
      <c r="APK4" s="37"/>
      <c r="APL4" s="37"/>
      <c r="APM4" s="37"/>
      <c r="APN4" s="37"/>
      <c r="APO4" s="37"/>
      <c r="APP4" s="37"/>
      <c r="APQ4" s="37"/>
      <c r="APR4" s="37"/>
      <c r="APS4" s="37"/>
      <c r="APT4" s="37"/>
      <c r="APU4" s="37"/>
      <c r="APV4" s="37"/>
      <c r="APW4" s="37"/>
      <c r="APX4" s="37"/>
      <c r="APY4" s="37"/>
      <c r="APZ4" s="37"/>
      <c r="AQA4" s="37"/>
      <c r="AQB4" s="37"/>
      <c r="AQC4" s="37"/>
      <c r="AQD4" s="37"/>
      <c r="AQE4" s="37"/>
      <c r="AQF4" s="37"/>
      <c r="AQG4" s="37"/>
      <c r="AQH4" s="37"/>
      <c r="AQI4" s="37"/>
      <c r="AQJ4" s="37"/>
      <c r="AQK4" s="37"/>
      <c r="AQL4" s="37"/>
      <c r="AQM4" s="37"/>
      <c r="AQN4" s="37"/>
      <c r="AQO4" s="37"/>
      <c r="AQP4" s="37"/>
      <c r="AQQ4" s="37"/>
      <c r="AQR4" s="37"/>
      <c r="AQS4" s="37"/>
      <c r="AQT4" s="37"/>
      <c r="AQU4" s="37"/>
      <c r="AQV4" s="37"/>
      <c r="AQW4" s="37"/>
      <c r="AQX4" s="37"/>
      <c r="AQY4" s="37"/>
      <c r="AQZ4" s="37"/>
      <c r="ARA4" s="37"/>
      <c r="ARB4" s="37"/>
      <c r="ARC4" s="37"/>
      <c r="ARD4" s="37"/>
      <c r="ARE4" s="37"/>
      <c r="ARF4" s="37"/>
      <c r="ARG4" s="37"/>
      <c r="ARH4" s="37"/>
      <c r="ARI4" s="37"/>
      <c r="ARJ4" s="37"/>
      <c r="ARK4" s="37"/>
      <c r="ARL4" s="37"/>
      <c r="ARM4" s="37"/>
      <c r="ARN4" s="37"/>
      <c r="ARO4" s="37"/>
      <c r="ARP4" s="37"/>
      <c r="ARQ4" s="37"/>
      <c r="ARR4" s="37"/>
      <c r="ARS4" s="37"/>
      <c r="ART4" s="37"/>
      <c r="ARU4" s="37"/>
      <c r="ARV4" s="37"/>
      <c r="ARW4" s="37"/>
      <c r="ARX4" s="37"/>
      <c r="ARY4" s="37"/>
      <c r="ARZ4" s="37"/>
      <c r="ASA4" s="37"/>
      <c r="ASB4" s="37"/>
      <c r="ASC4" s="37"/>
      <c r="ASD4" s="37"/>
      <c r="ASE4" s="37"/>
      <c r="ASF4" s="37"/>
      <c r="ASG4" s="37"/>
      <c r="ASH4" s="37"/>
      <c r="ASI4" s="37"/>
      <c r="ASJ4" s="37"/>
      <c r="ASK4" s="37"/>
      <c r="ASL4" s="37"/>
      <c r="ASM4" s="37"/>
      <c r="ASN4" s="37"/>
      <c r="ASO4" s="37"/>
      <c r="ASP4" s="37"/>
      <c r="ASQ4" s="37"/>
      <c r="ASR4" s="37"/>
      <c r="ASS4" s="37"/>
      <c r="AST4" s="37"/>
      <c r="ASU4" s="37"/>
      <c r="ASV4" s="37"/>
      <c r="ASW4" s="37"/>
      <c r="ASX4" s="37"/>
      <c r="ASY4" s="37"/>
      <c r="ASZ4" s="37"/>
      <c r="ATA4" s="37"/>
      <c r="ATB4" s="37"/>
      <c r="ATC4" s="37"/>
      <c r="ATD4" s="37"/>
      <c r="ATE4" s="37"/>
      <c r="ATF4" s="37"/>
      <c r="ATG4" s="37"/>
      <c r="ATH4" s="37"/>
      <c r="ATI4" s="37"/>
      <c r="ATJ4" s="37"/>
      <c r="ATK4" s="37"/>
      <c r="ATL4" s="37"/>
      <c r="ATM4" s="37"/>
      <c r="ATN4" s="37"/>
      <c r="ATO4" s="37"/>
      <c r="ATP4" s="37"/>
      <c r="ATQ4" s="37"/>
      <c r="ATR4" s="37"/>
      <c r="ATS4" s="37"/>
      <c r="ATT4" s="37"/>
      <c r="ATU4" s="37"/>
      <c r="ATV4" s="37"/>
      <c r="ATW4" s="37"/>
      <c r="ATX4" s="37"/>
      <c r="ATY4" s="37"/>
      <c r="ATZ4" s="37"/>
      <c r="AUA4" s="37"/>
      <c r="AUB4" s="37"/>
      <c r="AUC4" s="37"/>
      <c r="AUD4" s="37"/>
      <c r="AUE4" s="37"/>
      <c r="AUF4" s="37"/>
      <c r="AUG4" s="37"/>
      <c r="AUH4" s="37"/>
      <c r="AUI4" s="37"/>
      <c r="AUJ4" s="37"/>
      <c r="AUK4" s="37"/>
      <c r="AUL4" s="37"/>
      <c r="AUM4" s="37"/>
      <c r="AUN4" s="37"/>
      <c r="AUO4" s="37"/>
      <c r="AUP4" s="37"/>
      <c r="AUQ4" s="37"/>
      <c r="AUR4" s="37"/>
      <c r="AUS4" s="37"/>
      <c r="AUT4" s="37"/>
      <c r="AUU4" s="37"/>
      <c r="AUV4" s="37"/>
      <c r="AUW4" s="37"/>
      <c r="AUX4" s="37"/>
      <c r="AUY4" s="37"/>
      <c r="AUZ4" s="37"/>
      <c r="AVA4" s="37"/>
      <c r="AVB4" s="37"/>
      <c r="AVC4" s="37"/>
      <c r="AVD4" s="37"/>
      <c r="AVE4" s="37"/>
      <c r="AVF4" s="37"/>
      <c r="AVG4" s="37"/>
      <c r="AVH4" s="37"/>
      <c r="AVI4" s="37"/>
      <c r="AVJ4" s="37"/>
      <c r="AVK4" s="37"/>
      <c r="AVL4" s="37"/>
      <c r="AVM4" s="37"/>
      <c r="AVN4" s="37"/>
      <c r="AVO4" s="37"/>
      <c r="AVP4" s="37"/>
      <c r="AVQ4" s="37"/>
      <c r="AVR4" s="37"/>
      <c r="AVS4" s="37"/>
      <c r="AVT4" s="37"/>
      <c r="AVU4" s="37"/>
      <c r="AVV4" s="37"/>
      <c r="AVW4" s="37"/>
      <c r="AVX4" s="37"/>
      <c r="AVY4" s="37"/>
      <c r="AVZ4" s="37"/>
      <c r="AWA4" s="37"/>
      <c r="AWB4" s="37"/>
      <c r="AWC4" s="37"/>
      <c r="AWD4" s="37"/>
      <c r="AWE4" s="37"/>
      <c r="AWF4" s="37"/>
      <c r="AWG4" s="37"/>
      <c r="AWH4" s="37"/>
      <c r="AWI4" s="37"/>
      <c r="AWJ4" s="37"/>
      <c r="AWK4" s="37"/>
      <c r="AWL4" s="37"/>
      <c r="AWM4" s="37"/>
      <c r="AWN4" s="37"/>
      <c r="AWO4" s="37"/>
      <c r="AWP4" s="37"/>
      <c r="AWQ4" s="37"/>
      <c r="AWR4" s="37"/>
      <c r="AWS4" s="37"/>
      <c r="AWT4" s="37"/>
      <c r="AWU4" s="37"/>
      <c r="AWV4" s="37"/>
      <c r="AWW4" s="37"/>
      <c r="AWX4" s="37"/>
      <c r="AWY4" s="37"/>
      <c r="AWZ4" s="37"/>
      <c r="AXA4" s="37"/>
      <c r="AXB4" s="37"/>
      <c r="AXC4" s="37"/>
      <c r="AXD4" s="37"/>
      <c r="AXE4" s="37"/>
      <c r="AXF4" s="37"/>
      <c r="AXG4" s="37"/>
      <c r="AXH4" s="37"/>
      <c r="AXI4" s="37"/>
      <c r="AXJ4" s="37"/>
      <c r="AXK4" s="37"/>
      <c r="AXL4" s="37"/>
      <c r="AXM4" s="37"/>
      <c r="AXN4" s="37"/>
      <c r="AXO4" s="37"/>
      <c r="AXP4" s="37"/>
      <c r="AXQ4" s="37"/>
      <c r="AXR4" s="37"/>
      <c r="AXS4" s="37"/>
      <c r="AXT4" s="37"/>
      <c r="AXU4" s="37"/>
      <c r="AXV4" s="37"/>
      <c r="AXW4" s="37"/>
      <c r="AXX4" s="37"/>
      <c r="AXY4" s="37"/>
      <c r="AXZ4" s="37"/>
      <c r="AYA4" s="37"/>
      <c r="AYB4" s="37"/>
      <c r="AYC4" s="37"/>
      <c r="AYD4" s="37"/>
      <c r="AYE4" s="37"/>
      <c r="AYF4" s="37"/>
      <c r="AYG4" s="37"/>
      <c r="AYH4" s="37"/>
      <c r="AYI4" s="37"/>
      <c r="AYJ4" s="37"/>
      <c r="AYK4" s="37"/>
      <c r="AYL4" s="37"/>
      <c r="AYM4" s="37"/>
      <c r="AYN4" s="37"/>
      <c r="AYO4" s="37"/>
      <c r="AYP4" s="37"/>
      <c r="AYQ4" s="37"/>
      <c r="AYR4" s="37"/>
      <c r="AYS4" s="37"/>
      <c r="AYT4" s="37"/>
      <c r="AYU4" s="37"/>
      <c r="AYV4" s="37"/>
      <c r="AYW4" s="37"/>
      <c r="AYX4" s="37"/>
      <c r="AYY4" s="37"/>
      <c r="AYZ4" s="37"/>
      <c r="AZA4" s="37"/>
      <c r="AZB4" s="37"/>
      <c r="AZC4" s="37"/>
      <c r="AZD4" s="37"/>
      <c r="AZE4" s="37"/>
      <c r="AZF4" s="37"/>
      <c r="AZG4" s="37"/>
      <c r="AZH4" s="37"/>
      <c r="AZI4" s="37"/>
      <c r="AZJ4" s="37"/>
      <c r="AZK4" s="37"/>
      <c r="AZL4" s="37"/>
      <c r="AZM4" s="37"/>
      <c r="AZN4" s="37"/>
      <c r="AZO4" s="37"/>
      <c r="AZP4" s="37"/>
      <c r="AZQ4" s="37"/>
      <c r="AZR4" s="37"/>
      <c r="AZS4" s="37"/>
      <c r="AZT4" s="37"/>
      <c r="AZU4" s="37"/>
      <c r="AZV4" s="37"/>
      <c r="AZW4" s="37"/>
      <c r="AZX4" s="37"/>
      <c r="AZY4" s="37"/>
      <c r="AZZ4" s="37"/>
      <c r="BAA4" s="37"/>
      <c r="BAB4" s="37"/>
      <c r="BAC4" s="37"/>
      <c r="BAD4" s="37"/>
      <c r="BAE4" s="37"/>
      <c r="BAF4" s="37"/>
      <c r="BAG4" s="37"/>
      <c r="BAH4" s="37"/>
      <c r="BAI4" s="37"/>
      <c r="BAJ4" s="37"/>
      <c r="BAK4" s="37"/>
      <c r="BAL4" s="37"/>
      <c r="BAM4" s="37"/>
      <c r="BAN4" s="37"/>
      <c r="BAO4" s="37"/>
      <c r="BAP4" s="37"/>
      <c r="BAQ4" s="37"/>
      <c r="BAR4" s="37"/>
      <c r="BAS4" s="37"/>
      <c r="BAT4" s="37"/>
      <c r="BAU4" s="37"/>
      <c r="BAV4" s="37"/>
      <c r="BAW4" s="37"/>
      <c r="BAX4" s="37"/>
      <c r="BAY4" s="37"/>
      <c r="BAZ4" s="37"/>
      <c r="BBA4" s="37"/>
      <c r="BBB4" s="37"/>
      <c r="BBC4" s="37"/>
      <c r="BBD4" s="37"/>
      <c r="BBE4" s="37"/>
      <c r="BBF4" s="37"/>
      <c r="BBG4" s="37"/>
      <c r="BBH4" s="37"/>
      <c r="BBI4" s="37"/>
      <c r="BBJ4" s="37"/>
      <c r="BBK4" s="37"/>
      <c r="BBL4" s="37"/>
      <c r="BBM4" s="37"/>
      <c r="BBN4" s="37"/>
      <c r="BBO4" s="37"/>
      <c r="BBP4" s="37"/>
      <c r="BBQ4" s="37"/>
      <c r="BBR4" s="37"/>
      <c r="BBS4" s="37"/>
      <c r="BBT4" s="37"/>
      <c r="BBU4" s="37"/>
      <c r="BBV4" s="37"/>
      <c r="BBW4" s="37"/>
      <c r="BBX4" s="37"/>
      <c r="BBY4" s="37"/>
      <c r="BBZ4" s="37"/>
      <c r="BCA4" s="37"/>
      <c r="BCB4" s="37"/>
      <c r="BCC4" s="37"/>
      <c r="BCD4" s="37"/>
      <c r="BCE4" s="37"/>
      <c r="BCF4" s="37"/>
      <c r="BCG4" s="37"/>
      <c r="BCH4" s="37"/>
      <c r="BCI4" s="37"/>
      <c r="BCJ4" s="37"/>
      <c r="BCK4" s="37"/>
      <c r="BCL4" s="37"/>
      <c r="BCM4" s="37"/>
      <c r="BCN4" s="37"/>
      <c r="BCO4" s="37"/>
      <c r="BCP4" s="37"/>
      <c r="BCQ4" s="37"/>
      <c r="BCR4" s="37"/>
      <c r="BCS4" s="37"/>
      <c r="BCT4" s="37"/>
      <c r="BCU4" s="37"/>
      <c r="BCV4" s="37"/>
      <c r="BCW4" s="37"/>
      <c r="BCX4" s="37"/>
      <c r="BCY4" s="37"/>
      <c r="BCZ4" s="37"/>
      <c r="BDA4" s="37"/>
      <c r="BDB4" s="37"/>
      <c r="BDC4" s="37"/>
      <c r="BDD4" s="37"/>
      <c r="BDE4" s="37"/>
      <c r="BDF4" s="37"/>
      <c r="BDG4" s="37"/>
      <c r="BDH4" s="37"/>
      <c r="BDI4" s="37"/>
      <c r="BDJ4" s="37"/>
      <c r="BDK4" s="37"/>
      <c r="BDL4" s="37"/>
      <c r="BDM4" s="37"/>
      <c r="BDN4" s="37"/>
      <c r="BDO4" s="37"/>
      <c r="BDP4" s="37"/>
      <c r="BDQ4" s="37"/>
      <c r="BDR4" s="37"/>
      <c r="BDS4" s="37"/>
      <c r="BDT4" s="37"/>
      <c r="BDU4" s="37"/>
      <c r="BDV4" s="37"/>
      <c r="BDW4" s="37"/>
      <c r="BDX4" s="37"/>
      <c r="BDY4" s="37"/>
      <c r="BDZ4" s="37"/>
      <c r="BEA4" s="37"/>
      <c r="BEB4" s="37"/>
      <c r="BEC4" s="37"/>
      <c r="BED4" s="37"/>
      <c r="BEE4" s="37"/>
      <c r="BEF4" s="37"/>
      <c r="BEG4" s="37"/>
      <c r="BEH4" s="37"/>
      <c r="BEI4" s="37"/>
      <c r="BEJ4" s="37"/>
      <c r="BEK4" s="37"/>
      <c r="BEL4" s="37"/>
      <c r="BEM4" s="37"/>
      <c r="BEN4" s="37"/>
      <c r="BEO4" s="37"/>
      <c r="BEP4" s="37"/>
      <c r="BEQ4" s="37"/>
      <c r="BER4" s="37"/>
      <c r="BES4" s="37"/>
      <c r="BET4" s="37"/>
      <c r="BEU4" s="37"/>
      <c r="BEV4" s="37"/>
      <c r="BEW4" s="37"/>
      <c r="BEX4" s="37"/>
      <c r="BEY4" s="37"/>
      <c r="BEZ4" s="37"/>
      <c r="BFA4" s="37"/>
      <c r="BFB4" s="37"/>
      <c r="BFC4" s="37"/>
      <c r="BFD4" s="37"/>
      <c r="BFE4" s="37"/>
      <c r="BFF4" s="37"/>
      <c r="BFG4" s="37"/>
      <c r="BFH4" s="37"/>
      <c r="BFI4" s="37"/>
      <c r="BFJ4" s="37"/>
      <c r="BFK4" s="37"/>
      <c r="BFL4" s="37"/>
      <c r="BFM4" s="37"/>
      <c r="BFN4" s="37"/>
      <c r="BFO4" s="37"/>
      <c r="BFP4" s="37"/>
      <c r="BFQ4" s="37"/>
      <c r="BFR4" s="37"/>
      <c r="BFS4" s="37"/>
      <c r="BFT4" s="37"/>
      <c r="BFU4" s="37"/>
      <c r="BFV4" s="37"/>
      <c r="BFW4" s="37"/>
      <c r="BFX4" s="37"/>
      <c r="BFY4" s="37"/>
      <c r="BFZ4" s="37"/>
      <c r="BGA4" s="37"/>
      <c r="BGB4" s="37"/>
      <c r="BGC4" s="37"/>
      <c r="BGD4" s="37"/>
      <c r="BGE4" s="37"/>
      <c r="BGF4" s="37"/>
      <c r="BGG4" s="37"/>
      <c r="BGH4" s="37"/>
      <c r="BGI4" s="37"/>
      <c r="BGJ4" s="37"/>
      <c r="BGK4" s="37"/>
      <c r="BGL4" s="37"/>
      <c r="BGM4" s="37"/>
      <c r="BGN4" s="37"/>
      <c r="BGO4" s="37"/>
      <c r="BGP4" s="37"/>
      <c r="BGQ4" s="37"/>
      <c r="BGR4" s="37"/>
      <c r="BGS4" s="37"/>
      <c r="BGT4" s="37"/>
      <c r="BGU4" s="37"/>
      <c r="BGV4" s="37"/>
      <c r="BGW4" s="37"/>
      <c r="BGX4" s="37"/>
      <c r="BGY4" s="37"/>
      <c r="BGZ4" s="37"/>
      <c r="BHA4" s="37"/>
      <c r="BHB4" s="37"/>
      <c r="BHC4" s="37"/>
      <c r="BHD4" s="37"/>
      <c r="BHE4" s="37"/>
      <c r="BHF4" s="37"/>
      <c r="BHG4" s="37"/>
      <c r="BHH4" s="37"/>
      <c r="BHI4" s="37"/>
      <c r="BHJ4" s="37"/>
      <c r="BHK4" s="37"/>
      <c r="BHL4" s="37"/>
      <c r="BHM4" s="37"/>
      <c r="BHN4" s="37"/>
      <c r="BHO4" s="37"/>
      <c r="BHP4" s="37"/>
      <c r="BHQ4" s="37"/>
      <c r="BHR4" s="37"/>
      <c r="BHS4" s="37"/>
      <c r="BHT4" s="37"/>
      <c r="BHU4" s="37"/>
      <c r="BHV4" s="37"/>
      <c r="BHW4" s="37"/>
      <c r="BHX4" s="37"/>
      <c r="BHY4" s="37"/>
      <c r="BHZ4" s="37"/>
      <c r="BIA4" s="37"/>
      <c r="BIB4" s="37"/>
      <c r="BIC4" s="37"/>
      <c r="BID4" s="37"/>
      <c r="BIE4" s="37"/>
      <c r="BIF4" s="37"/>
      <c r="BIG4" s="37"/>
      <c r="BIH4" s="37"/>
      <c r="BII4" s="37"/>
      <c r="BIJ4" s="37"/>
      <c r="BIK4" s="37"/>
      <c r="BIL4" s="37"/>
      <c r="BIM4" s="37"/>
      <c r="BIN4" s="37"/>
      <c r="BIO4" s="37"/>
      <c r="BIP4" s="37"/>
      <c r="BIQ4" s="37"/>
      <c r="BIR4" s="37"/>
      <c r="BIS4" s="37"/>
      <c r="BIT4" s="37"/>
      <c r="BIU4" s="37"/>
      <c r="BIV4" s="37"/>
      <c r="BIW4" s="37"/>
      <c r="BIX4" s="37"/>
      <c r="BIY4" s="37"/>
      <c r="BIZ4" s="37"/>
      <c r="BJA4" s="37"/>
      <c r="BJB4" s="37"/>
      <c r="BJC4" s="37"/>
      <c r="BJD4" s="37"/>
      <c r="BJE4" s="37"/>
      <c r="BJF4" s="37"/>
      <c r="BJG4" s="37"/>
      <c r="BJH4" s="37"/>
      <c r="BJI4" s="37"/>
      <c r="BJJ4" s="37"/>
      <c r="BJK4" s="37"/>
      <c r="BJL4" s="37"/>
      <c r="BJM4" s="37"/>
      <c r="BJN4" s="37"/>
      <c r="BJO4" s="37"/>
      <c r="BJP4" s="37"/>
      <c r="BJQ4" s="37"/>
      <c r="BJR4" s="37"/>
      <c r="BJS4" s="37"/>
      <c r="BJT4" s="37"/>
      <c r="BJU4" s="37"/>
      <c r="BJV4" s="37"/>
      <c r="BJW4" s="37"/>
      <c r="BJX4" s="37"/>
      <c r="BJY4" s="37"/>
      <c r="BJZ4" s="37"/>
      <c r="BKA4" s="37"/>
      <c r="BKB4" s="37"/>
      <c r="BKC4" s="37"/>
      <c r="BKD4" s="37"/>
      <c r="BKE4" s="37"/>
      <c r="BKF4" s="37"/>
      <c r="BKG4" s="37"/>
      <c r="BKH4" s="37"/>
      <c r="BKI4" s="37"/>
      <c r="BKJ4" s="37"/>
      <c r="BKK4" s="37"/>
      <c r="BKL4" s="37"/>
      <c r="BKM4" s="37"/>
      <c r="BKN4" s="37"/>
      <c r="BKO4" s="37"/>
      <c r="BKP4" s="37"/>
      <c r="BKQ4" s="37"/>
      <c r="BKR4" s="37"/>
      <c r="BKS4" s="37"/>
      <c r="BKT4" s="37"/>
      <c r="BKU4" s="37"/>
      <c r="BKV4" s="37"/>
      <c r="BKW4" s="37"/>
      <c r="BKX4" s="37"/>
      <c r="BKY4" s="37"/>
      <c r="BKZ4" s="37"/>
      <c r="BLA4" s="37"/>
      <c r="BLB4" s="37"/>
      <c r="BLC4" s="37"/>
      <c r="BLD4" s="37"/>
      <c r="BLE4" s="37"/>
      <c r="BLF4" s="37"/>
      <c r="BLG4" s="37"/>
      <c r="BLH4" s="37"/>
      <c r="BLI4" s="37"/>
      <c r="BLJ4" s="37"/>
      <c r="BLK4" s="37"/>
      <c r="BLL4" s="37"/>
      <c r="BLM4" s="37"/>
      <c r="BLN4" s="37"/>
      <c r="BLO4" s="37"/>
      <c r="BLP4" s="37"/>
      <c r="BLQ4" s="37"/>
      <c r="BLR4" s="37"/>
      <c r="BLS4" s="37"/>
      <c r="BLT4" s="37"/>
      <c r="BLU4" s="37"/>
      <c r="BLV4" s="37"/>
      <c r="BLW4" s="37"/>
      <c r="BLX4" s="37"/>
      <c r="BLY4" s="37"/>
      <c r="BLZ4" s="37"/>
      <c r="BMA4" s="37"/>
      <c r="BMB4" s="37"/>
      <c r="BMC4" s="37"/>
      <c r="BMD4" s="37"/>
      <c r="BME4" s="37"/>
      <c r="BMF4" s="37"/>
      <c r="BMG4" s="37"/>
      <c r="BMH4" s="37"/>
      <c r="BMI4" s="37"/>
      <c r="BMJ4" s="37"/>
      <c r="BMK4" s="37"/>
      <c r="BML4" s="37"/>
      <c r="BMM4" s="37"/>
      <c r="BMN4" s="37"/>
      <c r="BMO4" s="37"/>
      <c r="BMP4" s="37"/>
      <c r="BMQ4" s="37"/>
      <c r="BMR4" s="37"/>
      <c r="BMS4" s="37"/>
      <c r="BMT4" s="37"/>
      <c r="BMU4" s="37"/>
      <c r="BMV4" s="37"/>
      <c r="BMW4" s="37"/>
      <c r="BMX4" s="37"/>
      <c r="BMY4" s="37"/>
      <c r="BMZ4" s="37"/>
      <c r="BNA4" s="37"/>
      <c r="BNB4" s="37"/>
      <c r="BNC4" s="37"/>
      <c r="BND4" s="37"/>
      <c r="BNE4" s="37"/>
      <c r="BNF4" s="37"/>
      <c r="BNG4" s="37"/>
      <c r="BNH4" s="37"/>
      <c r="BNI4" s="37"/>
      <c r="BNJ4" s="37"/>
      <c r="BNK4" s="37"/>
      <c r="BNL4" s="37"/>
      <c r="BNM4" s="37"/>
      <c r="BNN4" s="37"/>
      <c r="BNO4" s="37"/>
      <c r="BNP4" s="37"/>
      <c r="BNQ4" s="37"/>
      <c r="BNR4" s="37"/>
      <c r="BNS4" s="37"/>
      <c r="BNT4" s="37"/>
      <c r="BNU4" s="37"/>
      <c r="BNV4" s="37"/>
      <c r="BNW4" s="37"/>
      <c r="BNX4" s="37"/>
      <c r="BNY4" s="37"/>
      <c r="BNZ4" s="37"/>
      <c r="BOA4" s="37"/>
      <c r="BOB4" s="37"/>
      <c r="BOC4" s="37"/>
      <c r="BOD4" s="37"/>
      <c r="BOE4" s="37"/>
      <c r="BOF4" s="37"/>
      <c r="BOG4" s="37"/>
      <c r="BOH4" s="37"/>
      <c r="BOI4" s="37"/>
      <c r="BOJ4" s="37"/>
      <c r="BOK4" s="37"/>
      <c r="BOL4" s="37"/>
      <c r="BOM4" s="37"/>
      <c r="BON4" s="37"/>
      <c r="BOO4" s="37"/>
      <c r="BOP4" s="37"/>
      <c r="BOQ4" s="37"/>
      <c r="BOR4" s="37"/>
      <c r="BOS4" s="37"/>
      <c r="BOT4" s="37"/>
      <c r="BOU4" s="37"/>
      <c r="BOV4" s="37"/>
      <c r="BOW4" s="37"/>
      <c r="BOX4" s="37"/>
      <c r="BOY4" s="37"/>
      <c r="BOZ4" s="37"/>
      <c r="BPA4" s="37"/>
      <c r="BPB4" s="37"/>
      <c r="BPC4" s="37"/>
      <c r="BPD4" s="37"/>
      <c r="BPE4" s="37"/>
      <c r="BPF4" s="37"/>
      <c r="BPG4" s="37"/>
      <c r="BPH4" s="37"/>
      <c r="BPI4" s="37"/>
      <c r="BPJ4" s="37"/>
      <c r="BPK4" s="37"/>
      <c r="BPL4" s="37"/>
      <c r="BPM4" s="37"/>
      <c r="BPN4" s="37"/>
      <c r="BPO4" s="37"/>
      <c r="BPP4" s="37"/>
      <c r="BPQ4" s="37"/>
      <c r="BPR4" s="37"/>
      <c r="BPS4" s="37"/>
      <c r="BPT4" s="37"/>
      <c r="BPU4" s="37"/>
      <c r="BPV4" s="37"/>
      <c r="BPW4" s="37"/>
      <c r="BPX4" s="37"/>
      <c r="BPY4" s="37"/>
      <c r="BPZ4" s="37"/>
      <c r="BQA4" s="37"/>
      <c r="BQB4" s="37"/>
      <c r="BQC4" s="37"/>
      <c r="BQD4" s="37"/>
      <c r="BQE4" s="37"/>
      <c r="BQF4" s="37"/>
      <c r="BQG4" s="37"/>
      <c r="BQH4" s="37"/>
      <c r="BQI4" s="37"/>
      <c r="BQJ4" s="37"/>
      <c r="BQK4" s="37"/>
      <c r="BQL4" s="37"/>
      <c r="BQM4" s="37"/>
      <c r="BQN4" s="37"/>
      <c r="BQO4" s="37"/>
      <c r="BQP4" s="37"/>
      <c r="BQQ4" s="37"/>
      <c r="BQR4" s="37"/>
      <c r="BQS4" s="37"/>
      <c r="BQT4" s="37"/>
      <c r="BQU4" s="37"/>
      <c r="BQV4" s="37"/>
      <c r="BQW4" s="37"/>
      <c r="BQX4" s="37"/>
      <c r="BQY4" s="37"/>
      <c r="BQZ4" s="37"/>
      <c r="BRA4" s="37"/>
      <c r="BRB4" s="37"/>
      <c r="BRC4" s="37"/>
      <c r="BRD4" s="37"/>
      <c r="BRE4" s="37"/>
      <c r="BRF4" s="37"/>
      <c r="BRG4" s="37"/>
      <c r="BRH4" s="37"/>
      <c r="BRI4" s="37"/>
      <c r="BRJ4" s="37"/>
      <c r="BRK4" s="37"/>
      <c r="BRL4" s="37"/>
      <c r="BRM4" s="37"/>
      <c r="BRN4" s="37"/>
      <c r="BRO4" s="37"/>
      <c r="BRP4" s="37"/>
      <c r="BRQ4" s="37"/>
      <c r="BRR4" s="37"/>
      <c r="BRS4" s="37"/>
      <c r="BRT4" s="37"/>
      <c r="BRU4" s="37"/>
      <c r="BRV4" s="37"/>
      <c r="BRW4" s="37"/>
      <c r="BRX4" s="37"/>
      <c r="BRY4" s="37"/>
      <c r="BRZ4" s="37"/>
      <c r="BSA4" s="37"/>
      <c r="BSB4" s="37"/>
      <c r="BSC4" s="37"/>
      <c r="BSD4" s="37"/>
      <c r="BSE4" s="37"/>
      <c r="BSF4" s="37"/>
      <c r="BSG4" s="37"/>
      <c r="BSH4" s="37"/>
      <c r="BSI4" s="37"/>
      <c r="BSJ4" s="37"/>
      <c r="BSK4" s="37"/>
      <c r="BSL4" s="37"/>
      <c r="BSM4" s="37"/>
      <c r="BSN4" s="37"/>
      <c r="BSO4" s="37"/>
      <c r="BSP4" s="37"/>
      <c r="BSQ4" s="37"/>
      <c r="BSR4" s="37"/>
      <c r="BSS4" s="37"/>
      <c r="BST4" s="37"/>
      <c r="BSU4" s="37"/>
      <c r="BSV4" s="37"/>
      <c r="BSW4" s="37"/>
      <c r="BSX4" s="37"/>
      <c r="BSY4" s="37"/>
      <c r="BSZ4" s="37"/>
      <c r="BTA4" s="37"/>
      <c r="BTB4" s="37"/>
      <c r="BTC4" s="37"/>
      <c r="BTD4" s="37"/>
      <c r="BTE4" s="37"/>
      <c r="BTF4" s="37"/>
      <c r="BTG4" s="37"/>
      <c r="BTH4" s="37"/>
      <c r="BTI4" s="37"/>
      <c r="BTJ4" s="37"/>
      <c r="BTK4" s="37"/>
      <c r="BTL4" s="37"/>
      <c r="BTM4" s="37"/>
      <c r="BTN4" s="37"/>
      <c r="BTO4" s="37"/>
      <c r="BTP4" s="37"/>
      <c r="BTQ4" s="37"/>
      <c r="BTR4" s="37"/>
      <c r="BTS4" s="37"/>
      <c r="BTT4" s="37"/>
      <c r="BTU4" s="37"/>
      <c r="BTV4" s="37"/>
      <c r="BTW4" s="37"/>
      <c r="BTX4" s="37"/>
      <c r="BTY4" s="37"/>
      <c r="BTZ4" s="37"/>
      <c r="BUA4" s="37"/>
      <c r="BUB4" s="37"/>
      <c r="BUC4" s="37"/>
      <c r="BUD4" s="37"/>
      <c r="BUE4" s="37"/>
      <c r="BUF4" s="37"/>
      <c r="BUG4" s="37"/>
      <c r="BUH4" s="37"/>
      <c r="BUI4" s="37"/>
      <c r="BUJ4" s="37"/>
      <c r="BUK4" s="37"/>
      <c r="BUL4" s="37"/>
      <c r="BUM4" s="37"/>
      <c r="BUN4" s="37"/>
      <c r="BUO4" s="37"/>
      <c r="BUP4" s="37"/>
      <c r="BUQ4" s="37"/>
      <c r="BUR4" s="37"/>
      <c r="BUS4" s="37"/>
      <c r="BUT4" s="37"/>
      <c r="BUU4" s="37"/>
      <c r="BUV4" s="37"/>
      <c r="BUW4" s="37"/>
      <c r="BUX4" s="37"/>
      <c r="BUY4" s="37"/>
      <c r="BUZ4" s="37"/>
      <c r="BVA4" s="37"/>
      <c r="BVB4" s="37"/>
      <c r="BVC4" s="37"/>
      <c r="BVD4" s="37"/>
      <c r="BVE4" s="37"/>
      <c r="BVF4" s="37"/>
      <c r="BVG4" s="37"/>
      <c r="BVH4" s="37"/>
      <c r="BVI4" s="37"/>
      <c r="BVJ4" s="37"/>
      <c r="BVK4" s="37"/>
      <c r="BVL4" s="37"/>
      <c r="BVM4" s="37"/>
      <c r="BVN4" s="37"/>
      <c r="BVO4" s="37"/>
      <c r="BVP4" s="37"/>
      <c r="BVQ4" s="37"/>
      <c r="BVR4" s="37"/>
      <c r="BVS4" s="37"/>
      <c r="BVT4" s="37"/>
      <c r="BVU4" s="37"/>
      <c r="BVV4" s="37"/>
      <c r="BVW4" s="37"/>
      <c r="BVX4" s="37"/>
      <c r="BVY4" s="37"/>
      <c r="BVZ4" s="37"/>
      <c r="BWA4" s="37"/>
      <c r="BWB4" s="37"/>
      <c r="BWC4" s="37"/>
      <c r="BWD4" s="37"/>
      <c r="BWE4" s="37"/>
      <c r="BWF4" s="37"/>
      <c r="BWG4" s="37"/>
      <c r="BWH4" s="37"/>
      <c r="BWI4" s="37"/>
      <c r="BWJ4" s="37"/>
      <c r="BWK4" s="37"/>
      <c r="BWL4" s="37"/>
      <c r="BWM4" s="37"/>
      <c r="BWN4" s="37"/>
      <c r="BWO4" s="37"/>
      <c r="BWP4" s="37"/>
      <c r="BWQ4" s="37"/>
      <c r="BWR4" s="37"/>
      <c r="BWS4" s="37"/>
      <c r="BWT4" s="37"/>
      <c r="BWU4" s="37"/>
      <c r="BWV4" s="37"/>
      <c r="BWW4" s="37"/>
      <c r="BWX4" s="37"/>
      <c r="BWY4" s="37"/>
      <c r="BWZ4" s="37"/>
      <c r="BXA4" s="37"/>
      <c r="BXB4" s="37"/>
      <c r="BXC4" s="37"/>
      <c r="BXD4" s="37"/>
      <c r="BXE4" s="37"/>
      <c r="BXF4" s="37"/>
      <c r="BXG4" s="37"/>
      <c r="BXH4" s="37"/>
      <c r="BXI4" s="37"/>
      <c r="BXJ4" s="37"/>
      <c r="BXK4" s="37"/>
      <c r="BXL4" s="37"/>
      <c r="BXM4" s="37"/>
      <c r="BXN4" s="37"/>
      <c r="BXO4" s="37"/>
      <c r="BXP4" s="37"/>
      <c r="BXQ4" s="37"/>
      <c r="BXR4" s="37"/>
      <c r="BXS4" s="37"/>
      <c r="BXT4" s="37"/>
      <c r="BXU4" s="37"/>
      <c r="BXV4" s="37"/>
      <c r="BXW4" s="37"/>
      <c r="BXX4" s="37"/>
      <c r="BXY4" s="37"/>
      <c r="BXZ4" s="37"/>
      <c r="BYA4" s="37"/>
      <c r="BYB4" s="37"/>
      <c r="BYC4" s="37"/>
      <c r="BYD4" s="37"/>
      <c r="BYE4" s="37"/>
      <c r="BYF4" s="37"/>
      <c r="BYG4" s="37"/>
      <c r="BYH4" s="37"/>
      <c r="BYI4" s="37"/>
      <c r="BYJ4" s="37"/>
      <c r="BYK4" s="37"/>
      <c r="BYL4" s="37"/>
      <c r="BYM4" s="37"/>
      <c r="BYN4" s="37"/>
      <c r="BYO4" s="37"/>
      <c r="BYP4" s="37"/>
      <c r="BYQ4" s="37"/>
      <c r="BYR4" s="37"/>
      <c r="BYS4" s="37"/>
      <c r="BYT4" s="37"/>
      <c r="BYU4" s="37"/>
      <c r="BYV4" s="37"/>
      <c r="BYW4" s="37"/>
      <c r="BYX4" s="37"/>
      <c r="BYY4" s="37"/>
      <c r="BYZ4" s="37"/>
      <c r="BZA4" s="37"/>
      <c r="BZB4" s="37"/>
      <c r="BZC4" s="37"/>
      <c r="BZD4" s="37"/>
      <c r="BZE4" s="37"/>
      <c r="BZF4" s="37"/>
      <c r="BZG4" s="37"/>
      <c r="BZH4" s="37"/>
      <c r="BZI4" s="37"/>
      <c r="BZJ4" s="37"/>
      <c r="BZK4" s="37"/>
      <c r="BZL4" s="37"/>
      <c r="BZM4" s="37"/>
      <c r="BZN4" s="37"/>
      <c r="BZO4" s="37"/>
      <c r="BZP4" s="37"/>
      <c r="BZQ4" s="37"/>
      <c r="BZR4" s="37"/>
      <c r="BZS4" s="37"/>
      <c r="BZT4" s="37"/>
      <c r="BZU4" s="37"/>
      <c r="BZV4" s="37"/>
      <c r="BZW4" s="37"/>
      <c r="BZX4" s="37"/>
      <c r="BZY4" s="37"/>
      <c r="BZZ4" s="37"/>
      <c r="CAA4" s="37"/>
      <c r="CAB4" s="37"/>
      <c r="CAC4" s="37"/>
      <c r="CAD4" s="37"/>
      <c r="CAE4" s="37"/>
      <c r="CAF4" s="37"/>
      <c r="CAG4" s="37"/>
      <c r="CAH4" s="37"/>
      <c r="CAI4" s="37"/>
      <c r="CAJ4" s="37"/>
      <c r="CAK4" s="37"/>
      <c r="CAL4" s="37"/>
      <c r="CAM4" s="37"/>
      <c r="CAN4" s="37"/>
      <c r="CAO4" s="37"/>
      <c r="CAP4" s="37"/>
      <c r="CAQ4" s="37"/>
      <c r="CAR4" s="37"/>
      <c r="CAS4" s="37"/>
      <c r="CAT4" s="37"/>
      <c r="CAU4" s="37"/>
      <c r="CAV4" s="37"/>
      <c r="CAW4" s="37"/>
      <c r="CAX4" s="37"/>
      <c r="CAY4" s="37"/>
      <c r="CAZ4" s="37"/>
      <c r="CBA4" s="37"/>
      <c r="CBB4" s="37"/>
      <c r="CBC4" s="37"/>
      <c r="CBD4" s="37"/>
      <c r="CBE4" s="37"/>
      <c r="CBF4" s="37"/>
      <c r="CBG4" s="37"/>
      <c r="CBH4" s="37"/>
      <c r="CBI4" s="37"/>
      <c r="CBJ4" s="37"/>
      <c r="CBK4" s="37"/>
      <c r="CBL4" s="37"/>
      <c r="CBM4" s="37"/>
      <c r="CBN4" s="37"/>
      <c r="CBO4" s="37"/>
      <c r="CBP4" s="37"/>
      <c r="CBQ4" s="37"/>
      <c r="CBR4" s="37"/>
      <c r="CBS4" s="37"/>
      <c r="CBT4" s="37"/>
      <c r="CBU4" s="37"/>
      <c r="CBV4" s="37"/>
      <c r="CBW4" s="37"/>
      <c r="CBX4" s="37"/>
      <c r="CBY4" s="37"/>
      <c r="CBZ4" s="37"/>
      <c r="CCA4" s="37"/>
      <c r="CCB4" s="37"/>
      <c r="CCC4" s="37"/>
      <c r="CCD4" s="37"/>
      <c r="CCE4" s="37"/>
      <c r="CCF4" s="37"/>
      <c r="CCG4" s="37"/>
      <c r="CCH4" s="37"/>
      <c r="CCI4" s="37"/>
      <c r="CCJ4" s="37"/>
      <c r="CCK4" s="37"/>
      <c r="CCL4" s="37"/>
      <c r="CCM4" s="37"/>
      <c r="CCN4" s="37"/>
      <c r="CCO4" s="37"/>
      <c r="CCP4" s="37"/>
      <c r="CCQ4" s="37"/>
      <c r="CCR4" s="37"/>
      <c r="CCS4" s="37"/>
      <c r="CCT4" s="37"/>
      <c r="CCU4" s="37"/>
      <c r="CCV4" s="37"/>
      <c r="CCW4" s="37"/>
      <c r="CCX4" s="37"/>
      <c r="CCY4" s="37"/>
      <c r="CCZ4" s="37"/>
      <c r="CDA4" s="37"/>
      <c r="CDB4" s="37"/>
      <c r="CDC4" s="37"/>
      <c r="CDD4" s="37"/>
      <c r="CDE4" s="37"/>
      <c r="CDF4" s="37"/>
      <c r="CDG4" s="37"/>
      <c r="CDH4" s="37"/>
      <c r="CDI4" s="37"/>
      <c r="CDJ4" s="37"/>
      <c r="CDK4" s="37"/>
      <c r="CDL4" s="37"/>
      <c r="CDM4" s="37"/>
      <c r="CDN4" s="37"/>
      <c r="CDO4" s="37"/>
      <c r="CDP4" s="37"/>
      <c r="CDQ4" s="37"/>
      <c r="CDR4" s="37"/>
      <c r="CDS4" s="37"/>
      <c r="CDT4" s="37"/>
      <c r="CDU4" s="37"/>
      <c r="CDV4" s="37"/>
      <c r="CDW4" s="37"/>
      <c r="CDX4" s="37"/>
      <c r="CDY4" s="37"/>
      <c r="CDZ4" s="37"/>
      <c r="CEA4" s="37"/>
      <c r="CEB4" s="37"/>
      <c r="CEC4" s="37"/>
      <c r="CED4" s="37"/>
      <c r="CEE4" s="37"/>
      <c r="CEF4" s="37"/>
      <c r="CEG4" s="37"/>
      <c r="CEH4" s="37"/>
      <c r="CEI4" s="37"/>
      <c r="CEJ4" s="37"/>
      <c r="CEK4" s="37"/>
      <c r="CEL4" s="37"/>
      <c r="CEM4" s="37"/>
      <c r="CEN4" s="37"/>
      <c r="CEO4" s="37"/>
      <c r="CEP4" s="37"/>
      <c r="CEQ4" s="37"/>
      <c r="CER4" s="37"/>
      <c r="CES4" s="37"/>
      <c r="CET4" s="37"/>
      <c r="CEU4" s="37"/>
      <c r="CEV4" s="37"/>
      <c r="CEW4" s="37"/>
      <c r="CEX4" s="37"/>
      <c r="CEY4" s="37"/>
      <c r="CEZ4" s="37"/>
      <c r="CFA4" s="37"/>
      <c r="CFB4" s="37"/>
      <c r="CFC4" s="37"/>
      <c r="CFD4" s="37"/>
      <c r="CFE4" s="37"/>
      <c r="CFF4" s="37"/>
      <c r="CFG4" s="37"/>
      <c r="CFH4" s="37"/>
      <c r="CFI4" s="37"/>
      <c r="CFJ4" s="37"/>
      <c r="CFK4" s="37"/>
      <c r="CFL4" s="37"/>
      <c r="CFM4" s="37"/>
      <c r="CFN4" s="37"/>
      <c r="CFO4" s="37"/>
      <c r="CFP4" s="37"/>
      <c r="CFQ4" s="37"/>
      <c r="CFR4" s="37"/>
      <c r="CFS4" s="37"/>
      <c r="CFT4" s="37"/>
      <c r="CFU4" s="37"/>
      <c r="CFV4" s="37"/>
      <c r="CFW4" s="37"/>
      <c r="CFX4" s="37"/>
      <c r="CFY4" s="37"/>
      <c r="CFZ4" s="37"/>
      <c r="CGA4" s="37"/>
      <c r="CGB4" s="37"/>
      <c r="CGC4" s="37"/>
      <c r="CGD4" s="37"/>
      <c r="CGE4" s="37"/>
      <c r="CGF4" s="37"/>
      <c r="CGG4" s="37"/>
      <c r="CGH4" s="37"/>
      <c r="CGI4" s="37"/>
      <c r="CGJ4" s="37"/>
      <c r="CGK4" s="37"/>
      <c r="CGL4" s="37"/>
      <c r="CGM4" s="37"/>
      <c r="CGN4" s="37"/>
      <c r="CGO4" s="37"/>
      <c r="CGP4" s="37"/>
      <c r="CGQ4" s="37"/>
      <c r="CGR4" s="37"/>
      <c r="CGS4" s="37"/>
      <c r="CGT4" s="37"/>
      <c r="CGU4" s="37"/>
      <c r="CGV4" s="37"/>
      <c r="CGW4" s="37"/>
      <c r="CGX4" s="37"/>
      <c r="CGY4" s="37"/>
      <c r="CGZ4" s="37"/>
      <c r="CHA4" s="37"/>
      <c r="CHB4" s="37"/>
      <c r="CHC4" s="37"/>
      <c r="CHD4" s="37"/>
      <c r="CHE4" s="37"/>
      <c r="CHF4" s="37"/>
      <c r="CHG4" s="37"/>
      <c r="CHH4" s="37"/>
      <c r="CHI4" s="37"/>
      <c r="CHJ4" s="37"/>
      <c r="CHK4" s="37"/>
      <c r="CHL4" s="37"/>
      <c r="CHM4" s="37"/>
      <c r="CHN4" s="37"/>
      <c r="CHO4" s="37"/>
      <c r="CHP4" s="37"/>
      <c r="CHQ4" s="37"/>
      <c r="CHR4" s="37"/>
      <c r="CHS4" s="37"/>
      <c r="CHT4" s="37"/>
      <c r="CHU4" s="37"/>
      <c r="CHV4" s="37"/>
      <c r="CHW4" s="37"/>
      <c r="CHX4" s="37"/>
      <c r="CHY4" s="37"/>
      <c r="CHZ4" s="37"/>
      <c r="CIA4" s="37"/>
      <c r="CIB4" s="37"/>
      <c r="CIC4" s="37"/>
      <c r="CID4" s="37"/>
      <c r="CIE4" s="37"/>
      <c r="CIF4" s="37"/>
      <c r="CIG4" s="37"/>
      <c r="CIH4" s="37"/>
      <c r="CII4" s="37"/>
      <c r="CIJ4" s="37"/>
      <c r="CIK4" s="37"/>
      <c r="CIL4" s="37"/>
      <c r="CIM4" s="37"/>
      <c r="CIN4" s="37"/>
      <c r="CIO4" s="37"/>
      <c r="CIP4" s="37"/>
      <c r="CIQ4" s="37"/>
      <c r="CIR4" s="37"/>
      <c r="CIS4" s="37"/>
      <c r="CIT4" s="37"/>
      <c r="CIU4" s="37"/>
      <c r="CIV4" s="37"/>
      <c r="CIW4" s="37"/>
      <c r="CIX4" s="37"/>
      <c r="CIY4" s="37"/>
      <c r="CIZ4" s="37"/>
      <c r="CJA4" s="37"/>
      <c r="CJB4" s="37"/>
      <c r="CJC4" s="37"/>
      <c r="CJD4" s="37"/>
      <c r="CJE4" s="37"/>
      <c r="CJF4" s="37"/>
      <c r="CJG4" s="37"/>
      <c r="CJH4" s="37"/>
      <c r="CJI4" s="37"/>
      <c r="CJJ4" s="37"/>
      <c r="CJK4" s="37"/>
      <c r="CJL4" s="37"/>
      <c r="CJM4" s="37"/>
      <c r="CJN4" s="37"/>
      <c r="CJO4" s="37"/>
      <c r="CJP4" s="37"/>
      <c r="CJQ4" s="37"/>
      <c r="CJR4" s="37"/>
      <c r="CJS4" s="37"/>
      <c r="CJT4" s="37"/>
      <c r="CJU4" s="37"/>
      <c r="CJV4" s="37"/>
      <c r="CJW4" s="37"/>
      <c r="CJX4" s="37"/>
      <c r="CJY4" s="37"/>
      <c r="CJZ4" s="37"/>
    </row>
    <row r="5" spans="1:2314" ht="12.75" customHeight="1" x14ac:dyDescent="0.2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2314" ht="12.75" customHeight="1" x14ac:dyDescent="0.2">
      <c r="A6" s="6"/>
      <c r="B6" s="5"/>
      <c r="C6" s="5"/>
      <c r="D6" s="5"/>
      <c r="E6" s="5"/>
      <c r="F6" s="5"/>
      <c r="G6" s="40"/>
      <c r="H6" s="5"/>
      <c r="I6" s="5"/>
      <c r="J6" s="7"/>
      <c r="K6" s="5"/>
      <c r="L6" s="5"/>
      <c r="M6" s="5"/>
      <c r="N6" s="40"/>
      <c r="O6" s="8"/>
    </row>
    <row r="7" spans="1:2314" x14ac:dyDescent="0.2">
      <c r="A7" s="13"/>
      <c r="B7" s="14"/>
      <c r="C7" s="14"/>
      <c r="D7" s="14"/>
      <c r="E7" s="14"/>
      <c r="F7" s="14"/>
      <c r="G7" s="41"/>
      <c r="H7" s="14"/>
      <c r="I7" s="14"/>
      <c r="J7" s="15"/>
      <c r="K7" s="14"/>
      <c r="L7" s="14"/>
      <c r="M7" s="14"/>
      <c r="N7" s="41"/>
      <c r="O7" s="16"/>
    </row>
    <row r="8" spans="1:2314" x14ac:dyDescent="0.2">
      <c r="A8" s="17"/>
      <c r="B8" s="18"/>
      <c r="C8" s="19"/>
      <c r="D8" s="19"/>
      <c r="E8" s="19"/>
      <c r="F8" s="19"/>
      <c r="G8" s="42"/>
      <c r="H8" s="20"/>
      <c r="I8" s="18"/>
      <c r="J8" s="19"/>
      <c r="K8" s="19"/>
      <c r="L8" s="19"/>
      <c r="M8" s="19"/>
      <c r="N8" s="42"/>
      <c r="O8" s="20"/>
    </row>
    <row r="9" spans="1:2314" x14ac:dyDescent="0.2">
      <c r="A9" s="21" t="s">
        <v>14</v>
      </c>
      <c r="B9" s="55"/>
      <c r="C9" s="59"/>
      <c r="D9" s="59" t="s">
        <v>12</v>
      </c>
      <c r="E9" s="56"/>
      <c r="F9" s="56"/>
      <c r="G9" s="57"/>
      <c r="H9" s="58"/>
      <c r="I9" s="55"/>
      <c r="J9" s="7"/>
      <c r="K9" s="7" t="s">
        <v>13</v>
      </c>
      <c r="L9" s="56"/>
      <c r="M9" s="56"/>
      <c r="N9" s="57"/>
      <c r="O9" s="58"/>
    </row>
    <row r="10" spans="1:2314" x14ac:dyDescent="0.2">
      <c r="A10" s="23"/>
      <c r="B10" s="13"/>
      <c r="C10" s="14"/>
      <c r="D10" s="14"/>
      <c r="E10" s="14"/>
      <c r="F10" s="14"/>
      <c r="G10" s="41"/>
      <c r="H10" s="16"/>
      <c r="I10" s="13"/>
      <c r="J10" s="14"/>
      <c r="K10" s="14"/>
      <c r="L10" s="14"/>
      <c r="M10" s="14"/>
      <c r="N10" s="41"/>
      <c r="O10" s="16"/>
    </row>
    <row r="11" spans="1:2314" x14ac:dyDescent="0.2">
      <c r="A11" s="21"/>
      <c r="B11" s="21"/>
      <c r="C11" s="8"/>
      <c r="D11" s="5"/>
      <c r="E11" s="6"/>
      <c r="F11" s="6"/>
      <c r="G11" s="43"/>
      <c r="H11" s="21"/>
      <c r="I11" s="5"/>
      <c r="J11" s="21"/>
      <c r="K11" s="5"/>
      <c r="L11" s="6"/>
      <c r="M11" s="6"/>
      <c r="N11" s="43"/>
      <c r="O11" s="21"/>
    </row>
    <row r="12" spans="1:2314" x14ac:dyDescent="0.2">
      <c r="A12" s="21"/>
      <c r="B12" s="24" t="s">
        <v>1</v>
      </c>
      <c r="C12" s="25" t="s">
        <v>2</v>
      </c>
      <c r="D12" s="22" t="s">
        <v>3</v>
      </c>
      <c r="E12" s="26" t="s">
        <v>4</v>
      </c>
      <c r="F12" s="26" t="s">
        <v>20</v>
      </c>
      <c r="G12" s="44" t="s">
        <v>68</v>
      </c>
      <c r="H12" s="24" t="s">
        <v>11</v>
      </c>
      <c r="I12" s="22" t="s">
        <v>1</v>
      </c>
      <c r="J12" s="24" t="s">
        <v>2</v>
      </c>
      <c r="K12" s="22" t="s">
        <v>5</v>
      </c>
      <c r="L12" s="26" t="s">
        <v>4</v>
      </c>
      <c r="M12" s="26" t="s">
        <v>20</v>
      </c>
      <c r="N12" s="44" t="s">
        <v>68</v>
      </c>
      <c r="O12" s="24" t="s">
        <v>11</v>
      </c>
    </row>
    <row r="13" spans="1:2314" x14ac:dyDescent="0.2">
      <c r="A13" s="21"/>
      <c r="B13" s="21"/>
      <c r="C13" s="25" t="s">
        <v>6</v>
      </c>
      <c r="D13" s="22" t="s">
        <v>7</v>
      </c>
      <c r="E13" s="26" t="s">
        <v>8</v>
      </c>
      <c r="F13" s="26" t="s">
        <v>21</v>
      </c>
      <c r="G13" s="44" t="s">
        <v>69</v>
      </c>
      <c r="H13" s="21"/>
      <c r="I13" s="5"/>
      <c r="J13" s="24" t="s">
        <v>6</v>
      </c>
      <c r="K13" s="22" t="s">
        <v>7</v>
      </c>
      <c r="L13" s="26" t="s">
        <v>8</v>
      </c>
      <c r="M13" s="26" t="s">
        <v>21</v>
      </c>
      <c r="N13" s="44" t="s">
        <v>69</v>
      </c>
      <c r="O13" s="21"/>
    </row>
    <row r="14" spans="1:2314" x14ac:dyDescent="0.2">
      <c r="A14" s="21"/>
      <c r="B14" s="21"/>
      <c r="C14" s="8"/>
      <c r="D14" s="22" t="s">
        <v>9</v>
      </c>
      <c r="E14" s="6"/>
      <c r="F14" s="6"/>
      <c r="G14" s="43"/>
      <c r="H14" s="21"/>
      <c r="I14" s="5"/>
      <c r="J14" s="21"/>
      <c r="K14" s="22" t="s">
        <v>10</v>
      </c>
      <c r="L14" s="6"/>
      <c r="M14" s="6"/>
      <c r="N14" s="43"/>
      <c r="O14" s="21"/>
    </row>
    <row r="15" spans="1:2314" ht="10.5" customHeight="1" x14ac:dyDescent="0.2">
      <c r="A15" s="21" t="s">
        <v>15</v>
      </c>
      <c r="B15" s="21"/>
      <c r="C15" s="8"/>
      <c r="D15" s="22"/>
      <c r="E15" s="6"/>
      <c r="F15" s="6"/>
      <c r="G15" s="43"/>
      <c r="H15" s="21"/>
      <c r="I15" s="5"/>
      <c r="J15" s="21"/>
      <c r="K15" s="22"/>
      <c r="L15" s="6"/>
      <c r="M15" s="6"/>
      <c r="N15" s="43"/>
      <c r="O15" s="21"/>
    </row>
    <row r="16" spans="1:2314" x14ac:dyDescent="0.2">
      <c r="A16" s="27"/>
      <c r="B16" s="27"/>
      <c r="C16" s="16"/>
      <c r="D16" s="14"/>
      <c r="E16" s="13"/>
      <c r="F16" s="13"/>
      <c r="G16" s="45"/>
      <c r="H16" s="27"/>
      <c r="I16" s="14"/>
      <c r="J16" s="27"/>
      <c r="K16" s="14"/>
      <c r="L16" s="13"/>
      <c r="M16" s="13"/>
      <c r="N16" s="45"/>
      <c r="O16" s="27"/>
    </row>
    <row r="17" spans="1:21" x14ac:dyDescent="0.2">
      <c r="A17" s="18"/>
      <c r="B17" s="17"/>
      <c r="C17" s="19"/>
      <c r="D17" s="17"/>
      <c r="E17" s="19"/>
      <c r="F17" s="17"/>
      <c r="G17" s="46"/>
      <c r="H17" s="19"/>
      <c r="I17" s="17"/>
      <c r="J17" s="19"/>
      <c r="K17" s="17"/>
      <c r="L17" s="19"/>
      <c r="M17" s="17"/>
      <c r="N17" s="50"/>
      <c r="O17" s="20"/>
    </row>
    <row r="18" spans="1:21" ht="13.5" hidden="1" customHeight="1" x14ac:dyDescent="0.2">
      <c r="A18" s="29" t="s">
        <v>75</v>
      </c>
      <c r="B18" s="30">
        <v>103932.4</v>
      </c>
      <c r="C18" s="31">
        <v>40671.000000000007</v>
      </c>
      <c r="D18" s="60">
        <v>21363.199999999997</v>
      </c>
      <c r="E18" s="65">
        <v>39031.300000000003</v>
      </c>
      <c r="F18" s="60">
        <v>1730.5</v>
      </c>
      <c r="G18" s="62">
        <v>333.5</v>
      </c>
      <c r="H18" s="61">
        <f t="shared" ref="H18:H22" si="0">SUM(B18:G18)</f>
        <v>207061.89999999997</v>
      </c>
      <c r="I18" s="60">
        <v>63450.8</v>
      </c>
      <c r="J18" s="61">
        <v>11550.8</v>
      </c>
      <c r="K18" s="60">
        <v>9384.2000000000007</v>
      </c>
      <c r="L18" s="61">
        <v>14877.299999999997</v>
      </c>
      <c r="M18" s="60">
        <v>550</v>
      </c>
      <c r="N18" s="63">
        <v>25.9</v>
      </c>
      <c r="O18" s="64">
        <f t="shared" ref="O18:O22" si="1">SUM(I18:N18)</f>
        <v>99839</v>
      </c>
      <c r="P18" s="32"/>
      <c r="Q18" s="32"/>
      <c r="R18" s="54"/>
      <c r="S18" s="32"/>
      <c r="T18" s="32"/>
      <c r="U18" s="32"/>
    </row>
    <row r="19" spans="1:21" ht="13.5" hidden="1" customHeight="1" x14ac:dyDescent="0.2">
      <c r="A19" s="29" t="s">
        <v>76</v>
      </c>
      <c r="B19" s="30">
        <v>135849.70000000001</v>
      </c>
      <c r="C19" s="31">
        <v>48040.500000000007</v>
      </c>
      <c r="D19" s="60">
        <v>16952.3</v>
      </c>
      <c r="E19" s="61">
        <v>42146.000000000007</v>
      </c>
      <c r="F19" s="60">
        <v>2249</v>
      </c>
      <c r="G19" s="62">
        <v>973.4000000000002</v>
      </c>
      <c r="H19" s="61">
        <f t="shared" si="0"/>
        <v>246210.9</v>
      </c>
      <c r="I19" s="60">
        <v>79802.900000000009</v>
      </c>
      <c r="J19" s="61">
        <v>15644.599999999999</v>
      </c>
      <c r="K19" s="60">
        <v>9351.7999999999993</v>
      </c>
      <c r="L19" s="61">
        <v>11732.1</v>
      </c>
      <c r="M19" s="60">
        <v>400</v>
      </c>
      <c r="N19" s="63">
        <v>6.5</v>
      </c>
      <c r="O19" s="64">
        <f t="shared" si="1"/>
        <v>116937.90000000001</v>
      </c>
      <c r="P19" s="32"/>
      <c r="Q19" s="32"/>
      <c r="R19" s="54"/>
      <c r="S19" s="32"/>
      <c r="T19" s="32"/>
      <c r="U19" s="32"/>
    </row>
    <row r="20" spans="1:21" ht="13.5" hidden="1" customHeight="1" x14ac:dyDescent="0.2">
      <c r="A20" s="29" t="s">
        <v>77</v>
      </c>
      <c r="B20" s="30">
        <v>164955</v>
      </c>
      <c r="C20" s="31">
        <v>68245.215502999999</v>
      </c>
      <c r="D20" s="60">
        <v>21443.200000000001</v>
      </c>
      <c r="E20" s="61">
        <v>56149.984497000005</v>
      </c>
      <c r="F20" s="60">
        <v>2545.3000000000002</v>
      </c>
      <c r="G20" s="62">
        <v>420.3</v>
      </c>
      <c r="H20" s="61">
        <f t="shared" si="0"/>
        <v>313759</v>
      </c>
      <c r="I20" s="60">
        <v>95000.5</v>
      </c>
      <c r="J20" s="61">
        <v>19048.699999999997</v>
      </c>
      <c r="K20" s="60">
        <v>13557.199999999999</v>
      </c>
      <c r="L20" s="61">
        <v>16003.1</v>
      </c>
      <c r="M20" s="60">
        <v>530</v>
      </c>
      <c r="N20" s="63">
        <v>7.9</v>
      </c>
      <c r="O20" s="64">
        <f t="shared" si="1"/>
        <v>144147.4</v>
      </c>
      <c r="P20" s="32"/>
      <c r="Q20" s="32"/>
      <c r="R20" s="54"/>
      <c r="S20" s="32"/>
      <c r="T20" s="32"/>
      <c r="U20" s="32"/>
    </row>
    <row r="21" spans="1:21" ht="13.5" customHeight="1" x14ac:dyDescent="0.2">
      <c r="A21" s="29" t="s">
        <v>78</v>
      </c>
      <c r="B21" s="30">
        <v>167377.79999999999</v>
      </c>
      <c r="C21" s="31">
        <v>57811.200000000004</v>
      </c>
      <c r="D21" s="60">
        <v>21500.100000000002</v>
      </c>
      <c r="E21" s="61">
        <v>56104</v>
      </c>
      <c r="F21" s="60">
        <v>848.1</v>
      </c>
      <c r="G21" s="62">
        <v>723.5</v>
      </c>
      <c r="H21" s="61">
        <f t="shared" si="0"/>
        <v>304364.69999999995</v>
      </c>
      <c r="I21" s="60">
        <v>99610.4</v>
      </c>
      <c r="J21" s="61">
        <v>34009.299999999996</v>
      </c>
      <c r="K21" s="60">
        <v>23138</v>
      </c>
      <c r="L21" s="61">
        <v>21827.9</v>
      </c>
      <c r="M21" s="60">
        <v>230</v>
      </c>
      <c r="N21" s="63">
        <v>5.4</v>
      </c>
      <c r="O21" s="64">
        <f t="shared" si="1"/>
        <v>178820.99999999997</v>
      </c>
      <c r="P21" s="32"/>
      <c r="Q21" s="32"/>
      <c r="R21" s="54"/>
      <c r="S21" s="32"/>
      <c r="T21" s="32"/>
      <c r="U21" s="32"/>
    </row>
    <row r="22" spans="1:21" ht="13.5" customHeight="1" x14ac:dyDescent="0.2">
      <c r="A22" s="29" t="s">
        <v>70</v>
      </c>
      <c r="B22" s="30">
        <v>176823.4</v>
      </c>
      <c r="C22" s="31">
        <v>82976.299999999988</v>
      </c>
      <c r="D22" s="60">
        <v>16096.800000000001</v>
      </c>
      <c r="E22" s="61">
        <v>59898.199999999983</v>
      </c>
      <c r="F22" s="60">
        <v>3398.2000000000003</v>
      </c>
      <c r="G22" s="62">
        <v>482.40000000000003</v>
      </c>
      <c r="H22" s="61">
        <f t="shared" si="0"/>
        <v>339675.3</v>
      </c>
      <c r="I22" s="60">
        <v>99093.400000000009</v>
      </c>
      <c r="J22" s="61">
        <v>22695.800000000003</v>
      </c>
      <c r="K22" s="60">
        <v>24065.600000000002</v>
      </c>
      <c r="L22" s="61">
        <v>48173.100000000006</v>
      </c>
      <c r="M22" s="60">
        <v>430</v>
      </c>
      <c r="N22" s="63">
        <v>48.2</v>
      </c>
      <c r="O22" s="64">
        <f t="shared" si="1"/>
        <v>194506.10000000003</v>
      </c>
      <c r="P22" s="32"/>
      <c r="Q22" s="32"/>
      <c r="R22" s="54"/>
      <c r="S22" s="32"/>
      <c r="T22" s="32"/>
      <c r="U22" s="32"/>
    </row>
    <row r="23" spans="1:21" ht="13.5" hidden="1" customHeight="1" x14ac:dyDescent="0.2">
      <c r="A23" s="29" t="s">
        <v>80</v>
      </c>
      <c r="B23" s="30">
        <v>75869.600000000006</v>
      </c>
      <c r="C23" s="31">
        <v>36647.800000000003</v>
      </c>
      <c r="D23" s="60">
        <v>16425.8</v>
      </c>
      <c r="E23" s="61">
        <v>40064</v>
      </c>
      <c r="F23" s="60">
        <v>2745.9</v>
      </c>
      <c r="G23" s="62"/>
      <c r="H23" s="61">
        <f t="shared" ref="H23" si="2">SUM(B23:G23)</f>
        <v>171753.1</v>
      </c>
      <c r="I23" s="60">
        <v>53787.6</v>
      </c>
      <c r="J23" s="61">
        <v>12869.1</v>
      </c>
      <c r="K23" s="60">
        <v>5073.8</v>
      </c>
      <c r="L23" s="61">
        <v>21347.9</v>
      </c>
      <c r="M23" s="60">
        <v>250</v>
      </c>
      <c r="N23" s="63"/>
      <c r="O23" s="64">
        <f t="shared" ref="O23" si="3">SUM(I23:N23)</f>
        <v>93328.4</v>
      </c>
      <c r="P23" s="32"/>
      <c r="Q23" s="32"/>
      <c r="R23" s="54"/>
      <c r="S23" s="32"/>
      <c r="T23" s="32"/>
      <c r="U23" s="32"/>
    </row>
    <row r="24" spans="1:21" ht="13.5" customHeight="1" x14ac:dyDescent="0.2">
      <c r="A24" s="29" t="s">
        <v>80</v>
      </c>
      <c r="B24" s="30">
        <v>166576.5</v>
      </c>
      <c r="C24" s="31">
        <v>90279.8</v>
      </c>
      <c r="D24" s="60">
        <v>25706.699999999997</v>
      </c>
      <c r="E24" s="61">
        <v>101626.59999999999</v>
      </c>
      <c r="F24" s="60">
        <v>3308.7</v>
      </c>
      <c r="G24" s="62">
        <v>998.5</v>
      </c>
      <c r="H24" s="61">
        <f t="shared" ref="H24" si="4">SUM(B24:G24)</f>
        <v>388496.8</v>
      </c>
      <c r="I24" s="60">
        <v>107914.40000000001</v>
      </c>
      <c r="J24" s="61">
        <v>24661.4</v>
      </c>
      <c r="K24" s="60">
        <v>21172.699999999997</v>
      </c>
      <c r="L24" s="61">
        <v>71547.7</v>
      </c>
      <c r="M24" s="60">
        <v>430</v>
      </c>
      <c r="N24" s="63">
        <v>18.2</v>
      </c>
      <c r="O24" s="64">
        <f t="shared" ref="O24" si="5">SUM(I24:N24)</f>
        <v>225744.40000000002</v>
      </c>
      <c r="P24" s="32"/>
      <c r="Q24" s="32"/>
      <c r="R24" s="54"/>
      <c r="S24" s="32"/>
      <c r="T24" s="32"/>
      <c r="U24" s="32"/>
    </row>
    <row r="25" spans="1:21" ht="13.5" customHeight="1" x14ac:dyDescent="0.2">
      <c r="A25" s="29" t="s">
        <v>90</v>
      </c>
      <c r="B25" s="30">
        <v>177388.3</v>
      </c>
      <c r="C25" s="31">
        <v>115720.4</v>
      </c>
      <c r="D25" s="60">
        <v>18060.5</v>
      </c>
      <c r="E25" s="65">
        <v>121909.3</v>
      </c>
      <c r="F25" s="60">
        <v>2610.1</v>
      </c>
      <c r="G25" s="62">
        <v>2147.5</v>
      </c>
      <c r="H25" s="61">
        <f t="shared" ref="H25" si="6">SUM(B25:G25)</f>
        <v>437836.09999999992</v>
      </c>
      <c r="I25" s="60">
        <v>113152.6</v>
      </c>
      <c r="J25" s="61">
        <f>34376.4+229.1</f>
        <v>34605.5</v>
      </c>
      <c r="K25" s="60">
        <f>13576.9+135.9</f>
        <v>13712.8</v>
      </c>
      <c r="L25" s="61">
        <f>80560.1+278.5</f>
        <v>80838.600000000006</v>
      </c>
      <c r="M25" s="60">
        <v>230</v>
      </c>
      <c r="N25" s="63">
        <f>14.2+0.7</f>
        <v>14.899999999999999</v>
      </c>
      <c r="O25" s="64">
        <f t="shared" ref="O25" si="7">SUM(I25:N25)</f>
        <v>242554.4</v>
      </c>
      <c r="P25" s="32"/>
      <c r="Q25" s="32"/>
      <c r="R25" s="54"/>
      <c r="S25" s="32"/>
      <c r="T25" s="32"/>
      <c r="U25" s="32"/>
    </row>
    <row r="26" spans="1:21" ht="13.5" customHeight="1" x14ac:dyDescent="0.2">
      <c r="A26" s="29" t="s">
        <v>121</v>
      </c>
      <c r="B26" s="30">
        <v>187050.6</v>
      </c>
      <c r="C26" s="31">
        <v>123242.6</v>
      </c>
      <c r="D26" s="60">
        <v>22953.3</v>
      </c>
      <c r="E26" s="65">
        <v>83389.7</v>
      </c>
      <c r="F26" s="60">
        <v>7505.3</v>
      </c>
      <c r="G26" s="62">
        <v>1823.1</v>
      </c>
      <c r="H26" s="61">
        <v>436138.7</v>
      </c>
      <c r="I26" s="60">
        <v>116799</v>
      </c>
      <c r="J26" s="61">
        <v>60016.9</v>
      </c>
      <c r="K26" s="60">
        <v>21163.4</v>
      </c>
      <c r="L26" s="61">
        <v>73250</v>
      </c>
      <c r="M26" s="60">
        <v>8529.9</v>
      </c>
      <c r="N26" s="63">
        <v>831.7</v>
      </c>
      <c r="O26" s="64">
        <f t="shared" ref="O26" si="8">SUM(I26:N26)</f>
        <v>280590.90000000002</v>
      </c>
      <c r="P26" s="32"/>
      <c r="Q26" s="32"/>
      <c r="R26" s="54"/>
      <c r="S26" s="32"/>
      <c r="T26" s="32"/>
      <c r="U26" s="32"/>
    </row>
    <row r="27" spans="1:21" ht="13.5" customHeight="1" x14ac:dyDescent="0.2">
      <c r="A27" s="10"/>
      <c r="B27" s="30"/>
      <c r="C27" s="31"/>
      <c r="D27" s="60"/>
      <c r="E27" s="61"/>
      <c r="F27" s="60"/>
      <c r="G27" s="62"/>
      <c r="H27" s="61"/>
      <c r="I27" s="60"/>
      <c r="J27" s="61"/>
      <c r="K27" s="60"/>
      <c r="L27" s="61"/>
      <c r="M27" s="60"/>
      <c r="N27" s="63"/>
      <c r="O27" s="64"/>
      <c r="P27" s="32"/>
      <c r="Q27" s="32"/>
      <c r="R27" s="54"/>
      <c r="S27" s="32"/>
      <c r="T27" s="32"/>
      <c r="U27" s="32"/>
    </row>
    <row r="28" spans="1:21" ht="13.5" hidden="1" customHeight="1" x14ac:dyDescent="0.2">
      <c r="A28" s="10" t="s">
        <v>66</v>
      </c>
      <c r="B28" s="30">
        <v>164955</v>
      </c>
      <c r="C28" s="31">
        <v>68245.215502999999</v>
      </c>
      <c r="D28" s="60">
        <v>21443.200000000001</v>
      </c>
      <c r="E28" s="61">
        <v>56149.984497000005</v>
      </c>
      <c r="F28" s="60">
        <v>2545.3000000000002</v>
      </c>
      <c r="G28" s="62">
        <v>420.3</v>
      </c>
      <c r="H28" s="61">
        <v>313759</v>
      </c>
      <c r="I28" s="60">
        <v>95000.5</v>
      </c>
      <c r="J28" s="61">
        <v>19048.699999999997</v>
      </c>
      <c r="K28" s="60">
        <v>13557.199999999999</v>
      </c>
      <c r="L28" s="61">
        <v>16215.5</v>
      </c>
      <c r="M28" s="60">
        <v>530</v>
      </c>
      <c r="N28" s="63">
        <v>7.9</v>
      </c>
      <c r="O28" s="64">
        <v>144359.79999999999</v>
      </c>
      <c r="P28" s="32"/>
      <c r="Q28" s="32"/>
      <c r="R28" s="54"/>
      <c r="S28" s="32"/>
      <c r="T28" s="32"/>
      <c r="U28" s="32"/>
    </row>
    <row r="29" spans="1:21" ht="13.5" customHeight="1" x14ac:dyDescent="0.2">
      <c r="A29" s="10"/>
      <c r="B29" s="30"/>
      <c r="C29" s="31"/>
      <c r="D29" s="60"/>
      <c r="E29" s="61"/>
      <c r="F29" s="60"/>
      <c r="G29" s="62"/>
      <c r="H29" s="61"/>
      <c r="I29" s="60"/>
      <c r="J29" s="61"/>
      <c r="K29" s="60"/>
      <c r="L29" s="61"/>
      <c r="M29" s="60"/>
      <c r="N29" s="63"/>
      <c r="O29" s="64"/>
      <c r="P29" s="32"/>
      <c r="Q29" s="32"/>
      <c r="R29" s="54"/>
      <c r="S29" s="32"/>
      <c r="T29" s="32"/>
      <c r="U29" s="32"/>
    </row>
    <row r="30" spans="1:21" ht="13.5" hidden="1" customHeight="1" x14ac:dyDescent="0.2">
      <c r="A30" s="10" t="s">
        <v>117</v>
      </c>
      <c r="B30" s="30">
        <v>176823.4</v>
      </c>
      <c r="C30" s="31">
        <v>82976.299999999988</v>
      </c>
      <c r="D30" s="60">
        <v>16096.800000000001</v>
      </c>
      <c r="E30" s="61">
        <v>59898.199999999983</v>
      </c>
      <c r="F30" s="60">
        <v>3398.2000000000003</v>
      </c>
      <c r="G30" s="62">
        <v>482.40000000000003</v>
      </c>
      <c r="H30" s="61">
        <f t="shared" ref="H30" si="9">SUM(B30:G30)</f>
        <v>339675.3</v>
      </c>
      <c r="I30" s="60">
        <v>99093.400000000009</v>
      </c>
      <c r="J30" s="61">
        <v>22695.800000000003</v>
      </c>
      <c r="K30" s="60">
        <v>24065.600000000002</v>
      </c>
      <c r="L30" s="61">
        <v>48173.100000000006</v>
      </c>
      <c r="M30" s="60">
        <v>430</v>
      </c>
      <c r="N30" s="63">
        <v>48.2</v>
      </c>
      <c r="O30" s="64">
        <f t="shared" ref="O30" si="10">SUM(I30:N30)</f>
        <v>194506.10000000003</v>
      </c>
      <c r="P30" s="32"/>
      <c r="Q30" s="32"/>
      <c r="R30" s="54"/>
      <c r="S30" s="32"/>
      <c r="T30" s="32"/>
      <c r="U30" s="32"/>
    </row>
    <row r="31" spans="1:21" ht="13.5" hidden="1" customHeight="1" x14ac:dyDescent="0.2">
      <c r="A31" s="70" t="s">
        <v>123</v>
      </c>
      <c r="B31" s="71">
        <v>155983.49999999997</v>
      </c>
      <c r="C31" s="72">
        <v>68620.400000000009</v>
      </c>
      <c r="D31" s="75">
        <v>21604.9</v>
      </c>
      <c r="E31" s="76">
        <v>102386.2</v>
      </c>
      <c r="F31" s="75">
        <v>2931</v>
      </c>
      <c r="G31" s="77">
        <v>948.7</v>
      </c>
      <c r="H31" s="76">
        <v>352474.69999999995</v>
      </c>
      <c r="I31" s="75">
        <v>94170.200000000012</v>
      </c>
      <c r="J31" s="76">
        <v>26058.3</v>
      </c>
      <c r="K31" s="75">
        <v>24791.8</v>
      </c>
      <c r="L31" s="76">
        <v>55008.5</v>
      </c>
      <c r="M31" s="75">
        <v>430</v>
      </c>
      <c r="N31" s="78">
        <v>42.7</v>
      </c>
      <c r="O31" s="79">
        <v>200501.50000000003</v>
      </c>
      <c r="P31" s="73"/>
      <c r="Q31" s="73"/>
      <c r="R31" s="74"/>
      <c r="S31" s="73"/>
      <c r="T31" s="73"/>
      <c r="U31" s="73"/>
    </row>
    <row r="32" spans="1:21" ht="13.5" customHeight="1" x14ac:dyDescent="0.2">
      <c r="A32" s="70" t="s">
        <v>130</v>
      </c>
      <c r="B32" s="30">
        <v>164538.70000000001</v>
      </c>
      <c r="C32" s="31">
        <v>71022.3</v>
      </c>
      <c r="D32" s="60">
        <v>22204</v>
      </c>
      <c r="E32" s="61">
        <v>98503.4</v>
      </c>
      <c r="F32" s="60">
        <v>3057.5</v>
      </c>
      <c r="G32" s="62">
        <v>742.1</v>
      </c>
      <c r="H32" s="61">
        <f t="shared" ref="H32" si="11">SUM(B32:G32)</f>
        <v>360068</v>
      </c>
      <c r="I32" s="60">
        <v>97700.4</v>
      </c>
      <c r="J32" s="61">
        <v>28731.599999999995</v>
      </c>
      <c r="K32" s="60">
        <v>21937.199999999997</v>
      </c>
      <c r="L32" s="61">
        <v>58804.5</v>
      </c>
      <c r="M32" s="60">
        <v>1904.8</v>
      </c>
      <c r="N32" s="63">
        <v>44.5</v>
      </c>
      <c r="O32" s="64">
        <f t="shared" ref="O32:O34" si="12">SUM(I32:N32)</f>
        <v>209122.99999999997</v>
      </c>
      <c r="P32" s="32"/>
      <c r="Q32" s="32"/>
      <c r="R32" s="54"/>
      <c r="S32" s="32"/>
      <c r="T32" s="32"/>
      <c r="U32" s="32"/>
    </row>
    <row r="33" spans="1:21" ht="13.5" customHeight="1" x14ac:dyDescent="0.2">
      <c r="A33" s="10" t="s">
        <v>93</v>
      </c>
      <c r="B33" s="30">
        <v>167508.4</v>
      </c>
      <c r="C33" s="31">
        <v>86568</v>
      </c>
      <c r="D33" s="60">
        <v>23146.6</v>
      </c>
      <c r="E33" s="61">
        <v>92157.7</v>
      </c>
      <c r="F33" s="60">
        <v>4808.5</v>
      </c>
      <c r="G33" s="62">
        <v>936.70000000000016</v>
      </c>
      <c r="H33" s="61">
        <f t="shared" ref="H33" si="13">SUM(B33:G33)</f>
        <v>375125.9</v>
      </c>
      <c r="I33" s="60">
        <v>101900.50000000001</v>
      </c>
      <c r="J33" s="61">
        <v>22586.799999999999</v>
      </c>
      <c r="K33" s="60">
        <v>23132.3</v>
      </c>
      <c r="L33" s="61">
        <v>69004.399999999994</v>
      </c>
      <c r="M33" s="60">
        <v>200</v>
      </c>
      <c r="N33" s="63">
        <v>12.7</v>
      </c>
      <c r="O33" s="64">
        <f t="shared" si="12"/>
        <v>216836.7</v>
      </c>
      <c r="P33" s="32"/>
      <c r="Q33" s="32"/>
      <c r="R33" s="54"/>
      <c r="S33" s="32"/>
      <c r="T33" s="32"/>
      <c r="U33" s="32"/>
    </row>
    <row r="34" spans="1:21" ht="13.5" customHeight="1" x14ac:dyDescent="0.2">
      <c r="A34" s="10" t="s">
        <v>94</v>
      </c>
      <c r="B34" s="30">
        <v>166576.5</v>
      </c>
      <c r="C34" s="31">
        <v>90279.8</v>
      </c>
      <c r="D34" s="60">
        <v>25706.699999999997</v>
      </c>
      <c r="E34" s="61">
        <v>101626.59999999999</v>
      </c>
      <c r="F34" s="60">
        <v>3308.7</v>
      </c>
      <c r="G34" s="62">
        <v>998.5</v>
      </c>
      <c r="H34" s="61">
        <f t="shared" ref="H34" si="14">SUM(B34:G34)</f>
        <v>388496.8</v>
      </c>
      <c r="I34" s="60">
        <v>107914.40000000001</v>
      </c>
      <c r="J34" s="61">
        <v>24661.4</v>
      </c>
      <c r="K34" s="60">
        <v>21172.699999999997</v>
      </c>
      <c r="L34" s="61">
        <v>71547.7</v>
      </c>
      <c r="M34" s="60">
        <v>430</v>
      </c>
      <c r="N34" s="63">
        <v>18.2</v>
      </c>
      <c r="O34" s="64">
        <f t="shared" si="12"/>
        <v>225744.40000000002</v>
      </c>
      <c r="P34" s="32"/>
      <c r="Q34" s="32"/>
      <c r="R34" s="54"/>
      <c r="S34" s="32"/>
      <c r="T34" s="32"/>
      <c r="U34" s="32"/>
    </row>
    <row r="35" spans="1:21" ht="13.5" customHeight="1" x14ac:dyDescent="0.2">
      <c r="A35" s="10"/>
      <c r="B35" s="30"/>
      <c r="C35" s="31"/>
      <c r="D35" s="60"/>
      <c r="E35" s="61"/>
      <c r="F35" s="60"/>
      <c r="G35" s="62"/>
      <c r="H35" s="61"/>
      <c r="I35" s="60"/>
      <c r="J35" s="61"/>
      <c r="K35" s="60"/>
      <c r="L35" s="61"/>
      <c r="M35" s="60"/>
      <c r="N35" s="63"/>
      <c r="O35" s="64"/>
      <c r="P35" s="32"/>
      <c r="Q35" s="32"/>
      <c r="R35" s="54"/>
      <c r="S35" s="32"/>
      <c r="T35" s="32"/>
      <c r="U35" s="32"/>
    </row>
    <row r="36" spans="1:21" ht="13.5" customHeight="1" x14ac:dyDescent="0.2">
      <c r="A36" s="10" t="s">
        <v>95</v>
      </c>
      <c r="B36" s="30">
        <v>156316.5</v>
      </c>
      <c r="C36" s="31">
        <v>91318.2</v>
      </c>
      <c r="D36" s="60">
        <v>20251.599999999999</v>
      </c>
      <c r="E36" s="65">
        <f>79511.1+12258.5</f>
        <v>91769.600000000006</v>
      </c>
      <c r="F36" s="60">
        <v>1510.2</v>
      </c>
      <c r="G36" s="62">
        <v>1109.8</v>
      </c>
      <c r="H36" s="61">
        <f t="shared" ref="H36" si="15">SUM(B36:G36)</f>
        <v>362275.9</v>
      </c>
      <c r="I36" s="60">
        <f>111466.1+1203.8</f>
        <v>112669.90000000001</v>
      </c>
      <c r="J36" s="61">
        <f>31805.8+496.8</f>
        <v>32302.6</v>
      </c>
      <c r="K36" s="60">
        <f>16955.7+175</f>
        <v>17130.7</v>
      </c>
      <c r="L36" s="61">
        <f>82732.5+249.9</f>
        <v>82982.399999999994</v>
      </c>
      <c r="M36" s="60">
        <v>430</v>
      </c>
      <c r="N36" s="63">
        <v>19.2</v>
      </c>
      <c r="O36" s="64">
        <f t="shared" ref="O36" si="16">SUM(I36:N36)</f>
        <v>245534.80000000002</v>
      </c>
      <c r="P36" s="32"/>
      <c r="Q36" s="32"/>
      <c r="R36" s="54"/>
      <c r="S36" s="32"/>
      <c r="T36" s="32"/>
      <c r="U36" s="32"/>
    </row>
    <row r="37" spans="1:21" ht="13.5" customHeight="1" x14ac:dyDescent="0.2">
      <c r="A37" s="10" t="s">
        <v>103</v>
      </c>
      <c r="B37" s="30">
        <v>167311.70000000001</v>
      </c>
      <c r="C37" s="31">
        <v>105983.6</v>
      </c>
      <c r="D37" s="60">
        <v>26298.3</v>
      </c>
      <c r="E37" s="65">
        <f>88820.1+14152.5</f>
        <v>102972.6</v>
      </c>
      <c r="F37" s="60">
        <v>2518.1</v>
      </c>
      <c r="G37" s="62">
        <v>881.6</v>
      </c>
      <c r="H37" s="61">
        <f t="shared" ref="H37" si="17">SUM(B37:G37)</f>
        <v>405965.9</v>
      </c>
      <c r="I37" s="60">
        <f>113990.8+1466.3</f>
        <v>115457.1</v>
      </c>
      <c r="J37" s="61">
        <f>29828.6+777.1</f>
        <v>30605.699999999997</v>
      </c>
      <c r="K37" s="60">
        <f>13641.1+195.2</f>
        <v>13836.300000000001</v>
      </c>
      <c r="L37" s="61">
        <f>85505.6+338.7</f>
        <v>85844.3</v>
      </c>
      <c r="M37" s="60">
        <v>250</v>
      </c>
      <c r="N37" s="63">
        <f>8.5+0.1</f>
        <v>8.6</v>
      </c>
      <c r="O37" s="64">
        <f t="shared" ref="O37:O38" si="18">SUM(I37:N37)</f>
        <v>246001.99999999997</v>
      </c>
      <c r="P37" s="32"/>
      <c r="Q37" s="32"/>
      <c r="R37" s="54"/>
      <c r="S37" s="32"/>
      <c r="T37" s="32"/>
      <c r="U37" s="32"/>
    </row>
    <row r="38" spans="1:21" ht="13.5" customHeight="1" x14ac:dyDescent="0.2">
      <c r="A38" s="10" t="s">
        <v>98</v>
      </c>
      <c r="B38" s="30">
        <v>169187.1</v>
      </c>
      <c r="C38" s="31">
        <v>107153.4</v>
      </c>
      <c r="D38" s="60">
        <v>17472.5</v>
      </c>
      <c r="E38" s="65">
        <f>77976.6+29869.4</f>
        <v>107846</v>
      </c>
      <c r="F38" s="60">
        <v>3842.1</v>
      </c>
      <c r="G38" s="62">
        <v>1429.1</v>
      </c>
      <c r="H38" s="61">
        <f t="shared" ref="H38" si="19">SUM(B38:G38)</f>
        <v>406930.19999999995</v>
      </c>
      <c r="I38" s="60">
        <f>120234.8+1867</f>
        <v>122101.8</v>
      </c>
      <c r="J38" s="61">
        <f>29105.9+1088.8</f>
        <v>30194.7</v>
      </c>
      <c r="K38" s="60">
        <f>13969.1+261.3</f>
        <v>14230.4</v>
      </c>
      <c r="L38" s="61">
        <f>73175.3+405</f>
        <v>73580.3</v>
      </c>
      <c r="M38" s="60">
        <v>230</v>
      </c>
      <c r="N38" s="63">
        <f>8.8+0.1</f>
        <v>8.9</v>
      </c>
      <c r="O38" s="64">
        <f t="shared" si="18"/>
        <v>240346.1</v>
      </c>
      <c r="P38" s="61"/>
      <c r="Q38" s="32"/>
      <c r="R38" s="54"/>
      <c r="S38" s="32"/>
      <c r="T38" s="32"/>
      <c r="U38" s="32"/>
    </row>
    <row r="39" spans="1:21" ht="13.5" customHeight="1" x14ac:dyDescent="0.2">
      <c r="A39" s="10" t="s">
        <v>101</v>
      </c>
      <c r="B39" s="30">
        <v>177388.3</v>
      </c>
      <c r="C39" s="31">
        <v>115720.4</v>
      </c>
      <c r="D39" s="60">
        <v>18060.5</v>
      </c>
      <c r="E39" s="65">
        <v>121909.3</v>
      </c>
      <c r="F39" s="60">
        <v>2610.1</v>
      </c>
      <c r="G39" s="62">
        <v>2147.5</v>
      </c>
      <c r="H39" s="61">
        <f t="shared" ref="H39" si="20">SUM(B39:G39)</f>
        <v>437836.09999999992</v>
      </c>
      <c r="I39" s="60">
        <v>113152.6</v>
      </c>
      <c r="J39" s="61">
        <f>34376.4+229.1</f>
        <v>34605.5</v>
      </c>
      <c r="K39" s="60">
        <f>13576.9+135.9</f>
        <v>13712.8</v>
      </c>
      <c r="L39" s="61">
        <f>80560.1+278.5</f>
        <v>80838.600000000006</v>
      </c>
      <c r="M39" s="60">
        <v>230</v>
      </c>
      <c r="N39" s="63">
        <f>14.2+0.7</f>
        <v>14.899999999999999</v>
      </c>
      <c r="O39" s="64">
        <f t="shared" ref="O39" si="21">SUM(I39:N39)</f>
        <v>242554.4</v>
      </c>
      <c r="P39" s="32"/>
      <c r="Q39" s="32"/>
      <c r="R39" s="54"/>
      <c r="S39" s="32"/>
      <c r="T39" s="32"/>
      <c r="U39" s="32"/>
    </row>
    <row r="40" spans="1:21" ht="13.5" customHeight="1" x14ac:dyDescent="0.2">
      <c r="A40" s="10"/>
      <c r="B40" s="30"/>
      <c r="C40" s="31"/>
      <c r="D40" s="60"/>
      <c r="E40" s="65"/>
      <c r="F40" s="60"/>
      <c r="G40" s="62"/>
      <c r="H40" s="61"/>
      <c r="I40" s="60"/>
      <c r="J40" s="61"/>
      <c r="K40" s="60"/>
      <c r="L40" s="61"/>
      <c r="M40" s="60"/>
      <c r="N40" s="63"/>
      <c r="O40" s="64"/>
      <c r="P40" s="32"/>
      <c r="Q40" s="32"/>
      <c r="R40" s="54"/>
      <c r="S40" s="32"/>
      <c r="T40" s="32"/>
      <c r="U40" s="32"/>
    </row>
    <row r="41" spans="1:21" ht="13.5" customHeight="1" x14ac:dyDescent="0.2">
      <c r="A41" s="10" t="s">
        <v>111</v>
      </c>
      <c r="B41" s="30">
        <v>173455</v>
      </c>
      <c r="C41" s="31">
        <v>83726.100000000006</v>
      </c>
      <c r="D41" s="60">
        <v>18307.5</v>
      </c>
      <c r="E41" s="65">
        <f>98366.4+20578</f>
        <v>118944.4</v>
      </c>
      <c r="F41" s="60">
        <v>2390.1999999999998</v>
      </c>
      <c r="G41" s="62">
        <v>1300.5999999999999</v>
      </c>
      <c r="H41" s="61">
        <f t="shared" ref="H41" si="22">SUM(B41:G41)</f>
        <v>398123.8</v>
      </c>
      <c r="I41" s="60">
        <f>115690+1159.8</f>
        <v>116849.8</v>
      </c>
      <c r="J41" s="61">
        <f>34602.3+333.5</f>
        <v>34935.800000000003</v>
      </c>
      <c r="K41" s="60">
        <f>11345.7+108.7</f>
        <v>11454.400000000001</v>
      </c>
      <c r="L41" s="61">
        <f>86186.1+421.4</f>
        <v>86607.5</v>
      </c>
      <c r="M41" s="60">
        <v>1483.6</v>
      </c>
      <c r="N41" s="63">
        <f>14.5+0.9</f>
        <v>15.4</v>
      </c>
      <c r="O41" s="64">
        <f t="shared" ref="O41:O42" si="23">SUM(I41:N41)</f>
        <v>251346.5</v>
      </c>
      <c r="P41" s="32"/>
      <c r="Q41" s="32"/>
      <c r="R41" s="54"/>
      <c r="S41" s="32"/>
      <c r="T41" s="32"/>
      <c r="U41" s="32"/>
    </row>
    <row r="42" spans="1:21" ht="13.5" customHeight="1" x14ac:dyDescent="0.2">
      <c r="A42" s="10" t="s">
        <v>120</v>
      </c>
      <c r="B42" s="30">
        <v>177302</v>
      </c>
      <c r="C42" s="31">
        <v>100016.2</v>
      </c>
      <c r="D42" s="60">
        <v>22315.5</v>
      </c>
      <c r="E42" s="65">
        <f>97183.8+16460.3</f>
        <v>113644.1</v>
      </c>
      <c r="F42" s="60">
        <v>7055.2</v>
      </c>
      <c r="G42" s="62">
        <v>1101.0999999999999</v>
      </c>
      <c r="H42" s="61">
        <f t="shared" ref="H42" si="24">SUM(B42:G42)</f>
        <v>421434.10000000003</v>
      </c>
      <c r="I42" s="60">
        <f>132565.1+1750.3</f>
        <v>134315.4</v>
      </c>
      <c r="J42" s="61">
        <f>32345.9+527.5</f>
        <v>32873.4</v>
      </c>
      <c r="K42" s="60">
        <f>9803.8+105</f>
        <v>9908.7999999999993</v>
      </c>
      <c r="L42" s="61">
        <v>82188</v>
      </c>
      <c r="M42" s="60">
        <v>2203.8000000000002</v>
      </c>
      <c r="N42" s="63">
        <f>14.6+0.9</f>
        <v>15.5</v>
      </c>
      <c r="O42" s="64">
        <f t="shared" si="23"/>
        <v>261504.89999999997</v>
      </c>
      <c r="P42" s="32"/>
      <c r="Q42" s="32"/>
      <c r="R42" s="54"/>
      <c r="S42" s="32"/>
      <c r="T42" s="32"/>
      <c r="U42" s="32"/>
    </row>
    <row r="43" spans="1:21" ht="13.5" customHeight="1" x14ac:dyDescent="0.2">
      <c r="A43" s="10" t="s">
        <v>98</v>
      </c>
      <c r="B43" s="30">
        <v>170381.3</v>
      </c>
      <c r="C43" s="31">
        <v>121700.4</v>
      </c>
      <c r="D43" s="60">
        <v>31042.799999999999</v>
      </c>
      <c r="E43" s="65">
        <f>99102.3+13718.3</f>
        <v>112820.6</v>
      </c>
      <c r="F43" s="60">
        <v>8434.4</v>
      </c>
      <c r="G43" s="62">
        <v>1008.5</v>
      </c>
      <c r="H43" s="61">
        <f t="shared" ref="H43" si="25">SUM(B43:G43)</f>
        <v>445388</v>
      </c>
      <c r="I43" s="60">
        <f>142706.8+3953.6</f>
        <v>146660.4</v>
      </c>
      <c r="J43" s="61">
        <f>29747+797.6</f>
        <v>30544.6</v>
      </c>
      <c r="K43" s="60">
        <f>11967.4+107.2</f>
        <v>12074.6</v>
      </c>
      <c r="L43" s="61">
        <v>74232.7</v>
      </c>
      <c r="M43" s="60">
        <v>2466.6999999999998</v>
      </c>
      <c r="N43" s="63">
        <f>14.5+4.9</f>
        <v>19.399999999999999</v>
      </c>
      <c r="O43" s="64">
        <f t="shared" ref="O43" si="26">SUM(I43:N43)</f>
        <v>265998.40000000002</v>
      </c>
      <c r="P43" s="32"/>
      <c r="Q43" s="32"/>
      <c r="R43" s="54"/>
      <c r="S43" s="32"/>
      <c r="T43" s="32"/>
      <c r="U43" s="32"/>
    </row>
    <row r="44" spans="1:21" ht="13.5" customHeight="1" x14ac:dyDescent="0.2">
      <c r="A44" s="10" t="s">
        <v>101</v>
      </c>
      <c r="B44" s="30">
        <v>187050.6</v>
      </c>
      <c r="C44" s="31">
        <v>123242.6</v>
      </c>
      <c r="D44" s="60">
        <v>22953.3</v>
      </c>
      <c r="E44" s="65">
        <v>83389.7</v>
      </c>
      <c r="F44" s="60">
        <v>7505.3</v>
      </c>
      <c r="G44" s="62">
        <v>1823.1</v>
      </c>
      <c r="H44" s="61">
        <v>436138.7</v>
      </c>
      <c r="I44" s="60">
        <v>116799</v>
      </c>
      <c r="J44" s="61">
        <v>60016.9</v>
      </c>
      <c r="K44" s="60">
        <v>21163.4</v>
      </c>
      <c r="L44" s="61">
        <v>73250</v>
      </c>
      <c r="M44" s="60">
        <v>8529.9</v>
      </c>
      <c r="N44" s="63">
        <v>831.7</v>
      </c>
      <c r="O44" s="64">
        <f t="shared" ref="O44" si="27">SUM(I44:N44)</f>
        <v>280590.90000000002</v>
      </c>
      <c r="P44" s="32"/>
      <c r="Q44" s="32"/>
      <c r="R44" s="54"/>
      <c r="S44" s="32"/>
      <c r="T44" s="32"/>
      <c r="U44" s="32"/>
    </row>
    <row r="45" spans="1:21" ht="13.5" customHeight="1" x14ac:dyDescent="0.2">
      <c r="A45" s="10"/>
      <c r="B45" s="30"/>
      <c r="C45" s="31"/>
      <c r="D45" s="60"/>
      <c r="E45" s="65"/>
      <c r="F45" s="60"/>
      <c r="G45" s="62"/>
      <c r="H45" s="61"/>
      <c r="I45" s="60"/>
      <c r="J45" s="61"/>
      <c r="K45" s="60"/>
      <c r="L45" s="61"/>
      <c r="M45" s="60"/>
      <c r="N45" s="63"/>
      <c r="O45" s="64"/>
      <c r="P45" s="32"/>
      <c r="Q45" s="32"/>
      <c r="R45" s="54"/>
      <c r="S45" s="32"/>
      <c r="T45" s="32"/>
      <c r="U45" s="32"/>
    </row>
    <row r="46" spans="1:21" ht="13.5" customHeight="1" x14ac:dyDescent="0.2">
      <c r="A46" s="70" t="s">
        <v>135</v>
      </c>
      <c r="B46" s="71">
        <v>166906.5</v>
      </c>
      <c r="C46" s="71">
        <v>126774.20000000001</v>
      </c>
      <c r="D46" s="71">
        <v>18832.599999999999</v>
      </c>
      <c r="E46" s="71">
        <f>91833.3+11839.4</f>
        <v>103672.7</v>
      </c>
      <c r="F46" s="75">
        <v>8109</v>
      </c>
      <c r="G46" s="75">
        <v>1014.9</v>
      </c>
      <c r="H46" s="76">
        <f t="shared" ref="H46" si="28">SUM(B46:G46)</f>
        <v>425309.9</v>
      </c>
      <c r="I46" s="75">
        <v>120352.1</v>
      </c>
      <c r="J46" s="76">
        <v>57290.5</v>
      </c>
      <c r="K46" s="75">
        <v>21043.8</v>
      </c>
      <c r="L46" s="76">
        <v>77306.2</v>
      </c>
      <c r="M46" s="75">
        <v>8565.2000000000007</v>
      </c>
      <c r="N46" s="78">
        <v>39.200000000000003</v>
      </c>
      <c r="O46" s="79">
        <f t="shared" ref="O46:O47" si="29">SUM(I46:N46)</f>
        <v>284597</v>
      </c>
      <c r="P46" s="73"/>
      <c r="Q46" s="73"/>
      <c r="R46" s="74"/>
      <c r="S46" s="73"/>
      <c r="T46" s="73"/>
      <c r="U46" s="73"/>
    </row>
    <row r="47" spans="1:21" ht="13.5" customHeight="1" x14ac:dyDescent="0.2">
      <c r="A47" s="70" t="s">
        <v>128</v>
      </c>
      <c r="B47" s="71">
        <v>175088.30000000002</v>
      </c>
      <c r="C47" s="71">
        <v>136179.5</v>
      </c>
      <c r="D47" s="71">
        <v>21218.199999999997</v>
      </c>
      <c r="E47" s="71">
        <f>92305.1+11935.4</f>
        <v>104240.5</v>
      </c>
      <c r="F47" s="75">
        <v>3656.3</v>
      </c>
      <c r="G47" s="75">
        <v>650.9</v>
      </c>
      <c r="H47" s="76">
        <f t="shared" ref="H47" si="30">SUM(B47:G47)</f>
        <v>441033.70000000007</v>
      </c>
      <c r="I47" s="75">
        <v>121984.3</v>
      </c>
      <c r="J47" s="76">
        <v>63241</v>
      </c>
      <c r="K47" s="75">
        <v>13861.7</v>
      </c>
      <c r="L47" s="76">
        <v>70469</v>
      </c>
      <c r="M47" s="75">
        <v>8610.4</v>
      </c>
      <c r="N47" s="78">
        <v>56.1</v>
      </c>
      <c r="O47" s="79">
        <f t="shared" si="29"/>
        <v>278222.5</v>
      </c>
      <c r="P47" s="73"/>
      <c r="Q47" s="73"/>
      <c r="R47" s="74"/>
      <c r="S47" s="73"/>
      <c r="T47" s="73"/>
      <c r="U47" s="73"/>
    </row>
    <row r="48" spans="1:21" ht="13.5" hidden="1" customHeight="1" x14ac:dyDescent="0.2">
      <c r="A48" s="10" t="s">
        <v>23</v>
      </c>
      <c r="B48" s="30">
        <v>83676</v>
      </c>
      <c r="C48" s="31">
        <v>29542.6</v>
      </c>
      <c r="D48" s="60">
        <v>13204.1</v>
      </c>
      <c r="E48" s="61">
        <v>28295.9</v>
      </c>
      <c r="F48" s="60">
        <v>1396.6</v>
      </c>
      <c r="G48" s="62">
        <v>590.79999999999995</v>
      </c>
      <c r="H48" s="61">
        <f t="shared" ref="H48:H116" si="31">SUM(B48:G48)</f>
        <v>156706</v>
      </c>
      <c r="I48" s="60">
        <v>55681.9</v>
      </c>
      <c r="J48" s="61">
        <v>12579.199999999999</v>
      </c>
      <c r="K48" s="60">
        <v>4522.7</v>
      </c>
      <c r="L48" s="61">
        <v>13115.199999999999</v>
      </c>
      <c r="M48" s="60">
        <v>44</v>
      </c>
      <c r="N48" s="63">
        <v>20.5</v>
      </c>
      <c r="O48" s="64">
        <f t="shared" ref="O48:O116" si="32">SUM(I48:N48)</f>
        <v>85963.5</v>
      </c>
      <c r="P48" s="32"/>
      <c r="Q48" s="32"/>
      <c r="R48" s="54"/>
      <c r="S48" s="32"/>
      <c r="T48" s="32"/>
      <c r="U48" s="32"/>
    </row>
    <row r="49" spans="1:21" ht="13.5" hidden="1" customHeight="1" x14ac:dyDescent="0.2">
      <c r="A49" s="10" t="s">
        <v>29</v>
      </c>
      <c r="B49" s="30">
        <v>78128.899999999994</v>
      </c>
      <c r="C49" s="31">
        <v>33565.599999999999</v>
      </c>
      <c r="D49" s="60">
        <v>13664.900000000001</v>
      </c>
      <c r="E49" s="61">
        <v>28028.399999999998</v>
      </c>
      <c r="F49" s="60">
        <v>3051.2</v>
      </c>
      <c r="G49" s="62">
        <v>525.79999999999995</v>
      </c>
      <c r="H49" s="61">
        <f t="shared" si="31"/>
        <v>156964.79999999999</v>
      </c>
      <c r="I49" s="60">
        <v>55703.8</v>
      </c>
      <c r="J49" s="61">
        <v>16088.6</v>
      </c>
      <c r="K49" s="60">
        <v>5543.2</v>
      </c>
      <c r="L49" s="61">
        <v>11487</v>
      </c>
      <c r="M49" s="60">
        <v>294</v>
      </c>
      <c r="N49" s="63">
        <v>20.2</v>
      </c>
      <c r="O49" s="64">
        <f t="shared" si="32"/>
        <v>89136.8</v>
      </c>
      <c r="P49" s="32"/>
      <c r="Q49" s="32"/>
      <c r="R49" s="54"/>
      <c r="S49" s="32"/>
      <c r="T49" s="32"/>
      <c r="U49" s="32"/>
    </row>
    <row r="50" spans="1:21" ht="13.5" hidden="1" customHeight="1" x14ac:dyDescent="0.2">
      <c r="A50" s="10" t="s">
        <v>24</v>
      </c>
      <c r="B50" s="30">
        <v>80105.399999999994</v>
      </c>
      <c r="C50" s="31">
        <v>34274.400000000001</v>
      </c>
      <c r="D50" s="60">
        <v>19149.599999999999</v>
      </c>
      <c r="E50" s="61">
        <v>32743.3</v>
      </c>
      <c r="F50" s="60">
        <v>2190.1999999999998</v>
      </c>
      <c r="G50" s="62">
        <v>469.40000000000003</v>
      </c>
      <c r="H50" s="61">
        <f t="shared" si="31"/>
        <v>168932.3</v>
      </c>
      <c r="I50" s="60">
        <v>56164</v>
      </c>
      <c r="J50" s="61">
        <v>13744.9</v>
      </c>
      <c r="K50" s="60">
        <v>6064.5</v>
      </c>
      <c r="L50" s="61">
        <v>12795.9</v>
      </c>
      <c r="M50" s="60">
        <v>294</v>
      </c>
      <c r="N50" s="63">
        <v>20.2</v>
      </c>
      <c r="O50" s="64">
        <f t="shared" si="32"/>
        <v>89083.499999999985</v>
      </c>
      <c r="P50" s="32"/>
      <c r="Q50" s="32"/>
      <c r="R50" s="54"/>
      <c r="S50" s="32"/>
      <c r="T50" s="32"/>
      <c r="U50" s="32"/>
    </row>
    <row r="51" spans="1:21" ht="13.5" hidden="1" customHeight="1" x14ac:dyDescent="0.2">
      <c r="A51" s="10" t="s">
        <v>30</v>
      </c>
      <c r="B51" s="30">
        <v>80417.899999999994</v>
      </c>
      <c r="C51" s="31">
        <v>35784.299999999996</v>
      </c>
      <c r="D51" s="60">
        <v>15644.500000000002</v>
      </c>
      <c r="E51" s="61">
        <v>29869.8</v>
      </c>
      <c r="F51" s="60">
        <v>2679</v>
      </c>
      <c r="G51" s="62">
        <v>380</v>
      </c>
      <c r="H51" s="61">
        <f t="shared" si="31"/>
        <v>164775.49999999997</v>
      </c>
      <c r="I51" s="60">
        <v>56964.9</v>
      </c>
      <c r="J51" s="61">
        <v>13887.099999999999</v>
      </c>
      <c r="K51" s="60">
        <v>5045.2</v>
      </c>
      <c r="L51" s="61">
        <v>12201.499999999998</v>
      </c>
      <c r="M51" s="60">
        <v>294</v>
      </c>
      <c r="N51" s="63">
        <v>20.399999999999999</v>
      </c>
      <c r="O51" s="64">
        <f t="shared" si="32"/>
        <v>88413.099999999991</v>
      </c>
      <c r="P51" s="32"/>
      <c r="Q51" s="32"/>
      <c r="R51" s="54"/>
      <c r="S51" s="32"/>
      <c r="T51" s="32"/>
      <c r="U51" s="32"/>
    </row>
    <row r="52" spans="1:21" ht="13.5" hidden="1" customHeight="1" x14ac:dyDescent="0.2">
      <c r="A52" s="10" t="s">
        <v>31</v>
      </c>
      <c r="B52" s="30">
        <v>74950.700000000012</v>
      </c>
      <c r="C52" s="31">
        <v>32884.5</v>
      </c>
      <c r="D52" s="60">
        <v>14710.599999999999</v>
      </c>
      <c r="E52" s="61">
        <v>31168.5</v>
      </c>
      <c r="F52" s="60">
        <v>2287.6</v>
      </c>
      <c r="G52" s="62">
        <v>460.9</v>
      </c>
      <c r="H52" s="61">
        <f t="shared" si="31"/>
        <v>156462.80000000002</v>
      </c>
      <c r="I52" s="60">
        <v>56922.200000000004</v>
      </c>
      <c r="J52" s="61">
        <v>13838.300000000001</v>
      </c>
      <c r="K52" s="60">
        <v>5589.7</v>
      </c>
      <c r="L52" s="61">
        <v>12985.7</v>
      </c>
      <c r="M52" s="60">
        <v>294</v>
      </c>
      <c r="N52" s="63">
        <v>20.399999999999999</v>
      </c>
      <c r="O52" s="64">
        <f t="shared" si="32"/>
        <v>89650.299999999988</v>
      </c>
      <c r="P52" s="32"/>
      <c r="Q52" s="32"/>
      <c r="R52" s="54"/>
      <c r="S52" s="32"/>
      <c r="T52" s="32"/>
      <c r="U52" s="32"/>
    </row>
    <row r="53" spans="1:21" ht="13.5" hidden="1" customHeight="1" x14ac:dyDescent="0.2">
      <c r="A53" s="10" t="s">
        <v>33</v>
      </c>
      <c r="B53" s="30">
        <v>78501.300000000017</v>
      </c>
      <c r="C53" s="31">
        <v>36647.800000000003</v>
      </c>
      <c r="D53" s="60">
        <v>16425.8</v>
      </c>
      <c r="E53" s="61">
        <v>32079.4</v>
      </c>
      <c r="F53" s="60">
        <v>2745.9000000000005</v>
      </c>
      <c r="G53" s="62">
        <v>631.70000000000005</v>
      </c>
      <c r="H53" s="61">
        <f t="shared" si="31"/>
        <v>167031.90000000002</v>
      </c>
      <c r="I53" s="60">
        <v>54282</v>
      </c>
      <c r="J53" s="61">
        <v>13208.199999999999</v>
      </c>
      <c r="K53" s="60">
        <v>5389.2999999999993</v>
      </c>
      <c r="L53" s="61">
        <v>13698.4</v>
      </c>
      <c r="M53" s="60">
        <v>250</v>
      </c>
      <c r="N53" s="63">
        <v>20.7</v>
      </c>
      <c r="O53" s="64">
        <f t="shared" si="32"/>
        <v>86848.599999999991</v>
      </c>
      <c r="P53" s="32"/>
      <c r="Q53" s="32"/>
      <c r="R53" s="54"/>
      <c r="S53" s="32"/>
      <c r="T53" s="32"/>
      <c r="U53" s="32"/>
    </row>
    <row r="54" spans="1:21" ht="13.5" hidden="1" customHeight="1" x14ac:dyDescent="0.2">
      <c r="A54" s="10" t="s">
        <v>34</v>
      </c>
      <c r="B54" s="30">
        <v>81612.999999999985</v>
      </c>
      <c r="C54" s="31">
        <v>36525.599999999999</v>
      </c>
      <c r="D54" s="60">
        <v>14267.000000000002</v>
      </c>
      <c r="E54" s="61">
        <v>33669.599999999999</v>
      </c>
      <c r="F54" s="60">
        <v>1906.8999999999999</v>
      </c>
      <c r="G54" s="62">
        <v>623.29999999999995</v>
      </c>
      <c r="H54" s="61">
        <f t="shared" si="31"/>
        <v>168605.39999999997</v>
      </c>
      <c r="I54" s="60">
        <v>57375.4</v>
      </c>
      <c r="J54" s="61">
        <v>12182.200000000003</v>
      </c>
      <c r="K54" s="60">
        <v>7829.1</v>
      </c>
      <c r="L54" s="61">
        <v>12960.599999999999</v>
      </c>
      <c r="M54" s="60">
        <v>844</v>
      </c>
      <c r="N54" s="63">
        <v>19.899999999999999</v>
      </c>
      <c r="O54" s="64">
        <f t="shared" si="32"/>
        <v>91211.200000000012</v>
      </c>
      <c r="P54" s="32"/>
      <c r="Q54" s="32"/>
      <c r="R54" s="54"/>
      <c r="S54" s="32"/>
      <c r="T54" s="32"/>
      <c r="U54" s="32"/>
    </row>
    <row r="55" spans="1:21" ht="13.5" hidden="1" customHeight="1" x14ac:dyDescent="0.2">
      <c r="A55" s="10" t="s">
        <v>35</v>
      </c>
      <c r="B55" s="30">
        <v>82561.599999999991</v>
      </c>
      <c r="C55" s="31">
        <v>41761.699999999997</v>
      </c>
      <c r="D55" s="60">
        <v>13902.8</v>
      </c>
      <c r="E55" s="61">
        <v>36383.9</v>
      </c>
      <c r="F55" s="60">
        <v>1927</v>
      </c>
      <c r="G55" s="62">
        <v>534.5</v>
      </c>
      <c r="H55" s="61">
        <f t="shared" si="31"/>
        <v>177071.49999999997</v>
      </c>
      <c r="I55" s="60">
        <v>55962.400000000009</v>
      </c>
      <c r="J55" s="61">
        <v>12724.3</v>
      </c>
      <c r="K55" s="60">
        <v>8819.4</v>
      </c>
      <c r="L55" s="61">
        <v>14379.7</v>
      </c>
      <c r="M55" s="60">
        <v>900</v>
      </c>
      <c r="N55" s="63">
        <v>20.099999999999998</v>
      </c>
      <c r="O55" s="64">
        <f t="shared" si="32"/>
        <v>92805.900000000009</v>
      </c>
      <c r="P55" s="32"/>
      <c r="Q55" s="32"/>
      <c r="R55" s="54"/>
      <c r="S55" s="32"/>
      <c r="T55" s="32"/>
      <c r="U55" s="32"/>
    </row>
    <row r="56" spans="1:21" ht="13.5" hidden="1" customHeight="1" x14ac:dyDescent="0.2">
      <c r="A56" s="10" t="s">
        <v>36</v>
      </c>
      <c r="B56" s="30">
        <v>87265.7</v>
      </c>
      <c r="C56" s="31">
        <v>42839</v>
      </c>
      <c r="D56" s="60">
        <v>15153.500000000002</v>
      </c>
      <c r="E56" s="61">
        <v>37224.699999999997</v>
      </c>
      <c r="F56" s="60">
        <v>1820</v>
      </c>
      <c r="G56" s="62">
        <v>534.70000000000005</v>
      </c>
      <c r="H56" s="61">
        <f t="shared" si="31"/>
        <v>184837.60000000003</v>
      </c>
      <c r="I56" s="60">
        <v>58563.700000000004</v>
      </c>
      <c r="J56" s="61">
        <v>12029.800000000001</v>
      </c>
      <c r="K56" s="60">
        <v>8505.6</v>
      </c>
      <c r="L56" s="61">
        <v>14850.7</v>
      </c>
      <c r="M56" s="60">
        <v>550</v>
      </c>
      <c r="N56" s="63">
        <v>20.099999999999998</v>
      </c>
      <c r="O56" s="64">
        <f t="shared" si="32"/>
        <v>94519.900000000009</v>
      </c>
      <c r="P56" s="32"/>
      <c r="Q56" s="32"/>
      <c r="R56" s="54"/>
      <c r="S56" s="32"/>
      <c r="T56" s="32"/>
      <c r="U56" s="32"/>
    </row>
    <row r="57" spans="1:21" ht="13.5" hidden="1" customHeight="1" x14ac:dyDescent="0.2">
      <c r="A57" s="10" t="s">
        <v>37</v>
      </c>
      <c r="B57" s="30">
        <v>89849.8</v>
      </c>
      <c r="C57" s="31">
        <v>40843.300000000003</v>
      </c>
      <c r="D57" s="60">
        <v>18895.999999999996</v>
      </c>
      <c r="E57" s="61">
        <v>35123.299999999996</v>
      </c>
      <c r="F57" s="60">
        <v>2347.2999999999997</v>
      </c>
      <c r="G57" s="62">
        <v>430.30000000000007</v>
      </c>
      <c r="H57" s="61">
        <f t="shared" si="31"/>
        <v>187489.99999999997</v>
      </c>
      <c r="I57" s="60">
        <v>59651.9</v>
      </c>
      <c r="J57" s="61">
        <v>12154.3</v>
      </c>
      <c r="K57" s="60">
        <v>9789.1</v>
      </c>
      <c r="L57" s="61">
        <v>14347.900000000001</v>
      </c>
      <c r="M57" s="60">
        <v>550</v>
      </c>
      <c r="N57" s="63">
        <v>20.2</v>
      </c>
      <c r="O57" s="64">
        <f t="shared" si="32"/>
        <v>96513.400000000009</v>
      </c>
      <c r="P57" s="32"/>
      <c r="Q57" s="32"/>
      <c r="R57" s="54"/>
      <c r="S57" s="32"/>
      <c r="T57" s="32"/>
      <c r="U57" s="32"/>
    </row>
    <row r="58" spans="1:21" ht="13.5" hidden="1" customHeight="1" x14ac:dyDescent="0.2">
      <c r="A58" s="10" t="s">
        <v>38</v>
      </c>
      <c r="B58" s="30">
        <v>92275.000000000015</v>
      </c>
      <c r="C58" s="31">
        <v>39465.100000000006</v>
      </c>
      <c r="D58" s="60">
        <v>17696.600000000002</v>
      </c>
      <c r="E58" s="61">
        <v>35466.199999999997</v>
      </c>
      <c r="F58" s="60">
        <v>1238.7</v>
      </c>
      <c r="G58" s="62">
        <v>420.7</v>
      </c>
      <c r="H58" s="61">
        <f t="shared" si="31"/>
        <v>186562.30000000005</v>
      </c>
      <c r="I58" s="60">
        <v>61460.7</v>
      </c>
      <c r="J58" s="61">
        <v>12387.600000000002</v>
      </c>
      <c r="K58" s="60">
        <v>9616.1</v>
      </c>
      <c r="L58" s="61">
        <v>15146.2</v>
      </c>
      <c r="M58" s="60">
        <v>550</v>
      </c>
      <c r="N58" s="63">
        <v>20.299999999999997</v>
      </c>
      <c r="O58" s="64">
        <f t="shared" si="32"/>
        <v>99180.900000000009</v>
      </c>
      <c r="P58" s="32"/>
      <c r="Q58" s="32"/>
      <c r="R58" s="54"/>
      <c r="S58" s="32"/>
      <c r="T58" s="32"/>
      <c r="U58" s="32"/>
    </row>
    <row r="59" spans="1:21" ht="13.5" hidden="1" customHeight="1" x14ac:dyDescent="0.2">
      <c r="A59" s="10" t="s">
        <v>39</v>
      </c>
      <c r="B59" s="30">
        <v>103932.4</v>
      </c>
      <c r="C59" s="31">
        <v>40671.000000000007</v>
      </c>
      <c r="D59" s="60">
        <v>21363.199999999997</v>
      </c>
      <c r="E59" s="65">
        <v>39031.300000000003</v>
      </c>
      <c r="F59" s="60">
        <v>1730.5</v>
      </c>
      <c r="G59" s="62">
        <v>333.5</v>
      </c>
      <c r="H59" s="61">
        <f t="shared" si="31"/>
        <v>207061.89999999997</v>
      </c>
      <c r="I59" s="60">
        <v>63450.8</v>
      </c>
      <c r="J59" s="61">
        <v>11550.8</v>
      </c>
      <c r="K59" s="60">
        <v>9384.2000000000007</v>
      </c>
      <c r="L59" s="61">
        <v>14877.299999999997</v>
      </c>
      <c r="M59" s="60">
        <v>550</v>
      </c>
      <c r="N59" s="63">
        <v>25.9</v>
      </c>
      <c r="O59" s="64">
        <f t="shared" si="32"/>
        <v>99839</v>
      </c>
      <c r="P59" s="32"/>
      <c r="Q59" s="32"/>
      <c r="R59" s="54"/>
      <c r="S59" s="32"/>
      <c r="T59" s="32"/>
      <c r="U59" s="32"/>
    </row>
    <row r="60" spans="1:21" ht="13.5" hidden="1" customHeight="1" x14ac:dyDescent="0.2">
      <c r="A60" s="10"/>
      <c r="B60" s="30"/>
      <c r="C60" s="31"/>
      <c r="D60" s="60"/>
      <c r="E60" s="65"/>
      <c r="F60" s="60"/>
      <c r="G60" s="62"/>
      <c r="H60" s="61"/>
      <c r="I60" s="60"/>
      <c r="J60" s="61"/>
      <c r="K60" s="60"/>
      <c r="L60" s="61"/>
      <c r="M60" s="60"/>
      <c r="N60" s="63"/>
      <c r="O60" s="64"/>
      <c r="P60" s="32"/>
      <c r="Q60" s="32"/>
      <c r="R60" s="54"/>
      <c r="S60" s="32"/>
      <c r="T60" s="32"/>
      <c r="U60" s="32"/>
    </row>
    <row r="61" spans="1:21" ht="13.5" hidden="1" customHeight="1" x14ac:dyDescent="0.2">
      <c r="A61" s="10" t="s">
        <v>25</v>
      </c>
      <c r="B61" s="30">
        <v>100318</v>
      </c>
      <c r="C61" s="31">
        <v>39964.300000000003</v>
      </c>
      <c r="D61" s="60">
        <v>16798.000000000004</v>
      </c>
      <c r="E61" s="61">
        <v>40749.9</v>
      </c>
      <c r="F61" s="60">
        <v>1639.7</v>
      </c>
      <c r="G61" s="62">
        <v>303.89999999999998</v>
      </c>
      <c r="H61" s="61">
        <f t="shared" si="31"/>
        <v>199773.8</v>
      </c>
      <c r="I61" s="60">
        <v>61687.6</v>
      </c>
      <c r="J61" s="61">
        <v>13367.499999999998</v>
      </c>
      <c r="K61" s="60">
        <v>10833.2</v>
      </c>
      <c r="L61" s="61">
        <v>12348.8</v>
      </c>
      <c r="M61" s="60">
        <v>250</v>
      </c>
      <c r="N61" s="63">
        <v>37.9</v>
      </c>
      <c r="O61" s="64">
        <f t="shared" si="32"/>
        <v>98524.999999999985</v>
      </c>
      <c r="P61" s="32"/>
      <c r="Q61" s="32"/>
      <c r="R61" s="54"/>
      <c r="S61" s="32"/>
      <c r="T61" s="32"/>
      <c r="U61" s="32"/>
    </row>
    <row r="62" spans="1:21" ht="13.5" hidden="1" customHeight="1" x14ac:dyDescent="0.2">
      <c r="A62" s="10" t="s">
        <v>40</v>
      </c>
      <c r="B62" s="30">
        <v>102915.4</v>
      </c>
      <c r="C62" s="31">
        <v>38831.799999999996</v>
      </c>
      <c r="D62" s="60">
        <v>17193.7</v>
      </c>
      <c r="E62" s="61">
        <v>34826.6</v>
      </c>
      <c r="F62" s="60">
        <v>1217.0999999999999</v>
      </c>
      <c r="G62" s="62">
        <v>163</v>
      </c>
      <c r="H62" s="61">
        <f t="shared" si="31"/>
        <v>195147.6</v>
      </c>
      <c r="I62" s="60">
        <v>63509.200000000004</v>
      </c>
      <c r="J62" s="61">
        <v>10754.2</v>
      </c>
      <c r="K62" s="60">
        <v>10488.400000000001</v>
      </c>
      <c r="L62" s="61">
        <v>15282.3</v>
      </c>
      <c r="M62" s="60">
        <v>250</v>
      </c>
      <c r="N62" s="63">
        <v>25.6</v>
      </c>
      <c r="O62" s="64">
        <f t="shared" si="32"/>
        <v>100309.70000000003</v>
      </c>
      <c r="P62" s="32"/>
      <c r="Q62" s="32"/>
      <c r="R62" s="54"/>
      <c r="S62" s="32"/>
      <c r="T62" s="32"/>
      <c r="U62" s="32"/>
    </row>
    <row r="63" spans="1:21" ht="13.5" hidden="1" customHeight="1" x14ac:dyDescent="0.2">
      <c r="A63" s="10" t="s">
        <v>26</v>
      </c>
      <c r="B63" s="30">
        <v>103519.59999999998</v>
      </c>
      <c r="C63" s="31">
        <v>36016.199999999997</v>
      </c>
      <c r="D63" s="60">
        <v>16601.900000000001</v>
      </c>
      <c r="E63" s="61">
        <v>46042.600000000006</v>
      </c>
      <c r="F63" s="60">
        <v>1079.1999999999998</v>
      </c>
      <c r="G63" s="62">
        <v>338.8</v>
      </c>
      <c r="H63" s="61">
        <f t="shared" si="31"/>
        <v>203598.3</v>
      </c>
      <c r="I63" s="60">
        <v>64357.499999999993</v>
      </c>
      <c r="J63" s="61">
        <v>11339.100000000002</v>
      </c>
      <c r="K63" s="60">
        <v>9096.5</v>
      </c>
      <c r="L63" s="61">
        <v>14524.6</v>
      </c>
      <c r="M63" s="60">
        <v>650</v>
      </c>
      <c r="N63" s="63">
        <v>25.9</v>
      </c>
      <c r="O63" s="64">
        <f t="shared" si="32"/>
        <v>99993.599999999991</v>
      </c>
      <c r="P63" s="32"/>
      <c r="Q63" s="32"/>
      <c r="R63" s="54"/>
      <c r="S63" s="32"/>
      <c r="T63" s="32"/>
      <c r="U63" s="32"/>
    </row>
    <row r="64" spans="1:21" ht="13.5" hidden="1" customHeight="1" x14ac:dyDescent="0.2">
      <c r="A64" s="10" t="s">
        <v>41</v>
      </c>
      <c r="B64" s="30">
        <v>109338.30000000002</v>
      </c>
      <c r="C64" s="31">
        <v>37772.799999999996</v>
      </c>
      <c r="D64" s="60">
        <v>15613.699999999999</v>
      </c>
      <c r="E64" s="61">
        <v>36961.800000000003</v>
      </c>
      <c r="F64" s="60">
        <v>946.2</v>
      </c>
      <c r="G64" s="62">
        <v>188.1</v>
      </c>
      <c r="H64" s="61">
        <f t="shared" si="31"/>
        <v>200820.90000000005</v>
      </c>
      <c r="I64" s="60">
        <v>65108.200000000004</v>
      </c>
      <c r="J64" s="61">
        <v>10386.299999999999</v>
      </c>
      <c r="K64" s="60">
        <v>10526</v>
      </c>
      <c r="L64" s="61">
        <v>16348.099999999999</v>
      </c>
      <c r="M64" s="60">
        <v>250</v>
      </c>
      <c r="N64" s="63">
        <v>26</v>
      </c>
      <c r="O64" s="64">
        <f t="shared" si="32"/>
        <v>102644.6</v>
      </c>
      <c r="P64" s="32"/>
      <c r="Q64" s="32"/>
      <c r="R64" s="54"/>
      <c r="S64" s="32"/>
      <c r="T64" s="32"/>
      <c r="U64" s="32"/>
    </row>
    <row r="65" spans="1:21" ht="13.5" hidden="1" customHeight="1" x14ac:dyDescent="0.2">
      <c r="A65" s="10" t="s">
        <v>43</v>
      </c>
      <c r="B65" s="30">
        <v>103729.09999999999</v>
      </c>
      <c r="C65" s="31">
        <v>40619.799999999996</v>
      </c>
      <c r="D65" s="60">
        <v>13233.900000000001</v>
      </c>
      <c r="E65" s="61">
        <v>37366.099999999991</v>
      </c>
      <c r="F65" s="60">
        <v>904.40000000000009</v>
      </c>
      <c r="G65" s="62">
        <v>191.7</v>
      </c>
      <c r="H65" s="61">
        <f t="shared" si="31"/>
        <v>196044.99999999997</v>
      </c>
      <c r="I65" s="60">
        <v>67749.2</v>
      </c>
      <c r="J65" s="61">
        <v>10147.300000000001</v>
      </c>
      <c r="K65" s="60">
        <v>10424.099999999999</v>
      </c>
      <c r="L65" s="61">
        <v>16823.7</v>
      </c>
      <c r="M65" s="60">
        <v>250</v>
      </c>
      <c r="N65" s="63">
        <v>21.900000000000002</v>
      </c>
      <c r="O65" s="64">
        <f t="shared" si="32"/>
        <v>105416.2</v>
      </c>
      <c r="P65" s="32"/>
      <c r="Q65" s="32"/>
      <c r="R65" s="54"/>
      <c r="S65" s="32"/>
      <c r="T65" s="32"/>
      <c r="U65" s="32"/>
    </row>
    <row r="66" spans="1:21" ht="13.5" hidden="1" customHeight="1" x14ac:dyDescent="0.2">
      <c r="A66" s="10" t="s">
        <v>45</v>
      </c>
      <c r="B66" s="30">
        <v>107846.5</v>
      </c>
      <c r="C66" s="31">
        <v>41764.899999999994</v>
      </c>
      <c r="D66" s="60">
        <v>14119.099999999997</v>
      </c>
      <c r="E66" s="61">
        <v>37440.5</v>
      </c>
      <c r="F66" s="60">
        <v>1345.2</v>
      </c>
      <c r="G66" s="62">
        <v>205.59999999999997</v>
      </c>
      <c r="H66" s="61">
        <f t="shared" si="31"/>
        <v>202721.80000000002</v>
      </c>
      <c r="I66" s="60">
        <v>69651.399999999994</v>
      </c>
      <c r="J66" s="61">
        <v>11601.8</v>
      </c>
      <c r="K66" s="60">
        <v>10286.799999999999</v>
      </c>
      <c r="L66" s="61">
        <v>15119.4</v>
      </c>
      <c r="M66" s="60">
        <v>250</v>
      </c>
      <c r="N66" s="63">
        <v>6.2</v>
      </c>
      <c r="O66" s="64">
        <f t="shared" si="32"/>
        <v>106915.59999999999</v>
      </c>
      <c r="P66" s="32"/>
      <c r="Q66" s="32"/>
      <c r="R66" s="54"/>
      <c r="S66" s="32"/>
      <c r="T66" s="32"/>
      <c r="U66" s="32"/>
    </row>
    <row r="67" spans="1:21" ht="13.5" hidden="1" customHeight="1" x14ac:dyDescent="0.2">
      <c r="A67" s="10" t="s">
        <v>46</v>
      </c>
      <c r="B67" s="30">
        <v>104268.7</v>
      </c>
      <c r="C67" s="31">
        <v>40159.19999999999</v>
      </c>
      <c r="D67" s="60">
        <v>13548.9</v>
      </c>
      <c r="E67" s="61">
        <v>37773.9</v>
      </c>
      <c r="F67" s="60">
        <v>618.1</v>
      </c>
      <c r="G67" s="62">
        <v>282.60000000000002</v>
      </c>
      <c r="H67" s="61">
        <f t="shared" si="31"/>
        <v>196651.4</v>
      </c>
      <c r="I67" s="60">
        <v>68774.7</v>
      </c>
      <c r="J67" s="61">
        <v>12408.900000000001</v>
      </c>
      <c r="K67" s="60">
        <v>9773.3999999999978</v>
      </c>
      <c r="L67" s="61">
        <v>16260.9</v>
      </c>
      <c r="M67" s="60">
        <v>250</v>
      </c>
      <c r="N67" s="63">
        <v>6.5</v>
      </c>
      <c r="O67" s="64">
        <f t="shared" si="32"/>
        <v>107474.4</v>
      </c>
      <c r="P67" s="32"/>
      <c r="Q67" s="32"/>
      <c r="R67" s="54"/>
      <c r="S67" s="32"/>
      <c r="T67" s="32"/>
      <c r="U67" s="32"/>
    </row>
    <row r="68" spans="1:21" ht="13.5" hidden="1" customHeight="1" x14ac:dyDescent="0.2">
      <c r="A68" s="10" t="s">
        <v>47</v>
      </c>
      <c r="B68" s="30">
        <v>107737.8</v>
      </c>
      <c r="C68" s="31">
        <v>42012.1</v>
      </c>
      <c r="D68" s="60">
        <v>13748.999999999998</v>
      </c>
      <c r="E68" s="61">
        <v>41189.699999999997</v>
      </c>
      <c r="F68" s="60">
        <v>874.90000000000009</v>
      </c>
      <c r="G68" s="62">
        <v>230.89999999999998</v>
      </c>
      <c r="H68" s="61">
        <f t="shared" si="31"/>
        <v>205794.39999999997</v>
      </c>
      <c r="I68" s="60">
        <v>69235.399999999994</v>
      </c>
      <c r="J68" s="61">
        <v>11935.300000000001</v>
      </c>
      <c r="K68" s="60">
        <v>11096.8</v>
      </c>
      <c r="L68" s="61">
        <v>12767.800000000001</v>
      </c>
      <c r="M68" s="60">
        <v>250</v>
      </c>
      <c r="N68" s="63">
        <v>6.6</v>
      </c>
      <c r="O68" s="64">
        <f t="shared" si="32"/>
        <v>105291.90000000001</v>
      </c>
      <c r="P68" s="32"/>
      <c r="Q68" s="32"/>
      <c r="R68" s="54"/>
      <c r="S68" s="32"/>
      <c r="T68" s="32"/>
      <c r="U68" s="32"/>
    </row>
    <row r="69" spans="1:21" ht="13.5" hidden="1" customHeight="1" x14ac:dyDescent="0.2">
      <c r="A69" s="10" t="s">
        <v>48</v>
      </c>
      <c r="B69" s="30">
        <v>112286.00000000001</v>
      </c>
      <c r="C69" s="31">
        <v>46851.799999999996</v>
      </c>
      <c r="D69" s="60">
        <v>16743.099999999999</v>
      </c>
      <c r="E69" s="61">
        <v>51077.9</v>
      </c>
      <c r="F69" s="60">
        <v>1385.7</v>
      </c>
      <c r="G69" s="62">
        <v>492.1</v>
      </c>
      <c r="H69" s="61">
        <f t="shared" si="31"/>
        <v>228836.60000000003</v>
      </c>
      <c r="I69" s="60">
        <v>69047.299999999988</v>
      </c>
      <c r="J69" s="61">
        <v>12566.5</v>
      </c>
      <c r="K69" s="60">
        <v>8850.7000000000007</v>
      </c>
      <c r="L69" s="61">
        <v>10803.599999999997</v>
      </c>
      <c r="M69" s="60">
        <v>250</v>
      </c>
      <c r="N69" s="63">
        <v>6.8000000000000007</v>
      </c>
      <c r="O69" s="64">
        <f t="shared" si="32"/>
        <v>101524.89999999998</v>
      </c>
      <c r="P69" s="32"/>
      <c r="Q69" s="32"/>
      <c r="R69" s="54"/>
      <c r="S69" s="32"/>
      <c r="T69" s="32"/>
      <c r="U69" s="32"/>
    </row>
    <row r="70" spans="1:21" ht="13.5" hidden="1" customHeight="1" x14ac:dyDescent="0.2">
      <c r="A70" s="10" t="s">
        <v>49</v>
      </c>
      <c r="B70" s="30">
        <v>116031.29999999999</v>
      </c>
      <c r="C70" s="31">
        <v>45037.599999999991</v>
      </c>
      <c r="D70" s="60">
        <v>15812.5</v>
      </c>
      <c r="E70" s="61">
        <v>39818.899999999994</v>
      </c>
      <c r="F70" s="60">
        <v>1623.6</v>
      </c>
      <c r="G70" s="62">
        <v>591.6</v>
      </c>
      <c r="H70" s="61">
        <f t="shared" si="31"/>
        <v>218915.49999999997</v>
      </c>
      <c r="I70" s="60">
        <v>73659.8</v>
      </c>
      <c r="J70" s="61">
        <v>14396.400000000001</v>
      </c>
      <c r="K70" s="60">
        <v>8743.6999999999989</v>
      </c>
      <c r="L70" s="61">
        <v>13280.099999999999</v>
      </c>
      <c r="M70" s="60">
        <v>250</v>
      </c>
      <c r="N70" s="63">
        <v>6.7</v>
      </c>
      <c r="O70" s="64">
        <f t="shared" si="32"/>
        <v>110336.7</v>
      </c>
      <c r="P70" s="32"/>
      <c r="Q70" s="32"/>
      <c r="R70" s="54"/>
      <c r="S70" s="32"/>
      <c r="T70" s="32"/>
      <c r="U70" s="32"/>
    </row>
    <row r="71" spans="1:21" ht="13.5" hidden="1" customHeight="1" x14ac:dyDescent="0.2">
      <c r="A71" s="10" t="s">
        <v>50</v>
      </c>
      <c r="B71" s="30">
        <v>113923.90000000002</v>
      </c>
      <c r="C71" s="31">
        <v>39842.9</v>
      </c>
      <c r="D71" s="60">
        <v>13702.2</v>
      </c>
      <c r="E71" s="61">
        <v>40051.599999999999</v>
      </c>
      <c r="F71" s="60">
        <v>1941.6999999999998</v>
      </c>
      <c r="G71" s="62">
        <v>877.9</v>
      </c>
      <c r="H71" s="61">
        <f t="shared" si="31"/>
        <v>210340.20000000004</v>
      </c>
      <c r="I71" s="60">
        <v>77590.5</v>
      </c>
      <c r="J71" s="61">
        <v>14261</v>
      </c>
      <c r="K71" s="60">
        <v>9845.2999999999993</v>
      </c>
      <c r="L71" s="61">
        <v>13793.599999999999</v>
      </c>
      <c r="M71" s="60">
        <v>250</v>
      </c>
      <c r="N71" s="63">
        <v>6.7</v>
      </c>
      <c r="O71" s="64">
        <f t="shared" si="32"/>
        <v>115747.09999999999</v>
      </c>
      <c r="P71" s="32"/>
      <c r="Q71" s="32"/>
      <c r="R71" s="54"/>
      <c r="S71" s="32"/>
      <c r="T71" s="32"/>
      <c r="U71" s="32"/>
    </row>
    <row r="72" spans="1:21" ht="13.5" hidden="1" customHeight="1" x14ac:dyDescent="0.2">
      <c r="A72" s="10" t="s">
        <v>51</v>
      </c>
      <c r="B72" s="30">
        <v>135849.70000000001</v>
      </c>
      <c r="C72" s="31">
        <v>48040.500000000007</v>
      </c>
      <c r="D72" s="60">
        <v>16952.3</v>
      </c>
      <c r="E72" s="61">
        <v>42146.000000000007</v>
      </c>
      <c r="F72" s="60">
        <v>2249</v>
      </c>
      <c r="G72" s="62">
        <v>973.4000000000002</v>
      </c>
      <c r="H72" s="61">
        <f t="shared" si="31"/>
        <v>246210.9</v>
      </c>
      <c r="I72" s="60">
        <v>79802.900000000009</v>
      </c>
      <c r="J72" s="61">
        <v>15644.599999999999</v>
      </c>
      <c r="K72" s="60">
        <v>9351.7999999999993</v>
      </c>
      <c r="L72" s="61">
        <v>11732.1</v>
      </c>
      <c r="M72" s="60">
        <v>400</v>
      </c>
      <c r="N72" s="63">
        <v>6.5</v>
      </c>
      <c r="O72" s="64">
        <f t="shared" si="32"/>
        <v>116937.90000000001</v>
      </c>
      <c r="P72" s="32"/>
      <c r="Q72" s="32"/>
      <c r="R72" s="54"/>
      <c r="S72" s="32"/>
      <c r="T72" s="32"/>
      <c r="U72" s="32"/>
    </row>
    <row r="73" spans="1:21" ht="13.5" hidden="1" customHeight="1" x14ac:dyDescent="0.2">
      <c r="A73" s="10"/>
      <c r="B73" s="30"/>
      <c r="C73" s="31"/>
      <c r="D73" s="60"/>
      <c r="E73" s="61"/>
      <c r="F73" s="60"/>
      <c r="G73" s="62"/>
      <c r="H73" s="61"/>
      <c r="I73" s="60"/>
      <c r="J73" s="61"/>
      <c r="K73" s="60"/>
      <c r="L73" s="61"/>
      <c r="M73" s="60"/>
      <c r="N73" s="63"/>
      <c r="O73" s="64"/>
      <c r="P73" s="32"/>
      <c r="Q73" s="32"/>
      <c r="R73" s="54"/>
      <c r="S73" s="32"/>
      <c r="T73" s="32"/>
      <c r="U73" s="32"/>
    </row>
    <row r="74" spans="1:21" ht="13.5" hidden="1" customHeight="1" x14ac:dyDescent="0.2">
      <c r="A74" s="10" t="s">
        <v>28</v>
      </c>
      <c r="B74" s="30">
        <v>128631.1</v>
      </c>
      <c r="C74" s="31">
        <v>50186.400000000001</v>
      </c>
      <c r="D74" s="60">
        <v>16738</v>
      </c>
      <c r="E74" s="61">
        <v>43394.700000000004</v>
      </c>
      <c r="F74" s="60">
        <v>2048.6000000000004</v>
      </c>
      <c r="G74" s="62">
        <v>598.80000000000007</v>
      </c>
      <c r="H74" s="61">
        <f t="shared" si="31"/>
        <v>241597.6</v>
      </c>
      <c r="I74" s="60">
        <v>79703.700000000012</v>
      </c>
      <c r="J74" s="61">
        <v>15721.300000000001</v>
      </c>
      <c r="K74" s="60">
        <v>8493.4</v>
      </c>
      <c r="L74" s="61">
        <v>11067.900000000001</v>
      </c>
      <c r="M74" s="60">
        <v>700</v>
      </c>
      <c r="N74" s="63">
        <v>47.20000000000001</v>
      </c>
      <c r="O74" s="64">
        <f t="shared" si="32"/>
        <v>115733.50000000001</v>
      </c>
      <c r="P74" s="32"/>
      <c r="Q74" s="32"/>
      <c r="R74" s="54"/>
      <c r="S74" s="32"/>
      <c r="T74" s="32"/>
      <c r="U74" s="32"/>
    </row>
    <row r="75" spans="1:21" ht="13.5" hidden="1" customHeight="1" x14ac:dyDescent="0.2">
      <c r="A75" s="10" t="s">
        <v>52</v>
      </c>
      <c r="B75" s="30">
        <v>132827.1</v>
      </c>
      <c r="C75" s="31">
        <v>53163.3</v>
      </c>
      <c r="D75" s="60">
        <v>15195.5</v>
      </c>
      <c r="E75" s="61">
        <v>39828.5</v>
      </c>
      <c r="F75" s="60">
        <v>3054.8</v>
      </c>
      <c r="G75" s="62">
        <v>698.4</v>
      </c>
      <c r="H75" s="61">
        <f t="shared" si="31"/>
        <v>244767.6</v>
      </c>
      <c r="I75" s="60">
        <v>78923.399999999994</v>
      </c>
      <c r="J75" s="61">
        <v>16005.2</v>
      </c>
      <c r="K75" s="60">
        <v>9308.8999999999978</v>
      </c>
      <c r="L75" s="61">
        <v>12115.2</v>
      </c>
      <c r="M75" s="60">
        <v>700</v>
      </c>
      <c r="N75" s="63">
        <v>35.5</v>
      </c>
      <c r="O75" s="64">
        <f t="shared" si="32"/>
        <v>117088.19999999998</v>
      </c>
      <c r="P75" s="32"/>
      <c r="Q75" s="32"/>
      <c r="R75" s="54"/>
      <c r="S75" s="32"/>
      <c r="T75" s="32"/>
      <c r="U75" s="32"/>
    </row>
    <row r="76" spans="1:21" ht="13.5" hidden="1" customHeight="1" x14ac:dyDescent="0.2">
      <c r="A76" s="10" t="s">
        <v>32</v>
      </c>
      <c r="B76" s="30">
        <v>135664.9</v>
      </c>
      <c r="C76" s="31">
        <v>53144.6</v>
      </c>
      <c r="D76" s="60">
        <v>13697.300000000001</v>
      </c>
      <c r="E76" s="61">
        <v>51067.199999999997</v>
      </c>
      <c r="F76" s="60">
        <v>3089.7</v>
      </c>
      <c r="G76" s="62">
        <v>965.09999999999991</v>
      </c>
      <c r="H76" s="61">
        <f t="shared" si="31"/>
        <v>257628.80000000002</v>
      </c>
      <c r="I76" s="60">
        <v>79263.200000000012</v>
      </c>
      <c r="J76" s="61">
        <v>17826.300000000003</v>
      </c>
      <c r="K76" s="60">
        <v>9883.4</v>
      </c>
      <c r="L76" s="61">
        <v>14258.4</v>
      </c>
      <c r="M76" s="60">
        <v>700</v>
      </c>
      <c r="N76" s="63">
        <v>32.700000000000003</v>
      </c>
      <c r="O76" s="64">
        <f t="shared" si="32"/>
        <v>121964</v>
      </c>
      <c r="P76" s="32"/>
      <c r="Q76" s="32"/>
      <c r="R76" s="54"/>
      <c r="S76" s="32"/>
      <c r="T76" s="32"/>
      <c r="U76" s="32"/>
    </row>
    <row r="77" spans="1:21" ht="13.5" hidden="1" customHeight="1" x14ac:dyDescent="0.2">
      <c r="A77" s="10" t="s">
        <v>55</v>
      </c>
      <c r="B77" s="30">
        <v>135708.19999999998</v>
      </c>
      <c r="C77" s="31">
        <v>51093.799999999996</v>
      </c>
      <c r="D77" s="60">
        <v>15904.699999999999</v>
      </c>
      <c r="E77" s="61">
        <v>43907.799999999996</v>
      </c>
      <c r="F77" s="60">
        <v>1963.4999999999998</v>
      </c>
      <c r="G77" s="62">
        <v>1073.3000000000002</v>
      </c>
      <c r="H77" s="61">
        <f t="shared" si="31"/>
        <v>249651.29999999996</v>
      </c>
      <c r="I77" s="60">
        <v>80479.700000000012</v>
      </c>
      <c r="J77" s="61">
        <v>16098.2</v>
      </c>
      <c r="K77" s="60">
        <v>12021.699999999999</v>
      </c>
      <c r="L77" s="61">
        <v>15928.599999999999</v>
      </c>
      <c r="M77" s="60">
        <v>1050</v>
      </c>
      <c r="N77" s="63">
        <v>34.200000000000003</v>
      </c>
      <c r="O77" s="64">
        <f t="shared" si="32"/>
        <v>125612.40000000001</v>
      </c>
      <c r="P77" s="32"/>
      <c r="Q77" s="32"/>
      <c r="R77" s="54"/>
      <c r="S77" s="32"/>
      <c r="T77" s="32"/>
      <c r="U77" s="32"/>
    </row>
    <row r="78" spans="1:21" ht="13.5" hidden="1" customHeight="1" x14ac:dyDescent="0.2">
      <c r="A78" s="10" t="s">
        <v>56</v>
      </c>
      <c r="B78" s="30">
        <v>132781.90000000002</v>
      </c>
      <c r="C78" s="31">
        <v>42458</v>
      </c>
      <c r="D78" s="60">
        <v>18397.100000000002</v>
      </c>
      <c r="E78" s="61">
        <v>42728</v>
      </c>
      <c r="F78" s="60">
        <v>1862.6</v>
      </c>
      <c r="G78" s="62">
        <v>480.90000000000003</v>
      </c>
      <c r="H78" s="61">
        <f t="shared" si="31"/>
        <v>238708.50000000003</v>
      </c>
      <c r="I78" s="60">
        <v>83314.7</v>
      </c>
      <c r="J78" s="61">
        <v>15940.699999999999</v>
      </c>
      <c r="K78" s="60">
        <v>8410.6999999999989</v>
      </c>
      <c r="L78" s="61">
        <v>13825.300000000001</v>
      </c>
      <c r="M78" s="60">
        <v>1550</v>
      </c>
      <c r="N78" s="63">
        <v>24.9</v>
      </c>
      <c r="O78" s="64">
        <f t="shared" si="32"/>
        <v>123066.29999999999</v>
      </c>
      <c r="P78" s="32"/>
      <c r="Q78" s="32"/>
      <c r="R78" s="54"/>
      <c r="S78" s="32"/>
      <c r="T78" s="32"/>
      <c r="U78" s="32"/>
    </row>
    <row r="79" spans="1:21" ht="13.5" hidden="1" customHeight="1" x14ac:dyDescent="0.2">
      <c r="A79" s="10" t="s">
        <v>57</v>
      </c>
      <c r="B79" s="30">
        <v>142462.1</v>
      </c>
      <c r="C79" s="31">
        <v>49844.608999999997</v>
      </c>
      <c r="D79" s="60">
        <v>12756.699999999999</v>
      </c>
      <c r="E79" s="61">
        <v>45754.291000000005</v>
      </c>
      <c r="F79" s="60">
        <v>1791.8</v>
      </c>
      <c r="G79" s="62">
        <v>668.4</v>
      </c>
      <c r="H79" s="61">
        <f t="shared" si="31"/>
        <v>253277.9</v>
      </c>
      <c r="I79" s="60">
        <v>83970.4</v>
      </c>
      <c r="J79" s="61">
        <v>16086.6</v>
      </c>
      <c r="K79" s="60">
        <v>11377.8</v>
      </c>
      <c r="L79" s="61">
        <v>14581.1</v>
      </c>
      <c r="M79" s="60">
        <v>1050</v>
      </c>
      <c r="N79" s="63">
        <v>11.899999999999999</v>
      </c>
      <c r="O79" s="64">
        <f t="shared" si="32"/>
        <v>127077.8</v>
      </c>
      <c r="P79" s="32"/>
      <c r="Q79" s="32"/>
      <c r="R79" s="54"/>
      <c r="S79" s="32"/>
      <c r="T79" s="32"/>
      <c r="U79" s="32"/>
    </row>
    <row r="80" spans="1:21" ht="13.5" hidden="1" customHeight="1" x14ac:dyDescent="0.2">
      <c r="A80" s="10" t="s">
        <v>58</v>
      </c>
      <c r="B80" s="30">
        <v>151397.69999999998</v>
      </c>
      <c r="C80" s="31">
        <v>53973.708999999995</v>
      </c>
      <c r="D80" s="60">
        <v>11127.5</v>
      </c>
      <c r="E80" s="61">
        <v>44436.091</v>
      </c>
      <c r="F80" s="60">
        <v>2679.2</v>
      </c>
      <c r="G80" s="62">
        <v>468.99999999999994</v>
      </c>
      <c r="H80" s="61">
        <f t="shared" si="31"/>
        <v>264083.20000000001</v>
      </c>
      <c r="I80" s="60">
        <v>85868.3</v>
      </c>
      <c r="J80" s="61">
        <v>16974.5</v>
      </c>
      <c r="K80" s="60">
        <v>13593.4</v>
      </c>
      <c r="L80" s="61">
        <v>13516.800000000001</v>
      </c>
      <c r="M80" s="60">
        <v>1450</v>
      </c>
      <c r="N80" s="63">
        <v>12</v>
      </c>
      <c r="O80" s="64">
        <f t="shared" si="32"/>
        <v>131415</v>
      </c>
      <c r="P80" s="32"/>
      <c r="Q80" s="32"/>
      <c r="R80" s="54"/>
      <c r="S80" s="32"/>
      <c r="T80" s="32"/>
      <c r="U80" s="32"/>
    </row>
    <row r="81" spans="1:21" ht="13.5" hidden="1" customHeight="1" x14ac:dyDescent="0.2">
      <c r="A81" s="10" t="s">
        <v>62</v>
      </c>
      <c r="B81" s="30">
        <v>146368.79999999999</v>
      </c>
      <c r="C81" s="31">
        <v>67101.409</v>
      </c>
      <c r="D81" s="60">
        <v>14798.199999999999</v>
      </c>
      <c r="E81" s="61">
        <v>46249.991000000002</v>
      </c>
      <c r="F81" s="60">
        <v>2221.4</v>
      </c>
      <c r="G81" s="62">
        <v>395</v>
      </c>
      <c r="H81" s="61">
        <f t="shared" si="31"/>
        <v>277134.8</v>
      </c>
      <c r="I81" s="60">
        <v>87966.200000000012</v>
      </c>
      <c r="J81" s="61">
        <v>18738.3</v>
      </c>
      <c r="K81" s="60">
        <v>14217.300000000001</v>
      </c>
      <c r="L81" s="61">
        <v>13324.1</v>
      </c>
      <c r="M81" s="60">
        <v>950</v>
      </c>
      <c r="N81" s="63">
        <v>20</v>
      </c>
      <c r="O81" s="64">
        <f t="shared" si="32"/>
        <v>135215.90000000002</v>
      </c>
      <c r="P81" s="32"/>
      <c r="Q81" s="32"/>
      <c r="R81" s="54"/>
      <c r="S81" s="32"/>
      <c r="T81" s="32"/>
      <c r="U81" s="32"/>
    </row>
    <row r="82" spans="1:21" ht="13.5" hidden="1" customHeight="1" x14ac:dyDescent="0.2">
      <c r="A82" s="10" t="s">
        <v>63</v>
      </c>
      <c r="B82" s="30">
        <v>147778.80000000002</v>
      </c>
      <c r="C82" s="31">
        <v>68967.608999999997</v>
      </c>
      <c r="D82" s="60">
        <v>13568.899999999998</v>
      </c>
      <c r="E82" s="61">
        <v>47258.391000000003</v>
      </c>
      <c r="F82" s="60">
        <v>3568.1000000000004</v>
      </c>
      <c r="G82" s="62">
        <v>298.89999999999998</v>
      </c>
      <c r="H82" s="61">
        <f t="shared" si="31"/>
        <v>281440.7</v>
      </c>
      <c r="I82" s="60">
        <v>86859.1</v>
      </c>
      <c r="J82" s="61">
        <v>18036.099999999999</v>
      </c>
      <c r="K82" s="60">
        <v>15823.8</v>
      </c>
      <c r="L82" s="61">
        <v>14222.1</v>
      </c>
      <c r="M82" s="60">
        <v>550</v>
      </c>
      <c r="N82" s="63">
        <v>5.6000000000000005</v>
      </c>
      <c r="O82" s="64">
        <f t="shared" si="32"/>
        <v>135496.70000000001</v>
      </c>
      <c r="P82" s="32"/>
      <c r="Q82" s="32"/>
      <c r="R82" s="54"/>
      <c r="S82" s="32"/>
      <c r="T82" s="32"/>
      <c r="U82" s="32"/>
    </row>
    <row r="83" spans="1:21" ht="13.5" hidden="1" customHeight="1" x14ac:dyDescent="0.2">
      <c r="A83" s="10" t="s">
        <v>64</v>
      </c>
      <c r="B83" s="30">
        <v>145277.9</v>
      </c>
      <c r="C83" s="31">
        <v>62945.308999999994</v>
      </c>
      <c r="D83" s="60">
        <v>12563.300000000001</v>
      </c>
      <c r="E83" s="61">
        <v>49615.891000000003</v>
      </c>
      <c r="F83" s="60">
        <v>3509.4</v>
      </c>
      <c r="G83" s="62">
        <v>263.5</v>
      </c>
      <c r="H83" s="61">
        <f t="shared" si="31"/>
        <v>274175.3</v>
      </c>
      <c r="I83" s="60">
        <v>89904.4</v>
      </c>
      <c r="J83" s="61">
        <v>19066.300000000003</v>
      </c>
      <c r="K83" s="60">
        <v>15867.7</v>
      </c>
      <c r="L83" s="61">
        <v>13822.600000000002</v>
      </c>
      <c r="M83" s="60">
        <v>610</v>
      </c>
      <c r="N83" s="63">
        <v>13.100000000000001</v>
      </c>
      <c r="O83" s="64">
        <f t="shared" si="32"/>
        <v>139284.1</v>
      </c>
      <c r="P83" s="32"/>
      <c r="Q83" s="32"/>
      <c r="R83" s="54"/>
      <c r="S83" s="32"/>
      <c r="T83" s="32"/>
      <c r="U83" s="32"/>
    </row>
    <row r="84" spans="1:21" ht="14.25" hidden="1" customHeight="1" x14ac:dyDescent="0.2">
      <c r="A84" s="10" t="s">
        <v>65</v>
      </c>
      <c r="B84" s="30">
        <v>148828.40000000002</v>
      </c>
      <c r="C84" s="31">
        <v>71129.008999999991</v>
      </c>
      <c r="D84" s="60">
        <v>17922.400000000001</v>
      </c>
      <c r="E84" s="61">
        <v>44410.290999999997</v>
      </c>
      <c r="F84" s="60">
        <v>5429.8</v>
      </c>
      <c r="G84" s="62">
        <v>389.5</v>
      </c>
      <c r="H84" s="61">
        <f t="shared" si="31"/>
        <v>288109.39999999997</v>
      </c>
      <c r="I84" s="60">
        <v>89257.5</v>
      </c>
      <c r="J84" s="61">
        <v>17785.3</v>
      </c>
      <c r="K84" s="60">
        <v>14920.1</v>
      </c>
      <c r="L84" s="61">
        <v>14428.1</v>
      </c>
      <c r="M84" s="60">
        <v>610</v>
      </c>
      <c r="N84" s="63">
        <v>13.2</v>
      </c>
      <c r="O84" s="64">
        <f t="shared" si="32"/>
        <v>137014.20000000001</v>
      </c>
      <c r="P84" s="32"/>
      <c r="Q84" s="32"/>
      <c r="R84" s="54"/>
      <c r="S84" s="32"/>
      <c r="T84" s="32"/>
      <c r="U84" s="32"/>
    </row>
    <row r="85" spans="1:21" ht="13.5" hidden="1" customHeight="1" x14ac:dyDescent="0.2">
      <c r="A85" s="10" t="s">
        <v>66</v>
      </c>
      <c r="B85" s="30">
        <v>164955</v>
      </c>
      <c r="C85" s="31">
        <v>68245.215502999999</v>
      </c>
      <c r="D85" s="60">
        <v>21443.200000000001</v>
      </c>
      <c r="E85" s="61">
        <v>56149.984497000005</v>
      </c>
      <c r="F85" s="60">
        <v>2545.3000000000002</v>
      </c>
      <c r="G85" s="62">
        <v>420.3</v>
      </c>
      <c r="H85" s="61">
        <f t="shared" si="31"/>
        <v>313759</v>
      </c>
      <c r="I85" s="60">
        <v>95000.5</v>
      </c>
      <c r="J85" s="61">
        <v>19048.699999999997</v>
      </c>
      <c r="K85" s="60">
        <v>13557.199999999999</v>
      </c>
      <c r="L85" s="61">
        <v>16003.1</v>
      </c>
      <c r="M85" s="60">
        <v>530</v>
      </c>
      <c r="N85" s="63">
        <v>7.9</v>
      </c>
      <c r="O85" s="64">
        <f t="shared" si="32"/>
        <v>144147.4</v>
      </c>
      <c r="P85" s="32"/>
      <c r="Q85" s="32"/>
      <c r="R85" s="54"/>
      <c r="S85" s="32"/>
      <c r="T85" s="32"/>
      <c r="U85" s="32"/>
    </row>
    <row r="86" spans="1:21" ht="13.5" hidden="1" customHeight="1" x14ac:dyDescent="0.2">
      <c r="A86" s="10"/>
      <c r="B86" s="30"/>
      <c r="C86" s="31"/>
      <c r="D86" s="60"/>
      <c r="E86" s="61"/>
      <c r="F86" s="60"/>
      <c r="G86" s="62"/>
      <c r="H86" s="61"/>
      <c r="I86" s="60"/>
      <c r="J86" s="61"/>
      <c r="K86" s="60"/>
      <c r="L86" s="61"/>
      <c r="M86" s="60"/>
      <c r="N86" s="63"/>
      <c r="O86" s="64"/>
      <c r="P86" s="32"/>
      <c r="Q86" s="32"/>
      <c r="R86" s="54"/>
      <c r="S86" s="32"/>
      <c r="T86" s="32"/>
      <c r="U86" s="32"/>
    </row>
    <row r="87" spans="1:21" ht="13.5" hidden="1" customHeight="1" x14ac:dyDescent="0.2">
      <c r="A87" s="10" t="s">
        <v>42</v>
      </c>
      <c r="B87" s="30">
        <v>155755.5</v>
      </c>
      <c r="C87" s="31">
        <v>70259.381567999997</v>
      </c>
      <c r="D87" s="60">
        <v>23495.200000000001</v>
      </c>
      <c r="E87" s="61">
        <v>53331.518431999983</v>
      </c>
      <c r="F87" s="60">
        <v>2749.9</v>
      </c>
      <c r="G87" s="62">
        <v>711.40000000000009</v>
      </c>
      <c r="H87" s="61">
        <f t="shared" si="31"/>
        <v>306302.90000000002</v>
      </c>
      <c r="I87" s="60">
        <v>95711.3</v>
      </c>
      <c r="J87" s="61">
        <v>20561.100000000002</v>
      </c>
      <c r="K87" s="60">
        <v>10619</v>
      </c>
      <c r="L87" s="61">
        <v>16924.199999999997</v>
      </c>
      <c r="M87" s="60">
        <v>230</v>
      </c>
      <c r="N87" s="63">
        <v>5.8000000000000007</v>
      </c>
      <c r="O87" s="64">
        <f t="shared" si="32"/>
        <v>144051.4</v>
      </c>
      <c r="P87" s="32"/>
      <c r="Q87" s="32"/>
      <c r="R87" s="54"/>
      <c r="S87" s="32"/>
      <c r="T87" s="32"/>
      <c r="U87" s="32"/>
    </row>
    <row r="88" spans="1:21" ht="13.5" hidden="1" customHeight="1" x14ac:dyDescent="0.2">
      <c r="A88" s="10" t="s">
        <v>67</v>
      </c>
      <c r="B88" s="30">
        <v>153432.20000000001</v>
      </c>
      <c r="C88" s="31">
        <v>79919.3</v>
      </c>
      <c r="D88" s="60">
        <v>17038.8</v>
      </c>
      <c r="E88" s="61">
        <v>49714</v>
      </c>
      <c r="F88" s="60">
        <v>2844.3</v>
      </c>
      <c r="G88" s="62">
        <v>683.80000000000007</v>
      </c>
      <c r="H88" s="61">
        <f t="shared" si="31"/>
        <v>303632.39999999997</v>
      </c>
      <c r="I88" s="60">
        <v>94823.5</v>
      </c>
      <c r="J88" s="61">
        <v>19595.899999999998</v>
      </c>
      <c r="K88" s="60">
        <v>11777.099999999999</v>
      </c>
      <c r="L88" s="61">
        <v>17664.500000000004</v>
      </c>
      <c r="M88" s="60">
        <v>230</v>
      </c>
      <c r="N88" s="63">
        <v>5.8000000000000007</v>
      </c>
      <c r="O88" s="64">
        <f t="shared" si="32"/>
        <v>144096.79999999999</v>
      </c>
      <c r="P88" s="32"/>
      <c r="Q88" s="32"/>
      <c r="R88" s="54"/>
      <c r="S88" s="32"/>
      <c r="T88" s="32"/>
      <c r="U88" s="32"/>
    </row>
    <row r="89" spans="1:21" ht="13.5" hidden="1" customHeight="1" x14ac:dyDescent="0.2">
      <c r="A89" s="10" t="s">
        <v>44</v>
      </c>
      <c r="B89" s="30">
        <v>158189.1</v>
      </c>
      <c r="C89" s="31">
        <v>65314.316288000002</v>
      </c>
      <c r="D89" s="60">
        <v>19329.5</v>
      </c>
      <c r="E89" s="61">
        <v>71575.183711999984</v>
      </c>
      <c r="F89" s="60">
        <v>1890.4</v>
      </c>
      <c r="G89" s="62">
        <v>728</v>
      </c>
      <c r="H89" s="61">
        <f t="shared" si="31"/>
        <v>317026.5</v>
      </c>
      <c r="I89" s="60">
        <v>98373.5</v>
      </c>
      <c r="J89" s="61">
        <v>22563.599999999999</v>
      </c>
      <c r="K89" s="60">
        <v>9694.9999999999982</v>
      </c>
      <c r="L89" s="61">
        <v>18237.999999999996</v>
      </c>
      <c r="M89" s="60">
        <v>230</v>
      </c>
      <c r="N89" s="63">
        <v>7.5000000000000009</v>
      </c>
      <c r="O89" s="64">
        <f t="shared" si="32"/>
        <v>149107.6</v>
      </c>
      <c r="P89" s="32"/>
      <c r="Q89" s="32"/>
      <c r="R89" s="54"/>
      <c r="S89" s="32"/>
      <c r="T89" s="32"/>
      <c r="U89" s="32"/>
    </row>
    <row r="90" spans="1:21" ht="13.5" hidden="1" customHeight="1" x14ac:dyDescent="0.2">
      <c r="A90" s="10" t="s">
        <v>17</v>
      </c>
      <c r="B90" s="30">
        <v>169937.30000000002</v>
      </c>
      <c r="C90" s="31">
        <v>67581.2</v>
      </c>
      <c r="D90" s="60">
        <v>26949.699999999993</v>
      </c>
      <c r="E90" s="61">
        <v>51177.2</v>
      </c>
      <c r="F90" s="60">
        <v>2570.3999999999996</v>
      </c>
      <c r="G90" s="62">
        <v>640.59999999999991</v>
      </c>
      <c r="H90" s="61">
        <f t="shared" si="31"/>
        <v>318856.40000000002</v>
      </c>
      <c r="I90" s="60">
        <v>95990.499999999985</v>
      </c>
      <c r="J90" s="61">
        <v>20826.899999999998</v>
      </c>
      <c r="K90" s="60">
        <v>11249.199999999999</v>
      </c>
      <c r="L90" s="61">
        <v>20325.900000000001</v>
      </c>
      <c r="M90" s="60">
        <v>230</v>
      </c>
      <c r="N90" s="63">
        <v>8.6999999999999993</v>
      </c>
      <c r="O90" s="64">
        <f t="shared" si="32"/>
        <v>148631.19999999998</v>
      </c>
      <c r="P90" s="32"/>
      <c r="Q90" s="32"/>
      <c r="R90" s="54"/>
      <c r="S90" s="32"/>
      <c r="T90" s="32"/>
      <c r="U90" s="32"/>
    </row>
    <row r="91" spans="1:21" ht="13.5" hidden="1" customHeight="1" x14ac:dyDescent="0.2">
      <c r="A91" s="10" t="s">
        <v>18</v>
      </c>
      <c r="B91" s="30">
        <v>171750.3</v>
      </c>
      <c r="C91" s="31">
        <v>64712.316288000009</v>
      </c>
      <c r="D91" s="60">
        <v>25363.799999999996</v>
      </c>
      <c r="E91" s="61">
        <v>50223.88371200001</v>
      </c>
      <c r="F91" s="60">
        <v>2591.6999999999998</v>
      </c>
      <c r="G91" s="62">
        <v>744.6</v>
      </c>
      <c r="H91" s="61">
        <f t="shared" si="31"/>
        <v>315386.59999999998</v>
      </c>
      <c r="I91" s="60">
        <v>95854.2</v>
      </c>
      <c r="J91" s="61">
        <v>23722.6</v>
      </c>
      <c r="K91" s="60">
        <v>14347.5</v>
      </c>
      <c r="L91" s="61">
        <v>19255.600000000006</v>
      </c>
      <c r="M91" s="60">
        <v>230</v>
      </c>
      <c r="N91" s="63">
        <v>8.8000000000000007</v>
      </c>
      <c r="O91" s="64">
        <f t="shared" si="32"/>
        <v>153418.69999999998</v>
      </c>
      <c r="P91" s="32"/>
      <c r="Q91" s="32"/>
      <c r="R91" s="54"/>
      <c r="S91" s="32"/>
      <c r="T91" s="32"/>
      <c r="U91" s="32"/>
    </row>
    <row r="92" spans="1:21" ht="13.5" hidden="1" customHeight="1" x14ac:dyDescent="0.2">
      <c r="A92" s="10" t="s">
        <v>22</v>
      </c>
      <c r="B92" s="30">
        <v>171985.7</v>
      </c>
      <c r="C92" s="31">
        <v>62727.208724999997</v>
      </c>
      <c r="D92" s="60">
        <v>23321.100000000002</v>
      </c>
      <c r="E92" s="61">
        <v>55968.291275000011</v>
      </c>
      <c r="F92" s="60">
        <v>2967.5</v>
      </c>
      <c r="G92" s="62">
        <v>640.9</v>
      </c>
      <c r="H92" s="61">
        <f t="shared" si="31"/>
        <v>317610.70000000007</v>
      </c>
      <c r="I92" s="60">
        <v>96190.599999999991</v>
      </c>
      <c r="J92" s="61">
        <v>24376</v>
      </c>
      <c r="K92" s="60">
        <v>20506.300000000003</v>
      </c>
      <c r="L92" s="61">
        <v>18915.5</v>
      </c>
      <c r="M92" s="60">
        <v>230</v>
      </c>
      <c r="N92" s="63">
        <v>8.8000000000000007</v>
      </c>
      <c r="O92" s="64">
        <f t="shared" si="32"/>
        <v>160227.19999999998</v>
      </c>
      <c r="P92" s="32"/>
      <c r="Q92" s="32"/>
      <c r="R92" s="54"/>
      <c r="S92" s="32"/>
      <c r="T92" s="32"/>
      <c r="U92" s="32"/>
    </row>
    <row r="93" spans="1:21" ht="13.5" hidden="1" customHeight="1" x14ac:dyDescent="0.2">
      <c r="A93" s="10" t="s">
        <v>27</v>
      </c>
      <c r="B93" s="30">
        <v>172655.2</v>
      </c>
      <c r="C93" s="31">
        <v>63759.547308999994</v>
      </c>
      <c r="D93" s="60">
        <v>27019.599999999999</v>
      </c>
      <c r="E93" s="61">
        <v>53874.852690999993</v>
      </c>
      <c r="F93" s="60">
        <v>1563.1</v>
      </c>
      <c r="G93" s="62">
        <v>596.69999999999993</v>
      </c>
      <c r="H93" s="61">
        <f t="shared" si="31"/>
        <v>319468.99999999994</v>
      </c>
      <c r="I93" s="60">
        <v>94365.4</v>
      </c>
      <c r="J93" s="61">
        <v>31877.100000000002</v>
      </c>
      <c r="K93" s="60">
        <v>21554.9</v>
      </c>
      <c r="L93" s="61">
        <v>17183.8</v>
      </c>
      <c r="M93" s="60">
        <v>230</v>
      </c>
      <c r="N93" s="63">
        <v>8.8000000000000007</v>
      </c>
      <c r="O93" s="64">
        <f t="shared" si="32"/>
        <v>165219.99999999997</v>
      </c>
      <c r="P93" s="32"/>
      <c r="Q93" s="32"/>
      <c r="R93" s="54"/>
      <c r="S93" s="32"/>
      <c r="T93" s="32"/>
      <c r="U93" s="32"/>
    </row>
    <row r="94" spans="1:21" ht="13.5" hidden="1" customHeight="1" x14ac:dyDescent="0.2">
      <c r="A94" s="10" t="s">
        <v>19</v>
      </c>
      <c r="B94" s="30">
        <v>166057.29999999999</v>
      </c>
      <c r="C94" s="31">
        <v>68073.516918999987</v>
      </c>
      <c r="D94" s="60">
        <v>21789.299999999996</v>
      </c>
      <c r="E94" s="61">
        <v>52920.183081000003</v>
      </c>
      <c r="F94" s="60">
        <v>2275.4</v>
      </c>
      <c r="G94" s="62">
        <v>663.90000000000009</v>
      </c>
      <c r="H94" s="61">
        <f t="shared" si="31"/>
        <v>311779.60000000003</v>
      </c>
      <c r="I94" s="60">
        <v>100255.4</v>
      </c>
      <c r="J94" s="61">
        <v>26336</v>
      </c>
      <c r="K94" s="60">
        <v>22489</v>
      </c>
      <c r="L94" s="61">
        <v>22518.399999999998</v>
      </c>
      <c r="M94" s="60">
        <v>230</v>
      </c>
      <c r="N94" s="63">
        <v>15</v>
      </c>
      <c r="O94" s="64">
        <f t="shared" si="32"/>
        <v>171843.8</v>
      </c>
      <c r="P94" s="32"/>
      <c r="Q94" s="32"/>
      <c r="R94" s="54"/>
      <c r="S94" s="32"/>
      <c r="T94" s="32"/>
      <c r="U94" s="32"/>
    </row>
    <row r="95" spans="1:21" ht="13.5" hidden="1" customHeight="1" x14ac:dyDescent="0.2">
      <c r="A95" s="10" t="s">
        <v>16</v>
      </c>
      <c r="B95" s="30">
        <v>159049.69999999998</v>
      </c>
      <c r="C95" s="31">
        <v>57747.700000000004</v>
      </c>
      <c r="D95" s="60">
        <v>18754.2</v>
      </c>
      <c r="E95" s="61">
        <v>52985.899999999994</v>
      </c>
      <c r="F95" s="60">
        <v>3422.7</v>
      </c>
      <c r="G95" s="62">
        <v>630.69999999999993</v>
      </c>
      <c r="H95" s="61">
        <f t="shared" si="31"/>
        <v>292590.90000000002</v>
      </c>
      <c r="I95" s="60">
        <v>97322.2</v>
      </c>
      <c r="J95" s="61">
        <v>30341.100000000002</v>
      </c>
      <c r="K95" s="60">
        <v>24591.899999999994</v>
      </c>
      <c r="L95" s="61">
        <v>21344.399999999998</v>
      </c>
      <c r="M95" s="60">
        <v>230</v>
      </c>
      <c r="N95" s="63">
        <v>15</v>
      </c>
      <c r="O95" s="64">
        <f t="shared" si="32"/>
        <v>173844.6</v>
      </c>
      <c r="P95" s="32"/>
      <c r="Q95" s="32"/>
      <c r="R95" s="54"/>
      <c r="S95" s="32"/>
      <c r="T95" s="32"/>
      <c r="U95" s="32"/>
    </row>
    <row r="96" spans="1:21" ht="13.5" hidden="1" customHeight="1" x14ac:dyDescent="0.2">
      <c r="A96" s="10" t="s">
        <v>53</v>
      </c>
      <c r="B96" s="30">
        <v>163340.4</v>
      </c>
      <c r="C96" s="31">
        <v>57605.176397999996</v>
      </c>
      <c r="D96" s="60">
        <v>16083.599999999999</v>
      </c>
      <c r="E96" s="61">
        <v>62905.423601999995</v>
      </c>
      <c r="F96" s="60">
        <v>2162.6999999999998</v>
      </c>
      <c r="G96" s="62">
        <v>678.5</v>
      </c>
      <c r="H96" s="61">
        <f t="shared" si="31"/>
        <v>302775.8</v>
      </c>
      <c r="I96" s="60">
        <v>94394.2</v>
      </c>
      <c r="J96" s="61">
        <v>29593.300000000007</v>
      </c>
      <c r="K96" s="60">
        <v>25946.399999999998</v>
      </c>
      <c r="L96" s="61">
        <v>22255.399999999998</v>
      </c>
      <c r="M96" s="60">
        <v>230</v>
      </c>
      <c r="N96" s="63">
        <v>15</v>
      </c>
      <c r="O96" s="64">
        <f t="shared" si="32"/>
        <v>172434.3</v>
      </c>
      <c r="P96" s="32"/>
      <c r="Q96" s="32"/>
      <c r="R96" s="54"/>
      <c r="S96" s="32"/>
      <c r="T96" s="32"/>
      <c r="U96" s="32"/>
    </row>
    <row r="97" spans="1:21" ht="13.5" hidden="1" customHeight="1" x14ac:dyDescent="0.2">
      <c r="A97" s="10" t="s">
        <v>54</v>
      </c>
      <c r="B97" s="30">
        <v>159255.4</v>
      </c>
      <c r="C97" s="31">
        <v>53362.606783999996</v>
      </c>
      <c r="D97" s="60">
        <v>16704.400000000001</v>
      </c>
      <c r="E97" s="61">
        <v>53586.093216000001</v>
      </c>
      <c r="F97" s="60">
        <v>1547.9</v>
      </c>
      <c r="G97" s="62">
        <v>728.30000000000007</v>
      </c>
      <c r="H97" s="61">
        <f t="shared" si="31"/>
        <v>285184.7</v>
      </c>
      <c r="I97" s="60">
        <v>96582.7</v>
      </c>
      <c r="J97" s="61">
        <v>30989.100000000006</v>
      </c>
      <c r="K97" s="60">
        <v>23387.1</v>
      </c>
      <c r="L97" s="61">
        <v>26166.400000000001</v>
      </c>
      <c r="M97" s="60">
        <v>230</v>
      </c>
      <c r="N97" s="63">
        <v>5.6999999999999993</v>
      </c>
      <c r="O97" s="64">
        <f t="shared" si="32"/>
        <v>177361</v>
      </c>
      <c r="P97" s="32"/>
      <c r="Q97" s="32"/>
      <c r="R97" s="54"/>
      <c r="S97" s="32"/>
      <c r="T97" s="32"/>
      <c r="U97" s="32"/>
    </row>
    <row r="98" spans="1:21" ht="13.5" hidden="1" customHeight="1" x14ac:dyDescent="0.2">
      <c r="A98" s="10" t="s">
        <v>59</v>
      </c>
      <c r="B98" s="30">
        <v>167377.79999999999</v>
      </c>
      <c r="C98" s="31">
        <v>57811.200000000004</v>
      </c>
      <c r="D98" s="60">
        <v>21500.100000000002</v>
      </c>
      <c r="E98" s="61">
        <v>56104</v>
      </c>
      <c r="F98" s="60">
        <v>848.1</v>
      </c>
      <c r="G98" s="62">
        <v>723.5</v>
      </c>
      <c r="H98" s="61">
        <f t="shared" si="31"/>
        <v>304364.69999999995</v>
      </c>
      <c r="I98" s="60">
        <v>99610.4</v>
      </c>
      <c r="J98" s="61">
        <v>34009.299999999996</v>
      </c>
      <c r="K98" s="60">
        <v>23138</v>
      </c>
      <c r="L98" s="61">
        <v>21827.9</v>
      </c>
      <c r="M98" s="60">
        <v>230</v>
      </c>
      <c r="N98" s="63">
        <v>5.4</v>
      </c>
      <c r="O98" s="64">
        <f t="shared" si="32"/>
        <v>178820.99999999997</v>
      </c>
      <c r="P98" s="32"/>
      <c r="Q98" s="32"/>
      <c r="R98" s="54"/>
      <c r="S98" s="32"/>
      <c r="T98" s="32"/>
      <c r="U98" s="32"/>
    </row>
    <row r="99" spans="1:21" ht="13.5" hidden="1" customHeight="1" x14ac:dyDescent="0.2">
      <c r="A99" s="10"/>
      <c r="B99" s="30"/>
      <c r="C99" s="31"/>
      <c r="D99" s="60"/>
      <c r="E99" s="61"/>
      <c r="F99" s="60"/>
      <c r="G99" s="62"/>
      <c r="H99" s="61"/>
      <c r="I99" s="60"/>
      <c r="J99" s="61"/>
      <c r="K99" s="60"/>
      <c r="L99" s="61"/>
      <c r="M99" s="60"/>
      <c r="N99" s="63"/>
      <c r="O99" s="64"/>
      <c r="P99" s="32"/>
      <c r="Q99" s="32"/>
      <c r="R99" s="54"/>
      <c r="S99" s="32"/>
      <c r="T99" s="32"/>
      <c r="U99" s="32"/>
    </row>
    <row r="100" spans="1:21" ht="13.5" hidden="1" customHeight="1" x14ac:dyDescent="0.2">
      <c r="A100" s="10" t="s">
        <v>60</v>
      </c>
      <c r="B100" s="30">
        <v>172096.4</v>
      </c>
      <c r="C100" s="31">
        <v>60866.331158999987</v>
      </c>
      <c r="D100" s="60">
        <v>19839.599999999999</v>
      </c>
      <c r="E100" s="61">
        <v>56337.268841000012</v>
      </c>
      <c r="F100" s="60">
        <v>1398.9</v>
      </c>
      <c r="G100" s="62">
        <v>1300.7</v>
      </c>
      <c r="H100" s="61">
        <f t="shared" si="31"/>
        <v>311839.2</v>
      </c>
      <c r="I100" s="60">
        <v>94277.900000000009</v>
      </c>
      <c r="J100" s="61">
        <v>22126.2</v>
      </c>
      <c r="K100" s="60">
        <v>23627.899999999998</v>
      </c>
      <c r="L100" s="61">
        <v>27919.200000000004</v>
      </c>
      <c r="M100" s="60">
        <v>230</v>
      </c>
      <c r="N100" s="63">
        <v>6.6999999999999993</v>
      </c>
      <c r="O100" s="64">
        <f t="shared" si="32"/>
        <v>168187.90000000002</v>
      </c>
      <c r="P100" s="32"/>
      <c r="Q100" s="32"/>
      <c r="R100" s="54"/>
      <c r="S100" s="32"/>
      <c r="T100" s="32"/>
      <c r="U100" s="32"/>
    </row>
    <row r="101" spans="1:21" ht="13.5" hidden="1" customHeight="1" x14ac:dyDescent="0.2">
      <c r="A101" s="10" t="s">
        <v>79</v>
      </c>
      <c r="B101" s="30">
        <v>171127.69999999998</v>
      </c>
      <c r="C101" s="31">
        <v>55959.637975999998</v>
      </c>
      <c r="D101" s="60">
        <v>21644.6</v>
      </c>
      <c r="E101" s="61">
        <v>54294.062023999999</v>
      </c>
      <c r="F101" s="60">
        <v>2281.6000000000004</v>
      </c>
      <c r="G101" s="62">
        <v>619.1</v>
      </c>
      <c r="H101" s="61">
        <f t="shared" si="31"/>
        <v>305926.69999999995</v>
      </c>
      <c r="I101" s="60">
        <v>98140.2</v>
      </c>
      <c r="J101" s="61">
        <v>22060.5</v>
      </c>
      <c r="K101" s="60">
        <v>22353.200000000001</v>
      </c>
      <c r="L101" s="61">
        <v>25523.999999999996</v>
      </c>
      <c r="M101" s="60">
        <v>230</v>
      </c>
      <c r="N101" s="63">
        <v>3.7</v>
      </c>
      <c r="O101" s="64">
        <f t="shared" si="32"/>
        <v>168311.6</v>
      </c>
      <c r="P101" s="32"/>
      <c r="Q101" s="32"/>
      <c r="R101" s="54"/>
      <c r="S101" s="32"/>
      <c r="T101" s="32"/>
      <c r="U101" s="32"/>
    </row>
    <row r="102" spans="1:21" ht="13.5" hidden="1" customHeight="1" x14ac:dyDescent="0.2">
      <c r="A102" s="10" t="s">
        <v>61</v>
      </c>
      <c r="B102" s="30">
        <v>162195.4</v>
      </c>
      <c r="C102" s="31">
        <v>56490.400000000009</v>
      </c>
      <c r="D102" s="60">
        <v>19824</v>
      </c>
      <c r="E102" s="61">
        <v>54730.000000000015</v>
      </c>
      <c r="F102" s="60">
        <v>1198.3999999999999</v>
      </c>
      <c r="G102" s="62">
        <v>609.29999999999995</v>
      </c>
      <c r="H102" s="61">
        <f t="shared" si="31"/>
        <v>295047.5</v>
      </c>
      <c r="I102" s="60">
        <v>100035.1</v>
      </c>
      <c r="J102" s="61">
        <v>27998.900000000005</v>
      </c>
      <c r="K102" s="60">
        <v>22373.699999999997</v>
      </c>
      <c r="L102" s="61">
        <v>21971.800000000003</v>
      </c>
      <c r="M102" s="60">
        <v>230</v>
      </c>
      <c r="N102" s="63">
        <v>3.8</v>
      </c>
      <c r="O102" s="64">
        <f t="shared" si="32"/>
        <v>172613.3</v>
      </c>
      <c r="P102" s="32"/>
      <c r="Q102" s="32"/>
      <c r="R102" s="54"/>
      <c r="S102" s="32"/>
      <c r="T102" s="32"/>
      <c r="U102" s="32"/>
    </row>
    <row r="103" spans="1:21" ht="13.5" hidden="1" customHeight="1" x14ac:dyDescent="0.2">
      <c r="A103" s="10" t="s">
        <v>81</v>
      </c>
      <c r="B103" s="30">
        <v>163741.1</v>
      </c>
      <c r="C103" s="31">
        <v>62741.017701000004</v>
      </c>
      <c r="D103" s="60">
        <v>20564.599999999999</v>
      </c>
      <c r="E103" s="61">
        <v>50648.682299000007</v>
      </c>
      <c r="F103" s="60">
        <v>1153.6999999999998</v>
      </c>
      <c r="G103" s="62">
        <v>481.50000000000006</v>
      </c>
      <c r="H103" s="61">
        <f t="shared" si="31"/>
        <v>299330.60000000003</v>
      </c>
      <c r="I103" s="60">
        <v>100211.2</v>
      </c>
      <c r="J103" s="61">
        <v>25940.000000000004</v>
      </c>
      <c r="K103" s="60">
        <v>21544.6</v>
      </c>
      <c r="L103" s="61">
        <v>25441.300000000003</v>
      </c>
      <c r="M103" s="60">
        <v>230</v>
      </c>
      <c r="N103" s="63">
        <v>3.9</v>
      </c>
      <c r="O103" s="64">
        <f t="shared" si="32"/>
        <v>173370.99999999997</v>
      </c>
      <c r="P103" s="32"/>
      <c r="Q103" s="32"/>
      <c r="R103" s="54"/>
      <c r="S103" s="32"/>
      <c r="T103" s="32"/>
      <c r="U103" s="32"/>
    </row>
    <row r="104" spans="1:21" ht="13.5" hidden="1" customHeight="1" x14ac:dyDescent="0.2">
      <c r="A104" s="10" t="s">
        <v>82</v>
      </c>
      <c r="B104" s="30">
        <v>158838</v>
      </c>
      <c r="C104" s="31">
        <v>66747.434687999994</v>
      </c>
      <c r="D104" s="60">
        <v>22618.899999999998</v>
      </c>
      <c r="E104" s="61">
        <v>52602.665311999997</v>
      </c>
      <c r="F104" s="60">
        <v>1791.6</v>
      </c>
      <c r="G104" s="62">
        <v>449.6</v>
      </c>
      <c r="H104" s="61">
        <f t="shared" si="31"/>
        <v>303048.19999999995</v>
      </c>
      <c r="I104" s="60">
        <v>86348.799999999988</v>
      </c>
      <c r="J104" s="61">
        <v>18222.100000000002</v>
      </c>
      <c r="K104" s="60">
        <v>22776.5</v>
      </c>
      <c r="L104" s="61">
        <v>43972.500000000007</v>
      </c>
      <c r="M104" s="60">
        <v>1230</v>
      </c>
      <c r="N104" s="63">
        <v>4</v>
      </c>
      <c r="O104" s="64">
        <f t="shared" si="32"/>
        <v>172553.9</v>
      </c>
      <c r="P104" s="32"/>
      <c r="Q104" s="32"/>
      <c r="R104" s="54"/>
      <c r="S104" s="32"/>
      <c r="T104" s="32"/>
      <c r="U104" s="32"/>
    </row>
    <row r="105" spans="1:21" ht="13.5" hidden="1" customHeight="1" x14ac:dyDescent="0.2">
      <c r="A105" s="10" t="s">
        <v>83</v>
      </c>
      <c r="B105" s="30">
        <v>164538.70000000001</v>
      </c>
      <c r="C105" s="31">
        <v>71022.3</v>
      </c>
      <c r="D105" s="60">
        <v>22213.899999999998</v>
      </c>
      <c r="E105" s="61">
        <v>98503.4</v>
      </c>
      <c r="F105" s="60">
        <v>3757.5</v>
      </c>
      <c r="G105" s="62">
        <v>742.1</v>
      </c>
      <c r="H105" s="61">
        <f t="shared" si="31"/>
        <v>360777.89999999997</v>
      </c>
      <c r="I105" s="60">
        <v>97700.4</v>
      </c>
      <c r="J105" s="61">
        <v>28731.599999999995</v>
      </c>
      <c r="K105" s="60">
        <v>21937.199999999997</v>
      </c>
      <c r="L105" s="61">
        <v>58804.5</v>
      </c>
      <c r="M105" s="60">
        <v>1204.8</v>
      </c>
      <c r="N105" s="63">
        <v>44.5</v>
      </c>
      <c r="O105" s="64">
        <f t="shared" si="32"/>
        <v>208422.99999999997</v>
      </c>
      <c r="P105" s="32"/>
      <c r="Q105" s="32"/>
      <c r="R105" s="54"/>
      <c r="S105" s="32"/>
      <c r="T105" s="32"/>
      <c r="U105" s="32"/>
    </row>
    <row r="106" spans="1:21" ht="13.5" hidden="1" customHeight="1" x14ac:dyDescent="0.2">
      <c r="A106" s="10" t="s">
        <v>84</v>
      </c>
      <c r="B106" s="30">
        <v>155761.60000000001</v>
      </c>
      <c r="C106" s="31">
        <v>72882.319455999997</v>
      </c>
      <c r="D106" s="60">
        <v>18152.599999999999</v>
      </c>
      <c r="E106" s="61">
        <v>51836.880544000014</v>
      </c>
      <c r="F106" s="60">
        <v>2804.7</v>
      </c>
      <c r="G106" s="62">
        <v>422.6</v>
      </c>
      <c r="H106" s="61">
        <f t="shared" si="31"/>
        <v>301860.7</v>
      </c>
      <c r="I106" s="60">
        <v>85655</v>
      </c>
      <c r="J106" s="61">
        <v>19487.899999999998</v>
      </c>
      <c r="K106" s="60">
        <v>20748</v>
      </c>
      <c r="L106" s="61">
        <v>45254.599999999991</v>
      </c>
      <c r="M106" s="60">
        <v>730</v>
      </c>
      <c r="N106" s="63">
        <v>4.0999999999999996</v>
      </c>
      <c r="O106" s="64">
        <f t="shared" si="32"/>
        <v>171879.6</v>
      </c>
      <c r="P106" s="32"/>
      <c r="Q106" s="32"/>
      <c r="R106" s="54"/>
      <c r="S106" s="32"/>
      <c r="T106" s="32"/>
      <c r="U106" s="32"/>
    </row>
    <row r="107" spans="1:21" ht="13.5" hidden="1" customHeight="1" x14ac:dyDescent="0.2">
      <c r="A107" s="10" t="s">
        <v>85</v>
      </c>
      <c r="B107" s="30">
        <v>156444.80000000002</v>
      </c>
      <c r="C107" s="31">
        <v>82664.646432000009</v>
      </c>
      <c r="D107" s="60">
        <v>19013</v>
      </c>
      <c r="E107" s="61">
        <v>49629.953567999997</v>
      </c>
      <c r="F107" s="60">
        <v>1282</v>
      </c>
      <c r="G107" s="62">
        <v>472.3</v>
      </c>
      <c r="H107" s="61">
        <f t="shared" si="31"/>
        <v>309506.7</v>
      </c>
      <c r="I107" s="60">
        <v>82286.100000000006</v>
      </c>
      <c r="J107" s="61">
        <v>22242.600000000002</v>
      </c>
      <c r="K107" s="60">
        <v>20294.099999999995</v>
      </c>
      <c r="L107" s="61">
        <v>47026.399999999987</v>
      </c>
      <c r="M107" s="60">
        <v>730</v>
      </c>
      <c r="N107" s="63">
        <v>3.8000000000000003</v>
      </c>
      <c r="O107" s="64">
        <f t="shared" si="32"/>
        <v>172582.99999999997</v>
      </c>
      <c r="P107" s="32"/>
      <c r="Q107" s="32"/>
      <c r="R107" s="54"/>
      <c r="S107" s="32"/>
      <c r="T107" s="32"/>
      <c r="U107" s="32"/>
    </row>
    <row r="108" spans="1:21" ht="13.5" hidden="1" customHeight="1" x14ac:dyDescent="0.2">
      <c r="A108" s="10" t="s">
        <v>86</v>
      </c>
      <c r="B108" s="30">
        <v>158175.5</v>
      </c>
      <c r="C108" s="31">
        <v>78968.499999999985</v>
      </c>
      <c r="D108" s="60">
        <v>15858.113999999998</v>
      </c>
      <c r="E108" s="61">
        <v>55075.700000000004</v>
      </c>
      <c r="F108" s="60">
        <v>1188.7</v>
      </c>
      <c r="G108" s="62">
        <v>427.89999999999992</v>
      </c>
      <c r="H108" s="61">
        <f t="shared" si="31"/>
        <v>309694.41400000005</v>
      </c>
      <c r="I108" s="60">
        <v>83175.199999999997</v>
      </c>
      <c r="J108" s="61">
        <v>18717.3</v>
      </c>
      <c r="K108" s="60">
        <v>19966.899999999998</v>
      </c>
      <c r="L108" s="61">
        <v>49284.100000000006</v>
      </c>
      <c r="M108" s="60">
        <v>500</v>
      </c>
      <c r="N108" s="63">
        <v>3.9</v>
      </c>
      <c r="O108" s="64">
        <f t="shared" si="32"/>
        <v>171647.4</v>
      </c>
      <c r="P108" s="32"/>
      <c r="Q108" s="32"/>
      <c r="R108" s="54"/>
      <c r="S108" s="32"/>
      <c r="T108" s="32"/>
      <c r="U108" s="32"/>
    </row>
    <row r="109" spans="1:21" ht="13.5" hidden="1" customHeight="1" x14ac:dyDescent="0.2">
      <c r="A109" s="10" t="s">
        <v>87</v>
      </c>
      <c r="B109" s="30">
        <v>161860.1</v>
      </c>
      <c r="C109" s="31">
        <v>74333.099999999991</v>
      </c>
      <c r="D109" s="60">
        <v>17611.5</v>
      </c>
      <c r="E109" s="61">
        <v>62580.299999999988</v>
      </c>
      <c r="F109" s="60">
        <v>2797.5</v>
      </c>
      <c r="G109" s="62">
        <v>441.8</v>
      </c>
      <c r="H109" s="61">
        <f t="shared" si="31"/>
        <v>319624.3</v>
      </c>
      <c r="I109" s="60">
        <v>90243</v>
      </c>
      <c r="J109" s="61">
        <v>21395.200000000001</v>
      </c>
      <c r="K109" s="60">
        <v>21683.1</v>
      </c>
      <c r="L109" s="61">
        <v>42466.700000000004</v>
      </c>
      <c r="M109" s="60">
        <v>730</v>
      </c>
      <c r="N109" s="63">
        <v>6.3</v>
      </c>
      <c r="O109" s="64">
        <f t="shared" si="32"/>
        <v>176524.3</v>
      </c>
      <c r="P109" s="32"/>
      <c r="Q109" s="32"/>
      <c r="R109" s="54"/>
      <c r="S109" s="32"/>
      <c r="T109" s="32"/>
      <c r="U109" s="32"/>
    </row>
    <row r="110" spans="1:21" ht="13.5" hidden="1" customHeight="1" x14ac:dyDescent="0.2">
      <c r="A110" s="10" t="s">
        <v>89</v>
      </c>
      <c r="B110" s="30">
        <v>163836.9</v>
      </c>
      <c r="C110" s="31">
        <v>76400.3</v>
      </c>
      <c r="D110" s="60">
        <v>21771.399999999998</v>
      </c>
      <c r="E110" s="61">
        <v>56269.399999999994</v>
      </c>
      <c r="F110" s="60">
        <v>4113.7999999999993</v>
      </c>
      <c r="G110" s="62">
        <v>608.9</v>
      </c>
      <c r="H110" s="61">
        <f t="shared" si="31"/>
        <v>323000.7</v>
      </c>
      <c r="I110" s="60">
        <v>93876.099999999991</v>
      </c>
      <c r="J110" s="61">
        <v>21454.400000000001</v>
      </c>
      <c r="K110" s="60">
        <v>20612.099999999999</v>
      </c>
      <c r="L110" s="61">
        <v>50652.099999999991</v>
      </c>
      <c r="M110" s="60">
        <v>430</v>
      </c>
      <c r="N110" s="63">
        <v>46.9</v>
      </c>
      <c r="O110" s="64">
        <f t="shared" si="32"/>
        <v>187071.6</v>
      </c>
      <c r="P110" s="32"/>
      <c r="Q110" s="32"/>
      <c r="R110" s="54"/>
      <c r="S110" s="32"/>
      <c r="T110" s="32"/>
      <c r="U110" s="32"/>
    </row>
    <row r="111" spans="1:21" ht="13.5" hidden="1" customHeight="1" x14ac:dyDescent="0.2">
      <c r="A111" s="10" t="s">
        <v>91</v>
      </c>
      <c r="B111" s="30">
        <v>176823.4</v>
      </c>
      <c r="C111" s="31">
        <v>82976.299999999988</v>
      </c>
      <c r="D111" s="60">
        <v>16096.800000000001</v>
      </c>
      <c r="E111" s="61">
        <v>59898.199999999983</v>
      </c>
      <c r="F111" s="60">
        <v>3398.2000000000003</v>
      </c>
      <c r="G111" s="62">
        <v>482.40000000000003</v>
      </c>
      <c r="H111" s="61">
        <f t="shared" si="31"/>
        <v>339675.3</v>
      </c>
      <c r="I111" s="60">
        <v>99093.400000000009</v>
      </c>
      <c r="J111" s="61">
        <v>22695.800000000003</v>
      </c>
      <c r="K111" s="60">
        <v>24065.600000000002</v>
      </c>
      <c r="L111" s="61">
        <v>48173.100000000006</v>
      </c>
      <c r="M111" s="60">
        <v>430</v>
      </c>
      <c r="N111" s="63">
        <v>48.2</v>
      </c>
      <c r="O111" s="64">
        <f t="shared" si="32"/>
        <v>194506.10000000003</v>
      </c>
      <c r="P111" s="32"/>
      <c r="Q111" s="32"/>
      <c r="R111" s="54"/>
      <c r="S111" s="32"/>
      <c r="T111" s="32"/>
      <c r="U111" s="32"/>
    </row>
    <row r="112" spans="1:21" ht="13.5" customHeight="1" x14ac:dyDescent="0.2">
      <c r="A112" s="10"/>
      <c r="B112" s="30"/>
      <c r="C112" s="31"/>
      <c r="D112" s="60"/>
      <c r="E112" s="61"/>
      <c r="F112" s="60"/>
      <c r="G112" s="62"/>
      <c r="H112" s="61"/>
      <c r="I112" s="60"/>
      <c r="J112" s="61"/>
      <c r="K112" s="60"/>
      <c r="L112" s="61"/>
      <c r="M112" s="60"/>
      <c r="N112" s="63"/>
      <c r="O112" s="64"/>
      <c r="P112" s="32"/>
      <c r="Q112" s="32"/>
      <c r="R112" s="54"/>
      <c r="S112" s="32"/>
      <c r="T112" s="32"/>
      <c r="U112" s="32"/>
    </row>
    <row r="113" spans="1:21" ht="13.5" hidden="1" customHeight="1" x14ac:dyDescent="0.2">
      <c r="A113" s="10" t="s">
        <v>71</v>
      </c>
      <c r="B113" s="30">
        <v>179280.8</v>
      </c>
      <c r="C113" s="31">
        <v>73167</v>
      </c>
      <c r="D113" s="60">
        <v>14107</v>
      </c>
      <c r="E113" s="61">
        <v>62639.399999999994</v>
      </c>
      <c r="F113" s="60">
        <v>4524.1000000000004</v>
      </c>
      <c r="G113" s="62">
        <v>524.1</v>
      </c>
      <c r="H113" s="61">
        <f t="shared" si="31"/>
        <v>334242.39999999991</v>
      </c>
      <c r="I113" s="60">
        <v>99151.9</v>
      </c>
      <c r="J113" s="61">
        <v>24211.300000000003</v>
      </c>
      <c r="K113" s="60">
        <v>23741.9</v>
      </c>
      <c r="L113" s="61">
        <v>49261.599999999991</v>
      </c>
      <c r="M113" s="60">
        <v>430</v>
      </c>
      <c r="N113" s="63">
        <v>48.2</v>
      </c>
      <c r="O113" s="64">
        <f t="shared" si="32"/>
        <v>196844.90000000002</v>
      </c>
      <c r="P113" s="32"/>
      <c r="Q113" s="32"/>
      <c r="R113" s="54"/>
      <c r="S113" s="32"/>
      <c r="T113" s="52"/>
      <c r="U113" s="52"/>
    </row>
    <row r="114" spans="1:21" ht="13.5" hidden="1" customHeight="1" x14ac:dyDescent="0.2">
      <c r="A114" s="10" t="s">
        <v>92</v>
      </c>
      <c r="B114" s="30">
        <v>146479.19999999998</v>
      </c>
      <c r="C114" s="31">
        <v>75833.10000000002</v>
      </c>
      <c r="D114" s="60">
        <v>21370.500000000004</v>
      </c>
      <c r="E114" s="61">
        <v>102569.40000000001</v>
      </c>
      <c r="F114" s="60">
        <v>3443.7999999999997</v>
      </c>
      <c r="G114" s="62">
        <v>414.99999999999994</v>
      </c>
      <c r="H114" s="61">
        <f t="shared" si="31"/>
        <v>350111</v>
      </c>
      <c r="I114" s="60">
        <v>82393.799999999988</v>
      </c>
      <c r="J114" s="61">
        <v>23723.8</v>
      </c>
      <c r="K114" s="60">
        <v>24182.100000000002</v>
      </c>
      <c r="L114" s="61">
        <v>62885.900000000009</v>
      </c>
      <c r="M114" s="60">
        <v>430</v>
      </c>
      <c r="N114" s="63">
        <v>49.2</v>
      </c>
      <c r="O114" s="64">
        <f t="shared" si="32"/>
        <v>193664.80000000002</v>
      </c>
      <c r="P114" s="32"/>
      <c r="Q114" s="32"/>
      <c r="R114" s="54"/>
      <c r="S114" s="32"/>
      <c r="T114" s="32"/>
      <c r="U114" s="32"/>
    </row>
    <row r="115" spans="1:21" ht="13.5" hidden="1" customHeight="1" x14ac:dyDescent="0.2">
      <c r="A115" s="10" t="s">
        <v>72</v>
      </c>
      <c r="B115" s="30">
        <v>155983.49999999997</v>
      </c>
      <c r="C115" s="31">
        <v>68620.400000000009</v>
      </c>
      <c r="D115" s="60">
        <v>21604.9</v>
      </c>
      <c r="E115" s="61">
        <v>102386.2</v>
      </c>
      <c r="F115" s="60">
        <v>2931</v>
      </c>
      <c r="G115" s="62">
        <v>948.7</v>
      </c>
      <c r="H115" s="61">
        <f t="shared" si="31"/>
        <v>352474.69999999995</v>
      </c>
      <c r="I115" s="60">
        <v>94170.200000000012</v>
      </c>
      <c r="J115" s="61">
        <v>26058.3</v>
      </c>
      <c r="K115" s="60">
        <v>24791.8</v>
      </c>
      <c r="L115" s="61">
        <v>55008.5</v>
      </c>
      <c r="M115" s="60">
        <v>430</v>
      </c>
      <c r="N115" s="63">
        <v>42.7</v>
      </c>
      <c r="O115" s="64">
        <f t="shared" si="32"/>
        <v>200501.50000000003</v>
      </c>
      <c r="P115" s="32"/>
      <c r="Q115" s="32"/>
      <c r="R115" s="54"/>
      <c r="S115" s="32"/>
      <c r="T115" s="32"/>
      <c r="U115" s="32"/>
    </row>
    <row r="116" spans="1:21" ht="13.5" hidden="1" customHeight="1" x14ac:dyDescent="0.2">
      <c r="A116" s="10" t="s">
        <v>96</v>
      </c>
      <c r="B116" s="30">
        <v>160425.79999999999</v>
      </c>
      <c r="C116" s="31">
        <v>74972.099999999991</v>
      </c>
      <c r="D116" s="60">
        <v>23200.600000000002</v>
      </c>
      <c r="E116" s="61">
        <f>81435.3+10820.4</f>
        <v>92255.7</v>
      </c>
      <c r="F116" s="60">
        <v>2840.3</v>
      </c>
      <c r="G116" s="62">
        <v>670.90000000000009</v>
      </c>
      <c r="H116" s="61">
        <f t="shared" si="31"/>
        <v>354365.39999999997</v>
      </c>
      <c r="I116" s="60">
        <v>101035.1</v>
      </c>
      <c r="J116" s="61">
        <v>24220.2</v>
      </c>
      <c r="K116" s="60">
        <v>23959.199999999997</v>
      </c>
      <c r="L116" s="61">
        <v>61886.000000000007</v>
      </c>
      <c r="M116" s="60">
        <v>430</v>
      </c>
      <c r="N116" s="63">
        <v>43.2</v>
      </c>
      <c r="O116" s="64">
        <f t="shared" si="32"/>
        <v>211573.7</v>
      </c>
      <c r="P116" s="32"/>
      <c r="Q116" s="32"/>
      <c r="R116" s="54"/>
      <c r="S116" s="32"/>
      <c r="T116" s="32"/>
      <c r="U116" s="32"/>
    </row>
    <row r="117" spans="1:21" ht="13.5" hidden="1" customHeight="1" x14ac:dyDescent="0.2">
      <c r="A117" s="10" t="s">
        <v>104</v>
      </c>
      <c r="B117" s="30">
        <v>161911.79999999999</v>
      </c>
      <c r="C117" s="31">
        <v>77589.600000000006</v>
      </c>
      <c r="D117" s="60">
        <v>21476.7</v>
      </c>
      <c r="E117" s="61">
        <f>85186.6+10440.6</f>
        <v>95627.200000000012</v>
      </c>
      <c r="F117" s="60">
        <v>2882.6000000000004</v>
      </c>
      <c r="G117" s="62">
        <v>917.5</v>
      </c>
      <c r="H117" s="61">
        <f t="shared" ref="H117:H125" si="33">SUM(B117:G117)</f>
        <v>360405.4</v>
      </c>
      <c r="I117" s="60">
        <v>101086.90000000002</v>
      </c>
      <c r="J117" s="61">
        <v>26115.799999999996</v>
      </c>
      <c r="K117" s="60">
        <v>23533.1</v>
      </c>
      <c r="L117" s="61">
        <v>60243.4</v>
      </c>
      <c r="M117" s="60">
        <v>430</v>
      </c>
      <c r="N117" s="63">
        <v>43.8</v>
      </c>
      <c r="O117" s="64">
        <f t="shared" ref="O117:O125" si="34">SUM(I117:N117)</f>
        <v>211453</v>
      </c>
      <c r="P117" s="32"/>
      <c r="Q117" s="32"/>
      <c r="R117" s="54"/>
      <c r="S117" s="32"/>
      <c r="T117" s="52"/>
      <c r="U117" s="32"/>
    </row>
    <row r="118" spans="1:21" ht="13.5" hidden="1" customHeight="1" x14ac:dyDescent="0.2">
      <c r="A118" s="10" t="s">
        <v>105</v>
      </c>
      <c r="B118" s="30">
        <v>164538.70000000001</v>
      </c>
      <c r="C118" s="31">
        <v>71022.3</v>
      </c>
      <c r="D118" s="60">
        <v>22204</v>
      </c>
      <c r="E118" s="61">
        <v>98503.4</v>
      </c>
      <c r="F118" s="60">
        <v>3057.5</v>
      </c>
      <c r="G118" s="62">
        <v>742.1</v>
      </c>
      <c r="H118" s="61">
        <f t="shared" si="33"/>
        <v>360068</v>
      </c>
      <c r="I118" s="60">
        <v>97700.4</v>
      </c>
      <c r="J118" s="61">
        <v>28731.599999999995</v>
      </c>
      <c r="K118" s="60">
        <v>21937.199999999997</v>
      </c>
      <c r="L118" s="61">
        <v>58804.5</v>
      </c>
      <c r="M118" s="60">
        <v>1904.8</v>
      </c>
      <c r="N118" s="63">
        <v>44.5</v>
      </c>
      <c r="O118" s="64">
        <f t="shared" si="34"/>
        <v>209122.99999999997</v>
      </c>
      <c r="P118" s="32"/>
      <c r="Q118" s="32"/>
      <c r="R118" s="54"/>
      <c r="S118" s="32"/>
      <c r="T118" s="32"/>
      <c r="U118" s="32"/>
    </row>
    <row r="119" spans="1:21" ht="13.5" hidden="1" customHeight="1" x14ac:dyDescent="0.2">
      <c r="A119" s="10" t="s">
        <v>106</v>
      </c>
      <c r="B119" s="30">
        <v>153440.29999999999</v>
      </c>
      <c r="C119" s="31">
        <v>83558.600000000006</v>
      </c>
      <c r="D119" s="60">
        <v>20884.599999999999</v>
      </c>
      <c r="E119" s="61">
        <v>92181.699999999983</v>
      </c>
      <c r="F119" s="60">
        <v>2202.6</v>
      </c>
      <c r="G119" s="62">
        <v>868.80000000000007</v>
      </c>
      <c r="H119" s="61">
        <f t="shared" si="33"/>
        <v>353136.59999999992</v>
      </c>
      <c r="I119" s="60">
        <v>96446.2</v>
      </c>
      <c r="J119" s="61">
        <v>26367.5</v>
      </c>
      <c r="K119" s="60">
        <v>18010.400000000001</v>
      </c>
      <c r="L119" s="61">
        <v>62030.099999999991</v>
      </c>
      <c r="M119" s="60">
        <v>1930</v>
      </c>
      <c r="N119" s="63">
        <v>25.200000000000003</v>
      </c>
      <c r="O119" s="64">
        <f t="shared" si="34"/>
        <v>204809.40000000002</v>
      </c>
      <c r="P119" s="32"/>
      <c r="Q119" s="32"/>
      <c r="R119" s="54"/>
      <c r="S119" s="32"/>
      <c r="T119" s="32"/>
      <c r="U119" s="32"/>
    </row>
    <row r="120" spans="1:21" ht="13.5" hidden="1" customHeight="1" x14ac:dyDescent="0.2">
      <c r="A120" s="10" t="s">
        <v>112</v>
      </c>
      <c r="B120" s="30">
        <v>161083.29999999999</v>
      </c>
      <c r="C120" s="31">
        <v>92912</v>
      </c>
      <c r="D120" s="60">
        <v>25913.599999999999</v>
      </c>
      <c r="E120" s="61">
        <v>95618.10000000002</v>
      </c>
      <c r="F120" s="60">
        <v>2824.1000000000004</v>
      </c>
      <c r="G120" s="62">
        <v>828.10000000000014</v>
      </c>
      <c r="H120" s="61">
        <f t="shared" si="33"/>
        <v>379179.19999999995</v>
      </c>
      <c r="I120" s="60">
        <v>97976.8</v>
      </c>
      <c r="J120" s="61">
        <v>23922.600000000002</v>
      </c>
      <c r="K120" s="60">
        <v>20897.999999999996</v>
      </c>
      <c r="L120" s="61">
        <v>66648.7</v>
      </c>
      <c r="M120" s="60">
        <v>430</v>
      </c>
      <c r="N120" s="63">
        <v>22</v>
      </c>
      <c r="O120" s="64">
        <f t="shared" si="34"/>
        <v>209898.09999999998</v>
      </c>
      <c r="P120" s="32"/>
      <c r="Q120" s="32"/>
      <c r="R120" s="54"/>
      <c r="S120" s="32"/>
      <c r="T120" s="32"/>
      <c r="U120" s="32"/>
    </row>
    <row r="121" spans="1:21" ht="13.5" hidden="1" customHeight="1" x14ac:dyDescent="0.2">
      <c r="A121" s="10" t="s">
        <v>113</v>
      </c>
      <c r="B121" s="30">
        <v>167508.4</v>
      </c>
      <c r="C121" s="31">
        <v>86568</v>
      </c>
      <c r="D121" s="60">
        <v>23146.6</v>
      </c>
      <c r="E121" s="61">
        <v>92157.7</v>
      </c>
      <c r="F121" s="60">
        <v>4808.5</v>
      </c>
      <c r="G121" s="62">
        <v>936.70000000000016</v>
      </c>
      <c r="H121" s="61">
        <f t="shared" si="33"/>
        <v>375125.9</v>
      </c>
      <c r="I121" s="60">
        <v>101900.50000000001</v>
      </c>
      <c r="J121" s="61">
        <v>22586.799999999999</v>
      </c>
      <c r="K121" s="60">
        <v>23132.3</v>
      </c>
      <c r="L121" s="61">
        <v>69004.399999999994</v>
      </c>
      <c r="M121" s="60">
        <v>200</v>
      </c>
      <c r="N121" s="63">
        <v>12.7</v>
      </c>
      <c r="O121" s="64">
        <f t="shared" si="34"/>
        <v>216836.7</v>
      </c>
      <c r="P121" s="32"/>
      <c r="Q121" s="32"/>
      <c r="R121" s="54"/>
      <c r="S121" s="32"/>
      <c r="T121" s="32"/>
      <c r="U121" s="32"/>
    </row>
    <row r="122" spans="1:21" ht="13.5" hidden="1" customHeight="1" x14ac:dyDescent="0.2">
      <c r="A122" s="10" t="s">
        <v>114</v>
      </c>
      <c r="B122" s="30">
        <v>162092.4</v>
      </c>
      <c r="C122" s="31">
        <v>93729.3</v>
      </c>
      <c r="D122" s="60">
        <v>23666.1</v>
      </c>
      <c r="E122" s="61">
        <f>99703.3-61</f>
        <v>99642.3</v>
      </c>
      <c r="F122" s="60">
        <v>3969.1000000000004</v>
      </c>
      <c r="G122" s="62">
        <v>807.30000000000007</v>
      </c>
      <c r="H122" s="61">
        <f t="shared" si="33"/>
        <v>383906.49999999994</v>
      </c>
      <c r="I122" s="60">
        <v>99046.6</v>
      </c>
      <c r="J122" s="61">
        <v>25034.899999999998</v>
      </c>
      <c r="K122" s="60">
        <v>22377.199999999997</v>
      </c>
      <c r="L122" s="61">
        <v>68898.5</v>
      </c>
      <c r="M122" s="60">
        <v>430</v>
      </c>
      <c r="N122" s="63">
        <v>19.700000000000003</v>
      </c>
      <c r="O122" s="64">
        <f t="shared" si="34"/>
        <v>215806.90000000002</v>
      </c>
      <c r="P122" s="32"/>
      <c r="Q122" s="32"/>
      <c r="R122" s="54"/>
      <c r="S122" s="32"/>
      <c r="T122" s="32"/>
      <c r="U122" s="32"/>
    </row>
    <row r="123" spans="1:21" ht="13.5" hidden="1" customHeight="1" x14ac:dyDescent="0.2">
      <c r="A123" s="10" t="s">
        <v>115</v>
      </c>
      <c r="B123" s="30">
        <v>164280.1</v>
      </c>
      <c r="C123" s="31">
        <v>85657.5</v>
      </c>
      <c r="D123" s="60">
        <v>27260.7</v>
      </c>
      <c r="E123" s="61">
        <v>93852.9</v>
      </c>
      <c r="F123" s="60">
        <v>3077.7</v>
      </c>
      <c r="G123" s="62">
        <v>1140</v>
      </c>
      <c r="H123" s="61">
        <f t="shared" si="33"/>
        <v>375268.89999999997</v>
      </c>
      <c r="I123" s="60">
        <v>104360.4</v>
      </c>
      <c r="J123" s="61">
        <v>26129.200000000001</v>
      </c>
      <c r="K123" s="60">
        <v>21890.799999999999</v>
      </c>
      <c r="L123" s="61">
        <v>71059.999999999985</v>
      </c>
      <c r="M123" s="60">
        <v>430</v>
      </c>
      <c r="N123" s="63">
        <v>19.8</v>
      </c>
      <c r="O123" s="64">
        <f t="shared" si="34"/>
        <v>223890.19999999995</v>
      </c>
      <c r="P123" s="32"/>
      <c r="Q123" s="32"/>
      <c r="R123" s="54"/>
      <c r="S123" s="32"/>
      <c r="T123" s="32"/>
      <c r="U123" s="32"/>
    </row>
    <row r="124" spans="1:21" ht="13.5" hidden="1" customHeight="1" x14ac:dyDescent="0.2">
      <c r="A124" s="10" t="s">
        <v>116</v>
      </c>
      <c r="B124" s="30">
        <v>166576.5</v>
      </c>
      <c r="C124" s="31">
        <v>90279.8</v>
      </c>
      <c r="D124" s="60">
        <v>25706.699999999997</v>
      </c>
      <c r="E124" s="61">
        <v>101626.59999999999</v>
      </c>
      <c r="F124" s="60">
        <v>3308.7</v>
      </c>
      <c r="G124" s="62">
        <v>998.5</v>
      </c>
      <c r="H124" s="61">
        <f t="shared" si="33"/>
        <v>388496.8</v>
      </c>
      <c r="I124" s="60">
        <v>107914.40000000001</v>
      </c>
      <c r="J124" s="61">
        <v>24661.4</v>
      </c>
      <c r="K124" s="60">
        <v>21172.699999999997</v>
      </c>
      <c r="L124" s="61">
        <v>71547.7</v>
      </c>
      <c r="M124" s="60">
        <v>430</v>
      </c>
      <c r="N124" s="63">
        <v>18.2</v>
      </c>
      <c r="O124" s="64">
        <f t="shared" si="34"/>
        <v>225744.40000000002</v>
      </c>
      <c r="P124" s="32"/>
      <c r="Q124" s="32"/>
      <c r="R124" s="54"/>
      <c r="S124" s="32"/>
      <c r="T124" s="32"/>
      <c r="U124" s="32"/>
    </row>
    <row r="125" spans="1:21" ht="13.5" hidden="1" customHeight="1" x14ac:dyDescent="0.2">
      <c r="A125" s="10" t="s">
        <v>102</v>
      </c>
      <c r="B125" s="30">
        <v>163816.79999999999</v>
      </c>
      <c r="C125" s="31">
        <v>88264.4</v>
      </c>
      <c r="D125" s="60">
        <v>19263.7</v>
      </c>
      <c r="E125" s="65">
        <v>91132.9</v>
      </c>
      <c r="F125" s="60">
        <v>2438</v>
      </c>
      <c r="G125" s="62">
        <v>1212.1000000000001</v>
      </c>
      <c r="H125" s="61">
        <f t="shared" si="33"/>
        <v>366127.89999999991</v>
      </c>
      <c r="I125" s="60">
        <v>112183.8</v>
      </c>
      <c r="J125" s="61">
        <v>33209.000000000007</v>
      </c>
      <c r="K125" s="60">
        <v>16722.899999999998</v>
      </c>
      <c r="L125" s="61">
        <v>68967.100000000006</v>
      </c>
      <c r="M125" s="60">
        <v>430</v>
      </c>
      <c r="N125" s="63">
        <v>21.2</v>
      </c>
      <c r="O125" s="64">
        <f t="shared" si="34"/>
        <v>231534.00000000003</v>
      </c>
      <c r="P125" s="32"/>
      <c r="Q125" s="32"/>
      <c r="R125" s="54"/>
      <c r="S125" s="32"/>
      <c r="T125" s="32"/>
      <c r="U125" s="32"/>
    </row>
    <row r="126" spans="1:21" ht="13.5" hidden="1" customHeight="1" x14ac:dyDescent="0.2">
      <c r="A126" s="10" t="s">
        <v>122</v>
      </c>
      <c r="B126" s="30">
        <v>159613.1</v>
      </c>
      <c r="C126" s="31">
        <v>82144.100000000006</v>
      </c>
      <c r="D126" s="60">
        <v>20840.400000000001</v>
      </c>
      <c r="E126" s="65">
        <f>77669.9+11321.8</f>
        <v>88991.7</v>
      </c>
      <c r="F126" s="60">
        <v>2146.3000000000002</v>
      </c>
      <c r="G126" s="62">
        <v>1019</v>
      </c>
      <c r="H126" s="61">
        <f t="shared" ref="H126" si="35">SUM(B126:G126)</f>
        <v>354754.60000000003</v>
      </c>
      <c r="I126" s="60">
        <f>110796.5+1142.8</f>
        <v>111939.3</v>
      </c>
      <c r="J126" s="61">
        <f>31598.4+400.6</f>
        <v>31999</v>
      </c>
      <c r="K126" s="60">
        <f>17166.2+142.3</f>
        <v>17308.5</v>
      </c>
      <c r="L126" s="61">
        <f>83016.4+271.1</f>
        <v>83287.5</v>
      </c>
      <c r="M126" s="60">
        <v>430</v>
      </c>
      <c r="N126" s="63">
        <v>19.2</v>
      </c>
      <c r="O126" s="64">
        <f t="shared" ref="O126" si="36">SUM(I126:N126)</f>
        <v>244983.5</v>
      </c>
      <c r="P126" s="32"/>
      <c r="Q126" s="32"/>
      <c r="R126" s="54"/>
      <c r="S126" s="32"/>
      <c r="T126" s="32"/>
      <c r="U126" s="32"/>
    </row>
    <row r="127" spans="1:21" ht="13.5" hidden="1" customHeight="1" x14ac:dyDescent="0.2">
      <c r="A127" s="10" t="s">
        <v>95</v>
      </c>
      <c r="B127" s="30">
        <v>156316.5</v>
      </c>
      <c r="C127" s="31">
        <v>91318.2</v>
      </c>
      <c r="D127" s="60">
        <v>20251.599999999999</v>
      </c>
      <c r="E127" s="65">
        <f>79511.1+12258.5</f>
        <v>91769.600000000006</v>
      </c>
      <c r="F127" s="60">
        <v>1510.2</v>
      </c>
      <c r="G127" s="62">
        <v>1109.8</v>
      </c>
      <c r="H127" s="61">
        <f t="shared" ref="H127" si="37">SUM(B127:G127)</f>
        <v>362275.9</v>
      </c>
      <c r="I127" s="60">
        <f>111466.1+1203.8</f>
        <v>112669.90000000001</v>
      </c>
      <c r="J127" s="61">
        <f>31805.8+496.8</f>
        <v>32302.6</v>
      </c>
      <c r="K127" s="60">
        <f>16955.7+175</f>
        <v>17130.7</v>
      </c>
      <c r="L127" s="61">
        <f>82732.5+249.9</f>
        <v>82982.399999999994</v>
      </c>
      <c r="M127" s="60">
        <v>430</v>
      </c>
      <c r="N127" s="63">
        <v>19.2</v>
      </c>
      <c r="O127" s="64">
        <f t="shared" ref="O127" si="38">SUM(I127:N127)</f>
        <v>245534.80000000002</v>
      </c>
      <c r="P127" s="32"/>
      <c r="Q127" s="32"/>
      <c r="R127" s="54"/>
      <c r="S127" s="32"/>
      <c r="T127" s="32"/>
      <c r="U127" s="32"/>
    </row>
    <row r="128" spans="1:21" ht="13.5" hidden="1" customHeight="1" x14ac:dyDescent="0.2">
      <c r="A128" s="70" t="s">
        <v>124</v>
      </c>
      <c r="B128" s="30">
        <v>166623.5</v>
      </c>
      <c r="C128" s="31">
        <v>93493.7</v>
      </c>
      <c r="D128" s="60">
        <v>24940</v>
      </c>
      <c r="E128" s="65">
        <f>83458.6+12246.5</f>
        <v>95705.1</v>
      </c>
      <c r="F128" s="60">
        <v>2351</v>
      </c>
      <c r="G128" s="62">
        <v>875.3</v>
      </c>
      <c r="H128" s="61">
        <f t="shared" ref="H128" si="39">SUM(B128:G128)</f>
        <v>383988.60000000003</v>
      </c>
      <c r="I128" s="60">
        <f>111951.4+1271.8</f>
        <v>113223.2</v>
      </c>
      <c r="J128" s="61">
        <f>31737.6+566.3</f>
        <v>32303.899999999998</v>
      </c>
      <c r="K128" s="60">
        <f>15876.2+162</f>
        <v>16038.2</v>
      </c>
      <c r="L128" s="61">
        <f>86641.7+270.7</f>
        <v>86912.4</v>
      </c>
      <c r="M128" s="60">
        <v>430</v>
      </c>
      <c r="N128" s="63">
        <v>19.3</v>
      </c>
      <c r="O128" s="64">
        <f t="shared" ref="O128" si="40">SUM(I128:N128)</f>
        <v>248927</v>
      </c>
      <c r="P128" s="32"/>
      <c r="Q128" s="32"/>
      <c r="R128" s="54"/>
      <c r="S128" s="32"/>
      <c r="T128" s="32"/>
      <c r="U128" s="32"/>
    </row>
    <row r="129" spans="1:21" ht="13.5" hidden="1" customHeight="1" x14ac:dyDescent="0.2">
      <c r="A129" s="70" t="s">
        <v>127</v>
      </c>
      <c r="B129" s="30">
        <v>163655.9</v>
      </c>
      <c r="C129" s="31">
        <v>95638.6</v>
      </c>
      <c r="D129" s="60">
        <v>23059.9</v>
      </c>
      <c r="E129" s="65">
        <f>80745.8+11673.3</f>
        <v>92419.1</v>
      </c>
      <c r="F129" s="60">
        <v>2446</v>
      </c>
      <c r="G129" s="62">
        <v>1108.5</v>
      </c>
      <c r="H129" s="61">
        <f t="shared" ref="H129" si="41">SUM(B129:G129)</f>
        <v>378328</v>
      </c>
      <c r="I129" s="60">
        <f>114206.1+1435.3</f>
        <v>115641.40000000001</v>
      </c>
      <c r="J129" s="61">
        <f>32536+678.7</f>
        <v>33214.699999999997</v>
      </c>
      <c r="K129" s="60">
        <f>13743+163.3</f>
        <v>13906.3</v>
      </c>
      <c r="L129" s="61">
        <f>85927.8+354.2</f>
        <v>86282</v>
      </c>
      <c r="M129" s="60">
        <v>480</v>
      </c>
      <c r="N129" s="63">
        <v>8.3000000000000007</v>
      </c>
      <c r="O129" s="64">
        <f t="shared" ref="O129" si="42">SUM(I129:N129)</f>
        <v>249532.69999999998</v>
      </c>
      <c r="P129" s="32"/>
      <c r="Q129" s="32"/>
      <c r="R129" s="54"/>
      <c r="S129" s="32"/>
      <c r="T129" s="32"/>
      <c r="U129" s="32"/>
    </row>
    <row r="130" spans="1:21" ht="13.5" hidden="1" customHeight="1" x14ac:dyDescent="0.2">
      <c r="A130" s="10" t="s">
        <v>129</v>
      </c>
      <c r="B130" s="30">
        <v>167311.70000000001</v>
      </c>
      <c r="C130" s="31">
        <v>105983.6</v>
      </c>
      <c r="D130" s="60">
        <v>26298.3</v>
      </c>
      <c r="E130" s="65">
        <f>88820.1+14152.5</f>
        <v>102972.6</v>
      </c>
      <c r="F130" s="60">
        <v>2518.1</v>
      </c>
      <c r="G130" s="62">
        <v>881.6</v>
      </c>
      <c r="H130" s="61">
        <f t="shared" ref="H130" si="43">SUM(B130:G130)</f>
        <v>405965.9</v>
      </c>
      <c r="I130" s="60">
        <f>113990.8+1466.3</f>
        <v>115457.1</v>
      </c>
      <c r="J130" s="61">
        <f>29828.6+777.1</f>
        <v>30605.699999999997</v>
      </c>
      <c r="K130" s="60">
        <f>13641.1+195.2</f>
        <v>13836.300000000001</v>
      </c>
      <c r="L130" s="61">
        <f>85505.6+338.7</f>
        <v>85844.3</v>
      </c>
      <c r="M130" s="60">
        <v>250</v>
      </c>
      <c r="N130" s="63">
        <f>8.5+0.1</f>
        <v>8.6</v>
      </c>
      <c r="O130" s="64">
        <f t="shared" ref="O130" si="44">SUM(I130:N130)</f>
        <v>246001.99999999997</v>
      </c>
      <c r="P130" s="32"/>
      <c r="Q130" s="32"/>
      <c r="R130" s="54"/>
      <c r="S130" s="32"/>
      <c r="T130" s="32"/>
      <c r="U130" s="32"/>
    </row>
    <row r="131" spans="1:21" ht="13.5" hidden="1" customHeight="1" x14ac:dyDescent="0.2">
      <c r="A131" s="10" t="s">
        <v>134</v>
      </c>
      <c r="B131" s="30">
        <v>168384.1</v>
      </c>
      <c r="C131" s="31">
        <v>120283.5</v>
      </c>
      <c r="D131" s="60">
        <v>24183.3</v>
      </c>
      <c r="E131" s="65">
        <f>84584.3+13909.6</f>
        <v>98493.900000000009</v>
      </c>
      <c r="F131" s="60">
        <v>2400.5</v>
      </c>
      <c r="G131" s="62">
        <v>886.5</v>
      </c>
      <c r="H131" s="61">
        <f t="shared" ref="H131" si="45">SUM(B131:G131)</f>
        <v>414631.8</v>
      </c>
      <c r="I131" s="60">
        <f>121114.9+1663.9</f>
        <v>122778.79999999999</v>
      </c>
      <c r="J131" s="61">
        <f>29967.1+892.6</f>
        <v>30859.699999999997</v>
      </c>
      <c r="K131" s="60">
        <f>15567.1+226</f>
        <v>15793.1</v>
      </c>
      <c r="L131" s="61">
        <f>84443+384.5</f>
        <v>84827.5</v>
      </c>
      <c r="M131" s="60">
        <v>280</v>
      </c>
      <c r="N131" s="63">
        <f>8.5+0.1</f>
        <v>8.6</v>
      </c>
      <c r="O131" s="64">
        <f t="shared" ref="O131" si="46">SUM(I131:N131)</f>
        <v>254547.7</v>
      </c>
      <c r="P131" s="32"/>
      <c r="Q131" s="32"/>
      <c r="R131" s="54"/>
      <c r="S131" s="32"/>
      <c r="T131" s="32"/>
      <c r="U131" s="32"/>
    </row>
    <row r="132" spans="1:21" ht="13.5" customHeight="1" x14ac:dyDescent="0.2">
      <c r="A132" s="10" t="s">
        <v>133</v>
      </c>
      <c r="B132" s="30">
        <v>172990.7</v>
      </c>
      <c r="C132" s="31">
        <v>122969.2</v>
      </c>
      <c r="D132" s="60">
        <v>20977.1</v>
      </c>
      <c r="E132" s="65">
        <f>82470.6+12210</f>
        <v>94680.6</v>
      </c>
      <c r="F132" s="60">
        <v>2309.6</v>
      </c>
      <c r="G132" s="62">
        <v>1542.2</v>
      </c>
      <c r="H132" s="61">
        <f t="shared" ref="H132" si="47">SUM(B132:G132)</f>
        <v>415469.39999999997</v>
      </c>
      <c r="I132" s="60">
        <f>127668.6+1924.9</f>
        <v>129593.5</v>
      </c>
      <c r="J132" s="61">
        <f>34417.7+1008.7</f>
        <v>35426.399999999994</v>
      </c>
      <c r="K132" s="60">
        <f>15322.1+209.1</f>
        <v>15531.2</v>
      </c>
      <c r="L132" s="61">
        <f>72486.3+474.1</f>
        <v>72960.400000000009</v>
      </c>
      <c r="M132" s="60">
        <v>280</v>
      </c>
      <c r="N132" s="63">
        <f>8.5+0.1</f>
        <v>8.6</v>
      </c>
      <c r="O132" s="64">
        <f t="shared" ref="O132:O133" si="48">SUM(I132:N132)</f>
        <v>253800.1</v>
      </c>
      <c r="P132" s="32"/>
      <c r="Q132" s="32"/>
      <c r="R132" s="54"/>
      <c r="S132" s="32"/>
      <c r="T132" s="32"/>
      <c r="U132" s="32"/>
    </row>
    <row r="133" spans="1:21" ht="13.5" customHeight="1" x14ac:dyDescent="0.2">
      <c r="A133" s="10" t="s">
        <v>98</v>
      </c>
      <c r="B133" s="30">
        <v>169187.1</v>
      </c>
      <c r="C133" s="31">
        <v>107153.4</v>
      </c>
      <c r="D133" s="60">
        <v>17472.5</v>
      </c>
      <c r="E133" s="65">
        <f>77976.6+29869.4</f>
        <v>107846</v>
      </c>
      <c r="F133" s="60">
        <v>3842.1</v>
      </c>
      <c r="G133" s="62">
        <v>1429.1</v>
      </c>
      <c r="H133" s="61">
        <f t="shared" ref="H133" si="49">SUM(B133:G133)</f>
        <v>406930.19999999995</v>
      </c>
      <c r="I133" s="60">
        <f>120234.8+1867</f>
        <v>122101.8</v>
      </c>
      <c r="J133" s="61">
        <f>29105.9+1088.8</f>
        <v>30194.7</v>
      </c>
      <c r="K133" s="60">
        <f>13969.1+261.3</f>
        <v>14230.4</v>
      </c>
      <c r="L133" s="61">
        <f>73175.3+405</f>
        <v>73580.3</v>
      </c>
      <c r="M133" s="60">
        <v>230</v>
      </c>
      <c r="N133" s="63">
        <f>8.8+0.1</f>
        <v>8.9</v>
      </c>
      <c r="O133" s="64">
        <f t="shared" si="48"/>
        <v>240346.1</v>
      </c>
      <c r="P133" s="61"/>
      <c r="Q133" s="32"/>
      <c r="R133" s="54"/>
      <c r="S133" s="32"/>
      <c r="T133" s="32"/>
      <c r="U133" s="32"/>
    </row>
    <row r="134" spans="1:21" ht="13.5" customHeight="1" x14ac:dyDescent="0.2">
      <c r="A134" s="10" t="s">
        <v>99</v>
      </c>
      <c r="B134" s="30">
        <v>180662.1</v>
      </c>
      <c r="C134" s="31">
        <v>132062.6</v>
      </c>
      <c r="D134" s="60">
        <v>18619.5</v>
      </c>
      <c r="E134" s="65">
        <f>94288.4+13096.8</f>
        <v>107385.2</v>
      </c>
      <c r="F134" s="60">
        <v>3804.1</v>
      </c>
      <c r="G134" s="62">
        <v>1297.0999999999999</v>
      </c>
      <c r="H134" s="61">
        <f t="shared" ref="H134" si="50">SUM(B134:G134)</f>
        <v>443830.6</v>
      </c>
      <c r="I134" s="60">
        <f>112858.4+1869.3</f>
        <v>114727.7</v>
      </c>
      <c r="J134" s="61">
        <f>36083.5+1212.7</f>
        <v>37296.199999999997</v>
      </c>
      <c r="K134" s="60">
        <f>14130.8+273.9</f>
        <v>14404.699999999999</v>
      </c>
      <c r="L134" s="61">
        <f>73525.5+467.7</f>
        <v>73993.2</v>
      </c>
      <c r="M134" s="60">
        <v>230</v>
      </c>
      <c r="N134" s="63">
        <f>8.8+0.1</f>
        <v>8.9</v>
      </c>
      <c r="O134" s="64">
        <f t="shared" ref="O134:O135" si="51">SUM(I134:N134)</f>
        <v>240660.69999999998</v>
      </c>
      <c r="P134" s="61"/>
      <c r="Q134" s="32"/>
      <c r="R134" s="54"/>
      <c r="S134" s="32"/>
      <c r="T134" s="32"/>
      <c r="U134" s="32"/>
    </row>
    <row r="135" spans="1:21" ht="13.5" customHeight="1" x14ac:dyDescent="0.2">
      <c r="A135" s="10" t="s">
        <v>100</v>
      </c>
      <c r="B135" s="30">
        <v>175293.1</v>
      </c>
      <c r="C135" s="31">
        <v>119980.2</v>
      </c>
      <c r="D135" s="60">
        <v>15798.8</v>
      </c>
      <c r="E135" s="65">
        <f>89154.6+15045.3</f>
        <v>104199.90000000001</v>
      </c>
      <c r="F135" s="60">
        <v>2993.9</v>
      </c>
      <c r="G135" s="62">
        <v>1194.5</v>
      </c>
      <c r="H135" s="61">
        <f t="shared" ref="H135" si="52">SUM(B135:G135)</f>
        <v>419460.4</v>
      </c>
      <c r="I135" s="60">
        <f>107520.4+1842.4</f>
        <v>109362.79999999999</v>
      </c>
      <c r="J135" s="61">
        <f>35933+1231</f>
        <v>37164</v>
      </c>
      <c r="K135" s="60">
        <f>15295.4+171.1</f>
        <v>15466.5</v>
      </c>
      <c r="L135" s="61">
        <f>77480.1+575.5</f>
        <v>78055.600000000006</v>
      </c>
      <c r="M135" s="60">
        <v>230</v>
      </c>
      <c r="N135" s="63">
        <f>8.9+1</f>
        <v>9.9</v>
      </c>
      <c r="O135" s="64">
        <f t="shared" si="51"/>
        <v>240288.8</v>
      </c>
      <c r="P135" s="32"/>
      <c r="Q135" s="32"/>
      <c r="R135" s="54"/>
      <c r="S135" s="32"/>
      <c r="T135" s="32"/>
      <c r="U135" s="32"/>
    </row>
    <row r="136" spans="1:21" ht="13.5" customHeight="1" x14ac:dyDescent="0.2">
      <c r="A136" s="10" t="s">
        <v>101</v>
      </c>
      <c r="B136" s="30">
        <v>177388.3</v>
      </c>
      <c r="C136" s="31">
        <v>115720.4</v>
      </c>
      <c r="D136" s="60">
        <v>18060.5</v>
      </c>
      <c r="E136" s="65">
        <v>121909.3</v>
      </c>
      <c r="F136" s="60">
        <v>2610.1</v>
      </c>
      <c r="G136" s="62">
        <v>2147.5</v>
      </c>
      <c r="H136" s="61">
        <f t="shared" ref="H136" si="53">SUM(B136:G136)</f>
        <v>437836.09999999992</v>
      </c>
      <c r="I136" s="60">
        <v>113152.6</v>
      </c>
      <c r="J136" s="61">
        <f>34376.4+229.1</f>
        <v>34605.5</v>
      </c>
      <c r="K136" s="60">
        <f>13576.9+135.9</f>
        <v>13712.8</v>
      </c>
      <c r="L136" s="61">
        <f>80560.1+278.5</f>
        <v>80838.600000000006</v>
      </c>
      <c r="M136" s="60">
        <v>230</v>
      </c>
      <c r="N136" s="63">
        <f>14.2+0.7</f>
        <v>14.899999999999999</v>
      </c>
      <c r="O136" s="64">
        <f t="shared" ref="O136" si="54">SUM(I136:N136)</f>
        <v>242554.4</v>
      </c>
      <c r="P136" s="32"/>
      <c r="Q136" s="32"/>
      <c r="R136" s="54"/>
      <c r="S136" s="32"/>
      <c r="T136" s="32"/>
      <c r="U136" s="32"/>
    </row>
    <row r="137" spans="1:21" ht="13.5" customHeight="1" x14ac:dyDescent="0.2">
      <c r="A137" s="10"/>
      <c r="B137" s="30"/>
      <c r="C137" s="31"/>
      <c r="D137" s="60"/>
      <c r="E137" s="65"/>
      <c r="F137" s="60"/>
      <c r="G137" s="62"/>
      <c r="H137" s="69"/>
      <c r="I137" s="60"/>
      <c r="J137" s="61"/>
      <c r="K137" s="60"/>
      <c r="L137" s="61"/>
      <c r="M137" s="60"/>
      <c r="N137" s="63"/>
      <c r="O137" s="64"/>
      <c r="P137" s="32"/>
      <c r="Q137" s="32"/>
      <c r="R137" s="54"/>
      <c r="S137" s="32"/>
      <c r="T137" s="32"/>
      <c r="U137" s="32"/>
    </row>
    <row r="138" spans="1:21" ht="13.5" customHeight="1" x14ac:dyDescent="0.2">
      <c r="A138" s="10" t="s">
        <v>108</v>
      </c>
      <c r="B138" s="30">
        <v>182235</v>
      </c>
      <c r="C138" s="31">
        <v>111738.5</v>
      </c>
      <c r="D138" s="60">
        <v>18024.5</v>
      </c>
      <c r="E138" s="65">
        <f>93302.1+11778</f>
        <v>105080.1</v>
      </c>
      <c r="F138" s="60">
        <v>1825.3</v>
      </c>
      <c r="G138" s="62">
        <v>1250.4000000000001</v>
      </c>
      <c r="H138" s="61">
        <f t="shared" ref="H138" si="55">SUM(B138:G138)</f>
        <v>420153.8</v>
      </c>
      <c r="I138" s="60">
        <f>107160+1057</f>
        <v>108217</v>
      </c>
      <c r="J138" s="61">
        <f>33678.6+186.3</f>
        <v>33864.9</v>
      </c>
      <c r="K138" s="60">
        <f>11636.6+157.3</f>
        <v>11793.9</v>
      </c>
      <c r="L138" s="61">
        <f>88144+318.3</f>
        <v>88462.3</v>
      </c>
      <c r="M138" s="60">
        <v>730</v>
      </c>
      <c r="N138" s="63">
        <f>14.1+83.8</f>
        <v>97.899999999999991</v>
      </c>
      <c r="O138" s="64">
        <f t="shared" ref="O138" si="56">SUM(I138:N138)</f>
        <v>243165.99999999997</v>
      </c>
      <c r="P138" s="32"/>
      <c r="Q138" s="32"/>
      <c r="R138" s="54"/>
      <c r="S138" s="32"/>
      <c r="T138" s="32"/>
      <c r="U138" s="32"/>
    </row>
    <row r="139" spans="1:21" ht="13.5" customHeight="1" x14ac:dyDescent="0.2">
      <c r="A139" s="10" t="s">
        <v>109</v>
      </c>
      <c r="B139" s="30">
        <v>178626.5</v>
      </c>
      <c r="C139" s="31">
        <v>104843.7</v>
      </c>
      <c r="D139" s="60">
        <v>18329.5</v>
      </c>
      <c r="E139" s="65">
        <f>98773.9+18858.1</f>
        <v>117632</v>
      </c>
      <c r="F139" s="60">
        <v>3400.3</v>
      </c>
      <c r="G139" s="62">
        <v>1147.7</v>
      </c>
      <c r="H139" s="61">
        <f>SUM(B139:G139)</f>
        <v>423979.7</v>
      </c>
      <c r="I139" s="60">
        <f>114613.4+1099.7</f>
        <v>115713.09999999999</v>
      </c>
      <c r="J139" s="61">
        <f>35662.3+293.5</f>
        <v>35955.800000000003</v>
      </c>
      <c r="K139" s="60">
        <f>11115.4+76.6</f>
        <v>11192</v>
      </c>
      <c r="L139" s="61">
        <f>86340.1+415.4</f>
        <v>86755.5</v>
      </c>
      <c r="M139" s="60">
        <v>630</v>
      </c>
      <c r="N139" s="63">
        <f>14.3+83.1</f>
        <v>97.399999999999991</v>
      </c>
      <c r="O139" s="64">
        <f t="shared" ref="O139" si="57">SUM(I139:N139)</f>
        <v>250343.8</v>
      </c>
      <c r="P139" s="32"/>
      <c r="Q139" s="32"/>
      <c r="R139" s="54"/>
      <c r="S139" s="32"/>
      <c r="T139" s="32"/>
      <c r="U139" s="32"/>
    </row>
    <row r="140" spans="1:21" ht="13.5" customHeight="1" x14ac:dyDescent="0.2">
      <c r="A140" s="10" t="s">
        <v>110</v>
      </c>
      <c r="B140" s="30">
        <v>173455</v>
      </c>
      <c r="C140" s="31">
        <v>83726.100000000006</v>
      </c>
      <c r="D140" s="60">
        <v>18307.5</v>
      </c>
      <c r="E140" s="65">
        <f>98366.4+20578</f>
        <v>118944.4</v>
      </c>
      <c r="F140" s="60">
        <v>2390.1999999999998</v>
      </c>
      <c r="G140" s="62">
        <v>1300.5999999999999</v>
      </c>
      <c r="H140" s="61">
        <f>SUM(B140:G140)</f>
        <v>398123.8</v>
      </c>
      <c r="I140" s="60">
        <f>115690+1159.8</f>
        <v>116849.8</v>
      </c>
      <c r="J140" s="61">
        <f>34602.3+333.5</f>
        <v>34935.800000000003</v>
      </c>
      <c r="K140" s="60">
        <f>11345.7+108.7</f>
        <v>11454.400000000001</v>
      </c>
      <c r="L140" s="61">
        <f>86186.1+421.4</f>
        <v>86607.5</v>
      </c>
      <c r="M140" s="60">
        <v>1483.6</v>
      </c>
      <c r="N140" s="63">
        <f>14.5+0.9</f>
        <v>15.4</v>
      </c>
      <c r="O140" s="64">
        <f t="shared" ref="O140" si="58">SUM(I140:N140)</f>
        <v>251346.5</v>
      </c>
      <c r="P140" s="32"/>
      <c r="Q140" s="32"/>
      <c r="R140" s="54"/>
      <c r="S140" s="32"/>
      <c r="T140" s="32"/>
      <c r="U140" s="32"/>
    </row>
    <row r="141" spans="1:21" ht="13.5" customHeight="1" x14ac:dyDescent="0.2">
      <c r="A141" s="10" t="s">
        <v>118</v>
      </c>
      <c r="B141" s="30">
        <v>181661.6</v>
      </c>
      <c r="C141" s="31">
        <v>91822.8</v>
      </c>
      <c r="D141" s="60">
        <v>20817.400000000001</v>
      </c>
      <c r="E141" s="65">
        <f>102498.3+13803.7</f>
        <v>116302</v>
      </c>
      <c r="F141" s="60">
        <v>5883.6</v>
      </c>
      <c r="G141" s="62">
        <v>1374.8</v>
      </c>
      <c r="H141" s="61">
        <f>SUM(B141:G141)</f>
        <v>417862.2</v>
      </c>
      <c r="I141" s="60">
        <f>129663.1+1248.1</f>
        <v>130911.20000000001</v>
      </c>
      <c r="J141" s="61">
        <f>35636.4+491</f>
        <v>36127.4</v>
      </c>
      <c r="K141" s="60">
        <f>9998.4+93.4</f>
        <v>10091.799999999999</v>
      </c>
      <c r="L141" s="61">
        <v>78703.399999999994</v>
      </c>
      <c r="M141" s="60">
        <v>930</v>
      </c>
      <c r="N141" s="63">
        <f>14.5+0.6</f>
        <v>15.1</v>
      </c>
      <c r="O141" s="64">
        <f t="shared" ref="O141" si="59">SUM(I141:N141)</f>
        <v>256778.9</v>
      </c>
      <c r="P141" s="32"/>
      <c r="Q141" s="32"/>
      <c r="R141" s="54"/>
      <c r="S141" s="32"/>
      <c r="T141" s="32"/>
      <c r="U141" s="32"/>
    </row>
    <row r="142" spans="1:21" ht="13.5" customHeight="1" x14ac:dyDescent="0.2">
      <c r="A142" s="10" t="s">
        <v>119</v>
      </c>
      <c r="B142" s="30">
        <v>190074.8</v>
      </c>
      <c r="C142" s="31">
        <v>105928</v>
      </c>
      <c r="D142" s="60">
        <v>22861.599999999999</v>
      </c>
      <c r="E142" s="65">
        <f>105862.2+13257.3</f>
        <v>119119.5</v>
      </c>
      <c r="F142" s="60">
        <v>7423</v>
      </c>
      <c r="G142" s="62">
        <v>1365</v>
      </c>
      <c r="H142" s="61">
        <f>SUM(B142:G142)</f>
        <v>446771.89999999997</v>
      </c>
      <c r="I142" s="60">
        <f>130947.2+1663.8</f>
        <v>132611</v>
      </c>
      <c r="J142" s="61">
        <f>34081.7+583.5</f>
        <v>34665.199999999997</v>
      </c>
      <c r="K142" s="60">
        <f>9756.8+113.4</f>
        <v>9870.1999999999989</v>
      </c>
      <c r="L142" s="61">
        <v>78386.2</v>
      </c>
      <c r="M142" s="60">
        <v>1433.8</v>
      </c>
      <c r="N142" s="63">
        <f>14.6+0.9</f>
        <v>15.5</v>
      </c>
      <c r="O142" s="64">
        <f t="shared" ref="O142" si="60">SUM(I142:N142)</f>
        <v>256981.90000000002</v>
      </c>
      <c r="P142" s="32"/>
      <c r="Q142" s="32"/>
      <c r="R142" s="54"/>
      <c r="S142" s="32"/>
      <c r="T142" s="32"/>
      <c r="U142" s="32"/>
    </row>
    <row r="143" spans="1:21" ht="13.5" customHeight="1" x14ac:dyDescent="0.2">
      <c r="A143" s="10" t="s">
        <v>120</v>
      </c>
      <c r="B143" s="30">
        <v>177302</v>
      </c>
      <c r="C143" s="31">
        <v>100016.2</v>
      </c>
      <c r="D143" s="60">
        <v>22315.5</v>
      </c>
      <c r="E143" s="65">
        <f>97183.8+16460.3</f>
        <v>113644.1</v>
      </c>
      <c r="F143" s="60">
        <v>7055.2</v>
      </c>
      <c r="G143" s="62">
        <v>1101.0999999999999</v>
      </c>
      <c r="H143" s="61">
        <f>SUM(B143:G143)</f>
        <v>421434.10000000003</v>
      </c>
      <c r="I143" s="60">
        <f>132565.1+1750.3</f>
        <v>134315.4</v>
      </c>
      <c r="J143" s="61">
        <f>32345.9+527.5</f>
        <v>32873.4</v>
      </c>
      <c r="K143" s="60">
        <f>9803.8+105</f>
        <v>9908.7999999999993</v>
      </c>
      <c r="L143" s="61">
        <v>82188</v>
      </c>
      <c r="M143" s="60">
        <v>2203.8000000000002</v>
      </c>
      <c r="N143" s="63">
        <f>14.6+0.9</f>
        <v>15.5</v>
      </c>
      <c r="O143" s="64">
        <f t="shared" ref="O143" si="61">SUM(I143:N143)</f>
        <v>261504.89999999997</v>
      </c>
      <c r="P143" s="32"/>
      <c r="Q143" s="32"/>
      <c r="R143" s="54"/>
      <c r="S143" s="32"/>
      <c r="T143" s="32"/>
      <c r="U143" s="32"/>
    </row>
    <row r="144" spans="1:21" ht="13.5" customHeight="1" x14ac:dyDescent="0.2">
      <c r="A144" s="10" t="s">
        <v>107</v>
      </c>
      <c r="B144" s="30">
        <v>172515.20000000001</v>
      </c>
      <c r="C144" s="31">
        <v>110109.5</v>
      </c>
      <c r="D144" s="60">
        <v>19456.5</v>
      </c>
      <c r="E144" s="65">
        <f>96259.4+12825.2</f>
        <v>109084.59999999999</v>
      </c>
      <c r="F144" s="60">
        <v>5746.2</v>
      </c>
      <c r="G144" s="62">
        <v>1036.7</v>
      </c>
      <c r="H144" s="61">
        <f t="shared" ref="H144" si="62">SUM(B144:G144)</f>
        <v>417948.7</v>
      </c>
      <c r="I144" s="60">
        <f>139024.1+3207.9</f>
        <v>142232</v>
      </c>
      <c r="J144" s="61">
        <f>33885.2+615.5</f>
        <v>34500.699999999997</v>
      </c>
      <c r="K144" s="60">
        <f>9698.6+122.8</f>
        <v>9821.4</v>
      </c>
      <c r="L144" s="61">
        <v>79284.2</v>
      </c>
      <c r="M144" s="60">
        <v>2433.9</v>
      </c>
      <c r="N144" s="63">
        <f>14.6+0.9</f>
        <v>15.5</v>
      </c>
      <c r="O144" s="64">
        <f t="shared" ref="O144" si="63">SUM(I144:N144)</f>
        <v>268287.7</v>
      </c>
      <c r="P144" s="32"/>
      <c r="Q144" s="32"/>
      <c r="R144" s="54"/>
      <c r="S144" s="32"/>
      <c r="T144" s="32"/>
      <c r="U144" s="32"/>
    </row>
    <row r="145" spans="1:21" ht="13.5" customHeight="1" x14ac:dyDescent="0.2">
      <c r="A145" s="10" t="s">
        <v>97</v>
      </c>
      <c r="B145" s="30">
        <v>179487</v>
      </c>
      <c r="C145" s="31">
        <v>119618.2</v>
      </c>
      <c r="D145" s="60">
        <v>18392.2</v>
      </c>
      <c r="E145" s="65">
        <f>90598.3+11289</f>
        <v>101887.3</v>
      </c>
      <c r="F145" s="60">
        <v>9123.2000000000007</v>
      </c>
      <c r="G145" s="62">
        <v>952.7</v>
      </c>
      <c r="H145" s="61">
        <f t="shared" ref="H145" si="64">SUM(B145:G145)</f>
        <v>429460.60000000003</v>
      </c>
      <c r="I145" s="60">
        <f>138262+3568.3</f>
        <v>141830.29999999999</v>
      </c>
      <c r="J145" s="61">
        <f>32668.2+712.4</f>
        <v>33380.6</v>
      </c>
      <c r="K145" s="60">
        <f>11979.9+69</f>
        <v>12048.9</v>
      </c>
      <c r="L145" s="61">
        <v>76465.8</v>
      </c>
      <c r="M145" s="60">
        <v>2434.6</v>
      </c>
      <c r="N145" s="63">
        <f>15+2.9</f>
        <v>17.899999999999999</v>
      </c>
      <c r="O145" s="64">
        <f t="shared" ref="O145" si="65">SUM(I145:N145)</f>
        <v>266178.09999999998</v>
      </c>
      <c r="P145" s="32"/>
      <c r="Q145" s="32"/>
      <c r="R145" s="54"/>
      <c r="S145" s="32"/>
      <c r="T145" s="32"/>
      <c r="U145" s="32"/>
    </row>
    <row r="146" spans="1:21" ht="13.5" customHeight="1" x14ac:dyDescent="0.2">
      <c r="A146" s="10" t="s">
        <v>98</v>
      </c>
      <c r="B146" s="30">
        <v>170381.3</v>
      </c>
      <c r="C146" s="31">
        <v>121700.4</v>
      </c>
      <c r="D146" s="60">
        <v>31042.799999999999</v>
      </c>
      <c r="E146" s="65">
        <f>99102.3+13718.3</f>
        <v>112820.6</v>
      </c>
      <c r="F146" s="60">
        <v>8434.4</v>
      </c>
      <c r="G146" s="62">
        <v>1008.5</v>
      </c>
      <c r="H146" s="61">
        <f t="shared" ref="H146" si="66">SUM(B146:G146)</f>
        <v>445388</v>
      </c>
      <c r="I146" s="60">
        <f>142706.8+3953.6</f>
        <v>146660.4</v>
      </c>
      <c r="J146" s="61">
        <f>29747+797.6</f>
        <v>30544.6</v>
      </c>
      <c r="K146" s="60">
        <f>11967.4+107.2</f>
        <v>12074.6</v>
      </c>
      <c r="L146" s="61">
        <v>74232.7</v>
      </c>
      <c r="M146" s="60">
        <v>2466.6999999999998</v>
      </c>
      <c r="N146" s="63">
        <f>14.5+4.9</f>
        <v>19.399999999999999</v>
      </c>
      <c r="O146" s="64">
        <f t="shared" ref="O146" si="67">SUM(I146:N146)</f>
        <v>265998.40000000002</v>
      </c>
      <c r="P146" s="32"/>
      <c r="Q146" s="32"/>
      <c r="R146" s="54"/>
      <c r="S146" s="32"/>
      <c r="T146" s="32"/>
      <c r="U146" s="32"/>
    </row>
    <row r="147" spans="1:21" ht="13.5" customHeight="1" x14ac:dyDescent="0.2">
      <c r="A147" s="10" t="s">
        <v>99</v>
      </c>
      <c r="B147" s="30">
        <v>198334.5</v>
      </c>
      <c r="C147" s="31">
        <v>133957.70000000001</v>
      </c>
      <c r="D147" s="60">
        <v>22178</v>
      </c>
      <c r="E147" s="65">
        <f>103036.7+12318.6</f>
        <v>115355.3</v>
      </c>
      <c r="F147" s="60">
        <v>7497.7</v>
      </c>
      <c r="G147" s="62">
        <v>800.2</v>
      </c>
      <c r="H147" s="61">
        <f t="shared" ref="H147" si="68">SUM(B147:G147)</f>
        <v>478123.4</v>
      </c>
      <c r="I147" s="60">
        <f>140829.1+3817.1</f>
        <v>144646.20000000001</v>
      </c>
      <c r="J147" s="61">
        <f>32007.4+1310.7</f>
        <v>33318.1</v>
      </c>
      <c r="K147" s="60">
        <f>16229.9+180.9</f>
        <v>16410.8</v>
      </c>
      <c r="L147" s="61">
        <v>76472.800000000003</v>
      </c>
      <c r="M147" s="60">
        <v>2471.1</v>
      </c>
      <c r="N147" s="63">
        <f>9.8+6.9</f>
        <v>16.700000000000003</v>
      </c>
      <c r="O147" s="64">
        <f t="shared" ref="O147" si="69">SUM(I147:N147)</f>
        <v>273335.7</v>
      </c>
      <c r="P147" s="32"/>
      <c r="Q147" s="32"/>
      <c r="R147" s="54"/>
      <c r="S147" s="32"/>
      <c r="T147" s="32"/>
      <c r="U147" s="32"/>
    </row>
    <row r="148" spans="1:21" ht="13.5" customHeight="1" x14ac:dyDescent="0.2">
      <c r="A148" s="10" t="s">
        <v>100</v>
      </c>
      <c r="B148" s="30">
        <v>172505.3</v>
      </c>
      <c r="C148" s="31">
        <v>123300.9</v>
      </c>
      <c r="D148" s="60">
        <v>32505.599999999999</v>
      </c>
      <c r="E148" s="65">
        <v>92961.8</v>
      </c>
      <c r="F148" s="60">
        <v>5397.3</v>
      </c>
      <c r="G148" s="62">
        <v>1252.3</v>
      </c>
      <c r="H148" s="61">
        <f>SUM(B148:G148)</f>
        <v>427923.1999999999</v>
      </c>
      <c r="I148" s="60">
        <v>116763.9</v>
      </c>
      <c r="J148" s="61">
        <v>52085.3</v>
      </c>
      <c r="K148" s="60">
        <v>22138.2</v>
      </c>
      <c r="L148" s="61">
        <v>71693.399999999994</v>
      </c>
      <c r="M148" s="60">
        <v>7496.9</v>
      </c>
      <c r="N148" s="63">
        <v>1300.0999999999999</v>
      </c>
      <c r="O148" s="64">
        <f t="shared" ref="O148" si="70">SUM(I148:N148)</f>
        <v>271477.80000000005</v>
      </c>
      <c r="P148" s="32"/>
      <c r="Q148" s="32"/>
      <c r="R148" s="54"/>
      <c r="S148" s="32"/>
      <c r="T148" s="32"/>
      <c r="U148" s="32"/>
    </row>
    <row r="149" spans="1:21" ht="13.5" customHeight="1" x14ac:dyDescent="0.2">
      <c r="A149" s="10" t="s">
        <v>101</v>
      </c>
      <c r="B149" s="30">
        <v>187050.6</v>
      </c>
      <c r="C149" s="31">
        <v>123242.6</v>
      </c>
      <c r="D149" s="60">
        <v>22953.3</v>
      </c>
      <c r="E149" s="65">
        <f>83389.7+10174.1</f>
        <v>93563.8</v>
      </c>
      <c r="F149" s="60">
        <v>7505.3</v>
      </c>
      <c r="G149" s="62">
        <v>1823.1</v>
      </c>
      <c r="H149" s="76">
        <f>SUM(B149:G149)</f>
        <v>436138.69999999995</v>
      </c>
      <c r="I149" s="60">
        <v>116799</v>
      </c>
      <c r="J149" s="61">
        <v>60016.9</v>
      </c>
      <c r="K149" s="60">
        <v>21163.4</v>
      </c>
      <c r="L149" s="61">
        <v>73250</v>
      </c>
      <c r="M149" s="60">
        <v>8529.9</v>
      </c>
      <c r="N149" s="63">
        <v>831.7</v>
      </c>
      <c r="O149" s="64">
        <f t="shared" ref="O149" si="71">SUM(I149:N149)</f>
        <v>280590.90000000002</v>
      </c>
      <c r="P149" s="32"/>
      <c r="Q149" s="32"/>
      <c r="R149" s="54"/>
      <c r="S149" s="32"/>
      <c r="T149" s="32"/>
      <c r="U149" s="32"/>
    </row>
    <row r="150" spans="1:21" ht="13.5" customHeight="1" x14ac:dyDescent="0.2">
      <c r="A150" s="10"/>
      <c r="B150" s="30"/>
      <c r="C150" s="31"/>
      <c r="D150" s="60"/>
      <c r="E150" s="65"/>
      <c r="F150" s="60"/>
      <c r="G150" s="62"/>
      <c r="H150" s="61"/>
      <c r="I150" s="60"/>
      <c r="J150" s="61"/>
      <c r="K150" s="60"/>
      <c r="L150" s="61"/>
      <c r="M150" s="60"/>
      <c r="N150" s="63"/>
      <c r="O150" s="64"/>
      <c r="P150" s="32"/>
      <c r="Q150" s="32"/>
      <c r="R150" s="54"/>
      <c r="S150" s="32"/>
      <c r="T150" s="32"/>
      <c r="U150" s="32"/>
    </row>
    <row r="151" spans="1:21" ht="13.5" customHeight="1" x14ac:dyDescent="0.2">
      <c r="A151" s="10" t="s">
        <v>136</v>
      </c>
      <c r="B151" s="71">
        <v>179374.7</v>
      </c>
      <c r="C151" s="75">
        <v>131968.40000000002</v>
      </c>
      <c r="D151" s="75">
        <v>17787.2</v>
      </c>
      <c r="E151" s="76">
        <f>81747+9190.7</f>
        <v>90937.7</v>
      </c>
      <c r="F151" s="75">
        <v>4999.5</v>
      </c>
      <c r="G151" s="76">
        <v>1308.6999999999998</v>
      </c>
      <c r="H151" s="76">
        <f t="shared" ref="H151:H152" si="72">SUM(B151:G151)</f>
        <v>426376.20000000007</v>
      </c>
      <c r="I151" s="60">
        <v>118278.7</v>
      </c>
      <c r="J151" s="61">
        <v>51507.6</v>
      </c>
      <c r="K151" s="60">
        <v>21254.400000000001</v>
      </c>
      <c r="L151" s="61">
        <v>76151.7</v>
      </c>
      <c r="M151" s="60">
        <v>8541.4</v>
      </c>
      <c r="N151" s="63">
        <v>66.099999999999994</v>
      </c>
      <c r="O151" s="64">
        <f t="shared" ref="O151" si="73">SUM(I151:N151)</f>
        <v>275799.89999999997</v>
      </c>
      <c r="P151" s="32"/>
      <c r="Q151" s="32"/>
      <c r="R151" s="54"/>
      <c r="S151" s="32"/>
      <c r="T151" s="32"/>
      <c r="U151" s="32"/>
    </row>
    <row r="152" spans="1:21" ht="13.5" customHeight="1" x14ac:dyDescent="0.2">
      <c r="A152" s="10" t="s">
        <v>109</v>
      </c>
      <c r="B152" s="30">
        <v>173757.30000000002</v>
      </c>
      <c r="C152" s="71">
        <v>138356.70000000001</v>
      </c>
      <c r="D152" s="71">
        <v>32042.799999999999</v>
      </c>
      <c r="E152" s="71">
        <f>90593.1+9418.3</f>
        <v>100011.40000000001</v>
      </c>
      <c r="F152" s="60">
        <v>6645</v>
      </c>
      <c r="G152" s="75">
        <v>1089.1000000000001</v>
      </c>
      <c r="H152" s="61">
        <f t="shared" si="72"/>
        <v>451902.3</v>
      </c>
      <c r="I152" s="60">
        <v>121939.6</v>
      </c>
      <c r="J152" s="61">
        <v>47567.5</v>
      </c>
      <c r="K152" s="60">
        <v>18934.8</v>
      </c>
      <c r="L152" s="61">
        <v>73513.8</v>
      </c>
      <c r="M152" s="60">
        <v>8535.4</v>
      </c>
      <c r="N152" s="63">
        <v>65.5</v>
      </c>
      <c r="O152" s="64">
        <f t="shared" ref="O152" si="74">SUM(I152:N152)</f>
        <v>270556.60000000003</v>
      </c>
      <c r="P152" s="32"/>
      <c r="Q152" s="32"/>
      <c r="R152" s="54">
        <f>671661.2+160316.1</f>
        <v>831977.29999999993</v>
      </c>
      <c r="S152" s="32"/>
      <c r="T152" s="32"/>
      <c r="U152" s="32"/>
    </row>
    <row r="153" spans="1:21" ht="13.5" customHeight="1" x14ac:dyDescent="0.2">
      <c r="A153" s="10" t="s">
        <v>137</v>
      </c>
      <c r="B153" s="30">
        <v>166906.5</v>
      </c>
      <c r="C153" s="71">
        <v>126774.20000000001</v>
      </c>
      <c r="D153" s="71">
        <v>18832.599999999999</v>
      </c>
      <c r="E153" s="71">
        <f>91833.3+11839.4</f>
        <v>103672.7</v>
      </c>
      <c r="F153" s="60">
        <v>8109</v>
      </c>
      <c r="G153" s="75">
        <v>1014.9</v>
      </c>
      <c r="H153" s="61">
        <f t="shared" ref="H153" si="75">SUM(B153:G153)</f>
        <v>425309.9</v>
      </c>
      <c r="I153" s="60">
        <v>120352.1</v>
      </c>
      <c r="J153" s="61">
        <v>57290.5</v>
      </c>
      <c r="K153" s="60">
        <v>21043.8</v>
      </c>
      <c r="L153" s="61">
        <v>77306.2</v>
      </c>
      <c r="M153" s="60">
        <v>8565.2000000000007</v>
      </c>
      <c r="N153" s="63">
        <v>39.200000000000003</v>
      </c>
      <c r="O153" s="64">
        <f t="shared" ref="O153" si="76">SUM(I153:N153)</f>
        <v>284597</v>
      </c>
      <c r="P153" s="32"/>
      <c r="Q153" s="32"/>
      <c r="R153" s="54"/>
      <c r="S153" s="32"/>
      <c r="T153" s="32"/>
      <c r="U153" s="32"/>
    </row>
    <row r="154" spans="1:21" ht="13.5" customHeight="1" x14ac:dyDescent="0.2">
      <c r="A154" s="70" t="s">
        <v>125</v>
      </c>
      <c r="B154" s="71">
        <v>171888.8</v>
      </c>
      <c r="C154" s="71">
        <v>141646.20000000001</v>
      </c>
      <c r="D154" s="71">
        <v>17069.699999999997</v>
      </c>
      <c r="E154" s="71">
        <f>90063.6+5498</f>
        <v>95561.600000000006</v>
      </c>
      <c r="F154" s="75">
        <v>6132.2</v>
      </c>
      <c r="G154" s="75">
        <v>707.90000000000009</v>
      </c>
      <c r="H154" s="76">
        <f t="shared" ref="H154" si="77">SUM(B154:G154)</f>
        <v>433006.40000000008</v>
      </c>
      <c r="I154" s="75">
        <v>129318.39999999999</v>
      </c>
      <c r="J154" s="76">
        <v>53414</v>
      </c>
      <c r="K154" s="75">
        <v>16004.9</v>
      </c>
      <c r="L154" s="76">
        <v>73979.399999999994</v>
      </c>
      <c r="M154" s="75">
        <v>9276.2999999999993</v>
      </c>
      <c r="N154" s="78">
        <v>56.4</v>
      </c>
      <c r="O154" s="79">
        <f t="shared" ref="O154" si="78">SUM(I154:N154)</f>
        <v>282049.39999999997</v>
      </c>
      <c r="P154" s="73"/>
      <c r="Q154" s="73"/>
      <c r="R154" s="74"/>
      <c r="S154" s="73"/>
      <c r="T154" s="73"/>
      <c r="U154" s="73"/>
    </row>
    <row r="155" spans="1:21" ht="13.5" customHeight="1" x14ac:dyDescent="0.2">
      <c r="A155" s="70" t="s">
        <v>126</v>
      </c>
      <c r="B155" s="71">
        <v>173487.19999999998</v>
      </c>
      <c r="C155" s="71">
        <v>138639.6</v>
      </c>
      <c r="D155" s="71">
        <v>25321.599999999999</v>
      </c>
      <c r="E155" s="71">
        <f>83424.6+9801.4</f>
        <v>93226</v>
      </c>
      <c r="F155" s="75">
        <v>5944</v>
      </c>
      <c r="G155" s="75">
        <v>780.5</v>
      </c>
      <c r="H155" s="76">
        <f t="shared" ref="H155:H156" si="79">SUM(B155:G155)</f>
        <v>437398.89999999997</v>
      </c>
      <c r="I155" s="75">
        <v>125485.5</v>
      </c>
      <c r="J155" s="76">
        <v>61253.2</v>
      </c>
      <c r="K155" s="75">
        <v>20694.3</v>
      </c>
      <c r="L155" s="76">
        <v>71055.7</v>
      </c>
      <c r="M155" s="75">
        <v>9295.2000000000007</v>
      </c>
      <c r="N155" s="78">
        <v>56.3</v>
      </c>
      <c r="O155" s="79">
        <f t="shared" ref="O155:O158" si="80">SUM(I155:N155)</f>
        <v>287840.2</v>
      </c>
      <c r="P155" s="73"/>
      <c r="Q155" s="73"/>
      <c r="R155" s="74"/>
      <c r="S155" s="73"/>
      <c r="T155" s="73"/>
      <c r="U155" s="73"/>
    </row>
    <row r="156" spans="1:21" ht="13.5" customHeight="1" x14ac:dyDescent="0.2">
      <c r="A156" s="70" t="s">
        <v>128</v>
      </c>
      <c r="B156" s="71">
        <v>175088.30000000002</v>
      </c>
      <c r="C156" s="71">
        <v>136179.5</v>
      </c>
      <c r="D156" s="71">
        <v>21218.199999999997</v>
      </c>
      <c r="E156" s="71">
        <f>92305.1+11935.4</f>
        <v>104240.5</v>
      </c>
      <c r="F156" s="75">
        <v>3656.3</v>
      </c>
      <c r="G156" s="75">
        <v>650.9</v>
      </c>
      <c r="H156" s="76">
        <f t="shared" si="79"/>
        <v>441033.70000000007</v>
      </c>
      <c r="I156" s="75">
        <v>121984.3</v>
      </c>
      <c r="J156" s="76">
        <v>63241</v>
      </c>
      <c r="K156" s="75">
        <v>13861.7</v>
      </c>
      <c r="L156" s="76">
        <v>70469</v>
      </c>
      <c r="M156" s="75">
        <v>8610.4</v>
      </c>
      <c r="N156" s="78">
        <v>56.1</v>
      </c>
      <c r="O156" s="79">
        <f t="shared" si="80"/>
        <v>278222.5</v>
      </c>
      <c r="P156" s="73"/>
      <c r="Q156" s="73"/>
      <c r="R156" s="74"/>
      <c r="S156" s="73"/>
      <c r="T156" s="73"/>
      <c r="U156" s="73"/>
    </row>
    <row r="157" spans="1:21" ht="13.5" customHeight="1" x14ac:dyDescent="0.2">
      <c r="A157" s="70" t="s">
        <v>131</v>
      </c>
      <c r="B157" s="71">
        <v>178237.8</v>
      </c>
      <c r="C157" s="71">
        <v>145958.50000000003</v>
      </c>
      <c r="D157" s="71">
        <v>19494</v>
      </c>
      <c r="E157" s="71">
        <f>81309.6+11500</f>
        <v>92809.600000000006</v>
      </c>
      <c r="F157" s="75">
        <v>3770.7</v>
      </c>
      <c r="G157" s="75">
        <v>764.80000000000007</v>
      </c>
      <c r="H157" s="76">
        <f>SUM(B157:G157)</f>
        <v>441035.4</v>
      </c>
      <c r="I157" s="75">
        <v>121779.3</v>
      </c>
      <c r="J157" s="76">
        <v>57269.4</v>
      </c>
      <c r="K157" s="75">
        <v>15549.5</v>
      </c>
      <c r="L157" s="76">
        <v>63546.2</v>
      </c>
      <c r="M157" s="75">
        <v>9780.2000000000007</v>
      </c>
      <c r="N157" s="78">
        <v>81.8</v>
      </c>
      <c r="O157" s="79">
        <f t="shared" si="80"/>
        <v>268006.40000000002</v>
      </c>
      <c r="P157" s="73"/>
      <c r="Q157" s="73"/>
      <c r="R157" s="74"/>
      <c r="S157" s="73"/>
      <c r="T157" s="73"/>
      <c r="U157" s="73"/>
    </row>
    <row r="158" spans="1:21" ht="13.5" customHeight="1" x14ac:dyDescent="0.2">
      <c r="A158" s="70" t="s">
        <v>132</v>
      </c>
      <c r="B158" s="71">
        <v>175254.9</v>
      </c>
      <c r="C158" s="71">
        <v>164500.89999999997</v>
      </c>
      <c r="D158" s="71">
        <v>33745.899999999994</v>
      </c>
      <c r="E158" s="71">
        <f>78342.1+7738.8</f>
        <v>86080.900000000009</v>
      </c>
      <c r="F158" s="75">
        <v>5742.4</v>
      </c>
      <c r="G158" s="75">
        <v>937.9</v>
      </c>
      <c r="H158" s="76">
        <f>SUM(B158:G158)</f>
        <v>466262.9</v>
      </c>
      <c r="I158" s="75">
        <v>119874.3</v>
      </c>
      <c r="J158" s="76">
        <v>60746.3</v>
      </c>
      <c r="K158" s="75">
        <v>6281.2</v>
      </c>
      <c r="L158" s="76">
        <v>65876.100000000006</v>
      </c>
      <c r="M158" s="75">
        <v>9844.6</v>
      </c>
      <c r="N158" s="78">
        <v>42.8</v>
      </c>
      <c r="O158" s="79">
        <f t="shared" si="80"/>
        <v>262665.3</v>
      </c>
      <c r="P158" s="73"/>
      <c r="Q158" s="73"/>
      <c r="R158" s="74"/>
      <c r="S158" s="73"/>
      <c r="T158" s="73"/>
      <c r="U158" s="73"/>
    </row>
    <row r="159" spans="1:21" ht="16.5" customHeight="1" x14ac:dyDescent="0.2">
      <c r="A159" s="33"/>
      <c r="B159" s="34"/>
      <c r="C159" s="35"/>
      <c r="D159" s="34"/>
      <c r="E159" s="35"/>
      <c r="F159" s="34"/>
      <c r="G159" s="47"/>
      <c r="H159" s="38"/>
      <c r="I159" s="34"/>
      <c r="J159" s="35"/>
      <c r="K159" s="34"/>
      <c r="L159" s="35"/>
      <c r="M159" s="34"/>
      <c r="N159" s="51"/>
      <c r="O159" s="38"/>
      <c r="Q159" s="32"/>
      <c r="R159" s="54"/>
      <c r="S159" s="32"/>
      <c r="U159" s="32"/>
    </row>
    <row r="160" spans="1:21" x14ac:dyDescent="0.2">
      <c r="A160" s="66"/>
      <c r="B160" s="19"/>
      <c r="C160" s="19"/>
      <c r="D160" s="19"/>
      <c r="E160" s="19"/>
      <c r="F160" s="19"/>
      <c r="G160" s="42"/>
      <c r="H160" s="19"/>
      <c r="I160" s="19"/>
      <c r="J160" s="19"/>
      <c r="K160" s="19"/>
      <c r="L160" s="19"/>
      <c r="M160" s="19"/>
      <c r="N160" s="42"/>
      <c r="O160" s="20"/>
      <c r="Q160" s="32"/>
      <c r="R160" s="54"/>
      <c r="S160" s="32"/>
    </row>
    <row r="161" spans="1:258" x14ac:dyDescent="0.2">
      <c r="A161" s="33" t="s">
        <v>88</v>
      </c>
      <c r="B161" s="35"/>
      <c r="C161" s="35"/>
      <c r="D161" s="35"/>
      <c r="E161" s="35"/>
      <c r="F161" s="35"/>
      <c r="G161" s="67"/>
      <c r="H161" s="35"/>
      <c r="I161" s="35"/>
      <c r="J161" s="35"/>
      <c r="K161" s="35"/>
      <c r="L161" s="35"/>
      <c r="M161" s="35"/>
      <c r="N161" s="67"/>
      <c r="O161" s="68"/>
      <c r="Q161" s="32"/>
      <c r="S161" s="32"/>
    </row>
    <row r="162" spans="1:258" x14ac:dyDescent="0.2">
      <c r="B162" s="28"/>
      <c r="C162" s="28"/>
      <c r="D162" s="28"/>
      <c r="E162" s="28"/>
      <c r="F162" s="28"/>
      <c r="G162" s="49"/>
      <c r="H162" s="28"/>
      <c r="I162" s="28"/>
      <c r="J162" s="28"/>
      <c r="K162" s="28"/>
      <c r="L162" s="28"/>
      <c r="M162" s="28"/>
      <c r="N162" s="49"/>
      <c r="O162" s="28"/>
      <c r="P162" s="28"/>
      <c r="Q162" s="28"/>
      <c r="R162" s="49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  <c r="IX162" s="28"/>
    </row>
    <row r="163" spans="1:258" x14ac:dyDescent="0.2">
      <c r="B163" s="28"/>
      <c r="C163" s="28"/>
      <c r="D163" s="28"/>
      <c r="E163" s="28"/>
      <c r="F163" s="28"/>
      <c r="G163" s="49"/>
      <c r="H163" s="28"/>
      <c r="I163" s="28"/>
      <c r="J163" s="28"/>
      <c r="K163" s="28"/>
      <c r="L163" s="28"/>
      <c r="M163" s="28"/>
      <c r="N163" s="49"/>
      <c r="O163" s="28"/>
      <c r="P163" s="28"/>
      <c r="Q163" s="28"/>
      <c r="R163" s="49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  <c r="IX163" s="28"/>
    </row>
    <row r="164" spans="1:258" x14ac:dyDescent="0.2">
      <c r="B164" s="28"/>
      <c r="C164" s="28"/>
      <c r="D164" s="28"/>
      <c r="E164" s="28"/>
      <c r="F164" s="28"/>
      <c r="G164" s="49"/>
      <c r="H164" s="36"/>
      <c r="I164" s="28"/>
      <c r="J164" s="28"/>
      <c r="K164" s="28"/>
      <c r="L164" s="28"/>
      <c r="M164" s="28"/>
      <c r="N164" s="49"/>
      <c r="O164" s="28"/>
      <c r="P164" s="28"/>
      <c r="Q164" s="28"/>
      <c r="R164" s="49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  <c r="IX164" s="28"/>
    </row>
    <row r="165" spans="1:258" x14ac:dyDescent="0.2">
      <c r="B165" s="28"/>
      <c r="C165" s="28"/>
      <c r="D165" s="28"/>
      <c r="E165" s="28"/>
      <c r="F165" s="28"/>
      <c r="G165" s="49"/>
      <c r="H165" s="28"/>
      <c r="I165" s="28"/>
      <c r="J165" s="28"/>
      <c r="K165" s="28"/>
      <c r="L165" s="28"/>
      <c r="M165" s="28"/>
      <c r="N165" s="49"/>
      <c r="O165" s="28"/>
      <c r="P165" s="28"/>
      <c r="Q165" s="28"/>
      <c r="R165" s="49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  <c r="IX165" s="28"/>
    </row>
    <row r="166" spans="1:258" x14ac:dyDescent="0.2">
      <c r="B166" s="28"/>
      <c r="C166" s="28"/>
      <c r="D166" s="28"/>
      <c r="E166" s="28"/>
      <c r="F166" s="28"/>
      <c r="G166" s="49"/>
      <c r="H166" s="28"/>
      <c r="I166" s="28"/>
      <c r="J166" s="28"/>
      <c r="K166" s="28"/>
      <c r="L166" s="28"/>
      <c r="M166" s="28"/>
      <c r="N166" s="49"/>
      <c r="O166" s="28"/>
      <c r="P166" s="28"/>
      <c r="Q166" s="28"/>
      <c r="R166" s="49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  <c r="IX166" s="28"/>
    </row>
    <row r="167" spans="1:258" x14ac:dyDescent="0.2">
      <c r="B167" s="28"/>
      <c r="C167" s="28"/>
      <c r="D167" s="28"/>
      <c r="E167" s="28"/>
      <c r="F167" s="28"/>
      <c r="G167" s="49"/>
      <c r="H167" s="28"/>
      <c r="I167" s="28"/>
      <c r="J167" s="28"/>
      <c r="K167" s="28"/>
      <c r="L167" s="28"/>
      <c r="M167" s="28"/>
      <c r="N167" s="49"/>
      <c r="O167" s="28"/>
      <c r="P167" s="28"/>
      <c r="Q167" s="28"/>
      <c r="R167" s="49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  <c r="IX167" s="28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2016-11-08T12:35:25Z</cp:lastPrinted>
  <dcterms:created xsi:type="dcterms:W3CDTF">2000-09-13T06:16:35Z</dcterms:created>
  <dcterms:modified xsi:type="dcterms:W3CDTF">2016-11-08T12:40:15Z</dcterms:modified>
</cp:coreProperties>
</file>