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rançais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'Français'!$A$1:$P$259</definedName>
    <definedName name="Zone_impres_MI">'Français'!$A$18:$A$39</definedName>
  </definedNames>
  <calcPr fullCalcOnLoad="1"/>
</workbook>
</file>

<file path=xl/sharedStrings.xml><?xml version="1.0" encoding="utf-8"?>
<sst xmlns="http://schemas.openxmlformats.org/spreadsheetml/2006/main" count="268" uniqueCount="184">
  <si>
    <t>RECETTES ET DONS</t>
  </si>
  <si>
    <t>RECETTES FISCALES</t>
  </si>
  <si>
    <t xml:space="preserve"> </t>
  </si>
  <si>
    <t xml:space="preserve">       TOTAL</t>
  </si>
  <si>
    <t xml:space="preserve">   patrimoine</t>
  </si>
  <si>
    <t xml:space="preserve">     fiscales</t>
  </si>
  <si>
    <t>Sociétés</t>
  </si>
  <si>
    <t xml:space="preserve">Personnes </t>
  </si>
  <si>
    <t xml:space="preserve">  Autres</t>
  </si>
  <si>
    <t xml:space="preserve">      Total</t>
  </si>
  <si>
    <t xml:space="preserve">Taxe sur les </t>
  </si>
  <si>
    <t xml:space="preserve">   Taxe de cons.</t>
  </si>
  <si>
    <t xml:space="preserve">       Total</t>
  </si>
  <si>
    <t xml:space="preserve">  impôts</t>
  </si>
  <si>
    <t xml:space="preserve">        sur le</t>
  </si>
  <si>
    <t xml:space="preserve">     Taxe à l'im-</t>
  </si>
  <si>
    <t xml:space="preserve">   portation</t>
  </si>
  <si>
    <t xml:space="preserve">     Taxe à l'ex-</t>
  </si>
  <si>
    <t>Période</t>
  </si>
  <si>
    <t>-</t>
  </si>
  <si>
    <t xml:space="preserve">                     Impôts sur le commerce intérieur</t>
  </si>
  <si>
    <t xml:space="preserve">                  Impôts sur le commerce extérieur</t>
  </si>
  <si>
    <t>III.1.1</t>
  </si>
  <si>
    <t xml:space="preserve">    III.1</t>
  </si>
  <si>
    <t xml:space="preserve">          Novembre</t>
  </si>
  <si>
    <t>(en millions de BIF)</t>
  </si>
  <si>
    <t xml:space="preserve">2007 Janvier </t>
  </si>
  <si>
    <t xml:space="preserve">         Mars</t>
  </si>
  <si>
    <t xml:space="preserve">         Avril</t>
  </si>
  <si>
    <t xml:space="preserve">          taxes</t>
  </si>
  <si>
    <t xml:space="preserve">   Autres </t>
  </si>
  <si>
    <t xml:space="preserve">2008 Janvier </t>
  </si>
  <si>
    <t xml:space="preserve">2006  Décembre </t>
  </si>
  <si>
    <t xml:space="preserve">2009 Janvier </t>
  </si>
  <si>
    <t xml:space="preserve">2007  Février </t>
  </si>
  <si>
    <t>2009 1er     Trim.</t>
  </si>
  <si>
    <t>2007  Mars</t>
  </si>
  <si>
    <t>2007  Avril</t>
  </si>
  <si>
    <t xml:space="preserve"> 2007 Mai</t>
  </si>
  <si>
    <t xml:space="preserve"> 2007 Juin </t>
  </si>
  <si>
    <t>2007  Juillet</t>
  </si>
  <si>
    <t>2007  Août</t>
  </si>
  <si>
    <t xml:space="preserve">sur carburant </t>
  </si>
  <si>
    <t>et  sur le tabac</t>
  </si>
  <si>
    <t>2007 Septembre</t>
  </si>
  <si>
    <t>2007 Octobre</t>
  </si>
  <si>
    <t xml:space="preserve">2007 Décembre </t>
  </si>
  <si>
    <t xml:space="preserve">2010 Janvier </t>
  </si>
  <si>
    <t xml:space="preserve">2008 Février </t>
  </si>
  <si>
    <t>2008 Mars</t>
  </si>
  <si>
    <t xml:space="preserve">2008 Avril </t>
  </si>
  <si>
    <t>2008 Mai</t>
  </si>
  <si>
    <t xml:space="preserve">2008 Juin </t>
  </si>
  <si>
    <t>2008 Juillet</t>
  </si>
  <si>
    <t xml:space="preserve"> 2008 Août</t>
  </si>
  <si>
    <t>2008  Septembre</t>
  </si>
  <si>
    <t>2008  Octobre</t>
  </si>
  <si>
    <t>2008 Novembre</t>
  </si>
  <si>
    <t xml:space="preserve"> sur la bière&amp;sucre</t>
  </si>
  <si>
    <t xml:space="preserve"> Impôts sur les revenus</t>
  </si>
  <si>
    <t>2008 Décembre</t>
  </si>
  <si>
    <t xml:space="preserve">2011 Janvier </t>
  </si>
  <si>
    <t xml:space="preserve">2009 Février </t>
  </si>
  <si>
    <t>Mars</t>
  </si>
  <si>
    <t xml:space="preserve">2009  Avril </t>
  </si>
  <si>
    <t>2009  Mai</t>
  </si>
  <si>
    <t xml:space="preserve">2009  Juin </t>
  </si>
  <si>
    <t>2009 Juillet</t>
  </si>
  <si>
    <t>2009  Août</t>
  </si>
  <si>
    <t>2009 Septembre</t>
  </si>
  <si>
    <t>2009 Octobre</t>
  </si>
  <si>
    <t>2009 Novembre</t>
  </si>
  <si>
    <t>2009 Décembre</t>
  </si>
  <si>
    <t>2012 Janvier</t>
  </si>
  <si>
    <t xml:space="preserve">         Février</t>
  </si>
  <si>
    <t xml:space="preserve"> 2010 Février </t>
  </si>
  <si>
    <t>2012 1er Trim.</t>
  </si>
  <si>
    <t>2010 Mars</t>
  </si>
  <si>
    <t>2010 Avril</t>
  </si>
  <si>
    <t xml:space="preserve">  transactions</t>
  </si>
  <si>
    <t>2010  Mai</t>
  </si>
  <si>
    <t xml:space="preserve">         Mai</t>
  </si>
  <si>
    <t>2010 Juin</t>
  </si>
  <si>
    <t>2009  2ème Trim.</t>
  </si>
  <si>
    <t>2010 Juillet</t>
  </si>
  <si>
    <t>2010  Août</t>
  </si>
  <si>
    <t>2010 Septembre</t>
  </si>
  <si>
    <t>2009 3ème Trim.</t>
  </si>
  <si>
    <t>physiques</t>
  </si>
  <si>
    <t xml:space="preserve">Impôts </t>
  </si>
  <si>
    <t xml:space="preserve"> recettes</t>
  </si>
  <si>
    <t xml:space="preserve"> Autres</t>
  </si>
  <si>
    <t xml:space="preserve"> 2010 Octobre</t>
  </si>
  <si>
    <t>2011 1er Trim.</t>
  </si>
  <si>
    <t>2010 Novembre</t>
  </si>
  <si>
    <t>2009   4ème Trim.</t>
  </si>
  <si>
    <t>2010 Décembre</t>
  </si>
  <si>
    <t>2013 janvier</t>
  </si>
  <si>
    <t>2010  1er Trim.</t>
  </si>
  <si>
    <t xml:space="preserve">2011 Février </t>
  </si>
  <si>
    <t>2013 1er Trim.</t>
  </si>
  <si>
    <t>2011 Mars</t>
  </si>
  <si>
    <t>2011 Avril</t>
  </si>
  <si>
    <t>2011  Mai</t>
  </si>
  <si>
    <t>2011  Juin</t>
  </si>
  <si>
    <t>2010  2ème Trim.</t>
  </si>
  <si>
    <t xml:space="preserve">        Juillet</t>
  </si>
  <si>
    <t>2011 Juillet</t>
  </si>
  <si>
    <t xml:space="preserve">        Août</t>
  </si>
  <si>
    <t>2011  Août</t>
  </si>
  <si>
    <t xml:space="preserve">        3ème Trim.</t>
  </si>
  <si>
    <t>2011 Septembre</t>
  </si>
  <si>
    <t>2011 Octobre</t>
  </si>
  <si>
    <t>2010  3ème Trim.</t>
  </si>
  <si>
    <t>2011  Novembre</t>
  </si>
  <si>
    <t>2011 Décembre</t>
  </si>
  <si>
    <t xml:space="preserve">        4ème Trim.</t>
  </si>
  <si>
    <t>2010   4ème Trim.</t>
  </si>
  <si>
    <t>2014 janvier</t>
  </si>
  <si>
    <t>2012 Février</t>
  </si>
  <si>
    <t>2012  Mars</t>
  </si>
  <si>
    <t>2014 1er Trim.</t>
  </si>
  <si>
    <t>2012 Avril</t>
  </si>
  <si>
    <t>2012 Mai</t>
  </si>
  <si>
    <t>2012 Juin</t>
  </si>
  <si>
    <t xml:space="preserve"> 2011 2ème Trim.</t>
  </si>
  <si>
    <t xml:space="preserve">         2er Trim.</t>
  </si>
  <si>
    <t>2012 Juillet</t>
  </si>
  <si>
    <t>2011  Décembre</t>
  </si>
  <si>
    <t>2012  Août</t>
  </si>
  <si>
    <t>2012  Septembre</t>
  </si>
  <si>
    <t>2011  3ème Trim.</t>
  </si>
  <si>
    <t>2012  Octobre</t>
  </si>
  <si>
    <t>2012 Novembre</t>
  </si>
  <si>
    <t>2012 Décembre</t>
  </si>
  <si>
    <t>2011  4ème Trim.</t>
  </si>
  <si>
    <t>2015 janvier</t>
  </si>
  <si>
    <t>2013 Février</t>
  </si>
  <si>
    <t>2013 Mars</t>
  </si>
  <si>
    <t>2012  2ème Trim.</t>
  </si>
  <si>
    <t xml:space="preserve">        Mai</t>
  </si>
  <si>
    <t>2013  Mai</t>
  </si>
  <si>
    <t xml:space="preserve">        Juin</t>
  </si>
  <si>
    <t>2013 Juin</t>
  </si>
  <si>
    <t>2015 1er Trim.</t>
  </si>
  <si>
    <t>2013 Juillet</t>
  </si>
  <si>
    <t>2013 Août</t>
  </si>
  <si>
    <t xml:space="preserve">        Septembre</t>
  </si>
  <si>
    <t>2013 Septembre</t>
  </si>
  <si>
    <t xml:space="preserve">         3er Trim.</t>
  </si>
  <si>
    <t xml:space="preserve"> 2012 3ème Trim.</t>
  </si>
  <si>
    <t xml:space="preserve">        Octobre</t>
  </si>
  <si>
    <t>2013 Octobre</t>
  </si>
  <si>
    <t xml:space="preserve">        Novembre</t>
  </si>
  <si>
    <t>2013 Novembre</t>
  </si>
  <si>
    <t xml:space="preserve">        Décembre</t>
  </si>
  <si>
    <t>2013 Décembre</t>
  </si>
  <si>
    <t xml:space="preserve">         4er Trim.</t>
  </si>
  <si>
    <t>2012  4ème Trim.</t>
  </si>
  <si>
    <t>2016 janvier</t>
  </si>
  <si>
    <t>2014  Février</t>
  </si>
  <si>
    <t>2016 1er Trim.</t>
  </si>
  <si>
    <t>2014  Mars</t>
  </si>
  <si>
    <t>2014  Avril</t>
  </si>
  <si>
    <t>2014  Mai</t>
  </si>
  <si>
    <t>2014  Juin</t>
  </si>
  <si>
    <t>2013 2ème  Trim.</t>
  </si>
  <si>
    <t>2014  Juillet</t>
  </si>
  <si>
    <t>2014  Août</t>
  </si>
  <si>
    <t>2014  Septembre</t>
  </si>
  <si>
    <t>2013 3ème Trim.</t>
  </si>
  <si>
    <t>2014 Octobre</t>
  </si>
  <si>
    <t>2014 Novembre</t>
  </si>
  <si>
    <t xml:space="preserve">              Rubriques </t>
  </si>
  <si>
    <t>TVA et</t>
  </si>
  <si>
    <t>Taxe de cons.</t>
  </si>
  <si>
    <t>2013 4ème Trim.</t>
  </si>
  <si>
    <t>2014 Décembre</t>
  </si>
  <si>
    <t>2017 janvier</t>
  </si>
  <si>
    <t>2015 Février</t>
  </si>
  <si>
    <t>2015 Mars</t>
  </si>
  <si>
    <t>2017 1er Trim.</t>
  </si>
  <si>
    <t xml:space="preserve">Sources: Office Burundais des Recettes </t>
  </si>
  <si>
    <t>2015 Avril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</si>
</sst>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_ * #,##0.0_ ;_ * \-#,##0.0_ ;_ * &quot;-&quot;??_ ;_ @_ "/>
    <numFmt numFmtId="201" formatCode="#,##0.0"/>
    <numFmt numFmtId="202" formatCode="_-* #,##0.0\ _€_-;\-* #,##0.0\ _€_-;_-* &quot;-&quot;?\ _€_-;_-@_-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198" fontId="0" fillId="0" borderId="0" xfId="0" applyAlignment="1">
      <alignment/>
    </xf>
    <xf numFmtId="198" fontId="22" fillId="0" borderId="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0" xfId="0" applyFont="1" applyBorder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0" xfId="0" applyFont="1" applyBorder="1" applyAlignment="1">
      <alignment/>
    </xf>
    <xf numFmtId="198" fontId="22" fillId="0" borderId="14" xfId="0" applyFont="1" applyBorder="1" applyAlignment="1">
      <alignment horizontal="center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 horizontal="fill"/>
    </xf>
    <xf numFmtId="198" fontId="22" fillId="0" borderId="17" xfId="0" applyFont="1" applyBorder="1" applyAlignment="1">
      <alignment horizontal="fill"/>
    </xf>
    <xf numFmtId="198" fontId="22" fillId="0" borderId="15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4" xfId="0" applyFont="1" applyBorder="1" applyAlignment="1">
      <alignment/>
    </xf>
    <xf numFmtId="198" fontId="22" fillId="0" borderId="19" xfId="0" applyFont="1" applyBorder="1" applyAlignment="1">
      <alignment horizontal="right"/>
    </xf>
    <xf numFmtId="198" fontId="22" fillId="0" borderId="19" xfId="0" applyFont="1" applyBorder="1" applyAlignment="1">
      <alignment horizontal="center"/>
    </xf>
    <xf numFmtId="198" fontId="22" fillId="0" borderId="19" xfId="0" applyFont="1" applyBorder="1" applyAlignment="1">
      <alignment/>
    </xf>
    <xf numFmtId="198" fontId="22" fillId="0" borderId="19" xfId="0" applyFont="1" applyBorder="1" applyAlignment="1">
      <alignment/>
    </xf>
    <xf numFmtId="198" fontId="22" fillId="0" borderId="19" xfId="0" applyFont="1" applyBorder="1" applyAlignment="1" quotePrefix="1">
      <alignment/>
    </xf>
    <xf numFmtId="198" fontId="22" fillId="0" borderId="20" xfId="0" applyFont="1" applyBorder="1" applyAlignment="1" quotePrefix="1">
      <alignment/>
    </xf>
    <xf numFmtId="198" fontId="22" fillId="0" borderId="20" xfId="0" applyFont="1" applyBorder="1" applyAlignment="1">
      <alignment horizontal="fill"/>
    </xf>
    <xf numFmtId="0" fontId="22" fillId="0" borderId="19" xfId="0" applyNumberFormat="1" applyFont="1" applyBorder="1" applyAlignment="1">
      <alignment horizontal="left"/>
    </xf>
    <xf numFmtId="201" fontId="22" fillId="0" borderId="19" xfId="0" applyNumberFormat="1" applyFont="1" applyBorder="1" applyAlignment="1">
      <alignment/>
    </xf>
    <xf numFmtId="201" fontId="22" fillId="0" borderId="19" xfId="0" applyNumberFormat="1" applyFont="1" applyBorder="1" applyAlignment="1">
      <alignment horizontal="right"/>
    </xf>
    <xf numFmtId="201" fontId="22" fillId="0" borderId="14" xfId="42" applyNumberFormat="1" applyFont="1" applyBorder="1" applyAlignment="1">
      <alignment horizontal="right"/>
    </xf>
    <xf numFmtId="201" fontId="23" fillId="0" borderId="14" xfId="0" applyNumberFormat="1" applyFont="1" applyBorder="1" applyAlignment="1">
      <alignment/>
    </xf>
    <xf numFmtId="201" fontId="23" fillId="0" borderId="14" xfId="42" applyNumberFormat="1" applyFont="1" applyBorder="1" applyAlignment="1">
      <alignment horizontal="right"/>
    </xf>
    <xf numFmtId="201" fontId="22" fillId="0" borderId="19" xfId="42" applyNumberFormat="1" applyFont="1" applyBorder="1" applyAlignment="1">
      <alignment horizontal="right"/>
    </xf>
    <xf numFmtId="201" fontId="22" fillId="0" borderId="14" xfId="0" applyNumberFormat="1" applyFont="1" applyBorder="1" applyAlignment="1">
      <alignment/>
    </xf>
    <xf numFmtId="201" fontId="22" fillId="0" borderId="14" xfId="53" applyNumberFormat="1" applyFont="1" applyBorder="1" applyAlignment="1" applyProtection="1">
      <alignment horizontal="right"/>
      <protection/>
    </xf>
    <xf numFmtId="201" fontId="24" fillId="0" borderId="14" xfId="53" applyNumberFormat="1" applyFont="1" applyBorder="1" applyAlignment="1" applyProtection="1">
      <alignment horizontal="right"/>
      <protection/>
    </xf>
    <xf numFmtId="201" fontId="22" fillId="0" borderId="14" xfId="42" applyNumberFormat="1" applyFont="1" applyBorder="1" applyAlignment="1">
      <alignment horizontal="right" wrapText="1"/>
    </xf>
    <xf numFmtId="201" fontId="22" fillId="0" borderId="19" xfId="42" applyNumberFormat="1" applyFont="1" applyBorder="1" applyAlignment="1">
      <alignment horizontal="right" wrapText="1"/>
    </xf>
    <xf numFmtId="201" fontId="22" fillId="0" borderId="13" xfId="42" applyNumberFormat="1" applyFont="1" applyBorder="1" applyAlignment="1">
      <alignment horizontal="right" wrapText="1"/>
    </xf>
    <xf numFmtId="197" fontId="22" fillId="0" borderId="19" xfId="0" applyNumberFormat="1" applyFont="1" applyBorder="1" applyAlignment="1" applyProtection="1">
      <alignment/>
      <protection/>
    </xf>
    <xf numFmtId="201" fontId="22" fillId="0" borderId="20" xfId="0" applyNumberFormat="1" applyFont="1" applyBorder="1" applyAlignment="1">
      <alignment/>
    </xf>
    <xf numFmtId="201" fontId="22" fillId="0" borderId="17" xfId="0" applyNumberFormat="1" applyFont="1" applyBorder="1" applyAlignment="1">
      <alignment/>
    </xf>
    <xf numFmtId="201" fontId="22" fillId="0" borderId="20" xfId="0" applyNumberFormat="1" applyFont="1" applyBorder="1" applyAlignment="1">
      <alignment horizontal="right"/>
    </xf>
    <xf numFmtId="200" fontId="25" fillId="0" borderId="15" xfId="42" applyNumberFormat="1" applyFont="1" applyBorder="1" applyAlignment="1">
      <alignment/>
    </xf>
    <xf numFmtId="200" fontId="25" fillId="0" borderId="20" xfId="42" applyNumberFormat="1" applyFont="1" applyBorder="1" applyAlignment="1">
      <alignment/>
    </xf>
    <xf numFmtId="200" fontId="25" fillId="0" borderId="0" xfId="42" applyNumberFormat="1" applyFont="1" applyBorder="1" applyAlignment="1">
      <alignment/>
    </xf>
    <xf numFmtId="198" fontId="22" fillId="0" borderId="14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17" xfId="0" applyFont="1" applyBorder="1" applyAlignment="1">
      <alignment/>
    </xf>
    <xf numFmtId="196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Alignment="1" applyProtection="1">
      <alignment/>
      <protection/>
    </xf>
    <xf numFmtId="197" fontId="22" fillId="0" borderId="0" xfId="0" applyNumberFormat="1" applyFont="1" applyAlignment="1" applyProtection="1">
      <alignment/>
      <protection/>
    </xf>
    <xf numFmtId="198" fontId="22" fillId="0" borderId="0" xfId="0" applyFont="1" applyAlignment="1" applyProtection="1">
      <alignment/>
      <protection/>
    </xf>
    <xf numFmtId="200" fontId="4" fillId="0" borderId="0" xfId="42" applyNumberFormat="1" applyFont="1" applyBorder="1" applyAlignment="1">
      <alignment/>
    </xf>
    <xf numFmtId="201" fontId="24" fillId="0" borderId="19" xfId="53" applyNumberFormat="1" applyFont="1" applyBorder="1" applyAlignment="1" applyProtection="1">
      <alignment horizontal="right"/>
      <protection/>
    </xf>
    <xf numFmtId="200" fontId="4" fillId="0" borderId="19" xfId="42" applyNumberFormat="1" applyFont="1" applyBorder="1" applyAlignment="1">
      <alignment/>
    </xf>
    <xf numFmtId="201" fontId="22" fillId="0" borderId="0" xfId="42" applyNumberFormat="1" applyFont="1" applyBorder="1" applyAlignment="1">
      <alignment horizontal="right" wrapText="1"/>
    </xf>
    <xf numFmtId="200" fontId="4" fillId="0" borderId="19" xfId="42" applyNumberFormat="1" applyFont="1" applyBorder="1" applyAlignment="1">
      <alignment horizontal="right"/>
    </xf>
    <xf numFmtId="200" fontId="4" fillId="0" borderId="0" xfId="42" applyNumberFormat="1" applyFont="1" applyBorder="1" applyAlignment="1">
      <alignment horizontal="right"/>
    </xf>
    <xf numFmtId="200" fontId="4" fillId="0" borderId="20" xfId="42" applyNumberFormat="1" applyFont="1" applyBorder="1" applyAlignment="1">
      <alignment/>
    </xf>
    <xf numFmtId="198" fontId="0" fillId="33" borderId="0" xfId="0" applyFill="1" applyAlignment="1">
      <alignment/>
    </xf>
    <xf numFmtId="201" fontId="22" fillId="33" borderId="13" xfId="42" applyNumberFormat="1" applyFont="1" applyFill="1" applyBorder="1" applyAlignment="1">
      <alignment horizontal="right" wrapText="1"/>
    </xf>
    <xf numFmtId="198" fontId="22" fillId="0" borderId="20" xfId="0" applyFont="1" applyBorder="1" applyAlignment="1">
      <alignment horizontal="center"/>
    </xf>
    <xf numFmtId="198" fontId="22" fillId="0" borderId="14" xfId="0" applyFont="1" applyBorder="1" applyAlignment="1">
      <alignment horizontal="left"/>
    </xf>
    <xf numFmtId="195" fontId="23" fillId="0" borderId="14" xfId="42" applyFont="1" applyBorder="1" applyAlignment="1">
      <alignment horizontal="right"/>
    </xf>
    <xf numFmtId="195" fontId="23" fillId="0" borderId="0" xfId="42" applyFont="1" applyBorder="1" applyAlignment="1">
      <alignment horizontal="right"/>
    </xf>
    <xf numFmtId="200" fontId="4" fillId="0" borderId="20" xfId="42" applyNumberFormat="1" applyFont="1" applyBorder="1" applyAlignment="1">
      <alignment horizontal="right"/>
    </xf>
    <xf numFmtId="200" fontId="22" fillId="0" borderId="0" xfId="42" applyNumberFormat="1" applyFont="1" applyAlignment="1">
      <alignment/>
    </xf>
    <xf numFmtId="200" fontId="4" fillId="0" borderId="14" xfId="42" applyNumberFormat="1" applyFont="1" applyBorder="1" applyAlignment="1">
      <alignment horizontal="right"/>
    </xf>
    <xf numFmtId="201" fontId="22" fillId="0" borderId="20" xfId="42" applyNumberFormat="1" applyFont="1" applyBorder="1" applyAlignment="1">
      <alignment horizontal="right" wrapText="1"/>
    </xf>
    <xf numFmtId="198" fontId="22" fillId="0" borderId="20" xfId="0" applyFont="1" applyBorder="1" applyAlignment="1">
      <alignment/>
    </xf>
    <xf numFmtId="196" fontId="23" fillId="0" borderId="10" xfId="0" applyNumberFormat="1" applyFont="1" applyBorder="1" applyAlignment="1" applyProtection="1">
      <alignment/>
      <protection/>
    </xf>
    <xf numFmtId="196" fontId="23" fillId="0" borderId="11" xfId="0" applyNumberFormat="1" applyFont="1" applyBorder="1" applyAlignment="1" applyProtection="1">
      <alignment/>
      <protection/>
    </xf>
    <xf numFmtId="196" fontId="23" fillId="0" borderId="0" xfId="0" applyNumberFormat="1" applyFont="1" applyBorder="1" applyAlignment="1" applyProtection="1">
      <alignment/>
      <protection/>
    </xf>
    <xf numFmtId="198" fontId="23" fillId="0" borderId="13" xfId="0" applyFont="1" applyBorder="1" applyAlignment="1">
      <alignment horizontal="center"/>
    </xf>
    <xf numFmtId="198" fontId="23" fillId="0" borderId="0" xfId="0" applyFont="1" applyBorder="1" applyAlignment="1">
      <alignment horizontal="center"/>
    </xf>
    <xf numFmtId="198" fontId="23" fillId="0" borderId="14" xfId="0" applyFont="1" applyBorder="1" applyAlignment="1">
      <alignment horizontal="center"/>
    </xf>
    <xf numFmtId="198" fontId="22" fillId="0" borderId="13" xfId="0" applyFont="1" applyBorder="1" applyAlignment="1">
      <alignment horizontal="center" vertical="center"/>
    </xf>
    <xf numFmtId="198" fontId="22" fillId="0" borderId="0" xfId="0" applyFont="1" applyBorder="1" applyAlignment="1">
      <alignment horizontal="center" vertical="center"/>
    </xf>
    <xf numFmtId="198" fontId="22" fillId="0" borderId="14" xfId="0" applyFont="1" applyBorder="1" applyAlignment="1">
      <alignment horizontal="center" vertical="center"/>
    </xf>
    <xf numFmtId="198" fontId="22" fillId="0" borderId="13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9525</xdr:rowOff>
    </xdr:from>
    <xdr:to>
      <xdr:col>0</xdr:col>
      <xdr:colOff>1657350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 flipH="1" flipV="1">
          <a:off x="47625" y="1809750"/>
          <a:ext cx="16097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07"/>
  <sheetViews>
    <sheetView showGridLines="0" tabSelected="1" workbookViewId="0" topLeftCell="A10">
      <pane xSplit="1" ySplit="7" topLeftCell="I245" activePane="bottomRight" state="frozen"/>
      <selection pane="topLeft" activeCell="A10" sqref="A10"/>
      <selection pane="topRight" activeCell="B10" sqref="B10"/>
      <selection pane="bottomLeft" activeCell="A17" sqref="A17"/>
      <selection pane="bottomRight" activeCell="R255" sqref="R255"/>
    </sheetView>
  </sheetViews>
  <sheetFormatPr defaultColWidth="14.88671875" defaultRowHeight="15.75"/>
  <cols>
    <col min="1" max="1" width="19.4453125" style="2" customWidth="1"/>
    <col min="2" max="2" width="11.6640625" style="2" customWidth="1"/>
    <col min="3" max="3" width="11.4453125" style="2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6.10546875" style="2" customWidth="1"/>
    <col min="10" max="10" width="11.4453125" style="2" customWidth="1"/>
    <col min="11" max="12" width="10.77734375" style="2" customWidth="1"/>
    <col min="13" max="13" width="10.99609375" style="2" customWidth="1"/>
    <col min="14" max="15" width="11.21484375" style="2" customWidth="1"/>
    <col min="16" max="16" width="12.10546875" style="2" customWidth="1"/>
    <col min="17" max="16384" width="14.88671875" style="2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23</v>
      </c>
    </row>
    <row r="4" spans="1:16" ht="15.75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</row>
    <row r="5" spans="1:16" ht="15.75">
      <c r="A5" s="70" t="s">
        <v>25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</row>
    <row r="6" spans="1:16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"/>
    </row>
    <row r="8" spans="1:16" ht="15.75">
      <c r="A8" s="6"/>
      <c r="B8" s="7"/>
      <c r="C8" s="7"/>
      <c r="D8" s="7"/>
      <c r="E8" s="7"/>
      <c r="F8" s="7"/>
      <c r="G8" s="7"/>
      <c r="H8" s="7" t="s">
        <v>1</v>
      </c>
      <c r="I8" s="7"/>
      <c r="J8" s="7"/>
      <c r="K8" s="7"/>
      <c r="L8" s="7"/>
      <c r="M8" s="7"/>
      <c r="N8" s="7"/>
      <c r="O8" s="7"/>
      <c r="P8" s="8" t="s">
        <v>22</v>
      </c>
    </row>
    <row r="9" spans="1:16" ht="15.75">
      <c r="A9" s="12" t="s">
        <v>2</v>
      </c>
      <c r="B9" s="1"/>
      <c r="C9" s="1"/>
      <c r="D9" s="1"/>
      <c r="E9" s="1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15.75">
      <c r="A10" s="3"/>
      <c r="B10" s="3"/>
      <c r="C10" s="4"/>
      <c r="D10" s="4"/>
      <c r="E10" s="5"/>
      <c r="F10" s="13"/>
      <c r="G10" s="7"/>
      <c r="H10" s="7"/>
      <c r="I10" s="7"/>
      <c r="J10" s="5"/>
      <c r="K10" s="7"/>
      <c r="L10" s="7"/>
      <c r="M10" s="7"/>
      <c r="N10" s="5"/>
      <c r="O10" s="13"/>
      <c r="P10" s="14"/>
    </row>
    <row r="11" spans="1:16" ht="15.75">
      <c r="A11" s="6" t="s">
        <v>173</v>
      </c>
      <c r="B11" s="73" t="s">
        <v>59</v>
      </c>
      <c r="C11" s="74"/>
      <c r="D11" s="74"/>
      <c r="E11" s="75"/>
      <c r="F11" s="16" t="s">
        <v>89</v>
      </c>
      <c r="G11" s="76" t="s">
        <v>20</v>
      </c>
      <c r="H11" s="77"/>
      <c r="I11" s="77"/>
      <c r="J11" s="78"/>
      <c r="K11" s="7" t="s">
        <v>21</v>
      </c>
      <c r="L11" s="7"/>
      <c r="M11" s="7"/>
      <c r="N11" s="14"/>
      <c r="O11" s="16" t="s">
        <v>91</v>
      </c>
      <c r="P11" s="14"/>
    </row>
    <row r="12" spans="1:16" ht="15.75">
      <c r="A12" s="6" t="s">
        <v>2</v>
      </c>
      <c r="B12" s="9"/>
      <c r="C12" s="10"/>
      <c r="D12" s="10"/>
      <c r="E12" s="11"/>
      <c r="F12" s="16" t="s">
        <v>14</v>
      </c>
      <c r="G12" s="9"/>
      <c r="H12" s="10"/>
      <c r="I12" s="10"/>
      <c r="J12" s="11"/>
      <c r="K12" s="10"/>
      <c r="L12" s="10"/>
      <c r="M12" s="10"/>
      <c r="N12" s="11"/>
      <c r="O12" s="16" t="s">
        <v>90</v>
      </c>
      <c r="P12" s="59" t="s">
        <v>3</v>
      </c>
    </row>
    <row r="13" spans="1:16" ht="15.75">
      <c r="A13" s="17"/>
      <c r="B13" s="17"/>
      <c r="C13" s="17"/>
      <c r="D13" s="17"/>
      <c r="E13" s="14"/>
      <c r="F13" s="15" t="s">
        <v>4</v>
      </c>
      <c r="G13" s="13"/>
      <c r="H13" s="13"/>
      <c r="I13" s="13"/>
      <c r="J13" s="13"/>
      <c r="K13" s="13"/>
      <c r="L13" s="13"/>
      <c r="M13" s="13"/>
      <c r="N13" s="14"/>
      <c r="O13" s="16" t="s">
        <v>5</v>
      </c>
      <c r="P13" s="14"/>
    </row>
    <row r="14" spans="1:16" ht="15.75">
      <c r="A14" s="17"/>
      <c r="B14" s="16" t="s">
        <v>6</v>
      </c>
      <c r="C14" s="16" t="s">
        <v>7</v>
      </c>
      <c r="D14" s="16" t="s">
        <v>8</v>
      </c>
      <c r="E14" s="8" t="s">
        <v>9</v>
      </c>
      <c r="F14" s="17"/>
      <c r="G14" s="16" t="s">
        <v>174</v>
      </c>
      <c r="H14" s="18" t="s">
        <v>11</v>
      </c>
      <c r="I14" s="16" t="s">
        <v>175</v>
      </c>
      <c r="J14" s="16" t="s">
        <v>12</v>
      </c>
      <c r="K14" s="16" t="s">
        <v>15</v>
      </c>
      <c r="L14" s="16" t="s">
        <v>17</v>
      </c>
      <c r="M14" s="16" t="s">
        <v>30</v>
      </c>
      <c r="N14" s="8" t="s">
        <v>12</v>
      </c>
      <c r="O14" s="17"/>
      <c r="P14" s="14"/>
    </row>
    <row r="15" spans="1:16" ht="15.75">
      <c r="A15" s="19" t="s">
        <v>18</v>
      </c>
      <c r="B15" s="17"/>
      <c r="C15" s="16" t="s">
        <v>88</v>
      </c>
      <c r="D15" s="16" t="s">
        <v>13</v>
      </c>
      <c r="E15" s="14"/>
      <c r="F15" s="17"/>
      <c r="G15" s="16" t="s">
        <v>10</v>
      </c>
      <c r="H15" s="16" t="s">
        <v>42</v>
      </c>
      <c r="I15" s="16" t="s">
        <v>58</v>
      </c>
      <c r="J15" s="17"/>
      <c r="K15" s="16" t="s">
        <v>16</v>
      </c>
      <c r="L15" s="16" t="s">
        <v>16</v>
      </c>
      <c r="M15" s="16" t="s">
        <v>29</v>
      </c>
      <c r="N15" s="14"/>
      <c r="O15" s="17"/>
      <c r="P15" s="14"/>
    </row>
    <row r="16" spans="1:16" ht="15.75">
      <c r="A16" s="20"/>
      <c r="B16" s="21"/>
      <c r="C16" s="21"/>
      <c r="D16" s="21"/>
      <c r="E16" s="11"/>
      <c r="F16" s="21"/>
      <c r="G16" s="21" t="s">
        <v>79</v>
      </c>
      <c r="H16" s="58" t="s">
        <v>43</v>
      </c>
      <c r="I16" s="21"/>
      <c r="J16" s="21"/>
      <c r="K16" s="21"/>
      <c r="L16" s="21"/>
      <c r="M16" s="21"/>
      <c r="N16" s="11"/>
      <c r="O16" s="21"/>
      <c r="P16" s="11"/>
    </row>
    <row r="17" spans="1:16" ht="15.75">
      <c r="A17" s="13"/>
      <c r="B17" s="17"/>
      <c r="C17" s="17"/>
      <c r="D17" s="17"/>
      <c r="E17" s="14"/>
      <c r="F17" s="17"/>
      <c r="G17" s="17"/>
      <c r="H17" s="17"/>
      <c r="I17" s="17"/>
      <c r="J17" s="14"/>
      <c r="K17" s="17"/>
      <c r="L17" s="17"/>
      <c r="M17" s="17"/>
      <c r="N17" s="14"/>
      <c r="O17" s="17"/>
      <c r="P17" s="14"/>
    </row>
    <row r="18" spans="1:16" ht="15.75" hidden="1">
      <c r="A18" s="22">
        <v>2002</v>
      </c>
      <c r="B18" s="23">
        <v>20831.7</v>
      </c>
      <c r="C18" s="23">
        <v>9900.6</v>
      </c>
      <c r="D18" s="23">
        <v>884.9</v>
      </c>
      <c r="E18" s="23">
        <f>+B18+C18+D18</f>
        <v>31617.200000000004</v>
      </c>
      <c r="F18" s="23">
        <v>255.3</v>
      </c>
      <c r="G18" s="23">
        <v>25478.6</v>
      </c>
      <c r="H18" s="23">
        <v>1177.6</v>
      </c>
      <c r="I18" s="23">
        <v>16931.1</v>
      </c>
      <c r="J18" s="23">
        <f>+G18+H18+I18</f>
        <v>43587.299999999996</v>
      </c>
      <c r="K18" s="23">
        <v>13829.6</v>
      </c>
      <c r="L18" s="23">
        <v>21.3</v>
      </c>
      <c r="M18" s="23">
        <v>5691.4</v>
      </c>
      <c r="N18" s="23">
        <f>+K18+L18+M18</f>
        <v>19542.3</v>
      </c>
      <c r="O18" s="23">
        <f>821+84.6+11343.9</f>
        <v>12249.5</v>
      </c>
      <c r="P18" s="23">
        <f>+O18+N18+J18+E18+F18</f>
        <v>107251.59999999999</v>
      </c>
    </row>
    <row r="19" spans="1:16" ht="15.75" hidden="1">
      <c r="A19" s="22">
        <v>2003</v>
      </c>
      <c r="B19" s="23">
        <v>18892</v>
      </c>
      <c r="C19" s="23">
        <v>12519.6</v>
      </c>
      <c r="D19" s="23">
        <v>539.7</v>
      </c>
      <c r="E19" s="23">
        <f aca="true" t="shared" si="0" ref="E19:E40">+B19+C19+D19</f>
        <v>31951.3</v>
      </c>
      <c r="F19" s="23">
        <v>292</v>
      </c>
      <c r="G19" s="23">
        <v>30955.2</v>
      </c>
      <c r="H19" s="23">
        <v>1100.1</v>
      </c>
      <c r="I19" s="23">
        <v>16469.2</v>
      </c>
      <c r="J19" s="23">
        <f aca="true" t="shared" si="1" ref="J19:J40">+G19+H19+I19</f>
        <v>48524.5</v>
      </c>
      <c r="K19" s="23">
        <v>16132.2</v>
      </c>
      <c r="L19" s="23">
        <v>82.8</v>
      </c>
      <c r="M19" s="23">
        <v>7618.7</v>
      </c>
      <c r="N19" s="23">
        <f aca="true" t="shared" si="2" ref="N19:N40">+K19+L19+M19</f>
        <v>23833.7</v>
      </c>
      <c r="O19" s="23">
        <f>985.9+14265.5</f>
        <v>15251.4</v>
      </c>
      <c r="P19" s="23">
        <f aca="true" t="shared" si="3" ref="P19:P36">+O19+N19+J19+E19+F19</f>
        <v>119852.90000000001</v>
      </c>
    </row>
    <row r="20" spans="1:16" ht="15.75" hidden="1">
      <c r="A20" s="22">
        <v>2004</v>
      </c>
      <c r="B20" s="23">
        <v>20357.7</v>
      </c>
      <c r="C20" s="23">
        <v>14707.7</v>
      </c>
      <c r="D20" s="23">
        <v>605.6</v>
      </c>
      <c r="E20" s="23">
        <f t="shared" si="0"/>
        <v>35671</v>
      </c>
      <c r="F20" s="23">
        <v>6.4</v>
      </c>
      <c r="G20" s="23">
        <v>36307.5</v>
      </c>
      <c r="H20" s="23">
        <v>1375.6</v>
      </c>
      <c r="I20" s="23">
        <v>18195.6</v>
      </c>
      <c r="J20" s="23">
        <f t="shared" si="1"/>
        <v>55878.7</v>
      </c>
      <c r="K20" s="23">
        <v>15570.4</v>
      </c>
      <c r="L20" s="23">
        <v>131.6</v>
      </c>
      <c r="M20" s="23">
        <v>8777.3</v>
      </c>
      <c r="N20" s="23">
        <f t="shared" si="2"/>
        <v>24479.3</v>
      </c>
      <c r="O20" s="23">
        <f>1053.8+170+16425.3</f>
        <v>17649.1</v>
      </c>
      <c r="P20" s="23">
        <f t="shared" si="3"/>
        <v>133684.49999999997</v>
      </c>
    </row>
    <row r="21" spans="1:16" ht="15.75" hidden="1">
      <c r="A21" s="22">
        <v>2005</v>
      </c>
      <c r="B21" s="23">
        <v>23240.3</v>
      </c>
      <c r="C21" s="23">
        <v>11479.8</v>
      </c>
      <c r="D21" s="23">
        <v>7237.1</v>
      </c>
      <c r="E21" s="23">
        <f t="shared" si="0"/>
        <v>41957.2</v>
      </c>
      <c r="F21" s="24" t="s">
        <v>19</v>
      </c>
      <c r="G21" s="23">
        <v>41796.9</v>
      </c>
      <c r="H21" s="23">
        <v>1419</v>
      </c>
      <c r="I21" s="23">
        <v>21971.6</v>
      </c>
      <c r="J21" s="23">
        <f t="shared" si="1"/>
        <v>65187.5</v>
      </c>
      <c r="K21" s="23">
        <v>18463.8</v>
      </c>
      <c r="L21" s="23">
        <v>121.7</v>
      </c>
      <c r="M21" s="23">
        <v>14456</v>
      </c>
      <c r="N21" s="23">
        <f t="shared" si="2"/>
        <v>33041.5</v>
      </c>
      <c r="O21" s="23">
        <f>1324.01075+17520.9</f>
        <v>18844.910750000003</v>
      </c>
      <c r="P21" s="23">
        <f t="shared" si="3"/>
        <v>159031.11075</v>
      </c>
    </row>
    <row r="22" spans="1:16" ht="15.75" hidden="1">
      <c r="A22" s="22">
        <v>2006</v>
      </c>
      <c r="B22" s="25">
        <v>24384.6</v>
      </c>
      <c r="C22" s="25">
        <v>19211.8</v>
      </c>
      <c r="D22" s="25">
        <v>964.4</v>
      </c>
      <c r="E22" s="23">
        <f t="shared" si="0"/>
        <v>44560.799999999996</v>
      </c>
      <c r="F22" s="24" t="s">
        <v>19</v>
      </c>
      <c r="G22" s="25">
        <v>54220.5</v>
      </c>
      <c r="H22" s="25">
        <v>1828.8</v>
      </c>
      <c r="I22" s="25">
        <v>27128.1</v>
      </c>
      <c r="J22" s="23">
        <f t="shared" si="1"/>
        <v>83177.4</v>
      </c>
      <c r="K22" s="25">
        <v>25372.2</v>
      </c>
      <c r="L22" s="25">
        <v>185.7</v>
      </c>
      <c r="M22" s="25">
        <v>294.4</v>
      </c>
      <c r="N22" s="23">
        <f t="shared" si="2"/>
        <v>25852.300000000003</v>
      </c>
      <c r="O22" s="25">
        <v>10048.8</v>
      </c>
      <c r="P22" s="23">
        <f t="shared" si="3"/>
        <v>163639.3</v>
      </c>
    </row>
    <row r="23" spans="1:16" ht="15.75" hidden="1">
      <c r="A23" s="22">
        <v>2007</v>
      </c>
      <c r="B23" s="25">
        <f>SUM(B38:B41)</f>
        <v>27980.6</v>
      </c>
      <c r="C23" s="25">
        <f>SUM(C38:C41)</f>
        <v>24110</v>
      </c>
      <c r="D23" s="25">
        <f>SUM(D38:D41)</f>
        <v>988.9</v>
      </c>
      <c r="E23" s="23">
        <f t="shared" si="0"/>
        <v>53079.5</v>
      </c>
      <c r="F23" s="25">
        <f>SUM(F38:F41)</f>
        <v>6.2</v>
      </c>
      <c r="G23" s="25">
        <f>SUM(G38:G41)</f>
        <v>60435.700000000004</v>
      </c>
      <c r="H23" s="25">
        <f>SUM(H38:H41)</f>
        <v>1920.8000000000002</v>
      </c>
      <c r="I23" s="25">
        <f>SUM(I38:I41)</f>
        <v>30191.5</v>
      </c>
      <c r="J23" s="23">
        <f t="shared" si="1"/>
        <v>92548</v>
      </c>
      <c r="K23" s="25">
        <f>SUM(K38:K41)</f>
        <v>24553</v>
      </c>
      <c r="L23" s="25">
        <f>SUM(L38:L41)</f>
        <v>99.2</v>
      </c>
      <c r="M23" s="25">
        <f>SUM(M38:M41)</f>
        <v>14.700000000000001</v>
      </c>
      <c r="N23" s="23">
        <f t="shared" si="2"/>
        <v>24666.9</v>
      </c>
      <c r="O23" s="25">
        <f>SUM(O38:O41)</f>
        <v>15406.6</v>
      </c>
      <c r="P23" s="23">
        <f t="shared" si="3"/>
        <v>185707.2</v>
      </c>
    </row>
    <row r="24" spans="1:16" ht="15.75" hidden="1">
      <c r="A24" s="22">
        <v>2008</v>
      </c>
      <c r="B24" s="25">
        <f>SUM(B43:B46)</f>
        <v>35556.9</v>
      </c>
      <c r="C24" s="25">
        <f aca="true" t="shared" si="4" ref="C24:O24">SUM(C43:C46)</f>
        <v>30272.7</v>
      </c>
      <c r="D24" s="25">
        <f t="shared" si="4"/>
        <v>1001</v>
      </c>
      <c r="E24" s="25">
        <f t="shared" si="4"/>
        <v>66830.59999999999</v>
      </c>
      <c r="F24" s="25">
        <f t="shared" si="4"/>
        <v>381.40000000000003</v>
      </c>
      <c r="G24" s="25">
        <f t="shared" si="4"/>
        <v>73199.09999999999</v>
      </c>
      <c r="H24" s="25">
        <f t="shared" si="4"/>
        <v>2472.1000000000004</v>
      </c>
      <c r="I24" s="25">
        <f t="shared" si="4"/>
        <v>41577.1</v>
      </c>
      <c r="J24" s="25">
        <f t="shared" si="4"/>
        <v>117248.29999999999</v>
      </c>
      <c r="K24" s="25">
        <f t="shared" si="4"/>
        <v>32047.7</v>
      </c>
      <c r="L24" s="25">
        <f t="shared" si="4"/>
        <v>1880.6000000000001</v>
      </c>
      <c r="M24" s="25">
        <f t="shared" si="4"/>
        <v>0.7</v>
      </c>
      <c r="N24" s="25">
        <f t="shared" si="4"/>
        <v>33929</v>
      </c>
      <c r="O24" s="25">
        <f t="shared" si="4"/>
        <v>18706.2</v>
      </c>
      <c r="P24" s="23">
        <f t="shared" si="3"/>
        <v>237095.49999999997</v>
      </c>
    </row>
    <row r="25" spans="1:16" ht="15.75" hidden="1">
      <c r="A25" s="22">
        <v>2009</v>
      </c>
      <c r="B25" s="25">
        <f>SUM(B119:B130)</f>
        <v>40302.5</v>
      </c>
      <c r="C25" s="25">
        <f aca="true" t="shared" si="5" ref="C25:P25">SUM(C119:C130)</f>
        <v>32359.699999999997</v>
      </c>
      <c r="D25" s="25">
        <f t="shared" si="5"/>
        <v>7921.900000000001</v>
      </c>
      <c r="E25" s="25">
        <f t="shared" si="5"/>
        <v>80584.1</v>
      </c>
      <c r="F25" s="25">
        <f t="shared" si="5"/>
        <v>2306.7</v>
      </c>
      <c r="G25" s="25">
        <f t="shared" si="5"/>
        <v>96451.8</v>
      </c>
      <c r="H25" s="25">
        <f t="shared" si="5"/>
        <v>9467.4</v>
      </c>
      <c r="I25" s="25">
        <f t="shared" si="5"/>
        <v>41604.979999999996</v>
      </c>
      <c r="J25" s="25">
        <f t="shared" si="5"/>
        <v>147524.18000000002</v>
      </c>
      <c r="K25" s="25">
        <f t="shared" si="5"/>
        <v>27863</v>
      </c>
      <c r="L25" s="25">
        <f t="shared" si="5"/>
        <v>1456.1</v>
      </c>
      <c r="M25" s="25">
        <f t="shared" si="5"/>
        <v>1.6000000000000003</v>
      </c>
      <c r="N25" s="25">
        <f t="shared" si="5"/>
        <v>29320.699999999993</v>
      </c>
      <c r="O25" s="25">
        <f t="shared" si="5"/>
        <v>29287.600000000006</v>
      </c>
      <c r="P25" s="25">
        <f t="shared" si="5"/>
        <v>289023.27999999997</v>
      </c>
    </row>
    <row r="26" spans="1:16" ht="18" hidden="1">
      <c r="A26" s="22">
        <v>2010</v>
      </c>
      <c r="B26" s="25">
        <f>SUM(B142:B153)</f>
        <v>56763.600000000006</v>
      </c>
      <c r="C26" s="25">
        <f aca="true" t="shared" si="6" ref="C26:O27">SUM(C142:C153)</f>
        <v>55324.5</v>
      </c>
      <c r="D26" s="25">
        <f t="shared" si="6"/>
        <v>2270.6099999999997</v>
      </c>
      <c r="E26" s="25">
        <f>SUM(E142:E153)</f>
        <v>114358.70999999999</v>
      </c>
      <c r="F26" s="53">
        <f t="shared" si="6"/>
        <v>0</v>
      </c>
      <c r="G26" s="25">
        <f t="shared" si="6"/>
        <v>131797.40000000002</v>
      </c>
      <c r="H26" s="25">
        <f t="shared" si="6"/>
        <v>15754.199999999999</v>
      </c>
      <c r="I26" s="25">
        <f t="shared" si="6"/>
        <v>47577.9</v>
      </c>
      <c r="J26" s="25">
        <f t="shared" si="6"/>
        <v>195129.50000000003</v>
      </c>
      <c r="K26" s="25">
        <f t="shared" si="6"/>
        <v>32770.49999999999</v>
      </c>
      <c r="L26" s="25">
        <f t="shared" si="6"/>
        <v>216.79999999999998</v>
      </c>
      <c r="M26" s="25">
        <f t="shared" si="6"/>
        <v>4153.6</v>
      </c>
      <c r="N26" s="25">
        <f t="shared" si="6"/>
        <v>37140.9</v>
      </c>
      <c r="O26" s="25">
        <f t="shared" si="6"/>
        <v>16458.340000000004</v>
      </c>
      <c r="P26" s="25">
        <f>SUM(P142:P153)</f>
        <v>363087.45000000007</v>
      </c>
    </row>
    <row r="27" spans="1:16" ht="18" hidden="1">
      <c r="A27" s="22">
        <v>2011</v>
      </c>
      <c r="B27" s="25">
        <f>SUM(B155:B166)</f>
        <v>70627.48</v>
      </c>
      <c r="C27" s="25">
        <f aca="true" t="shared" si="7" ref="C27:P27">SUM(C155:C166)</f>
        <v>52807.56</v>
      </c>
      <c r="D27" s="25">
        <f t="shared" si="7"/>
        <v>536.894</v>
      </c>
      <c r="E27" s="25">
        <f t="shared" si="7"/>
        <v>123971.93400000001</v>
      </c>
      <c r="F27" s="53">
        <f t="shared" si="6"/>
        <v>0</v>
      </c>
      <c r="G27" s="25">
        <f t="shared" si="7"/>
        <v>177327.43699999998</v>
      </c>
      <c r="H27" s="25">
        <f t="shared" si="7"/>
        <v>18473.95</v>
      </c>
      <c r="I27" s="25">
        <f t="shared" si="7"/>
        <v>50113.37200000001</v>
      </c>
      <c r="J27" s="25">
        <f t="shared" si="7"/>
        <v>245914.75900000002</v>
      </c>
      <c r="K27" s="25">
        <f t="shared" si="7"/>
        <v>48829.70999999999</v>
      </c>
      <c r="L27" s="25">
        <f t="shared" si="7"/>
        <v>161.989</v>
      </c>
      <c r="M27" s="25">
        <f t="shared" si="7"/>
        <v>4948.717000000001</v>
      </c>
      <c r="N27" s="25">
        <f t="shared" si="7"/>
        <v>53940.41600000001</v>
      </c>
      <c r="O27" s="25">
        <f t="shared" si="7"/>
        <v>17147.286</v>
      </c>
      <c r="P27" s="25">
        <f t="shared" si="7"/>
        <v>440974.395</v>
      </c>
    </row>
    <row r="28" spans="1:16" ht="15.75" hidden="1">
      <c r="A28" s="22">
        <v>2011</v>
      </c>
      <c r="B28" s="23">
        <f>SUM(B47:B49)</f>
        <v>6345</v>
      </c>
      <c r="C28" s="23">
        <f aca="true" t="shared" si="8" ref="C28:O28">SUM(C47:C49)</f>
        <v>3142.3999999999996</v>
      </c>
      <c r="D28" s="23">
        <f t="shared" si="8"/>
        <v>2055.8999999999996</v>
      </c>
      <c r="E28" s="23">
        <f t="shared" si="0"/>
        <v>11543.3</v>
      </c>
      <c r="F28" s="24" t="s">
        <v>19</v>
      </c>
      <c r="G28" s="23">
        <f t="shared" si="8"/>
        <v>10576.2</v>
      </c>
      <c r="H28" s="23">
        <f t="shared" si="8"/>
        <v>360.79999999999995</v>
      </c>
      <c r="I28" s="23">
        <f t="shared" si="8"/>
        <v>5944.2</v>
      </c>
      <c r="J28" s="23">
        <f t="shared" si="1"/>
        <v>16881.2</v>
      </c>
      <c r="K28" s="23">
        <f t="shared" si="8"/>
        <v>4139</v>
      </c>
      <c r="L28" s="23">
        <f t="shared" si="8"/>
        <v>26.400000000000002</v>
      </c>
      <c r="M28" s="23">
        <f t="shared" si="8"/>
        <v>3086.3999999999996</v>
      </c>
      <c r="N28" s="23">
        <f t="shared" si="2"/>
        <v>7251.799999999999</v>
      </c>
      <c r="O28" s="23">
        <f t="shared" si="8"/>
        <v>4592.71075</v>
      </c>
      <c r="P28" s="23">
        <f t="shared" si="3"/>
        <v>40269.01075</v>
      </c>
    </row>
    <row r="29" spans="1:16" ht="15.75" hidden="1">
      <c r="A29" s="22">
        <v>2011</v>
      </c>
      <c r="B29" s="23">
        <f>SUM(B50:B52)</f>
        <v>5735</v>
      </c>
      <c r="C29" s="23">
        <f aca="true" t="shared" si="9" ref="C29:O29">SUM(C50:C52)</f>
        <v>2789.1000000000004</v>
      </c>
      <c r="D29" s="23">
        <f t="shared" si="9"/>
        <v>1811.8</v>
      </c>
      <c r="E29" s="23">
        <f t="shared" si="0"/>
        <v>10335.9</v>
      </c>
      <c r="F29" s="24" t="s">
        <v>19</v>
      </c>
      <c r="G29" s="23">
        <f t="shared" si="9"/>
        <v>10602.7</v>
      </c>
      <c r="H29" s="23">
        <f t="shared" si="9"/>
        <v>341.79999999999995</v>
      </c>
      <c r="I29" s="23">
        <f t="shared" si="9"/>
        <v>4918.900000000001</v>
      </c>
      <c r="J29" s="23">
        <f t="shared" si="1"/>
        <v>15863.400000000001</v>
      </c>
      <c r="K29" s="23">
        <f t="shared" si="9"/>
        <v>4188.1</v>
      </c>
      <c r="L29" s="23">
        <f t="shared" si="9"/>
        <v>31.499999999999996</v>
      </c>
      <c r="M29" s="23">
        <f t="shared" si="9"/>
        <v>3424.1000000000004</v>
      </c>
      <c r="N29" s="23">
        <f t="shared" si="2"/>
        <v>7643.700000000001</v>
      </c>
      <c r="O29" s="23">
        <f t="shared" si="9"/>
        <v>4378.5</v>
      </c>
      <c r="P29" s="23">
        <f t="shared" si="3"/>
        <v>38221.5</v>
      </c>
    </row>
    <row r="30" spans="1:16" ht="15.75" hidden="1">
      <c r="A30" s="22">
        <v>2011</v>
      </c>
      <c r="B30" s="23">
        <f>SUM(B53:B55)</f>
        <v>2833.9</v>
      </c>
      <c r="C30" s="23">
        <f aca="true" t="shared" si="10" ref="C30:O30">SUM(C53:C55)</f>
        <v>2674.9</v>
      </c>
      <c r="D30" s="23">
        <f t="shared" si="10"/>
        <v>1514.4</v>
      </c>
      <c r="E30" s="23">
        <f t="shared" si="0"/>
        <v>7023.200000000001</v>
      </c>
      <c r="F30" s="24" t="s">
        <v>19</v>
      </c>
      <c r="G30" s="23">
        <f t="shared" si="10"/>
        <v>10739.8</v>
      </c>
      <c r="H30" s="23">
        <f t="shared" si="10"/>
        <v>292.69999999999993</v>
      </c>
      <c r="I30" s="23">
        <f t="shared" si="10"/>
        <v>5691.1</v>
      </c>
      <c r="J30" s="23">
        <f t="shared" si="1"/>
        <v>16723.6</v>
      </c>
      <c r="K30" s="23">
        <f t="shared" si="10"/>
        <v>4818.099999999999</v>
      </c>
      <c r="L30" s="23">
        <f t="shared" si="10"/>
        <v>30.900000000000002</v>
      </c>
      <c r="M30" s="23">
        <f t="shared" si="10"/>
        <v>4761.4</v>
      </c>
      <c r="N30" s="23">
        <f t="shared" si="2"/>
        <v>9610.399999999998</v>
      </c>
      <c r="O30" s="23">
        <f t="shared" si="10"/>
        <v>5656.6</v>
      </c>
      <c r="P30" s="23">
        <f t="shared" si="3"/>
        <v>39013.8</v>
      </c>
    </row>
    <row r="31" spans="1:16" ht="15.75" hidden="1">
      <c r="A31" s="22">
        <v>2011</v>
      </c>
      <c r="B31" s="23">
        <f>SUM(B56:B58)</f>
        <v>8326.4</v>
      </c>
      <c r="C31" s="23">
        <f aca="true" t="shared" si="11" ref="C31:O31">SUM(C56:C58)</f>
        <v>2873.4</v>
      </c>
      <c r="D31" s="23">
        <f t="shared" si="11"/>
        <v>1854.9999999999998</v>
      </c>
      <c r="E31" s="23">
        <f t="shared" si="0"/>
        <v>13054.8</v>
      </c>
      <c r="F31" s="24" t="s">
        <v>19</v>
      </c>
      <c r="G31" s="23">
        <f t="shared" si="11"/>
        <v>9878.2</v>
      </c>
      <c r="H31" s="23">
        <f t="shared" si="11"/>
        <v>423.70000000000005</v>
      </c>
      <c r="I31" s="23">
        <f t="shared" si="11"/>
        <v>5417.4</v>
      </c>
      <c r="J31" s="23">
        <f t="shared" si="1"/>
        <v>15719.300000000001</v>
      </c>
      <c r="K31" s="23">
        <f t="shared" si="11"/>
        <v>5318.6</v>
      </c>
      <c r="L31" s="23">
        <f t="shared" si="11"/>
        <v>32.9</v>
      </c>
      <c r="M31" s="23">
        <f t="shared" si="11"/>
        <v>3184.1000000000004</v>
      </c>
      <c r="N31" s="23">
        <f t="shared" si="2"/>
        <v>8535.6</v>
      </c>
      <c r="O31" s="23">
        <f t="shared" si="11"/>
        <v>4217.099999999999</v>
      </c>
      <c r="P31" s="23">
        <f t="shared" si="3"/>
        <v>41526.8</v>
      </c>
    </row>
    <row r="32" spans="1:16" ht="15.75" hidden="1">
      <c r="A32" s="22">
        <v>2011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5.75" customHeight="1" hidden="1">
      <c r="A33" s="22">
        <v>2011</v>
      </c>
      <c r="B33" s="25">
        <f aca="true" t="shared" si="12" ref="B33:O33">SUM(B60:B62)</f>
        <v>8821.4</v>
      </c>
      <c r="C33" s="25">
        <f t="shared" si="12"/>
        <v>4753.2</v>
      </c>
      <c r="D33" s="25">
        <f t="shared" si="12"/>
        <v>172.2</v>
      </c>
      <c r="E33" s="23">
        <f t="shared" si="0"/>
        <v>13746.8</v>
      </c>
      <c r="F33" s="24" t="s">
        <v>19</v>
      </c>
      <c r="G33" s="25">
        <f t="shared" si="12"/>
        <v>12546.7</v>
      </c>
      <c r="H33" s="25">
        <f t="shared" si="12"/>
        <v>460.79999999999995</v>
      </c>
      <c r="I33" s="25">
        <f t="shared" si="12"/>
        <v>5902.8</v>
      </c>
      <c r="J33" s="23">
        <f t="shared" si="1"/>
        <v>18910.3</v>
      </c>
      <c r="K33" s="25">
        <f t="shared" si="12"/>
        <v>5739.299999999999</v>
      </c>
      <c r="L33" s="25">
        <f t="shared" si="12"/>
        <v>37.4</v>
      </c>
      <c r="M33" s="25">
        <f t="shared" si="12"/>
        <v>222.6</v>
      </c>
      <c r="N33" s="23">
        <f t="shared" si="2"/>
        <v>5999.299999999999</v>
      </c>
      <c r="O33" s="25">
        <f t="shared" si="12"/>
        <v>4241.9</v>
      </c>
      <c r="P33" s="23">
        <f t="shared" si="3"/>
        <v>42898.3</v>
      </c>
    </row>
    <row r="34" spans="1:16" ht="15.75" customHeight="1" hidden="1">
      <c r="A34" s="22">
        <v>2011</v>
      </c>
      <c r="B34" s="25">
        <f>SUM(B63:B65)</f>
        <v>6783.7</v>
      </c>
      <c r="C34" s="25">
        <f aca="true" t="shared" si="13" ref="C34:O34">SUM(C63:C65)</f>
        <v>4616.1</v>
      </c>
      <c r="D34" s="25">
        <f t="shared" si="13"/>
        <v>333.6</v>
      </c>
      <c r="E34" s="23">
        <f t="shared" si="0"/>
        <v>11733.4</v>
      </c>
      <c r="F34" s="24" t="s">
        <v>19</v>
      </c>
      <c r="G34" s="25">
        <f t="shared" si="13"/>
        <v>12901.7</v>
      </c>
      <c r="H34" s="25">
        <f t="shared" si="13"/>
        <v>364.8</v>
      </c>
      <c r="I34" s="25">
        <f t="shared" si="13"/>
        <v>6304.5</v>
      </c>
      <c r="J34" s="23">
        <f t="shared" si="1"/>
        <v>19571</v>
      </c>
      <c r="K34" s="25">
        <f t="shared" si="13"/>
        <v>6236.3</v>
      </c>
      <c r="L34" s="25">
        <f t="shared" si="13"/>
        <v>47</v>
      </c>
      <c r="M34" s="25">
        <f t="shared" si="13"/>
        <v>23.9</v>
      </c>
      <c r="N34" s="23">
        <f t="shared" si="2"/>
        <v>6307.2</v>
      </c>
      <c r="O34" s="25">
        <f t="shared" si="13"/>
        <v>1837.1</v>
      </c>
      <c r="P34" s="23">
        <f t="shared" si="3"/>
        <v>39448.7</v>
      </c>
    </row>
    <row r="35" spans="1:16" ht="15.75" customHeight="1" hidden="1">
      <c r="A35" s="22">
        <v>2011</v>
      </c>
      <c r="B35" s="25">
        <f>SUM(B66:B68)</f>
        <v>2476.8999999999996</v>
      </c>
      <c r="C35" s="25">
        <f aca="true" t="shared" si="14" ref="C35:O35">SUM(C66:C68)</f>
        <v>4741.3</v>
      </c>
      <c r="D35" s="25">
        <f t="shared" si="14"/>
        <v>198.9</v>
      </c>
      <c r="E35" s="23">
        <f t="shared" si="0"/>
        <v>7417.099999999999</v>
      </c>
      <c r="F35" s="24" t="s">
        <v>19</v>
      </c>
      <c r="G35" s="25">
        <f t="shared" si="14"/>
        <v>14779.8</v>
      </c>
      <c r="H35" s="25">
        <f t="shared" si="14"/>
        <v>518.9</v>
      </c>
      <c r="I35" s="25">
        <f t="shared" si="14"/>
        <v>7808.599999999999</v>
      </c>
      <c r="J35" s="23">
        <f t="shared" si="1"/>
        <v>23107.3</v>
      </c>
      <c r="K35" s="25">
        <f t="shared" si="14"/>
        <v>7428.299999999999</v>
      </c>
      <c r="L35" s="25">
        <f t="shared" si="14"/>
        <v>51.6</v>
      </c>
      <c r="M35" s="25">
        <f t="shared" si="14"/>
        <v>11.299999999999999</v>
      </c>
      <c r="N35" s="23">
        <f t="shared" si="2"/>
        <v>7491.2</v>
      </c>
      <c r="O35" s="25">
        <f t="shared" si="14"/>
        <v>1937.3</v>
      </c>
      <c r="P35" s="23">
        <f t="shared" si="3"/>
        <v>39952.9</v>
      </c>
    </row>
    <row r="36" spans="1:16" ht="15.75" customHeight="1" hidden="1">
      <c r="A36" s="22">
        <v>2011</v>
      </c>
      <c r="B36" s="25">
        <f>SUM(B69:B77)</f>
        <v>405218.78925800003</v>
      </c>
      <c r="C36" s="25">
        <f>SUM(C69:C77)</f>
        <v>308021.471189</v>
      </c>
      <c r="D36" s="25">
        <f>SUM(D69:D77)</f>
        <v>2742.99059</v>
      </c>
      <c r="E36" s="23">
        <f t="shared" si="0"/>
        <v>715983.251037</v>
      </c>
      <c r="F36" s="24" t="s">
        <v>19</v>
      </c>
      <c r="G36" s="25">
        <f>SUM(G69:G77)</f>
        <v>1096480.9905410002</v>
      </c>
      <c r="H36" s="25">
        <f>SUM(H69:H77)</f>
        <v>95699.068119</v>
      </c>
      <c r="I36" s="25">
        <f>SUM(I69:I77)</f>
        <v>424699.63726800005</v>
      </c>
      <c r="J36" s="23">
        <f t="shared" si="1"/>
        <v>1616879.6959280001</v>
      </c>
      <c r="K36" s="25">
        <f>SUM(K69:K77)</f>
        <v>242096.15656099998</v>
      </c>
      <c r="L36" s="25">
        <f>SUM(L69:L77)</f>
        <v>2208.5820350000004</v>
      </c>
      <c r="M36" s="25">
        <f>SUM(M69:M77)</f>
        <v>37864.614123395615</v>
      </c>
      <c r="N36" s="23">
        <f t="shared" si="2"/>
        <v>282169.3527193956</v>
      </c>
      <c r="O36" s="25">
        <f>SUM(O69:O77)</f>
        <v>143206.37521560577</v>
      </c>
      <c r="P36" s="23">
        <f t="shared" si="3"/>
        <v>2758238.674900002</v>
      </c>
    </row>
    <row r="37" spans="1:16" ht="15.75" customHeight="1" hidden="1">
      <c r="A37" s="22">
        <v>2011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5.75" customHeight="1" hidden="1">
      <c r="A38" s="22">
        <v>2011</v>
      </c>
      <c r="B38" s="28">
        <f>SUM(B83:B85)</f>
        <v>12638.3</v>
      </c>
      <c r="C38" s="28">
        <f aca="true" t="shared" si="15" ref="C38:P38">SUM(C83:C85)</f>
        <v>7060.3</v>
      </c>
      <c r="D38" s="28">
        <f t="shared" si="15"/>
        <v>216.89999999999998</v>
      </c>
      <c r="E38" s="23">
        <f t="shared" si="0"/>
        <v>19915.5</v>
      </c>
      <c r="F38" s="28">
        <f t="shared" si="15"/>
        <v>6.2</v>
      </c>
      <c r="G38" s="28">
        <f t="shared" si="15"/>
        <v>13747.000000000002</v>
      </c>
      <c r="H38" s="28">
        <f t="shared" si="15"/>
        <v>475.8</v>
      </c>
      <c r="I38" s="28">
        <f t="shared" si="15"/>
        <v>6821.4</v>
      </c>
      <c r="J38" s="28">
        <f t="shared" si="15"/>
        <v>21044.2</v>
      </c>
      <c r="K38" s="28">
        <f t="shared" si="15"/>
        <v>5641.5</v>
      </c>
      <c r="L38" s="28">
        <f t="shared" si="15"/>
        <v>46</v>
      </c>
      <c r="M38" s="28">
        <f t="shared" si="15"/>
        <v>3.3000000000000003</v>
      </c>
      <c r="N38" s="28">
        <f t="shared" si="15"/>
        <v>5690.799999999999</v>
      </c>
      <c r="O38" s="28">
        <f t="shared" si="15"/>
        <v>1928.3999999999999</v>
      </c>
      <c r="P38" s="28">
        <f t="shared" si="15"/>
        <v>48585.1</v>
      </c>
    </row>
    <row r="39" spans="1:16" ht="15.75" customHeight="1" hidden="1">
      <c r="A39" s="22">
        <v>2011</v>
      </c>
      <c r="B39" s="25">
        <f>SUM(B86:B88)</f>
        <v>5104.200000000001</v>
      </c>
      <c r="C39" s="25">
        <f aca="true" t="shared" si="16" ref="C39:P39">SUM(C86:C88)</f>
        <v>5623.799999999999</v>
      </c>
      <c r="D39" s="25">
        <f t="shared" si="16"/>
        <v>169.60000000000002</v>
      </c>
      <c r="E39" s="23">
        <f t="shared" si="0"/>
        <v>10897.6</v>
      </c>
      <c r="F39" s="24" t="s">
        <v>19</v>
      </c>
      <c r="G39" s="25">
        <f t="shared" si="16"/>
        <v>14491.9</v>
      </c>
      <c r="H39" s="25">
        <f t="shared" si="16"/>
        <v>463.3</v>
      </c>
      <c r="I39" s="25">
        <f t="shared" si="16"/>
        <v>6800.2</v>
      </c>
      <c r="J39" s="23">
        <f t="shared" si="1"/>
        <v>21755.399999999998</v>
      </c>
      <c r="K39" s="25">
        <f t="shared" si="16"/>
        <v>6506.7</v>
      </c>
      <c r="L39" s="25">
        <f t="shared" si="16"/>
        <v>22.4</v>
      </c>
      <c r="M39" s="25">
        <f t="shared" si="16"/>
        <v>11.3</v>
      </c>
      <c r="N39" s="23">
        <f t="shared" si="2"/>
        <v>6540.4</v>
      </c>
      <c r="O39" s="25">
        <f t="shared" si="16"/>
        <v>2916.8</v>
      </c>
      <c r="P39" s="25">
        <f t="shared" si="16"/>
        <v>42110.2</v>
      </c>
    </row>
    <row r="40" spans="1:16" ht="15.75" customHeight="1" hidden="1">
      <c r="A40" s="22">
        <v>2011</v>
      </c>
      <c r="B40" s="25">
        <f>+B89+B90+B91</f>
        <v>4070.8</v>
      </c>
      <c r="C40" s="25">
        <f aca="true" t="shared" si="17" ref="C40:P40">+C89+C90+C91</f>
        <v>5534.7</v>
      </c>
      <c r="D40" s="25">
        <f t="shared" si="17"/>
        <v>256.5</v>
      </c>
      <c r="E40" s="23">
        <f t="shared" si="0"/>
        <v>9862</v>
      </c>
      <c r="F40" s="24" t="s">
        <v>19</v>
      </c>
      <c r="G40" s="25">
        <f t="shared" si="17"/>
        <v>15615.800000000001</v>
      </c>
      <c r="H40" s="25">
        <f t="shared" si="17"/>
        <v>521.3</v>
      </c>
      <c r="I40" s="25">
        <f t="shared" si="17"/>
        <v>8644.8</v>
      </c>
      <c r="J40" s="23">
        <f t="shared" si="1"/>
        <v>24781.9</v>
      </c>
      <c r="K40" s="25">
        <f t="shared" si="17"/>
        <v>6428.400000000001</v>
      </c>
      <c r="L40" s="25">
        <f t="shared" si="17"/>
        <v>20.7</v>
      </c>
      <c r="M40" s="25">
        <f t="shared" si="17"/>
        <v>0.1</v>
      </c>
      <c r="N40" s="23">
        <f t="shared" si="2"/>
        <v>6449.200000000001</v>
      </c>
      <c r="O40" s="25">
        <f t="shared" si="17"/>
        <v>3936.3</v>
      </c>
      <c r="P40" s="25">
        <f t="shared" si="17"/>
        <v>45029.399999999994</v>
      </c>
    </row>
    <row r="41" spans="1:16" ht="15.75" customHeight="1" hidden="1">
      <c r="A41" s="22">
        <v>2011</v>
      </c>
      <c r="B41" s="25">
        <f>SUM(B92:B94)</f>
        <v>6167.3</v>
      </c>
      <c r="C41" s="25">
        <f aca="true" t="shared" si="18" ref="C41:P41">SUM(C92:C94)</f>
        <v>5891.2</v>
      </c>
      <c r="D41" s="25">
        <f t="shared" si="18"/>
        <v>345.9</v>
      </c>
      <c r="E41" s="25">
        <f t="shared" si="18"/>
        <v>12404.4</v>
      </c>
      <c r="F41" s="24" t="s">
        <v>19</v>
      </c>
      <c r="G41" s="25">
        <f t="shared" si="18"/>
        <v>16581</v>
      </c>
      <c r="H41" s="25">
        <f t="shared" si="18"/>
        <v>460.40000000000003</v>
      </c>
      <c r="I41" s="25">
        <f t="shared" si="18"/>
        <v>7925.1</v>
      </c>
      <c r="J41" s="25">
        <f t="shared" si="18"/>
        <v>24966.500000000004</v>
      </c>
      <c r="K41" s="25">
        <f t="shared" si="18"/>
        <v>5976.4</v>
      </c>
      <c r="L41" s="25">
        <f t="shared" si="18"/>
        <v>10.1</v>
      </c>
      <c r="M41" s="25" t="s">
        <v>19</v>
      </c>
      <c r="N41" s="25">
        <f t="shared" si="18"/>
        <v>5986.5</v>
      </c>
      <c r="O41" s="25">
        <f t="shared" si="18"/>
        <v>6625.1</v>
      </c>
      <c r="P41" s="25">
        <f t="shared" si="18"/>
        <v>49982.50000000001</v>
      </c>
    </row>
    <row r="42" spans="1:16" ht="15.75" customHeight="1" hidden="1">
      <c r="A42" s="22">
        <v>2011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.75" customHeight="1" hidden="1">
      <c r="A43" s="22">
        <v>2011</v>
      </c>
      <c r="B43" s="25">
        <f aca="true" t="shared" si="19" ref="B43:P43">SUM(B106:B108)</f>
        <v>14358.4</v>
      </c>
      <c r="C43" s="25">
        <f t="shared" si="19"/>
        <v>9070.1</v>
      </c>
      <c r="D43" s="25">
        <f t="shared" si="19"/>
        <v>208.5</v>
      </c>
      <c r="E43" s="25">
        <f t="shared" si="19"/>
        <v>23637</v>
      </c>
      <c r="F43" s="25">
        <f t="shared" si="19"/>
        <v>277.3</v>
      </c>
      <c r="G43" s="25">
        <f t="shared" si="19"/>
        <v>16954.1</v>
      </c>
      <c r="H43" s="25">
        <f>SUM(H106:H108)</f>
        <v>0</v>
      </c>
      <c r="I43" s="25">
        <f t="shared" si="19"/>
        <v>9048.3</v>
      </c>
      <c r="J43" s="25">
        <f t="shared" si="19"/>
        <v>26002.399999999998</v>
      </c>
      <c r="K43" s="25">
        <f t="shared" si="19"/>
        <v>6406.9</v>
      </c>
      <c r="L43" s="25">
        <f t="shared" si="19"/>
        <v>262.8</v>
      </c>
      <c r="M43" s="25">
        <f t="shared" si="19"/>
        <v>0.2</v>
      </c>
      <c r="N43" s="25">
        <f t="shared" si="19"/>
        <v>6669.900000000001</v>
      </c>
      <c r="O43" s="25">
        <f t="shared" si="19"/>
        <v>4983</v>
      </c>
      <c r="P43" s="25">
        <f t="shared" si="19"/>
        <v>61569.59999999999</v>
      </c>
    </row>
    <row r="44" spans="1:16" ht="15.75" customHeight="1" hidden="1">
      <c r="A44" s="22">
        <v>2011</v>
      </c>
      <c r="B44" s="25">
        <f>SUM(B109:B111)</f>
        <v>7889.9</v>
      </c>
      <c r="C44" s="25">
        <f aca="true" t="shared" si="20" ref="C44:P44">SUM(C109:C111)</f>
        <v>6750.6</v>
      </c>
      <c r="D44" s="25">
        <f t="shared" si="20"/>
        <v>355.1</v>
      </c>
      <c r="E44" s="25">
        <f t="shared" si="20"/>
        <v>14995.599999999999</v>
      </c>
      <c r="F44" s="25">
        <f t="shared" si="20"/>
        <v>77.5</v>
      </c>
      <c r="G44" s="25">
        <f t="shared" si="20"/>
        <v>21443.1</v>
      </c>
      <c r="H44" s="25">
        <f t="shared" si="20"/>
        <v>973.6</v>
      </c>
      <c r="I44" s="25">
        <f t="shared" si="20"/>
        <v>9074.7</v>
      </c>
      <c r="J44" s="25">
        <f t="shared" si="20"/>
        <v>31491.399999999998</v>
      </c>
      <c r="K44" s="25">
        <f t="shared" si="20"/>
        <v>8772.4</v>
      </c>
      <c r="L44" s="25">
        <f t="shared" si="20"/>
        <v>816.5000000000001</v>
      </c>
      <c r="M44" s="25">
        <f t="shared" si="20"/>
        <v>0.2</v>
      </c>
      <c r="N44" s="25">
        <f t="shared" si="20"/>
        <v>9589.1</v>
      </c>
      <c r="O44" s="25">
        <f t="shared" si="20"/>
        <v>6254.5</v>
      </c>
      <c r="P44" s="25">
        <f t="shared" si="20"/>
        <v>62408.09999999999</v>
      </c>
    </row>
    <row r="45" spans="1:16" ht="15.75" customHeight="1" hidden="1">
      <c r="A45" s="22">
        <v>2011</v>
      </c>
      <c r="B45" s="25">
        <f>+B112+B113+B114</f>
        <v>3528.7</v>
      </c>
      <c r="C45" s="25">
        <f aca="true" t="shared" si="21" ref="C45:P45">+C112+C113+C114</f>
        <v>6578.599999999999</v>
      </c>
      <c r="D45" s="25">
        <f t="shared" si="21"/>
        <v>288.5</v>
      </c>
      <c r="E45" s="25">
        <f t="shared" si="21"/>
        <v>10395.8</v>
      </c>
      <c r="F45" s="25">
        <f t="shared" si="21"/>
        <v>17.8</v>
      </c>
      <c r="G45" s="25">
        <f t="shared" si="21"/>
        <v>15816.1</v>
      </c>
      <c r="H45" s="25">
        <f t="shared" si="21"/>
        <v>714.6</v>
      </c>
      <c r="I45" s="25">
        <f t="shared" si="21"/>
        <v>12309.900000000001</v>
      </c>
      <c r="J45" s="25">
        <f t="shared" si="21"/>
        <v>28840.600000000002</v>
      </c>
      <c r="K45" s="25">
        <f t="shared" si="21"/>
        <v>8304.1</v>
      </c>
      <c r="L45" s="25">
        <f t="shared" si="21"/>
        <v>407.79999999999995</v>
      </c>
      <c r="M45" s="25">
        <f t="shared" si="21"/>
        <v>0.1</v>
      </c>
      <c r="N45" s="25">
        <f t="shared" si="21"/>
        <v>8712</v>
      </c>
      <c r="O45" s="25">
        <f t="shared" si="21"/>
        <v>3843.5</v>
      </c>
      <c r="P45" s="25">
        <f t="shared" si="21"/>
        <v>51809.700000000004</v>
      </c>
    </row>
    <row r="46" spans="1:18" ht="15.75" customHeight="1" hidden="1">
      <c r="A46" s="22">
        <v>2011</v>
      </c>
      <c r="B46" s="25">
        <f>+B115+B116+B117</f>
        <v>9779.900000000001</v>
      </c>
      <c r="C46" s="25">
        <f aca="true" t="shared" si="22" ref="C46:P46">+C115+C116+C117</f>
        <v>7873.400000000001</v>
      </c>
      <c r="D46" s="25">
        <f t="shared" si="22"/>
        <v>148.9</v>
      </c>
      <c r="E46" s="25">
        <f t="shared" si="22"/>
        <v>17802.2</v>
      </c>
      <c r="F46" s="25">
        <f t="shared" si="22"/>
        <v>8.8</v>
      </c>
      <c r="G46" s="25">
        <f t="shared" si="22"/>
        <v>18985.8</v>
      </c>
      <c r="H46" s="25">
        <f t="shared" si="22"/>
        <v>783.9000000000001</v>
      </c>
      <c r="I46" s="25">
        <f t="shared" si="22"/>
        <v>11144.199999999999</v>
      </c>
      <c r="J46" s="25">
        <f t="shared" si="22"/>
        <v>30913.899999999994</v>
      </c>
      <c r="K46" s="25">
        <f t="shared" si="22"/>
        <v>8564.3</v>
      </c>
      <c r="L46" s="25">
        <f t="shared" si="22"/>
        <v>393.5</v>
      </c>
      <c r="M46" s="25">
        <f t="shared" si="22"/>
        <v>0.2</v>
      </c>
      <c r="N46" s="25">
        <f t="shared" si="22"/>
        <v>8958</v>
      </c>
      <c r="O46" s="25">
        <f t="shared" si="22"/>
        <v>3625.2</v>
      </c>
      <c r="P46" s="25">
        <f t="shared" si="22"/>
        <v>61308.100000000006</v>
      </c>
      <c r="Q46" s="7"/>
      <c r="R46" s="7"/>
    </row>
    <row r="47" spans="1:16" ht="15.75" customHeight="1" hidden="1">
      <c r="A47" s="22">
        <v>2011</v>
      </c>
      <c r="B47" s="25">
        <v>2193.8</v>
      </c>
      <c r="C47" s="23">
        <v>1250.2</v>
      </c>
      <c r="D47" s="23">
        <v>669.1</v>
      </c>
      <c r="E47" s="23">
        <f aca="true" t="shared" si="23" ref="E47:E127">+B47+C47+D47</f>
        <v>4113.1</v>
      </c>
      <c r="F47" s="24" t="s">
        <v>19</v>
      </c>
      <c r="G47" s="23">
        <v>3808</v>
      </c>
      <c r="H47" s="24">
        <v>129</v>
      </c>
      <c r="I47" s="23">
        <v>1977</v>
      </c>
      <c r="J47" s="23">
        <f aca="true" t="shared" si="24" ref="J47:J128">+G47+H47+I47</f>
        <v>5914</v>
      </c>
      <c r="K47" s="23">
        <v>1321.8</v>
      </c>
      <c r="L47" s="23">
        <v>8.4</v>
      </c>
      <c r="M47" s="23">
        <v>927.7</v>
      </c>
      <c r="N47" s="23">
        <f aca="true" t="shared" si="25" ref="N47:N129">+K47+L47+M47</f>
        <v>2257.9</v>
      </c>
      <c r="O47" s="23">
        <v>1286.21075</v>
      </c>
      <c r="P47" s="23">
        <f aca="true" t="shared" si="26" ref="P47:P129">+O47+N47+J47+E47+F47</f>
        <v>13571.21075</v>
      </c>
    </row>
    <row r="48" spans="1:16" ht="15.75" customHeight="1" hidden="1">
      <c r="A48" s="22">
        <v>2011</v>
      </c>
      <c r="B48" s="25">
        <v>562.9</v>
      </c>
      <c r="C48" s="23">
        <v>820.5</v>
      </c>
      <c r="D48" s="23">
        <v>523</v>
      </c>
      <c r="E48" s="23">
        <f t="shared" si="23"/>
        <v>1906.4</v>
      </c>
      <c r="F48" s="24" t="s">
        <v>19</v>
      </c>
      <c r="G48" s="23">
        <v>2903.3</v>
      </c>
      <c r="H48" s="24">
        <v>129.9</v>
      </c>
      <c r="I48" s="23">
        <v>1584.6</v>
      </c>
      <c r="J48" s="23">
        <f t="shared" si="24"/>
        <v>4617.8</v>
      </c>
      <c r="K48" s="23">
        <v>1127.9</v>
      </c>
      <c r="L48" s="23">
        <v>7.2</v>
      </c>
      <c r="M48" s="23">
        <v>1013.9</v>
      </c>
      <c r="N48" s="23">
        <f t="shared" si="25"/>
        <v>2149</v>
      </c>
      <c r="O48" s="23">
        <v>1753.9</v>
      </c>
      <c r="P48" s="23">
        <f t="shared" si="26"/>
        <v>10427.1</v>
      </c>
    </row>
    <row r="49" spans="1:16" ht="15.75" customHeight="1" hidden="1">
      <c r="A49" s="22">
        <v>2011</v>
      </c>
      <c r="B49" s="25">
        <v>3588.3</v>
      </c>
      <c r="C49" s="23">
        <v>1071.7</v>
      </c>
      <c r="D49" s="23">
        <v>863.8</v>
      </c>
      <c r="E49" s="23">
        <f t="shared" si="23"/>
        <v>5523.8</v>
      </c>
      <c r="F49" s="24" t="s">
        <v>19</v>
      </c>
      <c r="G49" s="23">
        <v>3864.9</v>
      </c>
      <c r="H49" s="24">
        <v>101.9</v>
      </c>
      <c r="I49" s="23">
        <v>2382.6</v>
      </c>
      <c r="J49" s="23">
        <f t="shared" si="24"/>
        <v>6349.4</v>
      </c>
      <c r="K49" s="23">
        <v>1689.3</v>
      </c>
      <c r="L49" s="23">
        <v>10.8</v>
      </c>
      <c r="M49" s="23">
        <v>1144.8</v>
      </c>
      <c r="N49" s="23">
        <f t="shared" si="25"/>
        <v>2844.8999999999996</v>
      </c>
      <c r="O49" s="23">
        <v>1552.6</v>
      </c>
      <c r="P49" s="23">
        <f t="shared" si="26"/>
        <v>16270.7</v>
      </c>
    </row>
    <row r="50" spans="1:16" ht="15.75" customHeight="1" hidden="1">
      <c r="A50" s="22">
        <v>2011</v>
      </c>
      <c r="B50" s="25">
        <v>3451</v>
      </c>
      <c r="C50" s="23">
        <v>952.8</v>
      </c>
      <c r="D50" s="23">
        <v>768.6</v>
      </c>
      <c r="E50" s="23">
        <f t="shared" si="23"/>
        <v>5172.400000000001</v>
      </c>
      <c r="F50" s="24" t="s">
        <v>19</v>
      </c>
      <c r="G50" s="23">
        <v>3914.6</v>
      </c>
      <c r="H50" s="24">
        <v>65.1</v>
      </c>
      <c r="I50" s="23">
        <v>1472.7</v>
      </c>
      <c r="J50" s="23">
        <f t="shared" si="24"/>
        <v>5452.4</v>
      </c>
      <c r="K50" s="23">
        <v>1508.7</v>
      </c>
      <c r="L50" s="23">
        <v>9.6</v>
      </c>
      <c r="M50" s="23">
        <v>1534.5</v>
      </c>
      <c r="N50" s="23">
        <f t="shared" si="25"/>
        <v>3052.8</v>
      </c>
      <c r="O50" s="23">
        <v>1766.1</v>
      </c>
      <c r="P50" s="23">
        <f t="shared" si="26"/>
        <v>15443.7</v>
      </c>
    </row>
    <row r="51" spans="1:16" ht="15.75" customHeight="1" hidden="1">
      <c r="A51" s="22">
        <v>2011</v>
      </c>
      <c r="B51" s="25">
        <v>631.8</v>
      </c>
      <c r="C51" s="23">
        <v>854.1</v>
      </c>
      <c r="D51" s="23">
        <v>593.9</v>
      </c>
      <c r="E51" s="23">
        <f t="shared" si="23"/>
        <v>2079.8</v>
      </c>
      <c r="F51" s="24" t="s">
        <v>19</v>
      </c>
      <c r="G51" s="23">
        <v>3362.5</v>
      </c>
      <c r="H51" s="24">
        <v>130.5</v>
      </c>
      <c r="I51" s="23">
        <v>1599.4</v>
      </c>
      <c r="J51" s="23">
        <f t="shared" si="24"/>
        <v>5092.4</v>
      </c>
      <c r="K51" s="23">
        <v>1304.2</v>
      </c>
      <c r="L51" s="23">
        <v>11.2</v>
      </c>
      <c r="M51" s="23">
        <v>861.4</v>
      </c>
      <c r="N51" s="23">
        <f t="shared" si="25"/>
        <v>2176.8</v>
      </c>
      <c r="O51" s="23">
        <v>1469.6</v>
      </c>
      <c r="P51" s="23">
        <f t="shared" si="26"/>
        <v>10818.599999999999</v>
      </c>
    </row>
    <row r="52" spans="1:16" ht="15.75" customHeight="1" hidden="1">
      <c r="A52" s="22">
        <v>2011</v>
      </c>
      <c r="B52" s="25">
        <v>1652.2</v>
      </c>
      <c r="C52" s="23">
        <v>982.2</v>
      </c>
      <c r="D52" s="23">
        <v>449.3</v>
      </c>
      <c r="E52" s="23">
        <f t="shared" si="23"/>
        <v>3083.7000000000003</v>
      </c>
      <c r="F52" s="24" t="s">
        <v>19</v>
      </c>
      <c r="G52" s="23">
        <v>3325.6</v>
      </c>
      <c r="H52" s="24">
        <v>146.2</v>
      </c>
      <c r="I52" s="23">
        <v>1846.8</v>
      </c>
      <c r="J52" s="23">
        <f t="shared" si="24"/>
        <v>5318.599999999999</v>
      </c>
      <c r="K52" s="23">
        <v>1375.2</v>
      </c>
      <c r="L52" s="23">
        <v>10.7</v>
      </c>
      <c r="M52" s="23">
        <v>1028.2</v>
      </c>
      <c r="N52" s="23">
        <f t="shared" si="25"/>
        <v>2414.1000000000004</v>
      </c>
      <c r="O52" s="23">
        <v>1142.8</v>
      </c>
      <c r="P52" s="23">
        <f t="shared" si="26"/>
        <v>11959.2</v>
      </c>
    </row>
    <row r="53" spans="1:16" ht="15.75" customHeight="1" hidden="1">
      <c r="A53" s="22">
        <v>2011</v>
      </c>
      <c r="B53" s="25">
        <v>814.6</v>
      </c>
      <c r="C53" s="23">
        <v>837.2</v>
      </c>
      <c r="D53" s="23">
        <v>489.4</v>
      </c>
      <c r="E53" s="23">
        <f t="shared" si="23"/>
        <v>2141.2000000000003</v>
      </c>
      <c r="F53" s="24" t="s">
        <v>19</v>
      </c>
      <c r="G53" s="23">
        <v>3447</v>
      </c>
      <c r="H53" s="24">
        <v>145.7</v>
      </c>
      <c r="I53" s="23">
        <v>1967.1</v>
      </c>
      <c r="J53" s="23">
        <f t="shared" si="24"/>
        <v>5559.799999999999</v>
      </c>
      <c r="K53" s="23">
        <v>1333.8</v>
      </c>
      <c r="L53" s="23">
        <v>7.9</v>
      </c>
      <c r="M53" s="23">
        <v>1011.2</v>
      </c>
      <c r="N53" s="23">
        <f t="shared" si="25"/>
        <v>2352.9</v>
      </c>
      <c r="O53" s="23">
        <v>1160</v>
      </c>
      <c r="P53" s="23">
        <f t="shared" si="26"/>
        <v>11213.9</v>
      </c>
    </row>
    <row r="54" spans="1:16" ht="15.75" customHeight="1" hidden="1">
      <c r="A54" s="22">
        <v>2011</v>
      </c>
      <c r="B54" s="25">
        <v>728.7</v>
      </c>
      <c r="C54" s="23">
        <v>914.1</v>
      </c>
      <c r="D54" s="23">
        <v>547.1</v>
      </c>
      <c r="E54" s="23">
        <f t="shared" si="23"/>
        <v>2189.9</v>
      </c>
      <c r="F54" s="24" t="s">
        <v>19</v>
      </c>
      <c r="G54" s="23">
        <v>3660.4</v>
      </c>
      <c r="H54" s="24">
        <v>135.6</v>
      </c>
      <c r="I54" s="23">
        <v>1669.2</v>
      </c>
      <c r="J54" s="23">
        <f t="shared" si="24"/>
        <v>5465.2</v>
      </c>
      <c r="K54" s="23">
        <v>1768.6</v>
      </c>
      <c r="L54" s="23">
        <v>12.2</v>
      </c>
      <c r="M54" s="23">
        <v>1056</v>
      </c>
      <c r="N54" s="23">
        <f t="shared" si="25"/>
        <v>2836.8</v>
      </c>
      <c r="O54" s="23">
        <v>2677.5</v>
      </c>
      <c r="P54" s="23">
        <f t="shared" si="26"/>
        <v>13169.4</v>
      </c>
    </row>
    <row r="55" spans="1:16" ht="15.75" customHeight="1" hidden="1">
      <c r="A55" s="22">
        <v>2011</v>
      </c>
      <c r="B55" s="25">
        <v>1290.6</v>
      </c>
      <c r="C55" s="23">
        <v>923.6</v>
      </c>
      <c r="D55" s="23">
        <v>477.9</v>
      </c>
      <c r="E55" s="23">
        <f t="shared" si="23"/>
        <v>2692.1</v>
      </c>
      <c r="F55" s="24" t="s">
        <v>19</v>
      </c>
      <c r="G55" s="23">
        <v>3632.4</v>
      </c>
      <c r="H55" s="24">
        <v>11.4</v>
      </c>
      <c r="I55" s="23">
        <v>2054.8</v>
      </c>
      <c r="J55" s="23">
        <f t="shared" si="24"/>
        <v>5698.6</v>
      </c>
      <c r="K55" s="23">
        <v>1715.7</v>
      </c>
      <c r="L55" s="23">
        <v>10.8</v>
      </c>
      <c r="M55" s="23">
        <v>2694.2</v>
      </c>
      <c r="N55" s="23">
        <f t="shared" si="25"/>
        <v>4420.7</v>
      </c>
      <c r="O55" s="23">
        <v>1819.1</v>
      </c>
      <c r="P55" s="23">
        <f t="shared" si="26"/>
        <v>14630.5</v>
      </c>
    </row>
    <row r="56" spans="1:16" ht="15.75" customHeight="1" hidden="1">
      <c r="A56" s="22">
        <v>2011</v>
      </c>
      <c r="B56" s="25">
        <v>5108</v>
      </c>
      <c r="C56" s="23">
        <v>908.7</v>
      </c>
      <c r="D56" s="23">
        <v>514.8</v>
      </c>
      <c r="E56" s="23">
        <f t="shared" si="23"/>
        <v>6531.5</v>
      </c>
      <c r="F56" s="24" t="s">
        <v>19</v>
      </c>
      <c r="G56" s="23">
        <v>3088.9</v>
      </c>
      <c r="H56" s="24">
        <v>138.9</v>
      </c>
      <c r="I56" s="23">
        <v>1794.5</v>
      </c>
      <c r="J56" s="23">
        <f t="shared" si="24"/>
        <v>5022.3</v>
      </c>
      <c r="K56" s="23">
        <v>1570</v>
      </c>
      <c r="L56" s="23">
        <v>11.8</v>
      </c>
      <c r="M56" s="23">
        <v>1057.3</v>
      </c>
      <c r="N56" s="23">
        <f t="shared" si="25"/>
        <v>2639.1</v>
      </c>
      <c r="O56" s="23">
        <v>1656.8</v>
      </c>
      <c r="P56" s="23">
        <f t="shared" si="26"/>
        <v>15849.7</v>
      </c>
    </row>
    <row r="57" spans="1:16" ht="15.75" customHeight="1" hidden="1">
      <c r="A57" s="22">
        <v>2011</v>
      </c>
      <c r="B57" s="25">
        <v>653.3</v>
      </c>
      <c r="C57" s="23">
        <v>955.3</v>
      </c>
      <c r="D57" s="23">
        <v>650.9</v>
      </c>
      <c r="E57" s="23">
        <f t="shared" si="23"/>
        <v>2259.5</v>
      </c>
      <c r="F57" s="24" t="s">
        <v>19</v>
      </c>
      <c r="G57" s="23">
        <v>3326.6</v>
      </c>
      <c r="H57" s="24">
        <v>152.9</v>
      </c>
      <c r="I57" s="23">
        <v>1792.6</v>
      </c>
      <c r="J57" s="23">
        <f t="shared" si="24"/>
        <v>5272.1</v>
      </c>
      <c r="K57" s="23">
        <v>1726.1</v>
      </c>
      <c r="L57" s="23">
        <v>9</v>
      </c>
      <c r="M57" s="23">
        <v>1061</v>
      </c>
      <c r="N57" s="23">
        <f t="shared" si="25"/>
        <v>2796.1</v>
      </c>
      <c r="O57" s="23">
        <v>1595.1</v>
      </c>
      <c r="P57" s="23">
        <f t="shared" si="26"/>
        <v>11922.8</v>
      </c>
    </row>
    <row r="58" spans="1:16" ht="15.75" customHeight="1" hidden="1">
      <c r="A58" s="22">
        <v>2011</v>
      </c>
      <c r="B58" s="25">
        <v>2565.1</v>
      </c>
      <c r="C58" s="23">
        <v>1009.4</v>
      </c>
      <c r="D58" s="23">
        <v>689.3</v>
      </c>
      <c r="E58" s="23">
        <f t="shared" si="23"/>
        <v>4263.8</v>
      </c>
      <c r="F58" s="24" t="s">
        <v>19</v>
      </c>
      <c r="G58" s="23">
        <v>3462.7</v>
      </c>
      <c r="H58" s="24">
        <v>131.9</v>
      </c>
      <c r="I58" s="23">
        <v>1830.3</v>
      </c>
      <c r="J58" s="23">
        <f t="shared" si="24"/>
        <v>5424.9</v>
      </c>
      <c r="K58" s="23">
        <v>2022.5</v>
      </c>
      <c r="L58" s="23">
        <v>12.1</v>
      </c>
      <c r="M58" s="23">
        <v>1065.8</v>
      </c>
      <c r="N58" s="23">
        <f t="shared" si="25"/>
        <v>3100.3999999999996</v>
      </c>
      <c r="O58" s="23">
        <v>965.2</v>
      </c>
      <c r="P58" s="23">
        <f t="shared" si="26"/>
        <v>13754.3</v>
      </c>
    </row>
    <row r="59" spans="1:16" ht="15.75" customHeight="1" hidden="1">
      <c r="A59" s="22">
        <v>2011</v>
      </c>
      <c r="B59" s="25"/>
      <c r="C59" s="25"/>
      <c r="D59" s="25"/>
      <c r="E59" s="23"/>
      <c r="F59" s="25"/>
      <c r="G59" s="25"/>
      <c r="H59" s="25"/>
      <c r="I59" s="25"/>
      <c r="J59" s="23"/>
      <c r="K59" s="25"/>
      <c r="L59" s="25"/>
      <c r="M59" s="25"/>
      <c r="N59" s="23"/>
      <c r="O59" s="25"/>
      <c r="P59" s="23"/>
    </row>
    <row r="60" spans="1:16" ht="15.75" customHeight="1" hidden="1">
      <c r="A60" s="22">
        <v>2011</v>
      </c>
      <c r="B60" s="25">
        <v>2993.7</v>
      </c>
      <c r="C60" s="23">
        <v>1794.4</v>
      </c>
      <c r="D60" s="23">
        <v>69</v>
      </c>
      <c r="E60" s="23">
        <f t="shared" si="23"/>
        <v>4857.1</v>
      </c>
      <c r="F60" s="24" t="s">
        <v>19</v>
      </c>
      <c r="G60" s="23">
        <v>4325.6</v>
      </c>
      <c r="H60" s="24">
        <v>144.6</v>
      </c>
      <c r="I60" s="23">
        <v>2000.3</v>
      </c>
      <c r="J60" s="23">
        <f t="shared" si="24"/>
        <v>6470.500000000001</v>
      </c>
      <c r="K60" s="23">
        <v>1795.6</v>
      </c>
      <c r="L60" s="24">
        <v>12.5</v>
      </c>
      <c r="M60" s="23">
        <v>161.7</v>
      </c>
      <c r="N60" s="23">
        <f t="shared" si="25"/>
        <v>1969.8</v>
      </c>
      <c r="O60" s="23">
        <v>1806.5</v>
      </c>
      <c r="P60" s="23">
        <f t="shared" si="26"/>
        <v>15103.900000000001</v>
      </c>
    </row>
    <row r="61" spans="1:16" ht="15.75" customHeight="1" hidden="1">
      <c r="A61" s="22">
        <v>2011</v>
      </c>
      <c r="B61" s="25">
        <v>833.6</v>
      </c>
      <c r="C61" s="23">
        <v>1554</v>
      </c>
      <c r="D61" s="23">
        <v>37</v>
      </c>
      <c r="E61" s="23">
        <f t="shared" si="23"/>
        <v>2424.6</v>
      </c>
      <c r="F61" s="24" t="s">
        <v>19</v>
      </c>
      <c r="G61" s="23">
        <v>3756.5</v>
      </c>
      <c r="H61" s="24">
        <v>169.7</v>
      </c>
      <c r="I61" s="23">
        <v>2033.3</v>
      </c>
      <c r="J61" s="23">
        <f t="shared" si="24"/>
        <v>5959.5</v>
      </c>
      <c r="K61" s="23">
        <v>1925.1</v>
      </c>
      <c r="L61" s="24">
        <v>11</v>
      </c>
      <c r="M61" s="23">
        <v>28.9</v>
      </c>
      <c r="N61" s="23">
        <f t="shared" si="25"/>
        <v>1965</v>
      </c>
      <c r="O61" s="23">
        <v>1436.9</v>
      </c>
      <c r="P61" s="23">
        <f t="shared" si="26"/>
        <v>11786</v>
      </c>
    </row>
    <row r="62" spans="1:16" ht="15.75" customHeight="1" hidden="1">
      <c r="A62" s="22">
        <v>2011</v>
      </c>
      <c r="B62" s="25">
        <v>4994.1</v>
      </c>
      <c r="C62" s="23">
        <v>1404.8</v>
      </c>
      <c r="D62" s="23">
        <v>66.2</v>
      </c>
      <c r="E62" s="23">
        <f t="shared" si="23"/>
        <v>6465.1</v>
      </c>
      <c r="F62" s="24" t="s">
        <v>19</v>
      </c>
      <c r="G62" s="23">
        <v>4464.6</v>
      </c>
      <c r="H62" s="24">
        <v>146.5</v>
      </c>
      <c r="I62" s="23">
        <v>1869.2</v>
      </c>
      <c r="J62" s="23">
        <f t="shared" si="24"/>
        <v>6480.3</v>
      </c>
      <c r="K62" s="23">
        <v>2018.6</v>
      </c>
      <c r="L62" s="24">
        <v>13.9</v>
      </c>
      <c r="M62" s="23">
        <v>32</v>
      </c>
      <c r="N62" s="23">
        <f t="shared" si="25"/>
        <v>2064.5</v>
      </c>
      <c r="O62" s="23">
        <v>998.5</v>
      </c>
      <c r="P62" s="23">
        <f t="shared" si="26"/>
        <v>16008.4</v>
      </c>
    </row>
    <row r="63" spans="1:16" ht="15.75" customHeight="1" hidden="1">
      <c r="A63" s="22">
        <v>2011</v>
      </c>
      <c r="B63" s="25">
        <v>2802.9</v>
      </c>
      <c r="C63" s="23">
        <v>1923.9</v>
      </c>
      <c r="D63" s="23">
        <v>75.5</v>
      </c>
      <c r="E63" s="23">
        <f t="shared" si="23"/>
        <v>4802.3</v>
      </c>
      <c r="F63" s="24" t="s">
        <v>19</v>
      </c>
      <c r="G63" s="23">
        <v>3772.7</v>
      </c>
      <c r="H63" s="24">
        <v>120.5</v>
      </c>
      <c r="I63" s="23">
        <v>1921.3</v>
      </c>
      <c r="J63" s="23">
        <f t="shared" si="24"/>
        <v>5814.5</v>
      </c>
      <c r="K63" s="23">
        <v>1971.4</v>
      </c>
      <c r="L63" s="24">
        <v>13.9</v>
      </c>
      <c r="M63" s="23">
        <v>0.9</v>
      </c>
      <c r="N63" s="23">
        <f t="shared" si="25"/>
        <v>1986.2000000000003</v>
      </c>
      <c r="O63" s="23">
        <v>583.9</v>
      </c>
      <c r="P63" s="23">
        <f t="shared" si="26"/>
        <v>13186.900000000001</v>
      </c>
    </row>
    <row r="64" spans="1:16" ht="15.75" customHeight="1" hidden="1">
      <c r="A64" s="22">
        <v>2011</v>
      </c>
      <c r="B64" s="25">
        <v>1884.5</v>
      </c>
      <c r="C64" s="23">
        <v>1317.6</v>
      </c>
      <c r="D64" s="23">
        <v>126.1</v>
      </c>
      <c r="E64" s="23">
        <f t="shared" si="23"/>
        <v>3328.2</v>
      </c>
      <c r="F64" s="24" t="s">
        <v>19</v>
      </c>
      <c r="G64" s="23">
        <v>4310.5</v>
      </c>
      <c r="H64" s="24">
        <v>134.4</v>
      </c>
      <c r="I64" s="23">
        <v>2038.8</v>
      </c>
      <c r="J64" s="23">
        <f t="shared" si="24"/>
        <v>6483.7</v>
      </c>
      <c r="K64" s="23">
        <v>1977.1</v>
      </c>
      <c r="L64" s="24">
        <v>18</v>
      </c>
      <c r="M64" s="23">
        <v>19.1</v>
      </c>
      <c r="N64" s="23">
        <f t="shared" si="25"/>
        <v>2014.1999999999998</v>
      </c>
      <c r="O64" s="23">
        <v>636.8</v>
      </c>
      <c r="P64" s="23">
        <f t="shared" si="26"/>
        <v>12462.900000000001</v>
      </c>
    </row>
    <row r="65" spans="1:16" ht="15.75" customHeight="1" hidden="1">
      <c r="A65" s="22">
        <v>2011</v>
      </c>
      <c r="B65" s="25">
        <v>2096.3</v>
      </c>
      <c r="C65" s="23">
        <v>1374.6</v>
      </c>
      <c r="D65" s="23">
        <v>132</v>
      </c>
      <c r="E65" s="23">
        <f t="shared" si="23"/>
        <v>3602.9</v>
      </c>
      <c r="F65" s="24" t="s">
        <v>19</v>
      </c>
      <c r="G65" s="23">
        <v>4818.5</v>
      </c>
      <c r="H65" s="24">
        <v>109.9</v>
      </c>
      <c r="I65" s="23">
        <v>2344.4</v>
      </c>
      <c r="J65" s="23">
        <f t="shared" si="24"/>
        <v>7272.799999999999</v>
      </c>
      <c r="K65" s="23">
        <v>2287.8</v>
      </c>
      <c r="L65" s="24">
        <v>15.1</v>
      </c>
      <c r="M65" s="23">
        <v>3.9</v>
      </c>
      <c r="N65" s="23">
        <f t="shared" si="25"/>
        <v>2306.8</v>
      </c>
      <c r="O65" s="23">
        <v>616.4</v>
      </c>
      <c r="P65" s="23">
        <f t="shared" si="26"/>
        <v>13798.9</v>
      </c>
    </row>
    <row r="66" spans="1:16" ht="15.75" customHeight="1" hidden="1">
      <c r="A66" s="22">
        <v>2011</v>
      </c>
      <c r="B66" s="25">
        <v>414.6</v>
      </c>
      <c r="C66" s="23">
        <v>1411.8</v>
      </c>
      <c r="D66" s="23">
        <v>51.3</v>
      </c>
      <c r="E66" s="23">
        <f t="shared" si="23"/>
        <v>1877.7</v>
      </c>
      <c r="F66" s="24" t="s">
        <v>19</v>
      </c>
      <c r="G66" s="23">
        <v>4760.2</v>
      </c>
      <c r="H66" s="24">
        <v>175.7</v>
      </c>
      <c r="I66" s="23">
        <v>2733.6</v>
      </c>
      <c r="J66" s="23">
        <f t="shared" si="24"/>
        <v>7669.5</v>
      </c>
      <c r="K66" s="23">
        <v>2292.6</v>
      </c>
      <c r="L66" s="24">
        <v>16.1</v>
      </c>
      <c r="M66" s="23">
        <v>11.2</v>
      </c>
      <c r="N66" s="23">
        <f t="shared" si="25"/>
        <v>2319.8999999999996</v>
      </c>
      <c r="O66" s="23">
        <v>577.2</v>
      </c>
      <c r="P66" s="23">
        <f t="shared" si="26"/>
        <v>12444.3</v>
      </c>
    </row>
    <row r="67" spans="1:16" ht="15.75" customHeight="1" hidden="1">
      <c r="A67" s="22">
        <v>2011</v>
      </c>
      <c r="B67" s="25">
        <v>1099.1</v>
      </c>
      <c r="C67" s="23">
        <v>1660.8</v>
      </c>
      <c r="D67" s="23">
        <v>45.2</v>
      </c>
      <c r="E67" s="23">
        <f t="shared" si="23"/>
        <v>2805.0999999999995</v>
      </c>
      <c r="F67" s="24" t="s">
        <v>19</v>
      </c>
      <c r="G67" s="23">
        <v>4938.1</v>
      </c>
      <c r="H67" s="24">
        <v>139.2</v>
      </c>
      <c r="I67" s="23">
        <v>2458.2</v>
      </c>
      <c r="J67" s="23">
        <f t="shared" si="24"/>
        <v>7535.5</v>
      </c>
      <c r="K67" s="23">
        <v>2718.1</v>
      </c>
      <c r="L67" s="24">
        <v>17.1</v>
      </c>
      <c r="M67" s="23">
        <v>0.1</v>
      </c>
      <c r="N67" s="23">
        <f t="shared" si="25"/>
        <v>2735.2999999999997</v>
      </c>
      <c r="O67" s="23">
        <v>637.9</v>
      </c>
      <c r="P67" s="23">
        <f t="shared" si="26"/>
        <v>13713.8</v>
      </c>
    </row>
    <row r="68" spans="1:16" ht="15.75" customHeight="1" hidden="1">
      <c r="A68" s="22">
        <v>2011</v>
      </c>
      <c r="B68" s="25">
        <v>963.2</v>
      </c>
      <c r="C68" s="23">
        <v>1668.7</v>
      </c>
      <c r="D68" s="23">
        <v>102.4</v>
      </c>
      <c r="E68" s="23">
        <f t="shared" si="23"/>
        <v>2734.3</v>
      </c>
      <c r="F68" s="24" t="s">
        <v>19</v>
      </c>
      <c r="G68" s="23">
        <v>5081.5</v>
      </c>
      <c r="H68" s="24">
        <v>204</v>
      </c>
      <c r="I68" s="23">
        <v>2616.8</v>
      </c>
      <c r="J68" s="23">
        <f t="shared" si="24"/>
        <v>7902.3</v>
      </c>
      <c r="K68" s="23">
        <v>2417.6</v>
      </c>
      <c r="L68" s="24">
        <v>18.4</v>
      </c>
      <c r="M68" s="24" t="s">
        <v>19</v>
      </c>
      <c r="N68" s="23">
        <f t="shared" si="25"/>
        <v>2436</v>
      </c>
      <c r="O68" s="23">
        <v>722.2</v>
      </c>
      <c r="P68" s="23">
        <f t="shared" si="26"/>
        <v>13794.8</v>
      </c>
    </row>
    <row r="69" spans="1:16" ht="15.75" customHeight="1" hidden="1">
      <c r="A69" s="22">
        <v>2011</v>
      </c>
      <c r="B69" s="25">
        <v>5120.7</v>
      </c>
      <c r="C69" s="23">
        <v>1611.1</v>
      </c>
      <c r="D69" s="23">
        <v>105.9</v>
      </c>
      <c r="E69" s="23">
        <f t="shared" si="23"/>
        <v>6837.699999999999</v>
      </c>
      <c r="F69" s="24" t="s">
        <v>19</v>
      </c>
      <c r="G69" s="23">
        <v>4697.3</v>
      </c>
      <c r="H69" s="24">
        <v>161.7</v>
      </c>
      <c r="I69" s="23">
        <v>2620.5</v>
      </c>
      <c r="J69" s="23">
        <f t="shared" si="24"/>
        <v>7479.5</v>
      </c>
      <c r="K69" s="23">
        <v>1950.6</v>
      </c>
      <c r="L69" s="24">
        <v>17.7</v>
      </c>
      <c r="M69" s="24">
        <v>21.3</v>
      </c>
      <c r="N69" s="23">
        <f t="shared" si="25"/>
        <v>1989.6</v>
      </c>
      <c r="O69" s="29">
        <v>772</v>
      </c>
      <c r="P69" s="23">
        <f t="shared" si="26"/>
        <v>17078.8</v>
      </c>
    </row>
    <row r="70" spans="1:16" ht="15.75" customHeight="1" hidden="1">
      <c r="A70" s="22">
        <v>2011</v>
      </c>
      <c r="B70" s="25">
        <v>805.7</v>
      </c>
      <c r="C70" s="23">
        <v>1617.7</v>
      </c>
      <c r="D70" s="23">
        <v>87.5</v>
      </c>
      <c r="E70" s="23">
        <f t="shared" si="23"/>
        <v>2510.9</v>
      </c>
      <c r="F70" s="24" t="s">
        <v>19</v>
      </c>
      <c r="G70" s="23">
        <v>4417.4</v>
      </c>
      <c r="H70" s="24">
        <v>184.1</v>
      </c>
      <c r="I70" s="23">
        <v>2255.8</v>
      </c>
      <c r="J70" s="23">
        <f t="shared" si="24"/>
        <v>6857.3</v>
      </c>
      <c r="K70" s="23">
        <v>1801.4</v>
      </c>
      <c r="L70" s="24">
        <v>16.1</v>
      </c>
      <c r="M70" s="24">
        <f>1817.8-SUM(K70:L70)</f>
        <v>0.2999999999999545</v>
      </c>
      <c r="N70" s="23">
        <f t="shared" si="25"/>
        <v>1817.8</v>
      </c>
      <c r="O70" s="29">
        <v>629.2</v>
      </c>
      <c r="P70" s="23">
        <f t="shared" si="26"/>
        <v>11815.199999999999</v>
      </c>
    </row>
    <row r="71" spans="1:16" ht="15.75" customHeight="1">
      <c r="A71" s="22">
        <v>2012</v>
      </c>
      <c r="B71" s="25">
        <f aca="true" t="shared" si="27" ref="B71:P71">B186+B187+B188+B189+B190+B191+B192+B193+B194+B195+B196+B197</f>
        <v>82530.963959</v>
      </c>
      <c r="C71" s="25">
        <f t="shared" si="27"/>
        <v>72882.840463</v>
      </c>
      <c r="D71" s="25">
        <f t="shared" si="27"/>
        <v>495.33806999999996</v>
      </c>
      <c r="E71" s="25">
        <f t="shared" si="27"/>
        <v>155909.142492</v>
      </c>
      <c r="F71" s="53">
        <f t="shared" si="27"/>
        <v>0</v>
      </c>
      <c r="G71" s="25">
        <f t="shared" si="27"/>
        <v>201428.74414599998</v>
      </c>
      <c r="H71" s="25">
        <f t="shared" si="27"/>
        <v>7024.471613999998</v>
      </c>
      <c r="I71" s="25">
        <f t="shared" si="27"/>
        <v>68253.260706</v>
      </c>
      <c r="J71" s="25">
        <f t="shared" si="27"/>
        <v>276706.476466</v>
      </c>
      <c r="K71" s="25">
        <f t="shared" si="27"/>
        <v>43723.203065</v>
      </c>
      <c r="L71" s="25">
        <f t="shared" si="27"/>
        <v>166.802648</v>
      </c>
      <c r="M71" s="25">
        <f t="shared" si="27"/>
        <v>5931.915192</v>
      </c>
      <c r="N71" s="25">
        <f t="shared" si="27"/>
        <v>49821.920905</v>
      </c>
      <c r="O71" s="25">
        <f t="shared" si="27"/>
        <v>9441.273914</v>
      </c>
      <c r="P71" s="25">
        <f t="shared" si="27"/>
        <v>491878.8137770001</v>
      </c>
    </row>
    <row r="72" spans="1:16" ht="15.75" customHeight="1">
      <c r="A72" s="22">
        <v>2013</v>
      </c>
      <c r="B72" s="25">
        <f>SUM(B199:B211)</f>
        <v>92446.15873699999</v>
      </c>
      <c r="C72" s="25">
        <f aca="true" t="shared" si="28" ref="C72:P72">SUM(C199:C211)</f>
        <v>53108.49723799999</v>
      </c>
      <c r="D72" s="25">
        <f t="shared" si="28"/>
        <v>460.21938500000005</v>
      </c>
      <c r="E72" s="25">
        <f t="shared" si="28"/>
        <v>146014.87535999998</v>
      </c>
      <c r="F72" s="53">
        <f>F187+F188+F189+F190+F191+F192+F193+F194+F195+F196+F197+F198</f>
        <v>0</v>
      </c>
      <c r="G72" s="25">
        <f t="shared" si="28"/>
        <v>211002.12173800005</v>
      </c>
      <c r="H72" s="25">
        <f t="shared" si="28"/>
        <v>7069.947273000001</v>
      </c>
      <c r="I72" s="25">
        <f t="shared" si="28"/>
        <v>87559.618052</v>
      </c>
      <c r="J72" s="25">
        <f t="shared" si="28"/>
        <v>305631.687063</v>
      </c>
      <c r="K72" s="25">
        <f t="shared" si="28"/>
        <v>42439.356132999994</v>
      </c>
      <c r="L72" s="25">
        <f t="shared" si="28"/>
        <v>774.962426</v>
      </c>
      <c r="M72" s="25">
        <f t="shared" si="28"/>
        <v>7719.858403</v>
      </c>
      <c r="N72" s="25">
        <f t="shared" si="28"/>
        <v>50934.176962</v>
      </c>
      <c r="O72" s="25">
        <f t="shared" si="28"/>
        <v>21958.748479</v>
      </c>
      <c r="P72" s="25">
        <f t="shared" si="28"/>
        <v>524539.487864</v>
      </c>
    </row>
    <row r="73" spans="1:16" ht="15.75" customHeight="1">
      <c r="A73" s="22">
        <v>2014</v>
      </c>
      <c r="B73" s="25">
        <f>SUM(B213:B225)</f>
        <v>73099.689786</v>
      </c>
      <c r="C73" s="25">
        <f aca="true" t="shared" si="29" ref="C73:P73">SUM(C213:C225)</f>
        <v>64131.24515899999</v>
      </c>
      <c r="D73" s="25">
        <f t="shared" si="29"/>
        <v>652.6011350000001</v>
      </c>
      <c r="E73" s="25">
        <f t="shared" si="29"/>
        <v>137883.53608000002</v>
      </c>
      <c r="F73" s="53">
        <f>F188+F189+F190+F191+F192+F193+F194+F195+F196+F197+F198+F199</f>
        <v>0</v>
      </c>
      <c r="G73" s="25">
        <f t="shared" si="29"/>
        <v>240205.693079</v>
      </c>
      <c r="H73" s="25">
        <f t="shared" si="29"/>
        <v>17645.827851000002</v>
      </c>
      <c r="I73" s="25">
        <f t="shared" si="29"/>
        <v>92390.94838900001</v>
      </c>
      <c r="J73" s="25">
        <f t="shared" si="29"/>
        <v>350242.469319</v>
      </c>
      <c r="K73" s="25">
        <f t="shared" si="29"/>
        <v>45182.30374399999</v>
      </c>
      <c r="L73" s="25">
        <f t="shared" si="29"/>
        <v>671.26146</v>
      </c>
      <c r="M73" s="25">
        <f t="shared" si="29"/>
        <v>9360.092316999999</v>
      </c>
      <c r="N73" s="25">
        <f t="shared" si="29"/>
        <v>55213.657521</v>
      </c>
      <c r="O73" s="25">
        <f t="shared" si="29"/>
        <v>28867.572836000003</v>
      </c>
      <c r="P73" s="25">
        <f t="shared" si="29"/>
        <v>572207.235756</v>
      </c>
    </row>
    <row r="74" spans="1:16" ht="15.75" customHeight="1">
      <c r="A74" s="22">
        <v>2015</v>
      </c>
      <c r="B74" s="25">
        <f>SUM(B227:B238)</f>
        <v>75130.866196</v>
      </c>
      <c r="C74" s="25">
        <f aca="true" t="shared" si="30" ref="C74:P74">SUM(C227:C238)</f>
        <v>56464.088286000006</v>
      </c>
      <c r="D74" s="25">
        <f t="shared" si="30"/>
        <v>442.255183</v>
      </c>
      <c r="E74" s="25">
        <f t="shared" si="30"/>
        <v>132037.209665</v>
      </c>
      <c r="F74" s="25">
        <f t="shared" si="30"/>
        <v>0</v>
      </c>
      <c r="G74" s="25">
        <f t="shared" si="30"/>
        <v>208080.400737</v>
      </c>
      <c r="H74" s="25">
        <f t="shared" si="30"/>
        <v>29673.399950999996</v>
      </c>
      <c r="I74" s="25">
        <f t="shared" si="30"/>
        <v>84712.148719</v>
      </c>
      <c r="J74" s="25">
        <f t="shared" si="30"/>
        <v>322465.9494069999</v>
      </c>
      <c r="K74" s="25">
        <f t="shared" si="30"/>
        <v>45671.3438</v>
      </c>
      <c r="L74" s="25">
        <f t="shared" si="30"/>
        <v>120.06989399999999</v>
      </c>
      <c r="M74" s="25">
        <f t="shared" si="30"/>
        <v>7174.923082095999</v>
      </c>
      <c r="N74" s="25">
        <f t="shared" si="30"/>
        <v>52966.336776095995</v>
      </c>
      <c r="O74" s="25">
        <f t="shared" si="30"/>
        <v>36196.67019099999</v>
      </c>
      <c r="P74" s="25">
        <f t="shared" si="30"/>
        <v>543666.166039096</v>
      </c>
    </row>
    <row r="75" spans="1:16" ht="15.75" customHeight="1">
      <c r="A75" s="22">
        <v>2016</v>
      </c>
      <c r="B75" s="25">
        <f aca="true" t="shared" si="31" ref="B75:G75">SUM(B240:B251)</f>
        <v>75708.51058</v>
      </c>
      <c r="C75" s="25">
        <f t="shared" si="31"/>
        <v>56333.600043000006</v>
      </c>
      <c r="D75" s="25">
        <f t="shared" si="31"/>
        <v>432.87681699999996</v>
      </c>
      <c r="E75" s="25">
        <f t="shared" si="31"/>
        <v>132474.98744</v>
      </c>
      <c r="F75" s="25">
        <f t="shared" si="31"/>
        <v>0</v>
      </c>
      <c r="G75" s="25">
        <f t="shared" si="31"/>
        <v>221771.730841</v>
      </c>
      <c r="H75" s="25">
        <f aca="true" t="shared" si="32" ref="H75:P75">SUM(H240:H251)</f>
        <v>33801.12143</v>
      </c>
      <c r="I75" s="25">
        <f t="shared" si="32"/>
        <v>84671.461402</v>
      </c>
      <c r="J75" s="25">
        <f t="shared" si="32"/>
        <v>340244.31367299997</v>
      </c>
      <c r="K75" s="25">
        <f t="shared" si="32"/>
        <v>59111.649819</v>
      </c>
      <c r="L75" s="25">
        <f t="shared" si="32"/>
        <v>425.785607</v>
      </c>
      <c r="M75" s="25">
        <f t="shared" si="32"/>
        <v>7641.225129299617</v>
      </c>
      <c r="N75" s="25">
        <f t="shared" si="32"/>
        <v>67178.66055529962</v>
      </c>
      <c r="O75" s="25">
        <f t="shared" si="32"/>
        <v>44709.6097956058</v>
      </c>
      <c r="P75" s="25">
        <f t="shared" si="32"/>
        <v>584607.5714639055</v>
      </c>
    </row>
    <row r="76" spans="1:16" ht="15.75" customHeight="1" hidden="1">
      <c r="A76" s="17"/>
      <c r="B76" s="25"/>
      <c r="C76" s="23"/>
      <c r="D76" s="23"/>
      <c r="E76" s="23"/>
      <c r="F76" s="24"/>
      <c r="G76" s="23"/>
      <c r="H76" s="24"/>
      <c r="I76" s="23"/>
      <c r="J76" s="23"/>
      <c r="K76" s="23"/>
      <c r="L76" s="24"/>
      <c r="M76" s="24"/>
      <c r="N76" s="23"/>
      <c r="O76" s="29"/>
      <c r="P76" s="23"/>
    </row>
    <row r="77" spans="1:16" ht="15.75" customHeight="1" hidden="1">
      <c r="A77" s="17" t="s">
        <v>32</v>
      </c>
      <c r="B77" s="25">
        <v>376.2</v>
      </c>
      <c r="C77" s="23">
        <v>1872.4</v>
      </c>
      <c r="D77" s="23">
        <v>66.3</v>
      </c>
      <c r="E77" s="23">
        <f t="shared" si="23"/>
        <v>2314.9</v>
      </c>
      <c r="F77" s="24" t="s">
        <v>19</v>
      </c>
      <c r="G77" s="23">
        <v>4877.6</v>
      </c>
      <c r="H77" s="24">
        <v>138.5</v>
      </c>
      <c r="I77" s="23">
        <v>2235.9</v>
      </c>
      <c r="J77" s="23">
        <f t="shared" si="24"/>
        <v>7252</v>
      </c>
      <c r="K77" s="23">
        <v>2216.3</v>
      </c>
      <c r="L77" s="24">
        <v>15.9</v>
      </c>
      <c r="M77" s="24">
        <v>15</v>
      </c>
      <c r="N77" s="23">
        <f t="shared" si="25"/>
        <v>2247.2000000000003</v>
      </c>
      <c r="O77" s="29">
        <v>631.3</v>
      </c>
      <c r="P77" s="23">
        <f t="shared" si="26"/>
        <v>12445.4</v>
      </c>
    </row>
    <row r="78" spans="1:16" ht="15.75" customHeight="1" hidden="1">
      <c r="A78" s="17" t="s">
        <v>35</v>
      </c>
      <c r="B78" s="25">
        <f>SUM(B119:B121)</f>
        <v>21282.9</v>
      </c>
      <c r="C78" s="25">
        <f aca="true" t="shared" si="33" ref="C78:O78">SUM(C119:C121)</f>
        <v>8450.1</v>
      </c>
      <c r="D78" s="25">
        <f t="shared" si="33"/>
        <v>1647.8</v>
      </c>
      <c r="E78" s="25">
        <f t="shared" si="33"/>
        <v>31380.800000000003</v>
      </c>
      <c r="F78" s="25">
        <f t="shared" si="33"/>
        <v>1004.0999999999999</v>
      </c>
      <c r="G78" s="25">
        <f t="shared" si="33"/>
        <v>19624.1</v>
      </c>
      <c r="H78" s="25">
        <f t="shared" si="33"/>
        <v>713</v>
      </c>
      <c r="I78" s="25">
        <f t="shared" si="33"/>
        <v>11146.7</v>
      </c>
      <c r="J78" s="25">
        <f t="shared" si="33"/>
        <v>31483.8</v>
      </c>
      <c r="K78" s="25">
        <f t="shared" si="33"/>
        <v>9723.7</v>
      </c>
      <c r="L78" s="25">
        <f t="shared" si="33"/>
        <v>486.59999999999997</v>
      </c>
      <c r="M78" s="25">
        <f t="shared" si="33"/>
        <v>0.6000000000000001</v>
      </c>
      <c r="N78" s="25">
        <f t="shared" si="33"/>
        <v>10210.899999999998</v>
      </c>
      <c r="O78" s="25">
        <f t="shared" si="33"/>
        <v>5651.3</v>
      </c>
      <c r="P78" s="23">
        <f t="shared" si="26"/>
        <v>79730.90000000001</v>
      </c>
    </row>
    <row r="79" spans="1:16" ht="15.75" customHeight="1" hidden="1">
      <c r="A79" s="17" t="s">
        <v>83</v>
      </c>
      <c r="B79" s="25">
        <f>SUM(B122:B124)</f>
        <v>6010.9</v>
      </c>
      <c r="C79" s="25">
        <f aca="true" t="shared" si="34" ref="C79:O79">SUM(C122:C124)</f>
        <v>9759.300000000001</v>
      </c>
      <c r="D79" s="25">
        <f t="shared" si="34"/>
        <v>1858.1999999999998</v>
      </c>
      <c r="E79" s="25">
        <f t="shared" si="34"/>
        <v>17628.4</v>
      </c>
      <c r="F79" s="25">
        <f t="shared" si="34"/>
        <v>462.79999999999995</v>
      </c>
      <c r="G79" s="25">
        <f t="shared" si="34"/>
        <v>18074.5</v>
      </c>
      <c r="H79" s="25">
        <f t="shared" si="34"/>
        <v>1347.1</v>
      </c>
      <c r="I79" s="25">
        <f t="shared" si="34"/>
        <v>11820</v>
      </c>
      <c r="J79" s="25">
        <f t="shared" si="34"/>
        <v>31241.6</v>
      </c>
      <c r="K79" s="25">
        <f t="shared" si="34"/>
        <v>7781.9</v>
      </c>
      <c r="L79" s="25">
        <f t="shared" si="34"/>
        <v>638.7</v>
      </c>
      <c r="M79" s="25">
        <f>SUM(M122:M124)</f>
        <v>0.30000000000000004</v>
      </c>
      <c r="N79" s="25">
        <f t="shared" si="34"/>
        <v>8420.900000000001</v>
      </c>
      <c r="O79" s="25">
        <f t="shared" si="34"/>
        <v>6735.6</v>
      </c>
      <c r="P79" s="23">
        <f t="shared" si="26"/>
        <v>64489.3</v>
      </c>
    </row>
    <row r="80" spans="1:16" ht="14.25" customHeight="1" hidden="1">
      <c r="A80" s="17" t="s">
        <v>87</v>
      </c>
      <c r="B80" s="30">
        <f>SUM(B125:B127)</f>
        <v>1229.6</v>
      </c>
      <c r="C80" s="30">
        <f aca="true" t="shared" si="35" ref="C80:O80">SUM(C125:C127)</f>
        <v>6480.3</v>
      </c>
      <c r="D80" s="30">
        <f t="shared" si="35"/>
        <v>1955.8</v>
      </c>
      <c r="E80" s="30">
        <f t="shared" si="35"/>
        <v>9665.7</v>
      </c>
      <c r="F80" s="30">
        <f t="shared" si="35"/>
        <v>315.5</v>
      </c>
      <c r="G80" s="30">
        <f t="shared" si="35"/>
        <v>28817.5</v>
      </c>
      <c r="H80" s="30">
        <f t="shared" si="35"/>
        <v>2490.8999999999996</v>
      </c>
      <c r="I80" s="30">
        <f t="shared" si="35"/>
        <v>11003.400000000001</v>
      </c>
      <c r="J80" s="30">
        <f t="shared" si="35"/>
        <v>42311.8</v>
      </c>
      <c r="K80" s="30">
        <f t="shared" si="35"/>
        <v>5031.799999999999</v>
      </c>
      <c r="L80" s="30">
        <f t="shared" si="35"/>
        <v>159.1</v>
      </c>
      <c r="M80" s="30">
        <f t="shared" si="35"/>
        <v>0.2</v>
      </c>
      <c r="N80" s="30">
        <f t="shared" si="35"/>
        <v>5191.099999999999</v>
      </c>
      <c r="O80" s="30">
        <f t="shared" si="35"/>
        <v>7483.4</v>
      </c>
      <c r="P80" s="23">
        <f>+O80+N80+J80+E80+F80</f>
        <v>64967.5</v>
      </c>
    </row>
    <row r="81" spans="1:16" ht="15.75" customHeight="1" hidden="1">
      <c r="A81" s="17" t="s">
        <v>95</v>
      </c>
      <c r="B81" s="30">
        <f>SUM(B128:B130)</f>
        <v>11779.099999999999</v>
      </c>
      <c r="C81" s="30">
        <f aca="true" t="shared" si="36" ref="C81:O81">SUM(C128:C130)</f>
        <v>7669.999999999999</v>
      </c>
      <c r="D81" s="30">
        <f t="shared" si="36"/>
        <v>2460.1</v>
      </c>
      <c r="E81" s="30">
        <f t="shared" si="36"/>
        <v>21909.2</v>
      </c>
      <c r="F81" s="30">
        <f t="shared" si="36"/>
        <v>524.3000000000001</v>
      </c>
      <c r="G81" s="30">
        <f t="shared" si="36"/>
        <v>29935.7</v>
      </c>
      <c r="H81" s="30">
        <f t="shared" si="36"/>
        <v>4916.4</v>
      </c>
      <c r="I81" s="30">
        <f t="shared" si="36"/>
        <v>7634.880000000001</v>
      </c>
      <c r="J81" s="30">
        <f t="shared" si="36"/>
        <v>42486.979999999996</v>
      </c>
      <c r="K81" s="30">
        <f t="shared" si="36"/>
        <v>5325.6</v>
      </c>
      <c r="L81" s="30">
        <f t="shared" si="36"/>
        <v>171.7</v>
      </c>
      <c r="M81" s="30">
        <f t="shared" si="36"/>
        <v>0.5</v>
      </c>
      <c r="N81" s="30">
        <f t="shared" si="36"/>
        <v>5497.8</v>
      </c>
      <c r="O81" s="30">
        <f t="shared" si="36"/>
        <v>9417.3</v>
      </c>
      <c r="P81" s="23">
        <f>+O81+N81+J81+E81+F81</f>
        <v>79835.58</v>
      </c>
    </row>
    <row r="82" spans="1:16" ht="15.75" customHeight="1" hidden="1">
      <c r="A82" s="1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3"/>
    </row>
    <row r="83" spans="1:16" ht="15.75" customHeight="1" hidden="1">
      <c r="A83" s="17" t="s">
        <v>26</v>
      </c>
      <c r="B83" s="25">
        <v>5583.9</v>
      </c>
      <c r="C83" s="23">
        <v>2883.3</v>
      </c>
      <c r="D83" s="23">
        <v>143.1</v>
      </c>
      <c r="E83" s="23">
        <f>+B83+C83+D83</f>
        <v>8610.300000000001</v>
      </c>
      <c r="F83" s="24">
        <v>0.7</v>
      </c>
      <c r="G83" s="23">
        <v>5126.6</v>
      </c>
      <c r="H83" s="24">
        <v>147.6</v>
      </c>
      <c r="I83" s="23">
        <v>2850.4</v>
      </c>
      <c r="J83" s="23">
        <f>+G83+H83+I83</f>
        <v>8124.6</v>
      </c>
      <c r="K83" s="23">
        <v>1977.2</v>
      </c>
      <c r="L83" s="24">
        <v>16</v>
      </c>
      <c r="M83" s="24">
        <v>0.2</v>
      </c>
      <c r="N83" s="23">
        <f>+K83+L83+M83</f>
        <v>1993.4</v>
      </c>
      <c r="O83" s="29">
        <f>389.8+266.5</f>
        <v>656.3</v>
      </c>
      <c r="P83" s="23">
        <f>+O83+N83+J83+E83+F83</f>
        <v>19385.3</v>
      </c>
    </row>
    <row r="84" spans="1:16" ht="15.75" customHeight="1" hidden="1">
      <c r="A84" s="17" t="s">
        <v>34</v>
      </c>
      <c r="B84" s="25">
        <v>567.4</v>
      </c>
      <c r="C84" s="23">
        <v>2061.8</v>
      </c>
      <c r="D84" s="23">
        <v>43.3</v>
      </c>
      <c r="E84" s="23">
        <f t="shared" si="23"/>
        <v>2672.5000000000005</v>
      </c>
      <c r="F84" s="24" t="s">
        <v>19</v>
      </c>
      <c r="G84" s="23">
        <v>4043.3</v>
      </c>
      <c r="H84" s="24">
        <v>174</v>
      </c>
      <c r="I84" s="23">
        <v>2125.9</v>
      </c>
      <c r="J84" s="23">
        <f t="shared" si="24"/>
        <v>6343.200000000001</v>
      </c>
      <c r="K84" s="23">
        <v>1568.4</v>
      </c>
      <c r="L84" s="24">
        <v>14.8</v>
      </c>
      <c r="M84" s="24">
        <v>3.1</v>
      </c>
      <c r="N84" s="23">
        <f t="shared" si="25"/>
        <v>1586.3</v>
      </c>
      <c r="O84" s="29">
        <f>262.7+286.1</f>
        <v>548.8</v>
      </c>
      <c r="P84" s="23">
        <f t="shared" si="26"/>
        <v>11150.800000000001</v>
      </c>
    </row>
    <row r="85" spans="1:16" ht="15.75" customHeight="1" hidden="1">
      <c r="A85" s="17" t="s">
        <v>36</v>
      </c>
      <c r="B85" s="25">
        <v>6487</v>
      </c>
      <c r="C85" s="23">
        <v>2115.2</v>
      </c>
      <c r="D85" s="23">
        <v>30.5</v>
      </c>
      <c r="E85" s="23">
        <f t="shared" si="23"/>
        <v>8632.7</v>
      </c>
      <c r="F85" s="24">
        <v>5.5</v>
      </c>
      <c r="G85" s="23">
        <v>4577.1</v>
      </c>
      <c r="H85" s="24">
        <v>154.2</v>
      </c>
      <c r="I85" s="23">
        <v>1845.1</v>
      </c>
      <c r="J85" s="23">
        <f t="shared" si="24"/>
        <v>6576.4</v>
      </c>
      <c r="K85" s="23">
        <v>2095.9</v>
      </c>
      <c r="L85" s="24">
        <v>15.2</v>
      </c>
      <c r="M85" s="24" t="s">
        <v>19</v>
      </c>
      <c r="N85" s="23">
        <f t="shared" si="25"/>
        <v>2111.1</v>
      </c>
      <c r="O85" s="29">
        <f>396.8+326.5</f>
        <v>723.3</v>
      </c>
      <c r="P85" s="23">
        <f t="shared" si="26"/>
        <v>18049</v>
      </c>
    </row>
    <row r="86" spans="1:16" ht="15.75" customHeight="1" hidden="1">
      <c r="A86" s="17" t="s">
        <v>37</v>
      </c>
      <c r="B86" s="25">
        <v>3823</v>
      </c>
      <c r="C86" s="23">
        <v>1877.2</v>
      </c>
      <c r="D86" s="23">
        <v>98.7</v>
      </c>
      <c r="E86" s="23">
        <f t="shared" si="23"/>
        <v>5798.9</v>
      </c>
      <c r="F86" s="24" t="s">
        <v>19</v>
      </c>
      <c r="G86" s="23">
        <v>4657.3</v>
      </c>
      <c r="H86" s="24">
        <v>150</v>
      </c>
      <c r="I86" s="23">
        <v>2250.3</v>
      </c>
      <c r="J86" s="23">
        <f t="shared" si="24"/>
        <v>7057.6</v>
      </c>
      <c r="K86" s="23">
        <v>2096.7</v>
      </c>
      <c r="L86" s="24">
        <v>15.3</v>
      </c>
      <c r="M86" s="24" t="s">
        <v>19</v>
      </c>
      <c r="N86" s="23">
        <f t="shared" si="25"/>
        <v>2112</v>
      </c>
      <c r="O86" s="29">
        <f>415.6+348.8</f>
        <v>764.4000000000001</v>
      </c>
      <c r="P86" s="23">
        <f t="shared" si="26"/>
        <v>15732.9</v>
      </c>
    </row>
    <row r="87" spans="1:16" ht="15.75" customHeight="1" hidden="1">
      <c r="A87" s="17" t="s">
        <v>38</v>
      </c>
      <c r="B87" s="25">
        <v>1080.6</v>
      </c>
      <c r="C87" s="23">
        <v>2185.5</v>
      </c>
      <c r="D87" s="23">
        <v>26.1</v>
      </c>
      <c r="E87" s="23">
        <f t="shared" si="23"/>
        <v>3292.2</v>
      </c>
      <c r="F87" s="24" t="s">
        <v>19</v>
      </c>
      <c r="G87" s="23">
        <v>4929</v>
      </c>
      <c r="H87" s="24">
        <v>146.3</v>
      </c>
      <c r="I87" s="23">
        <v>2320.7</v>
      </c>
      <c r="J87" s="23">
        <f t="shared" si="24"/>
        <v>7396</v>
      </c>
      <c r="K87" s="23">
        <v>2254.7</v>
      </c>
      <c r="L87" s="24">
        <v>1.2</v>
      </c>
      <c r="M87" s="24">
        <v>3.2</v>
      </c>
      <c r="N87" s="23">
        <f t="shared" si="25"/>
        <v>2259.0999999999995</v>
      </c>
      <c r="O87" s="29">
        <f>517.8+756.5</f>
        <v>1274.3</v>
      </c>
      <c r="P87" s="23">
        <f t="shared" si="26"/>
        <v>14221.599999999999</v>
      </c>
    </row>
    <row r="88" spans="1:16" ht="15.75" customHeight="1" hidden="1">
      <c r="A88" s="17" t="s">
        <v>39</v>
      </c>
      <c r="B88" s="25">
        <v>200.6</v>
      </c>
      <c r="C88" s="23">
        <v>1561.1</v>
      </c>
      <c r="D88" s="23">
        <v>44.8</v>
      </c>
      <c r="E88" s="29">
        <f t="shared" si="23"/>
        <v>1806.4999999999998</v>
      </c>
      <c r="F88" s="24" t="s">
        <v>19</v>
      </c>
      <c r="G88" s="23">
        <v>4905.6</v>
      </c>
      <c r="H88" s="24">
        <v>167</v>
      </c>
      <c r="I88" s="23">
        <v>2229.2</v>
      </c>
      <c r="J88" s="29">
        <f t="shared" si="24"/>
        <v>7301.8</v>
      </c>
      <c r="K88" s="23">
        <v>2155.3</v>
      </c>
      <c r="L88" s="24">
        <v>5.9</v>
      </c>
      <c r="M88" s="24">
        <v>8.1</v>
      </c>
      <c r="N88" s="29">
        <f t="shared" si="25"/>
        <v>2169.3</v>
      </c>
      <c r="O88" s="29">
        <f>264.5+613.6</f>
        <v>878.1</v>
      </c>
      <c r="P88" s="23">
        <f t="shared" si="26"/>
        <v>12155.7</v>
      </c>
    </row>
    <row r="89" spans="1:16" ht="15.75" customHeight="1" hidden="1">
      <c r="A89" s="17" t="s">
        <v>40</v>
      </c>
      <c r="B89" s="25">
        <v>1339.3</v>
      </c>
      <c r="C89" s="23">
        <v>1816.8</v>
      </c>
      <c r="D89" s="23">
        <v>30.2</v>
      </c>
      <c r="E89" s="29">
        <f t="shared" si="23"/>
        <v>3186.2999999999997</v>
      </c>
      <c r="F89" s="24" t="s">
        <v>19</v>
      </c>
      <c r="G89" s="23">
        <v>5160.9</v>
      </c>
      <c r="H89" s="24">
        <v>198.8</v>
      </c>
      <c r="I89" s="23">
        <v>2558.2</v>
      </c>
      <c r="J89" s="29">
        <f t="shared" si="24"/>
        <v>7917.9</v>
      </c>
      <c r="K89" s="23">
        <v>2126.9</v>
      </c>
      <c r="L89" s="24">
        <v>7.1</v>
      </c>
      <c r="M89" s="24">
        <v>0.1</v>
      </c>
      <c r="N89" s="29">
        <f t="shared" si="25"/>
        <v>2134.1</v>
      </c>
      <c r="O89" s="29">
        <f>10.1+758+315.2</f>
        <v>1083.3</v>
      </c>
      <c r="P89" s="23">
        <f t="shared" si="26"/>
        <v>14321.599999999999</v>
      </c>
    </row>
    <row r="90" spans="1:16" ht="15.75" customHeight="1" hidden="1">
      <c r="A90" s="17" t="s">
        <v>41</v>
      </c>
      <c r="B90" s="25">
        <v>1580.5</v>
      </c>
      <c r="C90" s="23">
        <v>1935.8</v>
      </c>
      <c r="D90" s="23">
        <v>99</v>
      </c>
      <c r="E90" s="29">
        <f t="shared" si="23"/>
        <v>3615.3</v>
      </c>
      <c r="F90" s="24" t="s">
        <v>19</v>
      </c>
      <c r="G90" s="23">
        <v>5172.8</v>
      </c>
      <c r="H90" s="24">
        <v>149.7</v>
      </c>
      <c r="I90" s="23">
        <v>2948.9</v>
      </c>
      <c r="J90" s="29">
        <f t="shared" si="24"/>
        <v>8271.4</v>
      </c>
      <c r="K90" s="23">
        <v>2204.3</v>
      </c>
      <c r="L90" s="24">
        <v>4.8</v>
      </c>
      <c r="M90" s="24" t="s">
        <v>19</v>
      </c>
      <c r="N90" s="29">
        <f t="shared" si="25"/>
        <v>2209.1000000000004</v>
      </c>
      <c r="O90" s="29">
        <f>10.1+814.7+454.7</f>
        <v>1279.5</v>
      </c>
      <c r="P90" s="23">
        <f t="shared" si="26"/>
        <v>15375.3</v>
      </c>
    </row>
    <row r="91" spans="1:16" ht="15.75" customHeight="1" hidden="1">
      <c r="A91" s="17" t="s">
        <v>44</v>
      </c>
      <c r="B91" s="25">
        <v>1151</v>
      </c>
      <c r="C91" s="23">
        <v>1782.1</v>
      </c>
      <c r="D91" s="23">
        <v>127.3</v>
      </c>
      <c r="E91" s="29">
        <f t="shared" si="23"/>
        <v>3060.4</v>
      </c>
      <c r="F91" s="24" t="s">
        <v>19</v>
      </c>
      <c r="G91" s="23">
        <v>5282.1</v>
      </c>
      <c r="H91" s="24">
        <v>172.8</v>
      </c>
      <c r="I91" s="23">
        <v>3137.7</v>
      </c>
      <c r="J91" s="29">
        <f t="shared" si="24"/>
        <v>8592.6</v>
      </c>
      <c r="K91" s="23">
        <v>2097.2</v>
      </c>
      <c r="L91" s="24">
        <v>8.8</v>
      </c>
      <c r="M91" s="24" t="s">
        <v>19</v>
      </c>
      <c r="N91" s="29">
        <f t="shared" si="25"/>
        <v>2106</v>
      </c>
      <c r="O91" s="29">
        <f>1181.3+392.2</f>
        <v>1573.5</v>
      </c>
      <c r="P91" s="23">
        <f t="shared" si="26"/>
        <v>15332.5</v>
      </c>
    </row>
    <row r="92" spans="1:16" ht="15.75" customHeight="1" hidden="1">
      <c r="A92" s="17" t="s">
        <v>45</v>
      </c>
      <c r="B92" s="25">
        <v>5400.5</v>
      </c>
      <c r="C92" s="23">
        <v>1899.6</v>
      </c>
      <c r="D92" s="23">
        <v>209.3</v>
      </c>
      <c r="E92" s="29">
        <f t="shared" si="23"/>
        <v>7509.400000000001</v>
      </c>
      <c r="F92" s="24" t="s">
        <v>19</v>
      </c>
      <c r="G92" s="23">
        <v>6122.6</v>
      </c>
      <c r="H92" s="24">
        <v>166.9</v>
      </c>
      <c r="I92" s="23">
        <v>2544.4</v>
      </c>
      <c r="J92" s="29">
        <f t="shared" si="24"/>
        <v>8833.9</v>
      </c>
      <c r="K92" s="23">
        <v>2198.5</v>
      </c>
      <c r="L92" s="24">
        <v>8.5</v>
      </c>
      <c r="M92" s="24" t="s">
        <v>19</v>
      </c>
      <c r="N92" s="29">
        <f t="shared" si="25"/>
        <v>2207</v>
      </c>
      <c r="O92" s="29">
        <f>973.7+656</f>
        <v>1629.7</v>
      </c>
      <c r="P92" s="23">
        <f t="shared" si="26"/>
        <v>20180</v>
      </c>
    </row>
    <row r="93" spans="1:16" ht="0.75" customHeight="1" hidden="1">
      <c r="A93" s="17" t="s">
        <v>24</v>
      </c>
      <c r="B93" s="25">
        <v>557.8</v>
      </c>
      <c r="C93" s="23">
        <v>2025.6</v>
      </c>
      <c r="D93" s="23">
        <v>72.7</v>
      </c>
      <c r="E93" s="29">
        <f t="shared" si="23"/>
        <v>2656.0999999999995</v>
      </c>
      <c r="F93" s="24" t="s">
        <v>19</v>
      </c>
      <c r="G93" s="23">
        <v>5526.3</v>
      </c>
      <c r="H93" s="24">
        <v>143.8</v>
      </c>
      <c r="I93" s="23">
        <v>2747.3</v>
      </c>
      <c r="J93" s="29">
        <f t="shared" si="24"/>
        <v>8417.400000000001</v>
      </c>
      <c r="K93" s="23">
        <v>1948</v>
      </c>
      <c r="L93" s="24">
        <v>1.6</v>
      </c>
      <c r="M93" s="24" t="s">
        <v>19</v>
      </c>
      <c r="N93" s="29">
        <f t="shared" si="25"/>
        <v>1949.6</v>
      </c>
      <c r="O93" s="29">
        <f>632.2+1188.8</f>
        <v>1821</v>
      </c>
      <c r="P93" s="23">
        <f t="shared" si="26"/>
        <v>14844.100000000002</v>
      </c>
    </row>
    <row r="94" spans="1:16" ht="7.5" customHeight="1" hidden="1">
      <c r="A94" s="17" t="s">
        <v>46</v>
      </c>
      <c r="B94" s="25">
        <v>209</v>
      </c>
      <c r="C94" s="23">
        <v>1966</v>
      </c>
      <c r="D94" s="23">
        <v>63.9</v>
      </c>
      <c r="E94" s="29">
        <f t="shared" si="23"/>
        <v>2238.9</v>
      </c>
      <c r="F94" s="24" t="s">
        <v>19</v>
      </c>
      <c r="G94" s="23">
        <v>4932.1</v>
      </c>
      <c r="H94" s="24">
        <v>149.7</v>
      </c>
      <c r="I94" s="23">
        <v>2633.4</v>
      </c>
      <c r="J94" s="29">
        <f t="shared" si="24"/>
        <v>7715.200000000001</v>
      </c>
      <c r="K94" s="23">
        <v>1829.9</v>
      </c>
      <c r="L94" s="24" t="s">
        <v>19</v>
      </c>
      <c r="M94" s="24" t="s">
        <v>19</v>
      </c>
      <c r="N94" s="29">
        <f t="shared" si="25"/>
        <v>1829.9</v>
      </c>
      <c r="O94" s="29">
        <f>2703+471.4</f>
        <v>3174.4</v>
      </c>
      <c r="P94" s="23">
        <f t="shared" si="26"/>
        <v>14958.4</v>
      </c>
    </row>
    <row r="95" spans="1:16" ht="15.75" customHeight="1" hidden="1">
      <c r="A95" s="17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14.25" customHeight="1" hidden="1">
      <c r="A96" s="17" t="s">
        <v>98</v>
      </c>
      <c r="B96" s="31">
        <f>SUM(B142:B144)</f>
        <v>24229.4</v>
      </c>
      <c r="C96" s="31">
        <f aca="true" t="shared" si="37" ref="C96:P96">SUM(C142:C144)</f>
        <v>16050.099999999999</v>
      </c>
      <c r="D96" s="31">
        <f t="shared" si="37"/>
        <v>244.7</v>
      </c>
      <c r="E96" s="31">
        <f t="shared" si="37"/>
        <v>40524.2</v>
      </c>
      <c r="F96" s="51">
        <v>0</v>
      </c>
      <c r="G96" s="31">
        <f t="shared" si="37"/>
        <v>28543.9</v>
      </c>
      <c r="H96" s="31">
        <f t="shared" si="37"/>
        <v>3909.1</v>
      </c>
      <c r="I96" s="31">
        <f t="shared" si="37"/>
        <v>11430.7</v>
      </c>
      <c r="J96" s="31">
        <f t="shared" si="37"/>
        <v>43883.7</v>
      </c>
      <c r="K96" s="31">
        <f t="shared" si="37"/>
        <v>4900.8</v>
      </c>
      <c r="L96" s="31">
        <f t="shared" si="37"/>
        <v>148.2</v>
      </c>
      <c r="M96" s="31">
        <f t="shared" si="37"/>
        <v>1041.6</v>
      </c>
      <c r="N96" s="31">
        <f t="shared" si="37"/>
        <v>6090.6</v>
      </c>
      <c r="O96" s="31">
        <f t="shared" si="37"/>
        <v>3770.4000000000005</v>
      </c>
      <c r="P96" s="31">
        <f t="shared" si="37"/>
        <v>94268.9</v>
      </c>
    </row>
    <row r="97" spans="1:16" ht="15.75" customHeight="1" hidden="1">
      <c r="A97" s="17" t="s">
        <v>105</v>
      </c>
      <c r="B97" s="31">
        <f>SUM(B145:B147)</f>
        <v>7003.299999999999</v>
      </c>
      <c r="C97" s="31">
        <f>SUM(C145:C147)</f>
        <v>10246</v>
      </c>
      <c r="D97" s="31">
        <f>SUM(D145:D147)</f>
        <v>200.5</v>
      </c>
      <c r="E97" s="31">
        <f>SUM(E145:E147)</f>
        <v>17449.8</v>
      </c>
      <c r="F97" s="51">
        <f aca="true" t="shared" si="38" ref="F97:P97">SUM(F145:F147)</f>
        <v>0</v>
      </c>
      <c r="G97" s="31">
        <f t="shared" si="38"/>
        <v>29884.699999999997</v>
      </c>
      <c r="H97" s="31">
        <f t="shared" si="38"/>
        <v>3272</v>
      </c>
      <c r="I97" s="31">
        <f t="shared" si="38"/>
        <v>9862.9</v>
      </c>
      <c r="J97" s="31">
        <f t="shared" si="38"/>
        <v>43019.6</v>
      </c>
      <c r="K97" s="31">
        <f t="shared" si="38"/>
        <v>7286.9</v>
      </c>
      <c r="L97" s="31">
        <f t="shared" si="38"/>
        <v>20.599999999999998</v>
      </c>
      <c r="M97" s="31">
        <f>SUM(M145:M147)</f>
        <v>996.8</v>
      </c>
      <c r="N97" s="31">
        <f t="shared" si="38"/>
        <v>8304.3</v>
      </c>
      <c r="O97" s="31">
        <f t="shared" si="38"/>
        <v>3053.6400000000003</v>
      </c>
      <c r="P97" s="31">
        <f t="shared" si="38"/>
        <v>71827.34</v>
      </c>
    </row>
    <row r="98" spans="1:16" ht="15.75" customHeight="1" hidden="1">
      <c r="A98" s="17" t="s">
        <v>113</v>
      </c>
      <c r="B98" s="31">
        <f>SUM(B148:B150)</f>
        <v>8096.8</v>
      </c>
      <c r="C98" s="31">
        <f aca="true" t="shared" si="39" ref="C98:P98">SUM(C148:C150)</f>
        <v>12855.5</v>
      </c>
      <c r="D98" s="31">
        <f t="shared" si="39"/>
        <v>813.6</v>
      </c>
      <c r="E98" s="31">
        <f t="shared" si="39"/>
        <v>21765.9</v>
      </c>
      <c r="F98" s="51">
        <f t="shared" si="39"/>
        <v>0</v>
      </c>
      <c r="G98" s="31">
        <f t="shared" si="39"/>
        <v>35453.5</v>
      </c>
      <c r="H98" s="31">
        <f t="shared" si="39"/>
        <v>3734.5</v>
      </c>
      <c r="I98" s="31">
        <f t="shared" si="39"/>
        <v>12061.2</v>
      </c>
      <c r="J98" s="31">
        <f t="shared" si="39"/>
        <v>51249.2</v>
      </c>
      <c r="K98" s="31">
        <f t="shared" si="39"/>
        <v>9210.4</v>
      </c>
      <c r="L98" s="31">
        <f t="shared" si="39"/>
        <v>23.2</v>
      </c>
      <c r="M98" s="31">
        <f t="shared" si="39"/>
        <v>979.8</v>
      </c>
      <c r="N98" s="31">
        <f t="shared" si="39"/>
        <v>10213.4</v>
      </c>
      <c r="O98" s="31">
        <f t="shared" si="39"/>
        <v>6869.9</v>
      </c>
      <c r="P98" s="31">
        <f t="shared" si="39"/>
        <v>90098.4</v>
      </c>
    </row>
    <row r="99" spans="1:16" ht="15.75" customHeight="1" hidden="1">
      <c r="A99" s="17" t="s">
        <v>117</v>
      </c>
      <c r="B99" s="31">
        <f>+B151+B152+B153</f>
        <v>17434.100000000002</v>
      </c>
      <c r="C99" s="31">
        <f>+C151+C152+C153</f>
        <v>16172.9</v>
      </c>
      <c r="D99" s="31">
        <f>+D151+D152+D153</f>
        <v>1011.8100000000001</v>
      </c>
      <c r="E99" s="31">
        <f>+E151+E152+E153</f>
        <v>34618.81</v>
      </c>
      <c r="F99" s="51">
        <f aca="true" t="shared" si="40" ref="F99:P99">+F151+F152+F153</f>
        <v>0</v>
      </c>
      <c r="G99" s="31">
        <f t="shared" si="40"/>
        <v>37915.3</v>
      </c>
      <c r="H99" s="31">
        <f t="shared" si="40"/>
        <v>4838.6</v>
      </c>
      <c r="I99" s="31">
        <f t="shared" si="40"/>
        <v>14223.1</v>
      </c>
      <c r="J99" s="31">
        <f t="shared" si="40"/>
        <v>56977</v>
      </c>
      <c r="K99" s="31">
        <f t="shared" si="40"/>
        <v>11372.400000000001</v>
      </c>
      <c r="L99" s="31">
        <f t="shared" si="40"/>
        <v>24.8</v>
      </c>
      <c r="M99" s="31">
        <f t="shared" si="40"/>
        <v>1135.4</v>
      </c>
      <c r="N99" s="31">
        <f t="shared" si="40"/>
        <v>12532.599999999999</v>
      </c>
      <c r="O99" s="31">
        <f t="shared" si="40"/>
        <v>2764.4</v>
      </c>
      <c r="P99" s="31">
        <f t="shared" si="40"/>
        <v>106892.81</v>
      </c>
    </row>
    <row r="100" spans="1:16" ht="15.75" customHeight="1" hidden="1">
      <c r="A100" s="17"/>
      <c r="B100" s="31"/>
      <c r="C100" s="31"/>
      <c r="D100" s="31"/>
      <c r="E100" s="31"/>
      <c r="F100" s="50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5.75" customHeight="1" hidden="1">
      <c r="A101" s="17" t="s">
        <v>93</v>
      </c>
      <c r="B101" s="31">
        <f>SUM(B155:B157)</f>
        <v>35715.951</v>
      </c>
      <c r="C101" s="31">
        <f>SUM(C155:C157)</f>
        <v>13662.888</v>
      </c>
      <c r="D101" s="31">
        <f>SUM(D155:D157)</f>
        <v>125.07499999999999</v>
      </c>
      <c r="E101" s="31">
        <f>SUM(E155:E157)</f>
        <v>49503.914000000004</v>
      </c>
      <c r="F101" s="51">
        <f aca="true" t="shared" si="41" ref="F101:P101">SUM(F155:F157)</f>
        <v>0</v>
      </c>
      <c r="G101" s="31">
        <f t="shared" si="41"/>
        <v>39222.358</v>
      </c>
      <c r="H101" s="31">
        <f t="shared" si="41"/>
        <v>5181.295</v>
      </c>
      <c r="I101" s="31">
        <f t="shared" si="41"/>
        <v>11367.865</v>
      </c>
      <c r="J101" s="31">
        <f t="shared" si="41"/>
        <v>55771.518</v>
      </c>
      <c r="K101" s="31">
        <f t="shared" si="41"/>
        <v>11000.779999999999</v>
      </c>
      <c r="L101" s="31">
        <f t="shared" si="41"/>
        <v>14.277000000000001</v>
      </c>
      <c r="M101" s="31">
        <f t="shared" si="41"/>
        <v>1117.432</v>
      </c>
      <c r="N101" s="31">
        <f t="shared" si="41"/>
        <v>12132.489000000001</v>
      </c>
      <c r="O101" s="31">
        <f t="shared" si="41"/>
        <v>880.172</v>
      </c>
      <c r="P101" s="31">
        <f t="shared" si="41"/>
        <v>118288.093</v>
      </c>
    </row>
    <row r="102" spans="1:16" ht="15.75" customHeight="1" hidden="1">
      <c r="A102" s="17" t="s">
        <v>125</v>
      </c>
      <c r="B102" s="31">
        <f>SUM(B158:B160)</f>
        <v>7597.251</v>
      </c>
      <c r="C102" s="31">
        <f aca="true" t="shared" si="42" ref="C102:P102">SUM(C158:C160)</f>
        <v>12880.151999999998</v>
      </c>
      <c r="D102" s="31">
        <f t="shared" si="42"/>
        <v>174.389</v>
      </c>
      <c r="E102" s="31">
        <f t="shared" si="42"/>
        <v>20651.792</v>
      </c>
      <c r="F102" s="51">
        <f t="shared" si="42"/>
        <v>0</v>
      </c>
      <c r="G102" s="31">
        <f t="shared" si="42"/>
        <v>40324.054000000004</v>
      </c>
      <c r="H102" s="31">
        <f t="shared" si="42"/>
        <v>4594.833</v>
      </c>
      <c r="I102" s="31">
        <f t="shared" si="42"/>
        <v>12817.05</v>
      </c>
      <c r="J102" s="31">
        <f t="shared" si="42"/>
        <v>57735.937000000005</v>
      </c>
      <c r="K102" s="31">
        <f t="shared" si="42"/>
        <v>11994.07</v>
      </c>
      <c r="L102" s="31">
        <f t="shared" si="42"/>
        <v>25.052</v>
      </c>
      <c r="M102" s="31">
        <f t="shared" si="42"/>
        <v>1023.733</v>
      </c>
      <c r="N102" s="31">
        <f t="shared" si="42"/>
        <v>13042.855</v>
      </c>
      <c r="O102" s="31">
        <f t="shared" si="42"/>
        <v>15503.953</v>
      </c>
      <c r="P102" s="31">
        <f t="shared" si="42"/>
        <v>106934.53700000001</v>
      </c>
    </row>
    <row r="103" spans="1:16" ht="15.75" customHeight="1" hidden="1">
      <c r="A103" s="17" t="s">
        <v>131</v>
      </c>
      <c r="B103" s="31">
        <f>+B163+B162+B161</f>
        <v>6668.139</v>
      </c>
      <c r="C103" s="31">
        <f aca="true" t="shared" si="43" ref="C103:P103">+C163+C162+C161</f>
        <v>12560.688</v>
      </c>
      <c r="D103" s="31">
        <f t="shared" si="43"/>
        <v>163.03</v>
      </c>
      <c r="E103" s="31">
        <f t="shared" si="43"/>
        <v>19391.857</v>
      </c>
      <c r="F103" s="51">
        <f t="shared" si="43"/>
        <v>0</v>
      </c>
      <c r="G103" s="31">
        <f t="shared" si="43"/>
        <v>49553.546</v>
      </c>
      <c r="H103" s="31">
        <f t="shared" si="43"/>
        <v>4579.697</v>
      </c>
      <c r="I103" s="31">
        <f t="shared" si="43"/>
        <v>14589.64</v>
      </c>
      <c r="J103" s="31">
        <f t="shared" si="43"/>
        <v>68722.883</v>
      </c>
      <c r="K103" s="31">
        <f t="shared" si="43"/>
        <v>12481.053</v>
      </c>
      <c r="L103" s="31">
        <f t="shared" si="43"/>
        <v>54.791</v>
      </c>
      <c r="M103" s="31">
        <f t="shared" si="43"/>
        <v>1578.501</v>
      </c>
      <c r="N103" s="31">
        <f t="shared" si="43"/>
        <v>14114.345000000001</v>
      </c>
      <c r="O103" s="31">
        <f t="shared" si="43"/>
        <v>375.485</v>
      </c>
      <c r="P103" s="31">
        <f t="shared" si="43"/>
        <v>102604.57</v>
      </c>
    </row>
    <row r="104" spans="1:16" ht="15.75" customHeight="1" hidden="1">
      <c r="A104" s="17" t="s">
        <v>135</v>
      </c>
      <c r="B104" s="31">
        <f aca="true" t="shared" si="44" ref="B104:O104">+B164+B165+B185</f>
        <v>20646.187</v>
      </c>
      <c r="C104" s="31">
        <f t="shared" si="44"/>
        <v>13703.861</v>
      </c>
      <c r="D104" s="31">
        <f t="shared" si="44"/>
        <v>74.4</v>
      </c>
      <c r="E104" s="31">
        <f t="shared" si="44"/>
        <v>34424.448</v>
      </c>
      <c r="F104" s="51">
        <f t="shared" si="44"/>
        <v>0</v>
      </c>
      <c r="G104" s="31">
        <f t="shared" si="44"/>
        <v>48227.49800000001</v>
      </c>
      <c r="H104" s="31">
        <f t="shared" si="44"/>
        <v>4118.142</v>
      </c>
      <c r="I104" s="31">
        <f t="shared" si="44"/>
        <v>11338.776</v>
      </c>
      <c r="J104" s="31">
        <f t="shared" si="44"/>
        <v>63684.416000000005</v>
      </c>
      <c r="K104" s="31">
        <f t="shared" si="44"/>
        <v>13353.837</v>
      </c>
      <c r="L104" s="31">
        <f t="shared" si="44"/>
        <v>67.912</v>
      </c>
      <c r="M104" s="31">
        <f t="shared" si="44"/>
        <v>1229.011</v>
      </c>
      <c r="N104" s="31">
        <f t="shared" si="44"/>
        <v>14650.760000000002</v>
      </c>
      <c r="O104" s="31">
        <f t="shared" si="44"/>
        <v>387.648</v>
      </c>
      <c r="P104" s="31">
        <f>+P164+P165+P166</f>
        <v>113147.195</v>
      </c>
    </row>
    <row r="105" spans="1:16" ht="15.75" customHeight="1" hidden="1">
      <c r="A105" s="1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5.75" customHeight="1" hidden="1">
      <c r="A106" s="17" t="s">
        <v>31</v>
      </c>
      <c r="B106" s="25">
        <v>5787.4</v>
      </c>
      <c r="C106" s="23">
        <v>3641.3</v>
      </c>
      <c r="D106" s="23">
        <v>58.6</v>
      </c>
      <c r="E106" s="29">
        <f t="shared" si="23"/>
        <v>9487.300000000001</v>
      </c>
      <c r="F106" s="24">
        <v>49.6</v>
      </c>
      <c r="G106" s="23">
        <v>5583.9</v>
      </c>
      <c r="H106" s="24" t="s">
        <v>19</v>
      </c>
      <c r="I106" s="23">
        <v>3285.7</v>
      </c>
      <c r="J106" s="29">
        <f t="shared" si="24"/>
        <v>8869.599999999999</v>
      </c>
      <c r="K106" s="23">
        <v>2171</v>
      </c>
      <c r="L106" s="24">
        <v>38.3</v>
      </c>
      <c r="M106" s="24" t="s">
        <v>19</v>
      </c>
      <c r="N106" s="29">
        <f t="shared" si="25"/>
        <v>2209.3</v>
      </c>
      <c r="O106" s="25">
        <f>291.2+587+50.7+674.6</f>
        <v>1603.5</v>
      </c>
      <c r="P106" s="23">
        <f t="shared" si="26"/>
        <v>22219.299999999996</v>
      </c>
    </row>
    <row r="107" spans="1:16" ht="15.75" customHeight="1" hidden="1">
      <c r="A107" s="17" t="s">
        <v>48</v>
      </c>
      <c r="B107" s="25">
        <v>216.1</v>
      </c>
      <c r="C107" s="23">
        <v>2475.9</v>
      </c>
      <c r="D107" s="23">
        <v>40.8</v>
      </c>
      <c r="E107" s="29">
        <f t="shared" si="23"/>
        <v>2732.8</v>
      </c>
      <c r="F107" s="24">
        <v>62.9</v>
      </c>
      <c r="G107" s="23">
        <v>5667.1</v>
      </c>
      <c r="H107" s="24" t="s">
        <v>19</v>
      </c>
      <c r="I107" s="23">
        <v>3044.2</v>
      </c>
      <c r="J107" s="29">
        <f t="shared" si="24"/>
        <v>8711.3</v>
      </c>
      <c r="K107" s="23">
        <v>1956</v>
      </c>
      <c r="L107" s="24">
        <v>99.3</v>
      </c>
      <c r="M107" s="24">
        <v>0.1</v>
      </c>
      <c r="N107" s="29">
        <f t="shared" si="25"/>
        <v>2055.4</v>
      </c>
      <c r="O107" s="29">
        <f>647.8+431.8+13.8+802.9</f>
        <v>1896.2999999999997</v>
      </c>
      <c r="P107" s="23">
        <f t="shared" si="26"/>
        <v>15458.699999999999</v>
      </c>
    </row>
    <row r="108" spans="1:16" ht="15.75" customHeight="1" hidden="1">
      <c r="A108" s="17" t="s">
        <v>49</v>
      </c>
      <c r="B108" s="25">
        <v>8354.9</v>
      </c>
      <c r="C108" s="23">
        <v>2952.9</v>
      </c>
      <c r="D108" s="23">
        <v>109.1</v>
      </c>
      <c r="E108" s="29">
        <f t="shared" si="23"/>
        <v>11416.9</v>
      </c>
      <c r="F108" s="24">
        <v>164.8</v>
      </c>
      <c r="G108" s="23">
        <v>5703.1</v>
      </c>
      <c r="H108" s="24" t="s">
        <v>19</v>
      </c>
      <c r="I108" s="23">
        <v>2718.4</v>
      </c>
      <c r="J108" s="29">
        <f t="shared" si="24"/>
        <v>8421.5</v>
      </c>
      <c r="K108" s="23">
        <v>2279.9</v>
      </c>
      <c r="L108" s="24">
        <v>125.2</v>
      </c>
      <c r="M108" s="24">
        <v>0.1</v>
      </c>
      <c r="N108" s="29">
        <f t="shared" si="25"/>
        <v>2405.2</v>
      </c>
      <c r="O108" s="29">
        <f>354.2+388.4+162.6+578</f>
        <v>1483.1999999999998</v>
      </c>
      <c r="P108" s="23">
        <f t="shared" si="26"/>
        <v>23891.6</v>
      </c>
    </row>
    <row r="109" spans="1:16" ht="15.75" customHeight="1" hidden="1">
      <c r="A109" s="17" t="s">
        <v>50</v>
      </c>
      <c r="B109" s="25">
        <v>2351.2</v>
      </c>
      <c r="C109" s="23">
        <v>2322</v>
      </c>
      <c r="D109" s="23">
        <v>163.2</v>
      </c>
      <c r="E109" s="29">
        <f t="shared" si="23"/>
        <v>4836.4</v>
      </c>
      <c r="F109" s="24">
        <v>54.7</v>
      </c>
      <c r="G109" s="23">
        <v>8669</v>
      </c>
      <c r="H109" s="24">
        <v>635.6</v>
      </c>
      <c r="I109" s="23">
        <v>2806.4</v>
      </c>
      <c r="J109" s="29">
        <f t="shared" si="24"/>
        <v>12111</v>
      </c>
      <c r="K109" s="23">
        <v>2407.3</v>
      </c>
      <c r="L109" s="24">
        <v>166.3</v>
      </c>
      <c r="M109" s="24">
        <v>0.2</v>
      </c>
      <c r="N109" s="29">
        <f t="shared" si="25"/>
        <v>2573.8</v>
      </c>
      <c r="O109" s="29">
        <f>453.9+778.4+679.2+862.9</f>
        <v>2774.4</v>
      </c>
      <c r="P109" s="23">
        <f t="shared" si="26"/>
        <v>22350.3</v>
      </c>
    </row>
    <row r="110" spans="1:16" ht="15.75" customHeight="1" hidden="1">
      <c r="A110" s="17" t="s">
        <v>51</v>
      </c>
      <c r="B110" s="25">
        <v>2047.8</v>
      </c>
      <c r="C110" s="23">
        <v>2089.6</v>
      </c>
      <c r="D110" s="23">
        <v>121</v>
      </c>
      <c r="E110" s="29">
        <f t="shared" si="23"/>
        <v>4258.4</v>
      </c>
      <c r="F110" s="24">
        <v>16</v>
      </c>
      <c r="G110" s="23">
        <v>6350.6</v>
      </c>
      <c r="H110" s="24">
        <v>166.5</v>
      </c>
      <c r="I110" s="23">
        <v>3056.5</v>
      </c>
      <c r="J110" s="29">
        <f t="shared" si="24"/>
        <v>9573.6</v>
      </c>
      <c r="K110" s="23">
        <v>3740.1</v>
      </c>
      <c r="L110" s="24">
        <v>529.6</v>
      </c>
      <c r="M110" s="24" t="s">
        <v>19</v>
      </c>
      <c r="N110" s="29">
        <f t="shared" si="25"/>
        <v>4269.7</v>
      </c>
      <c r="O110" s="29">
        <f>0+592.9+1274.7</f>
        <v>1867.6</v>
      </c>
      <c r="P110" s="23">
        <f t="shared" si="26"/>
        <v>19985.3</v>
      </c>
    </row>
    <row r="111" spans="1:16" ht="15.75" customHeight="1" hidden="1">
      <c r="A111" s="17" t="s">
        <v>52</v>
      </c>
      <c r="B111" s="25">
        <v>3490.9</v>
      </c>
      <c r="C111" s="23">
        <v>2339</v>
      </c>
      <c r="D111" s="23">
        <v>70.9</v>
      </c>
      <c r="E111" s="29">
        <f t="shared" si="23"/>
        <v>5900.799999999999</v>
      </c>
      <c r="F111" s="24">
        <v>6.8</v>
      </c>
      <c r="G111" s="23">
        <v>6423.5</v>
      </c>
      <c r="H111" s="24">
        <v>171.5</v>
      </c>
      <c r="I111" s="23">
        <v>3211.8</v>
      </c>
      <c r="J111" s="29">
        <f t="shared" si="24"/>
        <v>9806.8</v>
      </c>
      <c r="K111" s="23">
        <v>2625</v>
      </c>
      <c r="L111" s="24">
        <v>120.6</v>
      </c>
      <c r="M111" s="24" t="s">
        <v>19</v>
      </c>
      <c r="N111" s="29">
        <f t="shared" si="25"/>
        <v>2745.6</v>
      </c>
      <c r="O111" s="29">
        <f>29.5+762.1+820.9</f>
        <v>1612.5</v>
      </c>
      <c r="P111" s="23">
        <f t="shared" si="26"/>
        <v>20072.499999999996</v>
      </c>
    </row>
    <row r="112" spans="1:16" ht="15.75" customHeight="1" hidden="1">
      <c r="A112" s="17" t="s">
        <v>53</v>
      </c>
      <c r="B112" s="25">
        <v>725.3</v>
      </c>
      <c r="C112" s="23">
        <v>2184.6</v>
      </c>
      <c r="D112" s="23">
        <v>44.1</v>
      </c>
      <c r="E112" s="29">
        <f t="shared" si="23"/>
        <v>2953.9999999999995</v>
      </c>
      <c r="F112" s="24">
        <v>6.1</v>
      </c>
      <c r="G112" s="23">
        <v>6045.9</v>
      </c>
      <c r="H112" s="24">
        <v>178.8</v>
      </c>
      <c r="I112" s="23">
        <v>3582</v>
      </c>
      <c r="J112" s="29">
        <f t="shared" si="24"/>
        <v>9806.7</v>
      </c>
      <c r="K112" s="23">
        <v>3171.9</v>
      </c>
      <c r="L112" s="24">
        <v>123.1</v>
      </c>
      <c r="M112" s="24" t="s">
        <v>19</v>
      </c>
      <c r="N112" s="29">
        <f t="shared" si="25"/>
        <v>3295</v>
      </c>
      <c r="O112" s="29">
        <f>446.2+158.2+794</f>
        <v>1398.4</v>
      </c>
      <c r="P112" s="23">
        <f t="shared" si="26"/>
        <v>17460.199999999997</v>
      </c>
    </row>
    <row r="113" spans="1:16" ht="15.75" customHeight="1" hidden="1">
      <c r="A113" s="17" t="s">
        <v>54</v>
      </c>
      <c r="B113" s="25">
        <v>1185.2</v>
      </c>
      <c r="C113" s="23">
        <v>2217.8</v>
      </c>
      <c r="D113" s="23">
        <v>118.6</v>
      </c>
      <c r="E113" s="29">
        <f t="shared" si="23"/>
        <v>3521.6</v>
      </c>
      <c r="F113" s="24">
        <v>7.4</v>
      </c>
      <c r="G113" s="23">
        <v>4797.3</v>
      </c>
      <c r="H113" s="24">
        <v>278.1</v>
      </c>
      <c r="I113" s="23">
        <v>4069.8</v>
      </c>
      <c r="J113" s="29">
        <f t="shared" si="24"/>
        <v>9145.2</v>
      </c>
      <c r="K113" s="23">
        <v>2538.7</v>
      </c>
      <c r="L113" s="24">
        <v>161.7</v>
      </c>
      <c r="M113" s="24">
        <v>0.1</v>
      </c>
      <c r="N113" s="29">
        <f t="shared" si="25"/>
        <v>2700.4999999999995</v>
      </c>
      <c r="O113" s="29">
        <f>8.3+547.3+787.3</f>
        <v>1342.8999999999999</v>
      </c>
      <c r="P113" s="23">
        <f t="shared" si="26"/>
        <v>16717.600000000002</v>
      </c>
    </row>
    <row r="114" spans="1:16" ht="15.75" customHeight="1" hidden="1">
      <c r="A114" s="17" t="s">
        <v>55</v>
      </c>
      <c r="B114" s="25">
        <v>1618.2</v>
      </c>
      <c r="C114" s="23">
        <v>2176.2</v>
      </c>
      <c r="D114" s="23">
        <v>125.8</v>
      </c>
      <c r="E114" s="29">
        <f t="shared" si="23"/>
        <v>3920.2</v>
      </c>
      <c r="F114" s="24">
        <v>4.3</v>
      </c>
      <c r="G114" s="23">
        <v>4972.9</v>
      </c>
      <c r="H114" s="24">
        <v>257.7</v>
      </c>
      <c r="I114" s="23">
        <v>4658.1</v>
      </c>
      <c r="J114" s="29">
        <f t="shared" si="24"/>
        <v>9888.7</v>
      </c>
      <c r="K114" s="23">
        <v>2593.5</v>
      </c>
      <c r="L114" s="24">
        <v>123</v>
      </c>
      <c r="M114" s="24" t="s">
        <v>19</v>
      </c>
      <c r="N114" s="29">
        <f t="shared" si="25"/>
        <v>2716.5</v>
      </c>
      <c r="O114" s="29">
        <f>407.4+393.1+301.7</f>
        <v>1102.2</v>
      </c>
      <c r="P114" s="23">
        <f t="shared" si="26"/>
        <v>17631.9</v>
      </c>
    </row>
    <row r="115" spans="1:16" ht="15.75" customHeight="1" hidden="1">
      <c r="A115" s="17" t="s">
        <v>56</v>
      </c>
      <c r="B115" s="25">
        <v>8130</v>
      </c>
      <c r="C115" s="23">
        <v>2581.6</v>
      </c>
      <c r="D115" s="23">
        <v>102.1</v>
      </c>
      <c r="E115" s="29">
        <f t="shared" si="23"/>
        <v>10813.7</v>
      </c>
      <c r="F115" s="24">
        <v>3.8</v>
      </c>
      <c r="G115" s="23">
        <v>6977</v>
      </c>
      <c r="H115" s="24">
        <v>252.9</v>
      </c>
      <c r="I115" s="23">
        <v>4163.9</v>
      </c>
      <c r="J115" s="29">
        <f t="shared" si="24"/>
        <v>11393.8</v>
      </c>
      <c r="K115" s="23">
        <v>3262.7</v>
      </c>
      <c r="L115" s="24">
        <v>135</v>
      </c>
      <c r="M115" s="24">
        <v>0.2</v>
      </c>
      <c r="N115" s="29">
        <f t="shared" si="25"/>
        <v>3397.8999999999996</v>
      </c>
      <c r="O115" s="29">
        <f>423.7+425.5+489.9</f>
        <v>1339.1</v>
      </c>
      <c r="P115" s="23">
        <f t="shared" si="26"/>
        <v>26948.3</v>
      </c>
    </row>
    <row r="116" spans="1:16" ht="15.75" customHeight="1" hidden="1">
      <c r="A116" s="17" t="s">
        <v>57</v>
      </c>
      <c r="B116" s="25">
        <v>604.7</v>
      </c>
      <c r="C116" s="23">
        <v>2500</v>
      </c>
      <c r="D116" s="23">
        <v>28.3</v>
      </c>
      <c r="E116" s="29">
        <f t="shared" si="23"/>
        <v>3133</v>
      </c>
      <c r="F116" s="24">
        <v>2.5</v>
      </c>
      <c r="G116" s="23">
        <v>5208.4</v>
      </c>
      <c r="H116" s="24">
        <v>250.3</v>
      </c>
      <c r="I116" s="23">
        <v>3652.2</v>
      </c>
      <c r="J116" s="29">
        <f t="shared" si="24"/>
        <v>9110.9</v>
      </c>
      <c r="K116" s="23">
        <v>2112.3</v>
      </c>
      <c r="L116" s="24">
        <v>121.5</v>
      </c>
      <c r="M116" s="24" t="s">
        <v>19</v>
      </c>
      <c r="N116" s="29">
        <f t="shared" si="25"/>
        <v>2233.8</v>
      </c>
      <c r="O116" s="29">
        <f>386.1+947.7+379</f>
        <v>1712.8000000000002</v>
      </c>
      <c r="P116" s="23">
        <f t="shared" si="26"/>
        <v>16193</v>
      </c>
    </row>
    <row r="117" spans="1:16" ht="15.75" customHeight="1" hidden="1">
      <c r="A117" s="17" t="s">
        <v>60</v>
      </c>
      <c r="B117" s="25">
        <v>1045.2</v>
      </c>
      <c r="C117" s="23">
        <v>2791.8</v>
      </c>
      <c r="D117" s="23">
        <v>18.5</v>
      </c>
      <c r="E117" s="29">
        <f t="shared" si="23"/>
        <v>3855.5</v>
      </c>
      <c r="F117" s="24">
        <v>2.5</v>
      </c>
      <c r="G117" s="23">
        <v>6800.4</v>
      </c>
      <c r="H117" s="24">
        <v>280.7</v>
      </c>
      <c r="I117" s="23">
        <v>3328.1</v>
      </c>
      <c r="J117" s="29">
        <f t="shared" si="24"/>
        <v>10409.199999999999</v>
      </c>
      <c r="K117" s="23">
        <v>3189.3</v>
      </c>
      <c r="L117" s="24">
        <v>137</v>
      </c>
      <c r="M117" s="24" t="s">
        <v>19</v>
      </c>
      <c r="N117" s="29">
        <f t="shared" si="25"/>
        <v>3326.3</v>
      </c>
      <c r="O117" s="29">
        <f>9.8+321.7+241.8</f>
        <v>573.3</v>
      </c>
      <c r="P117" s="23">
        <f t="shared" si="26"/>
        <v>18166.8</v>
      </c>
    </row>
    <row r="118" spans="1:16" ht="15.75" customHeight="1" hidden="1">
      <c r="A118" s="17"/>
      <c r="B118" s="25"/>
      <c r="C118" s="23"/>
      <c r="D118" s="23"/>
      <c r="E118" s="29"/>
      <c r="F118" s="24"/>
      <c r="G118" s="23"/>
      <c r="H118" s="24"/>
      <c r="I118" s="23"/>
      <c r="J118" s="29"/>
      <c r="K118" s="23"/>
      <c r="L118" s="24"/>
      <c r="M118" s="24"/>
      <c r="N118" s="29"/>
      <c r="O118" s="29"/>
      <c r="P118" s="23"/>
    </row>
    <row r="119" spans="1:16" ht="15.75" customHeight="1" hidden="1">
      <c r="A119" s="17" t="s">
        <v>33</v>
      </c>
      <c r="B119" s="25">
        <v>7374.3</v>
      </c>
      <c r="C119" s="23">
        <v>3005.9</v>
      </c>
      <c r="D119" s="29">
        <v>633.2</v>
      </c>
      <c r="E119" s="29">
        <f t="shared" si="23"/>
        <v>11013.400000000001</v>
      </c>
      <c r="F119" s="24">
        <v>152.4</v>
      </c>
      <c r="G119" s="23">
        <v>6362.5</v>
      </c>
      <c r="H119" s="24">
        <v>238.6</v>
      </c>
      <c r="I119" s="23">
        <f>3468.6+564.5</f>
        <v>4033.1</v>
      </c>
      <c r="J119" s="29">
        <f t="shared" si="24"/>
        <v>10634.2</v>
      </c>
      <c r="K119" s="23">
        <v>3292.3</v>
      </c>
      <c r="L119" s="24">
        <v>141</v>
      </c>
      <c r="M119" s="24">
        <v>0.2</v>
      </c>
      <c r="N119" s="29">
        <f t="shared" si="25"/>
        <v>3433.5</v>
      </c>
      <c r="O119" s="29">
        <f>745.4+940.8</f>
        <v>1686.1999999999998</v>
      </c>
      <c r="P119" s="23">
        <f t="shared" si="26"/>
        <v>26919.700000000004</v>
      </c>
    </row>
    <row r="120" spans="1:16" ht="15.75" customHeight="1" hidden="1">
      <c r="A120" s="17" t="s">
        <v>62</v>
      </c>
      <c r="B120" s="25">
        <v>371.5</v>
      </c>
      <c r="C120" s="23">
        <v>2877.1</v>
      </c>
      <c r="D120" s="23">
        <v>486.8</v>
      </c>
      <c r="E120" s="29">
        <f t="shared" si="23"/>
        <v>3735.4</v>
      </c>
      <c r="F120" s="24">
        <v>120.9</v>
      </c>
      <c r="G120" s="23">
        <v>6541.2</v>
      </c>
      <c r="H120" s="24">
        <v>200.9</v>
      </c>
      <c r="I120" s="23">
        <f>6.6+4187.8</f>
        <v>4194.400000000001</v>
      </c>
      <c r="J120" s="29">
        <f t="shared" si="24"/>
        <v>10936.5</v>
      </c>
      <c r="K120" s="23">
        <v>2951.7</v>
      </c>
      <c r="L120" s="24">
        <v>175.4</v>
      </c>
      <c r="M120" s="24">
        <v>0.2</v>
      </c>
      <c r="N120" s="29">
        <f t="shared" si="25"/>
        <v>3127.2999999999997</v>
      </c>
      <c r="O120" s="29">
        <f>1063.9+473.2</f>
        <v>1537.1000000000001</v>
      </c>
      <c r="P120" s="23">
        <f t="shared" si="26"/>
        <v>19457.2</v>
      </c>
    </row>
    <row r="121" spans="1:16" ht="15.75" customHeight="1" hidden="1">
      <c r="A121" s="17" t="s">
        <v>63</v>
      </c>
      <c r="B121" s="25">
        <v>13537.1</v>
      </c>
      <c r="C121" s="23">
        <v>2567.1</v>
      </c>
      <c r="D121" s="23">
        <v>527.8</v>
      </c>
      <c r="E121" s="29">
        <f t="shared" si="23"/>
        <v>16632</v>
      </c>
      <c r="F121" s="24">
        <v>730.8</v>
      </c>
      <c r="G121" s="23">
        <v>6720.4</v>
      </c>
      <c r="H121" s="24">
        <v>273.5</v>
      </c>
      <c r="I121" s="23">
        <f>2893.1+26.1</f>
        <v>2919.2</v>
      </c>
      <c r="J121" s="29">
        <f t="shared" si="24"/>
        <v>9913.099999999999</v>
      </c>
      <c r="K121" s="23">
        <v>3479.7</v>
      </c>
      <c r="L121" s="24">
        <v>170.2</v>
      </c>
      <c r="M121" s="24">
        <v>0.2</v>
      </c>
      <c r="N121" s="29">
        <f t="shared" si="25"/>
        <v>3650.0999999999995</v>
      </c>
      <c r="O121" s="29">
        <f>1765.4+662.6</f>
        <v>2428</v>
      </c>
      <c r="P121" s="23">
        <f t="shared" si="26"/>
        <v>33354</v>
      </c>
    </row>
    <row r="122" spans="1:16" ht="15.75" customHeight="1" hidden="1">
      <c r="A122" s="17" t="s">
        <v>64</v>
      </c>
      <c r="B122" s="25">
        <v>2173.1</v>
      </c>
      <c r="C122" s="23">
        <v>2254.4</v>
      </c>
      <c r="D122" s="23">
        <v>514.8</v>
      </c>
      <c r="E122" s="29">
        <f t="shared" si="23"/>
        <v>4942.3</v>
      </c>
      <c r="F122" s="24">
        <v>160.9</v>
      </c>
      <c r="G122" s="23">
        <v>5512</v>
      </c>
      <c r="H122" s="24">
        <v>204.7</v>
      </c>
      <c r="I122" s="23">
        <f>3157.8+1.5</f>
        <v>3159.3</v>
      </c>
      <c r="J122" s="29">
        <f t="shared" si="24"/>
        <v>8876</v>
      </c>
      <c r="K122" s="23">
        <v>2352</v>
      </c>
      <c r="L122" s="24">
        <v>155.1</v>
      </c>
      <c r="M122" s="24">
        <v>0.2</v>
      </c>
      <c r="N122" s="29">
        <f t="shared" si="25"/>
        <v>2507.2999999999997</v>
      </c>
      <c r="O122" s="29">
        <f>1652.9+740.7</f>
        <v>2393.6000000000004</v>
      </c>
      <c r="P122" s="23">
        <f t="shared" si="26"/>
        <v>18880.100000000002</v>
      </c>
    </row>
    <row r="123" spans="1:16" ht="15.75" customHeight="1" hidden="1">
      <c r="A123" s="17" t="s">
        <v>65</v>
      </c>
      <c r="B123" s="25">
        <v>1785</v>
      </c>
      <c r="C123" s="23">
        <v>4690.8</v>
      </c>
      <c r="D123" s="23">
        <v>651.5</v>
      </c>
      <c r="E123" s="29">
        <f t="shared" si="23"/>
        <v>7127.3</v>
      </c>
      <c r="F123" s="24">
        <v>166</v>
      </c>
      <c r="G123" s="23">
        <v>6341.3</v>
      </c>
      <c r="H123" s="24">
        <v>917.6</v>
      </c>
      <c r="I123" s="23">
        <f>4517.1+245.7</f>
        <v>4762.8</v>
      </c>
      <c r="J123" s="29">
        <f t="shared" si="24"/>
        <v>12021.7</v>
      </c>
      <c r="K123" s="23">
        <v>2652.9</v>
      </c>
      <c r="L123" s="24">
        <v>245.8</v>
      </c>
      <c r="M123" s="24">
        <v>0.1</v>
      </c>
      <c r="N123" s="29">
        <f t="shared" si="25"/>
        <v>2898.8</v>
      </c>
      <c r="O123" s="29">
        <f>1372+622.2</f>
        <v>1994.2</v>
      </c>
      <c r="P123" s="23">
        <f t="shared" si="26"/>
        <v>24208</v>
      </c>
    </row>
    <row r="124" spans="1:16" ht="15.75" customHeight="1" hidden="1">
      <c r="A124" s="17" t="s">
        <v>66</v>
      </c>
      <c r="B124" s="25">
        <v>2052.8</v>
      </c>
      <c r="C124" s="23">
        <v>2814.1</v>
      </c>
      <c r="D124" s="23">
        <v>691.9</v>
      </c>
      <c r="E124" s="29">
        <f t="shared" si="23"/>
        <v>5558.799999999999</v>
      </c>
      <c r="F124" s="24">
        <v>135.9</v>
      </c>
      <c r="G124" s="23">
        <v>6221.2</v>
      </c>
      <c r="H124" s="24">
        <v>224.8</v>
      </c>
      <c r="I124" s="23">
        <v>3897.9</v>
      </c>
      <c r="J124" s="29">
        <f t="shared" si="24"/>
        <v>10343.9</v>
      </c>
      <c r="K124" s="23">
        <v>2777</v>
      </c>
      <c r="L124" s="24">
        <v>237.8</v>
      </c>
      <c r="M124" s="24">
        <v>0</v>
      </c>
      <c r="N124" s="29">
        <f t="shared" si="25"/>
        <v>3014.8</v>
      </c>
      <c r="O124" s="29">
        <f>1747+600.8</f>
        <v>2347.8</v>
      </c>
      <c r="P124" s="23">
        <f t="shared" si="26"/>
        <v>21401.2</v>
      </c>
    </row>
    <row r="125" spans="1:16" ht="15.75" customHeight="1" hidden="1">
      <c r="A125" s="17" t="s">
        <v>67</v>
      </c>
      <c r="B125" s="25">
        <v>180.6</v>
      </c>
      <c r="C125" s="23">
        <v>2383.4</v>
      </c>
      <c r="D125" s="23">
        <v>693</v>
      </c>
      <c r="E125" s="29">
        <f t="shared" si="23"/>
        <v>3257</v>
      </c>
      <c r="F125" s="24">
        <v>137.5</v>
      </c>
      <c r="G125" s="23">
        <v>8378.4</v>
      </c>
      <c r="H125" s="24">
        <v>285.8</v>
      </c>
      <c r="I125" s="23">
        <f>4834.1+7</f>
        <v>4841.1</v>
      </c>
      <c r="J125" s="29">
        <f t="shared" si="24"/>
        <v>13505.3</v>
      </c>
      <c r="K125" s="23">
        <v>1996.1</v>
      </c>
      <c r="L125" s="24">
        <v>47</v>
      </c>
      <c r="M125" s="24">
        <v>0</v>
      </c>
      <c r="N125" s="29">
        <f t="shared" si="25"/>
        <v>2043.1</v>
      </c>
      <c r="O125" s="29">
        <f>1949.5+648</f>
        <v>2597.5</v>
      </c>
      <c r="P125" s="23">
        <f t="shared" si="26"/>
        <v>21540.4</v>
      </c>
    </row>
    <row r="126" spans="1:16" ht="15.75" customHeight="1" hidden="1">
      <c r="A126" s="17" t="s">
        <v>68</v>
      </c>
      <c r="B126" s="25">
        <v>574</v>
      </c>
      <c r="C126" s="23">
        <v>1866.1</v>
      </c>
      <c r="D126" s="23">
        <v>651.1</v>
      </c>
      <c r="E126" s="29">
        <f t="shared" si="23"/>
        <v>3091.2</v>
      </c>
      <c r="F126" s="24">
        <v>33.3</v>
      </c>
      <c r="G126" s="23">
        <v>11307.4</v>
      </c>
      <c r="H126" s="24">
        <f>18+258.5</f>
        <v>276.5</v>
      </c>
      <c r="I126" s="23">
        <f>113.6+0</f>
        <v>113.6</v>
      </c>
      <c r="J126" s="29">
        <f t="shared" si="24"/>
        <v>11697.5</v>
      </c>
      <c r="K126" s="23">
        <v>1617.3</v>
      </c>
      <c r="L126" s="24">
        <v>68.8</v>
      </c>
      <c r="M126" s="24">
        <v>0.1</v>
      </c>
      <c r="N126" s="29">
        <f t="shared" si="25"/>
        <v>1686.1999999999998</v>
      </c>
      <c r="O126" s="29">
        <f>1916.2+681.7</f>
        <v>2597.9</v>
      </c>
      <c r="P126" s="23">
        <f t="shared" si="26"/>
        <v>19106.1</v>
      </c>
    </row>
    <row r="127" spans="1:16" ht="15.75" customHeight="1" hidden="1">
      <c r="A127" s="17" t="s">
        <v>69</v>
      </c>
      <c r="B127" s="25">
        <v>475</v>
      </c>
      <c r="C127" s="23">
        <v>2230.8</v>
      </c>
      <c r="D127" s="23">
        <v>611.7</v>
      </c>
      <c r="E127" s="29">
        <f t="shared" si="23"/>
        <v>3317.5</v>
      </c>
      <c r="F127" s="24">
        <v>144.7</v>
      </c>
      <c r="G127" s="23">
        <v>9131.7</v>
      </c>
      <c r="H127" s="24">
        <f>443+1485.6</f>
        <v>1928.6</v>
      </c>
      <c r="I127" s="23">
        <v>6048.7</v>
      </c>
      <c r="J127" s="29">
        <f t="shared" si="24"/>
        <v>17109</v>
      </c>
      <c r="K127" s="23">
        <v>1418.4</v>
      </c>
      <c r="L127" s="24">
        <v>43.3</v>
      </c>
      <c r="M127" s="24">
        <v>0.1</v>
      </c>
      <c r="N127" s="29">
        <f t="shared" si="25"/>
        <v>1461.8</v>
      </c>
      <c r="O127" s="29">
        <f>1414.5+873.5</f>
        <v>2288</v>
      </c>
      <c r="P127" s="23">
        <f t="shared" si="26"/>
        <v>24321</v>
      </c>
    </row>
    <row r="128" spans="1:16" ht="15.75" customHeight="1" hidden="1">
      <c r="A128" s="17" t="s">
        <v>70</v>
      </c>
      <c r="B128" s="25">
        <f>'[1]TOFE'!$AA$15</f>
        <v>7464.2</v>
      </c>
      <c r="C128" s="23">
        <f>'[1]TOFE'!$AA$16</f>
        <v>2505.2</v>
      </c>
      <c r="D128" s="23">
        <f>'[1]TOFE'!$AA$17</f>
        <v>727.6</v>
      </c>
      <c r="E128" s="29">
        <f>+B128+C128+D128</f>
        <v>10697</v>
      </c>
      <c r="F128" s="24">
        <f>'[1]TOFE'!$AA$19</f>
        <v>300.5</v>
      </c>
      <c r="G128" s="23">
        <f>'[1]TOFE'!$AA$23</f>
        <v>9839.6</v>
      </c>
      <c r="H128" s="24">
        <f>'[1]TOFE'!$AA$27+'[1]TOFE'!$AA$24</f>
        <v>1243</v>
      </c>
      <c r="I128" s="23">
        <f>'[1]TOFE'!$AA$26+'[1]TOFE'!$AA$25</f>
        <v>2743.0800000000004</v>
      </c>
      <c r="J128" s="29">
        <f t="shared" si="24"/>
        <v>13825.68</v>
      </c>
      <c r="K128" s="23">
        <f>'[1]TOFE'!$AA$31</f>
        <v>1431.2</v>
      </c>
      <c r="L128" s="24">
        <f>'[1]TOFE'!$AA$32</f>
        <v>45.5</v>
      </c>
      <c r="M128" s="24">
        <f>'[1]TOFE'!$AA$33</f>
        <v>0.1</v>
      </c>
      <c r="N128" s="29">
        <f t="shared" si="25"/>
        <v>1476.8</v>
      </c>
      <c r="O128" s="29">
        <f>1943+687.7</f>
        <v>2630.7</v>
      </c>
      <c r="P128" s="23">
        <f t="shared" si="26"/>
        <v>28930.68</v>
      </c>
    </row>
    <row r="129" spans="1:16" ht="15.75" customHeight="1" hidden="1">
      <c r="A129" s="17" t="s">
        <v>71</v>
      </c>
      <c r="B129" s="25">
        <v>3968.1</v>
      </c>
      <c r="C129" s="23">
        <v>2076.1</v>
      </c>
      <c r="D129" s="23">
        <v>798</v>
      </c>
      <c r="E129" s="29">
        <f>+B129+C129+D129</f>
        <v>6842.2</v>
      </c>
      <c r="F129" s="24">
        <v>179.1</v>
      </c>
      <c r="G129" s="23">
        <v>9358.4</v>
      </c>
      <c r="H129" s="24">
        <f>396.8+1336.2</f>
        <v>1733</v>
      </c>
      <c r="I129" s="23">
        <f>0+2500.2</f>
        <v>2500.2</v>
      </c>
      <c r="J129" s="29">
        <f>+G129+H129+I129</f>
        <v>13591.599999999999</v>
      </c>
      <c r="K129" s="23">
        <v>1650</v>
      </c>
      <c r="L129" s="24">
        <v>76.2</v>
      </c>
      <c r="M129" s="24">
        <v>0.1</v>
      </c>
      <c r="N129" s="29">
        <f t="shared" si="25"/>
        <v>1726.3</v>
      </c>
      <c r="O129" s="29">
        <f>2278.3+563.1</f>
        <v>2841.4</v>
      </c>
      <c r="P129" s="23">
        <f t="shared" si="26"/>
        <v>25180.6</v>
      </c>
    </row>
    <row r="130" spans="1:16" ht="15.75" customHeight="1" hidden="1">
      <c r="A130" s="17" t="s">
        <v>72</v>
      </c>
      <c r="B130" s="25">
        <v>346.8</v>
      </c>
      <c r="C130" s="23">
        <v>3088.7</v>
      </c>
      <c r="D130" s="23">
        <v>934.5</v>
      </c>
      <c r="E130" s="29">
        <f>+B130+C130+D130</f>
        <v>4370</v>
      </c>
      <c r="F130" s="24">
        <v>44.7</v>
      </c>
      <c r="G130" s="23">
        <v>10737.7</v>
      </c>
      <c r="H130" s="24">
        <f>1723.9+216.5</f>
        <v>1940.4</v>
      </c>
      <c r="I130" s="23">
        <f>51.9+2339.7</f>
        <v>2391.6</v>
      </c>
      <c r="J130" s="29">
        <f>+G130+H130+I130</f>
        <v>15069.7</v>
      </c>
      <c r="K130" s="23">
        <v>2244.4</v>
      </c>
      <c r="L130" s="24">
        <v>50</v>
      </c>
      <c r="M130" s="24">
        <v>0.3</v>
      </c>
      <c r="N130" s="29">
        <f>+K130+L130+M130</f>
        <v>2294.7000000000003</v>
      </c>
      <c r="O130" s="29">
        <f>731.1+3214.1</f>
        <v>3945.2</v>
      </c>
      <c r="P130" s="23">
        <f>+O130+N130+J130+E130+F130</f>
        <v>25724.3</v>
      </c>
    </row>
    <row r="131" spans="1:16" ht="15.75" customHeight="1" hidden="1">
      <c r="A131" s="17"/>
      <c r="B131" s="25"/>
      <c r="C131" s="23"/>
      <c r="D131" s="23"/>
      <c r="E131" s="29"/>
      <c r="F131" s="24"/>
      <c r="G131" s="23"/>
      <c r="H131" s="24"/>
      <c r="I131" s="23"/>
      <c r="J131" s="29"/>
      <c r="K131" s="23"/>
      <c r="L131" s="24"/>
      <c r="M131" s="24"/>
      <c r="N131" s="29"/>
      <c r="O131" s="29"/>
      <c r="P131" s="23"/>
    </row>
    <row r="132" spans="1:16" ht="15.75" customHeight="1" hidden="1">
      <c r="A132" s="17" t="s">
        <v>76</v>
      </c>
      <c r="B132" s="25">
        <f>SUM(B186:B188)</f>
        <v>41039.630000000005</v>
      </c>
      <c r="C132" s="25">
        <f aca="true" t="shared" si="45" ref="C132:P132">SUM(C186:C188)</f>
        <v>18459.551</v>
      </c>
      <c r="D132" s="25">
        <f t="shared" si="45"/>
        <v>62.05</v>
      </c>
      <c r="E132" s="25">
        <f t="shared" si="45"/>
        <v>59561.231</v>
      </c>
      <c r="F132" s="51">
        <f>+F278+F279+F280</f>
        <v>0</v>
      </c>
      <c r="G132" s="25">
        <f t="shared" si="45"/>
        <v>47863.489</v>
      </c>
      <c r="H132" s="25">
        <f t="shared" si="45"/>
        <v>3065.2009999999996</v>
      </c>
      <c r="I132" s="25">
        <f t="shared" si="45"/>
        <v>12425.317600000002</v>
      </c>
      <c r="J132" s="25">
        <f t="shared" si="45"/>
        <v>63354.0076</v>
      </c>
      <c r="K132" s="25">
        <f t="shared" si="45"/>
        <v>11278.990999999998</v>
      </c>
      <c r="L132" s="25">
        <f t="shared" si="45"/>
        <v>39.974</v>
      </c>
      <c r="M132" s="25">
        <f t="shared" si="45"/>
        <v>1355.515</v>
      </c>
      <c r="N132" s="25">
        <f t="shared" si="45"/>
        <v>12674.48</v>
      </c>
      <c r="O132" s="25">
        <f t="shared" si="45"/>
        <v>1884.656</v>
      </c>
      <c r="P132" s="25">
        <f t="shared" si="45"/>
        <v>137474.3746</v>
      </c>
    </row>
    <row r="133" spans="1:16" ht="15.75" customHeight="1" hidden="1">
      <c r="A133" s="17" t="s">
        <v>139</v>
      </c>
      <c r="B133" s="25">
        <f aca="true" t="shared" si="46" ref="B133:H133">SUM(B189:B191)</f>
        <v>9474.807</v>
      </c>
      <c r="C133" s="25">
        <f t="shared" si="46"/>
        <v>17219.975</v>
      </c>
      <c r="D133" s="25">
        <f t="shared" si="46"/>
        <v>63.462</v>
      </c>
      <c r="E133" s="25">
        <f t="shared" si="46"/>
        <v>26758.244000000002</v>
      </c>
      <c r="F133" s="53">
        <f>SUM(F189:F191)</f>
        <v>0</v>
      </c>
      <c r="G133" s="25">
        <f t="shared" si="46"/>
        <v>48674.67140400001</v>
      </c>
      <c r="H133" s="25">
        <f t="shared" si="46"/>
        <v>1324.5865430000001</v>
      </c>
      <c r="I133" s="25">
        <f>SUM(I189:I191)</f>
        <v>13351.464123</v>
      </c>
      <c r="J133" s="25">
        <f aca="true" t="shared" si="47" ref="J133:P133">SUM(J189:J191)</f>
        <v>63350.72207</v>
      </c>
      <c r="K133" s="25">
        <f t="shared" si="47"/>
        <v>10612.901788</v>
      </c>
      <c r="L133" s="25">
        <f t="shared" si="47"/>
        <v>7.0098</v>
      </c>
      <c r="M133" s="25">
        <f t="shared" si="47"/>
        <v>1153.0943659999998</v>
      </c>
      <c r="N133" s="25">
        <f t="shared" si="47"/>
        <v>11773.005954</v>
      </c>
      <c r="O133" s="25">
        <f t="shared" si="47"/>
        <v>1222.053576</v>
      </c>
      <c r="P133" s="25">
        <f t="shared" si="47"/>
        <v>103104.0256</v>
      </c>
    </row>
    <row r="134" spans="1:16" ht="15.75" customHeight="1" hidden="1">
      <c r="A134" s="17" t="s">
        <v>150</v>
      </c>
      <c r="B134" s="25">
        <f>SUM(B192:B194)</f>
        <v>8059.9169999999995</v>
      </c>
      <c r="C134" s="25">
        <f>SUM(C192:C194)</f>
        <v>16189.54</v>
      </c>
      <c r="D134" s="25">
        <f aca="true" t="shared" si="48" ref="D134:P134">SUM(D192:D194)</f>
        <v>34.787</v>
      </c>
      <c r="E134" s="25">
        <f t="shared" si="48"/>
        <v>24284.244</v>
      </c>
      <c r="F134" s="53">
        <f>SUM(F192:F194)</f>
        <v>0</v>
      </c>
      <c r="G134" s="25">
        <f t="shared" si="48"/>
        <v>54361.687000000005</v>
      </c>
      <c r="H134" s="25">
        <f t="shared" si="48"/>
        <v>1419.5030000000002</v>
      </c>
      <c r="I134" s="25">
        <f t="shared" si="48"/>
        <v>22977.073</v>
      </c>
      <c r="J134" s="25">
        <f t="shared" si="48"/>
        <v>78758.263</v>
      </c>
      <c r="K134" s="25">
        <f t="shared" si="48"/>
        <v>10923.82</v>
      </c>
      <c r="L134" s="25">
        <f t="shared" si="48"/>
        <v>1.418</v>
      </c>
      <c r="M134" s="25">
        <f t="shared" si="48"/>
        <v>1366.06</v>
      </c>
      <c r="N134" s="25">
        <f t="shared" si="48"/>
        <v>12291.298</v>
      </c>
      <c r="O134" s="25">
        <f t="shared" si="48"/>
        <v>2608.9139999999998</v>
      </c>
      <c r="P134" s="25">
        <f t="shared" si="48"/>
        <v>117942.71900000001</v>
      </c>
    </row>
    <row r="135" spans="1:16" ht="15.75" customHeight="1" hidden="1">
      <c r="A135" s="17" t="s">
        <v>158</v>
      </c>
      <c r="B135" s="25">
        <f>SUM(B195:B197)</f>
        <v>23956.609959</v>
      </c>
      <c r="C135" s="25">
        <f aca="true" t="shared" si="49" ref="C135:P135">SUM(C195:C197)</f>
        <v>21013.774462999998</v>
      </c>
      <c r="D135" s="25">
        <f t="shared" si="49"/>
        <v>335.03907</v>
      </c>
      <c r="E135" s="25">
        <f t="shared" si="49"/>
        <v>45305.423491999994</v>
      </c>
      <c r="F135" s="53">
        <f>SUM(F193:F195)</f>
        <v>0</v>
      </c>
      <c r="G135" s="25">
        <f t="shared" si="49"/>
        <v>50528.896742000004</v>
      </c>
      <c r="H135" s="25">
        <f t="shared" si="49"/>
        <v>1215.181071</v>
      </c>
      <c r="I135" s="25">
        <f t="shared" si="49"/>
        <v>19499.405983</v>
      </c>
      <c r="J135" s="25">
        <f t="shared" si="49"/>
        <v>71243.483796</v>
      </c>
      <c r="K135" s="25">
        <f t="shared" si="49"/>
        <v>10907.490276999999</v>
      </c>
      <c r="L135" s="25">
        <f t="shared" si="49"/>
        <v>118.400848</v>
      </c>
      <c r="M135" s="25">
        <f t="shared" si="49"/>
        <v>2057.245826</v>
      </c>
      <c r="N135" s="25">
        <f t="shared" si="49"/>
        <v>13083.136951</v>
      </c>
      <c r="O135" s="25">
        <f t="shared" si="49"/>
        <v>3725.6503380000004</v>
      </c>
      <c r="P135" s="25">
        <f t="shared" si="49"/>
        <v>133357.694577</v>
      </c>
    </row>
    <row r="136" spans="1:16" ht="15.75" customHeight="1" hidden="1">
      <c r="A136" s="17"/>
      <c r="B136" s="25"/>
      <c r="C136" s="25"/>
      <c r="D136" s="25"/>
      <c r="E136" s="25"/>
      <c r="F136" s="53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 ht="15.75" customHeight="1" hidden="1">
      <c r="A137" s="17" t="s">
        <v>100</v>
      </c>
      <c r="B137" s="25">
        <f aca="true" t="shared" si="50" ref="B137:H137">SUM(B199:B202)</f>
        <v>34560.031569</v>
      </c>
      <c r="C137" s="25">
        <f t="shared" si="50"/>
        <v>15159.449360999999</v>
      </c>
      <c r="D137" s="25">
        <f t="shared" si="50"/>
        <v>184.643371</v>
      </c>
      <c r="E137" s="25">
        <f t="shared" si="50"/>
        <v>49904.124301</v>
      </c>
      <c r="F137" s="53">
        <f t="shared" si="50"/>
        <v>0</v>
      </c>
      <c r="G137" s="25">
        <f t="shared" si="50"/>
        <v>46975.088551</v>
      </c>
      <c r="H137" s="25">
        <f t="shared" si="50"/>
        <v>1063.598657</v>
      </c>
      <c r="I137" s="25">
        <f>SUM(I199:I202)</f>
        <v>20819.197285000002</v>
      </c>
      <c r="J137" s="25">
        <f aca="true" t="shared" si="51" ref="J137:P137">SUM(J199:J202)</f>
        <v>68857.884493</v>
      </c>
      <c r="K137" s="25">
        <f t="shared" si="51"/>
        <v>9060.107731</v>
      </c>
      <c r="L137" s="25">
        <f t="shared" si="51"/>
        <v>120.756285</v>
      </c>
      <c r="M137" s="25">
        <f t="shared" si="51"/>
        <v>1488.337259</v>
      </c>
      <c r="N137" s="25">
        <f t="shared" si="51"/>
        <v>10669.201275</v>
      </c>
      <c r="O137" s="25">
        <f t="shared" si="51"/>
        <v>4410.50669</v>
      </c>
      <c r="P137" s="25">
        <f t="shared" si="51"/>
        <v>133841.716759</v>
      </c>
    </row>
    <row r="138" spans="1:16" ht="15.75" customHeight="1" hidden="1">
      <c r="A138" s="17" t="s">
        <v>166</v>
      </c>
      <c r="B138" s="25">
        <f>+B203+B204+B205</f>
        <v>21219.733088</v>
      </c>
      <c r="C138" s="25">
        <f aca="true" t="shared" si="52" ref="C138:I138">+C203+C204+C205</f>
        <v>11230.122152</v>
      </c>
      <c r="D138" s="25">
        <f t="shared" si="52"/>
        <v>123.33199099999999</v>
      </c>
      <c r="E138" s="25">
        <f t="shared" si="52"/>
        <v>32573.187231</v>
      </c>
      <c r="F138" s="53">
        <f t="shared" si="52"/>
        <v>0</v>
      </c>
      <c r="G138" s="25">
        <f t="shared" si="52"/>
        <v>50397.05314</v>
      </c>
      <c r="H138" s="25">
        <f t="shared" si="52"/>
        <v>1100.286458</v>
      </c>
      <c r="I138" s="25">
        <f t="shared" si="52"/>
        <v>21128.681204</v>
      </c>
      <c r="J138" s="25">
        <f aca="true" t="shared" si="53" ref="J138:P138">SUM(J203:J205)</f>
        <v>72626.020802</v>
      </c>
      <c r="K138" s="25">
        <f t="shared" si="53"/>
        <v>10655.188616</v>
      </c>
      <c r="L138" s="25">
        <f t="shared" si="53"/>
        <v>142.98613699999999</v>
      </c>
      <c r="M138" s="25">
        <f t="shared" si="53"/>
        <v>1411.933424</v>
      </c>
      <c r="N138" s="25">
        <f t="shared" si="53"/>
        <v>12210.108177</v>
      </c>
      <c r="O138" s="25">
        <f t="shared" si="53"/>
        <v>3960.263215</v>
      </c>
      <c r="P138" s="25">
        <f t="shared" si="53"/>
        <v>121369.579425</v>
      </c>
    </row>
    <row r="139" spans="1:16" ht="15.75" customHeight="1" hidden="1">
      <c r="A139" s="17" t="s">
        <v>170</v>
      </c>
      <c r="B139" s="25">
        <f>B206+B207+B208</f>
        <v>20025.69408</v>
      </c>
      <c r="C139" s="25">
        <f aca="true" t="shared" si="54" ref="C139:P139">C206+C207+C208</f>
        <v>10655.525725</v>
      </c>
      <c r="D139" s="25">
        <f t="shared" si="54"/>
        <v>81.092233</v>
      </c>
      <c r="E139" s="25">
        <f t="shared" si="54"/>
        <v>30762.312037999996</v>
      </c>
      <c r="F139" s="53">
        <f t="shared" si="54"/>
        <v>0</v>
      </c>
      <c r="G139" s="25">
        <f t="shared" si="54"/>
        <v>60702.345874</v>
      </c>
      <c r="H139" s="25">
        <f t="shared" si="54"/>
        <v>3055.362158</v>
      </c>
      <c r="I139" s="25">
        <f t="shared" si="54"/>
        <v>24382.387673</v>
      </c>
      <c r="J139" s="25">
        <f t="shared" si="54"/>
        <v>88140.09570500001</v>
      </c>
      <c r="K139" s="25">
        <f t="shared" si="54"/>
        <v>11680.309786</v>
      </c>
      <c r="L139" s="25">
        <f t="shared" si="54"/>
        <v>367.050034</v>
      </c>
      <c r="M139" s="25">
        <f t="shared" si="54"/>
        <v>3201.516713</v>
      </c>
      <c r="N139" s="25">
        <f t="shared" si="54"/>
        <v>15248.876533</v>
      </c>
      <c r="O139" s="25">
        <f t="shared" si="54"/>
        <v>6108.270947000001</v>
      </c>
      <c r="P139" s="25">
        <f t="shared" si="54"/>
        <v>140259.555223</v>
      </c>
    </row>
    <row r="140" spans="1:16" ht="15.75" customHeight="1" hidden="1">
      <c r="A140" s="6" t="s">
        <v>176</v>
      </c>
      <c r="B140" s="28">
        <f>SUM(B209:B211)</f>
        <v>16640.7</v>
      </c>
      <c r="C140" s="25">
        <f aca="true" t="shared" si="55" ref="C140:O140">SUM(C209:C211)</f>
        <v>16063.4</v>
      </c>
      <c r="D140" s="25">
        <f t="shared" si="55"/>
        <v>71.15179</v>
      </c>
      <c r="E140" s="25">
        <f t="shared" si="55"/>
        <v>32775.251789999995</v>
      </c>
      <c r="F140" s="60">
        <f t="shared" si="55"/>
        <v>0</v>
      </c>
      <c r="G140" s="25">
        <f t="shared" si="55"/>
        <v>52927.634173</v>
      </c>
      <c r="H140" s="25">
        <f t="shared" si="55"/>
        <v>1850.7</v>
      </c>
      <c r="I140" s="25">
        <f t="shared" si="55"/>
        <v>21229.35189</v>
      </c>
      <c r="J140" s="25">
        <f t="shared" si="55"/>
        <v>76007.686063</v>
      </c>
      <c r="K140" s="25">
        <f t="shared" si="55"/>
        <v>11043.75</v>
      </c>
      <c r="L140" s="25">
        <f t="shared" si="55"/>
        <v>144.16997</v>
      </c>
      <c r="M140" s="25">
        <f t="shared" si="55"/>
        <v>1618.071007</v>
      </c>
      <c r="N140" s="25">
        <f t="shared" si="55"/>
        <v>12805.990977</v>
      </c>
      <c r="O140" s="25">
        <f t="shared" si="55"/>
        <v>7479.707627000001</v>
      </c>
      <c r="P140" s="25">
        <f>SUM(P209:P211)</f>
        <v>129068.636457</v>
      </c>
    </row>
    <row r="141" spans="1:16" ht="15.75" customHeight="1" hidden="1">
      <c r="A141" s="17"/>
      <c r="B141" s="28"/>
      <c r="C141" s="23"/>
      <c r="D141" s="23"/>
      <c r="E141" s="29"/>
      <c r="F141" s="24"/>
      <c r="G141" s="23"/>
      <c r="H141" s="24"/>
      <c r="I141" s="23"/>
      <c r="J141" s="29"/>
      <c r="K141" s="23"/>
      <c r="L141" s="24"/>
      <c r="M141" s="24"/>
      <c r="N141" s="29"/>
      <c r="O141" s="29"/>
      <c r="P141" s="23"/>
    </row>
    <row r="142" spans="1:16" ht="15.75" customHeight="1" hidden="1">
      <c r="A142" s="17" t="s">
        <v>47</v>
      </c>
      <c r="B142" s="28">
        <v>8618.4</v>
      </c>
      <c r="C142" s="23">
        <v>5826.5</v>
      </c>
      <c r="D142" s="23">
        <v>30.7</v>
      </c>
      <c r="E142" s="29">
        <f aca="true" t="shared" si="56" ref="E142:E166">+B142+C142+D142</f>
        <v>14475.6</v>
      </c>
      <c r="F142" s="49">
        <v>0</v>
      </c>
      <c r="G142" s="23">
        <v>9284</v>
      </c>
      <c r="H142" s="24">
        <f>657.4+1014.5</f>
        <v>1671.9</v>
      </c>
      <c r="I142" s="23">
        <f>2905.6+1+455.9</f>
        <v>3362.5</v>
      </c>
      <c r="J142" s="29">
        <f aca="true" t="shared" si="57" ref="J142:J159">+G142+H142+I142</f>
        <v>14318.4</v>
      </c>
      <c r="K142" s="23">
        <v>1309.4</v>
      </c>
      <c r="L142" s="24">
        <v>148.2</v>
      </c>
      <c r="M142" s="24">
        <v>692.1</v>
      </c>
      <c r="N142" s="29">
        <f aca="true" t="shared" si="58" ref="N142:N225">+K142+L142+M142</f>
        <v>2149.7000000000003</v>
      </c>
      <c r="O142" s="29">
        <f>1018.4+398</f>
        <v>1416.4</v>
      </c>
      <c r="P142" s="23">
        <f aca="true" t="shared" si="59" ref="P142:P166">+O142+N142+J142+E142+F142</f>
        <v>32360.1</v>
      </c>
    </row>
    <row r="143" spans="1:16" ht="15.75" customHeight="1" hidden="1">
      <c r="A143" s="17" t="s">
        <v>75</v>
      </c>
      <c r="B143" s="28">
        <v>545.6</v>
      </c>
      <c r="C143" s="23">
        <v>5499.8</v>
      </c>
      <c r="D143" s="23">
        <v>24.5</v>
      </c>
      <c r="E143" s="29">
        <f t="shared" si="56"/>
        <v>6069.900000000001</v>
      </c>
      <c r="F143" s="54">
        <v>0</v>
      </c>
      <c r="G143" s="23">
        <v>9183</v>
      </c>
      <c r="H143" s="24">
        <f>999.4+42.7</f>
        <v>1042.1</v>
      </c>
      <c r="I143" s="23">
        <f>2770.8+0.2+260.6</f>
        <v>3031.6</v>
      </c>
      <c r="J143" s="29">
        <f t="shared" si="57"/>
        <v>13256.7</v>
      </c>
      <c r="K143" s="23">
        <v>1518.5</v>
      </c>
      <c r="L143" s="24">
        <v>0</v>
      </c>
      <c r="M143" s="24">
        <v>162.4</v>
      </c>
      <c r="N143" s="29">
        <f t="shared" si="58"/>
        <v>1680.9</v>
      </c>
      <c r="O143" s="29">
        <f>1034.2+375.6</f>
        <v>1409.8000000000002</v>
      </c>
      <c r="P143" s="23">
        <f t="shared" si="59"/>
        <v>22417.300000000003</v>
      </c>
    </row>
    <row r="144" spans="1:16" ht="15.75" customHeight="1" hidden="1">
      <c r="A144" s="17" t="s">
        <v>77</v>
      </c>
      <c r="B144" s="28">
        <v>15065.4</v>
      </c>
      <c r="C144" s="23">
        <v>4723.8</v>
      </c>
      <c r="D144" s="23">
        <v>189.5</v>
      </c>
      <c r="E144" s="29">
        <f t="shared" si="56"/>
        <v>19978.7</v>
      </c>
      <c r="F144" s="54">
        <v>0</v>
      </c>
      <c r="G144" s="23">
        <v>10076.9</v>
      </c>
      <c r="H144" s="24">
        <f>102.5+1092.6</f>
        <v>1195.1</v>
      </c>
      <c r="I144" s="23">
        <f>2483.4+2000.9+552.3</f>
        <v>5036.6</v>
      </c>
      <c r="J144" s="29">
        <f t="shared" si="57"/>
        <v>16308.6</v>
      </c>
      <c r="K144" s="23">
        <v>2072.9</v>
      </c>
      <c r="L144" s="24">
        <v>0</v>
      </c>
      <c r="M144" s="24">
        <v>187.1</v>
      </c>
      <c r="N144" s="29">
        <f t="shared" si="58"/>
        <v>2260</v>
      </c>
      <c r="O144" s="29">
        <f>533.7+410.5</f>
        <v>944.2</v>
      </c>
      <c r="P144" s="23">
        <f t="shared" si="59"/>
        <v>39491.5</v>
      </c>
    </row>
    <row r="145" spans="1:16" ht="15.75" customHeight="1" hidden="1">
      <c r="A145" s="17" t="s">
        <v>78</v>
      </c>
      <c r="B145" s="28">
        <v>987.8</v>
      </c>
      <c r="C145" s="23">
        <v>3622.7</v>
      </c>
      <c r="D145" s="23">
        <v>65.2</v>
      </c>
      <c r="E145" s="29">
        <f t="shared" si="56"/>
        <v>4675.7</v>
      </c>
      <c r="F145" s="54">
        <v>0</v>
      </c>
      <c r="G145" s="23">
        <v>10128.1</v>
      </c>
      <c r="H145" s="24">
        <f>337+942.3</f>
        <v>1279.3</v>
      </c>
      <c r="I145" s="23">
        <f>2877.3+0.2+251.5</f>
        <v>3129</v>
      </c>
      <c r="J145" s="29">
        <f t="shared" si="57"/>
        <v>14536.4</v>
      </c>
      <c r="K145" s="23">
        <v>2513.3</v>
      </c>
      <c r="L145" s="24">
        <v>3</v>
      </c>
      <c r="M145" s="24">
        <v>346.1</v>
      </c>
      <c r="N145" s="29">
        <f t="shared" si="58"/>
        <v>2862.4</v>
      </c>
      <c r="O145" s="29">
        <v>1934.3</v>
      </c>
      <c r="P145" s="23">
        <f t="shared" si="59"/>
        <v>24008.8</v>
      </c>
    </row>
    <row r="146" spans="1:16" ht="15.75" customHeight="1" hidden="1">
      <c r="A146" s="17" t="s">
        <v>80</v>
      </c>
      <c r="B146" s="28">
        <v>3651.6</v>
      </c>
      <c r="C146" s="23">
        <v>2839.1</v>
      </c>
      <c r="D146" s="23">
        <v>57.4</v>
      </c>
      <c r="E146" s="29">
        <f t="shared" si="56"/>
        <v>6548.099999999999</v>
      </c>
      <c r="F146" s="54">
        <v>0</v>
      </c>
      <c r="G146" s="23">
        <v>8360</v>
      </c>
      <c r="H146" s="24">
        <f>267.4+546.7</f>
        <v>814.1</v>
      </c>
      <c r="I146" s="23">
        <f>2933.4+520.8+153.1</f>
        <v>3607.2999999999997</v>
      </c>
      <c r="J146" s="29">
        <f t="shared" si="57"/>
        <v>12781.4</v>
      </c>
      <c r="K146" s="23">
        <v>2139.5</v>
      </c>
      <c r="L146" s="24">
        <v>15.2</v>
      </c>
      <c r="M146" s="24">
        <v>307.9</v>
      </c>
      <c r="N146" s="29">
        <f t="shared" si="58"/>
        <v>2462.6</v>
      </c>
      <c r="O146" s="29">
        <v>649.6</v>
      </c>
      <c r="P146" s="23">
        <f t="shared" si="59"/>
        <v>22441.699999999997</v>
      </c>
    </row>
    <row r="147" spans="1:16" ht="15.75" customHeight="1" hidden="1">
      <c r="A147" s="17" t="s">
        <v>82</v>
      </c>
      <c r="B147" s="28">
        <v>2363.9</v>
      </c>
      <c r="C147" s="23">
        <v>3784.2</v>
      </c>
      <c r="D147" s="23">
        <v>77.9</v>
      </c>
      <c r="E147" s="29">
        <f t="shared" si="56"/>
        <v>6226</v>
      </c>
      <c r="F147" s="54">
        <v>0</v>
      </c>
      <c r="G147" s="23">
        <v>11396.6</v>
      </c>
      <c r="H147" s="24">
        <f>408.6+770</f>
        <v>1178.6</v>
      </c>
      <c r="I147" s="23">
        <f>4.2+2901.1+221.3</f>
        <v>3126.6</v>
      </c>
      <c r="J147" s="29">
        <f t="shared" si="57"/>
        <v>15701.800000000001</v>
      </c>
      <c r="K147" s="23">
        <v>2634.1</v>
      </c>
      <c r="L147" s="24">
        <v>2.4</v>
      </c>
      <c r="M147" s="24">
        <v>342.8</v>
      </c>
      <c r="N147" s="29">
        <f t="shared" si="58"/>
        <v>2979.3</v>
      </c>
      <c r="O147" s="29">
        <v>469.74</v>
      </c>
      <c r="P147" s="23">
        <f t="shared" si="59"/>
        <v>25376.84</v>
      </c>
    </row>
    <row r="148" spans="1:16" ht="15.75" customHeight="1" hidden="1">
      <c r="A148" s="17" t="s">
        <v>84</v>
      </c>
      <c r="B148" s="28">
        <v>3051.4</v>
      </c>
      <c r="C148" s="23">
        <v>4004.5</v>
      </c>
      <c r="D148" s="23">
        <v>336.7</v>
      </c>
      <c r="E148" s="29">
        <f t="shared" si="56"/>
        <v>7392.599999999999</v>
      </c>
      <c r="F148" s="54">
        <v>0</v>
      </c>
      <c r="G148" s="23">
        <v>11169.6</v>
      </c>
      <c r="H148" s="24">
        <f>322+951.9</f>
        <v>1273.9</v>
      </c>
      <c r="I148" s="23">
        <f>3252.7+600.7+216.5</f>
        <v>4069.8999999999996</v>
      </c>
      <c r="J148" s="29">
        <f t="shared" si="57"/>
        <v>16513.4</v>
      </c>
      <c r="K148" s="23">
        <v>2643.4</v>
      </c>
      <c r="L148" s="24">
        <v>8.1</v>
      </c>
      <c r="M148" s="24">
        <v>321.9</v>
      </c>
      <c r="N148" s="29">
        <f t="shared" si="58"/>
        <v>2973.4</v>
      </c>
      <c r="O148" s="29">
        <f>1516+469.7</f>
        <v>1985.7</v>
      </c>
      <c r="P148" s="23">
        <f t="shared" si="59"/>
        <v>28865.1</v>
      </c>
    </row>
    <row r="149" spans="1:16" ht="15.75" customHeight="1" hidden="1">
      <c r="A149" s="17" t="s">
        <v>85</v>
      </c>
      <c r="B149" s="28">
        <v>2747.1</v>
      </c>
      <c r="C149" s="23">
        <v>4172.9</v>
      </c>
      <c r="D149" s="23">
        <v>273.8</v>
      </c>
      <c r="E149" s="29">
        <f t="shared" si="56"/>
        <v>7193.8</v>
      </c>
      <c r="F149" s="54">
        <v>0</v>
      </c>
      <c r="G149" s="23">
        <v>11458.6</v>
      </c>
      <c r="H149" s="24">
        <f>1006.5+282.5</f>
        <v>1289</v>
      </c>
      <c r="I149" s="23">
        <f>3694.5+1.8+208.4</f>
        <v>3904.7000000000003</v>
      </c>
      <c r="J149" s="29">
        <f t="shared" si="57"/>
        <v>16652.3</v>
      </c>
      <c r="K149" s="23">
        <v>3270.5</v>
      </c>
      <c r="L149" s="24">
        <v>4</v>
      </c>
      <c r="M149" s="24">
        <v>343.1</v>
      </c>
      <c r="N149" s="29">
        <f t="shared" si="58"/>
        <v>3617.6</v>
      </c>
      <c r="O149" s="29">
        <f>2833.4+1395.6</f>
        <v>4229</v>
      </c>
      <c r="P149" s="23">
        <f t="shared" si="59"/>
        <v>31692.7</v>
      </c>
    </row>
    <row r="150" spans="1:16" ht="15.75" customHeight="1" hidden="1">
      <c r="A150" s="17" t="s">
        <v>86</v>
      </c>
      <c r="B150" s="28">
        <v>2298.3</v>
      </c>
      <c r="C150" s="23">
        <v>4678.1</v>
      </c>
      <c r="D150" s="23">
        <v>203.1</v>
      </c>
      <c r="E150" s="29">
        <f t="shared" si="56"/>
        <v>7179.500000000001</v>
      </c>
      <c r="F150" s="54">
        <v>0</v>
      </c>
      <c r="G150" s="23">
        <v>12825.3</v>
      </c>
      <c r="H150" s="24">
        <f>183.1+988.5</f>
        <v>1171.6</v>
      </c>
      <c r="I150" s="23">
        <f>3872.8+3.5+210.3</f>
        <v>4086.6000000000004</v>
      </c>
      <c r="J150" s="29">
        <f t="shared" si="57"/>
        <v>18083.5</v>
      </c>
      <c r="K150" s="23">
        <v>3296.5</v>
      </c>
      <c r="L150" s="24">
        <v>11.1</v>
      </c>
      <c r="M150" s="24">
        <v>314.8</v>
      </c>
      <c r="N150" s="29">
        <f t="shared" si="58"/>
        <v>3622.4</v>
      </c>
      <c r="O150" s="29">
        <v>655.2</v>
      </c>
      <c r="P150" s="23">
        <f t="shared" si="59"/>
        <v>29540.6</v>
      </c>
    </row>
    <row r="151" spans="1:16" ht="15.75" customHeight="1" hidden="1">
      <c r="A151" s="17" t="s">
        <v>92</v>
      </c>
      <c r="B151" s="28">
        <v>11253.9</v>
      </c>
      <c r="C151" s="23">
        <v>4709.6</v>
      </c>
      <c r="D151" s="23">
        <v>556.45</v>
      </c>
      <c r="E151" s="29">
        <f t="shared" si="56"/>
        <v>16519.95</v>
      </c>
      <c r="F151" s="54">
        <v>0</v>
      </c>
      <c r="G151" s="23">
        <v>13296.1</v>
      </c>
      <c r="H151" s="24">
        <f>423+965.5</f>
        <v>1388.5</v>
      </c>
      <c r="I151" s="23">
        <f>3497.7+1.7+177.6</f>
        <v>3676.9999999999995</v>
      </c>
      <c r="J151" s="29">
        <f t="shared" si="57"/>
        <v>18361.6</v>
      </c>
      <c r="K151" s="23">
        <v>3340.1</v>
      </c>
      <c r="L151" s="24">
        <v>8.8</v>
      </c>
      <c r="M151" s="24">
        <v>389.8</v>
      </c>
      <c r="N151" s="29">
        <f t="shared" si="58"/>
        <v>3738.7000000000003</v>
      </c>
      <c r="O151" s="29">
        <v>940.9</v>
      </c>
      <c r="P151" s="23">
        <f t="shared" si="59"/>
        <v>39561.149999999994</v>
      </c>
    </row>
    <row r="152" spans="1:16" ht="15.75" customHeight="1" hidden="1">
      <c r="A152" s="17" t="s">
        <v>94</v>
      </c>
      <c r="B152" s="28">
        <v>2564.3</v>
      </c>
      <c r="C152" s="23">
        <v>4871.4</v>
      </c>
      <c r="D152" s="23">
        <v>233.715</v>
      </c>
      <c r="E152" s="29">
        <f t="shared" si="56"/>
        <v>7669.415</v>
      </c>
      <c r="F152" s="54">
        <v>0</v>
      </c>
      <c r="G152" s="23">
        <v>11032.5</v>
      </c>
      <c r="H152" s="24">
        <f>319.6+1298.6</f>
        <v>1618.1999999999998</v>
      </c>
      <c r="I152" s="23">
        <f>3185.8+764.3+219</f>
        <v>4169.1</v>
      </c>
      <c r="J152" s="29">
        <f t="shared" si="57"/>
        <v>16819.800000000003</v>
      </c>
      <c r="K152" s="23">
        <v>4120.6</v>
      </c>
      <c r="L152" s="24">
        <v>8.8</v>
      </c>
      <c r="M152" s="24">
        <v>300.9</v>
      </c>
      <c r="N152" s="29">
        <f t="shared" si="58"/>
        <v>4430.3</v>
      </c>
      <c r="O152" s="29">
        <v>1070.5</v>
      </c>
      <c r="P152" s="23">
        <f t="shared" si="59"/>
        <v>29990.015000000003</v>
      </c>
    </row>
    <row r="153" spans="1:16" ht="15.75" customHeight="1" hidden="1">
      <c r="A153" s="17" t="s">
        <v>96</v>
      </c>
      <c r="B153" s="28">
        <v>3615.9</v>
      </c>
      <c r="C153" s="23">
        <v>6591.9</v>
      </c>
      <c r="D153" s="23">
        <v>221.645</v>
      </c>
      <c r="E153" s="29">
        <f t="shared" si="56"/>
        <v>10429.445</v>
      </c>
      <c r="F153" s="54">
        <v>0</v>
      </c>
      <c r="G153" s="23">
        <v>13586.7</v>
      </c>
      <c r="H153" s="24">
        <f>1532.8+299.1</f>
        <v>1831.9</v>
      </c>
      <c r="I153" s="23">
        <f>941.4+3131.4+2304.2</f>
        <v>6377</v>
      </c>
      <c r="J153" s="29">
        <f t="shared" si="57"/>
        <v>21795.6</v>
      </c>
      <c r="K153" s="23">
        <v>3911.7</v>
      </c>
      <c r="L153" s="24">
        <v>7.2</v>
      </c>
      <c r="M153" s="24">
        <v>444.7</v>
      </c>
      <c r="N153" s="29">
        <f t="shared" si="58"/>
        <v>4363.599999999999</v>
      </c>
      <c r="O153" s="29">
        <v>753</v>
      </c>
      <c r="P153" s="23">
        <f t="shared" si="59"/>
        <v>37341.645</v>
      </c>
    </row>
    <row r="154" spans="1:16" ht="15.75" customHeight="1" hidden="1">
      <c r="A154" s="17"/>
      <c r="B154" s="28"/>
      <c r="C154" s="23"/>
      <c r="D154" s="23"/>
      <c r="E154" s="29"/>
      <c r="F154" s="24"/>
      <c r="G154" s="23"/>
      <c r="H154" s="24"/>
      <c r="I154" s="23"/>
      <c r="J154" s="29"/>
      <c r="K154" s="23"/>
      <c r="L154" s="24"/>
      <c r="M154" s="24"/>
      <c r="N154" s="29"/>
      <c r="O154" s="29"/>
      <c r="P154" s="23"/>
    </row>
    <row r="155" spans="1:16" ht="15.75" customHeight="1" hidden="1">
      <c r="A155" s="17" t="s">
        <v>61</v>
      </c>
      <c r="B155" s="28">
        <v>11193.373</v>
      </c>
      <c r="C155" s="23">
        <v>4191.926</v>
      </c>
      <c r="D155" s="23">
        <v>68.351</v>
      </c>
      <c r="E155" s="29">
        <f t="shared" si="56"/>
        <v>15453.65</v>
      </c>
      <c r="F155" s="49">
        <v>0</v>
      </c>
      <c r="G155" s="23">
        <v>12042.902</v>
      </c>
      <c r="H155" s="24">
        <v>1619.122</v>
      </c>
      <c r="I155" s="23">
        <v>3435.4</v>
      </c>
      <c r="J155" s="29">
        <f t="shared" si="57"/>
        <v>17097.424</v>
      </c>
      <c r="K155" s="23">
        <v>3294.275</v>
      </c>
      <c r="L155" s="24">
        <v>2.282</v>
      </c>
      <c r="M155" s="24">
        <v>373.535</v>
      </c>
      <c r="N155" s="29">
        <f t="shared" si="58"/>
        <v>3670.092</v>
      </c>
      <c r="O155" s="29">
        <v>204.557</v>
      </c>
      <c r="P155" s="23">
        <f t="shared" si="59"/>
        <v>36425.723</v>
      </c>
    </row>
    <row r="156" spans="1:16" ht="15.75" customHeight="1" hidden="1">
      <c r="A156" s="17" t="s">
        <v>99</v>
      </c>
      <c r="B156" s="28">
        <v>1675.441</v>
      </c>
      <c r="C156" s="23">
        <v>3789.239</v>
      </c>
      <c r="D156" s="23">
        <v>30.026</v>
      </c>
      <c r="E156" s="29">
        <f t="shared" si="56"/>
        <v>5494.706</v>
      </c>
      <c r="F156" s="49">
        <v>0</v>
      </c>
      <c r="G156" s="23">
        <v>12914.491</v>
      </c>
      <c r="H156" s="24">
        <v>1498.742</v>
      </c>
      <c r="I156" s="23">
        <v>4226.842000000001</v>
      </c>
      <c r="J156" s="29">
        <f t="shared" si="57"/>
        <v>18640.075</v>
      </c>
      <c r="K156" s="23">
        <v>3740.437</v>
      </c>
      <c r="L156" s="24">
        <v>4.95</v>
      </c>
      <c r="M156" s="24">
        <v>327.989</v>
      </c>
      <c r="N156" s="29">
        <f t="shared" si="58"/>
        <v>4073.3759999999997</v>
      </c>
      <c r="O156" s="29">
        <v>219.28</v>
      </c>
      <c r="P156" s="23">
        <f t="shared" si="59"/>
        <v>28427.436999999998</v>
      </c>
    </row>
    <row r="157" spans="1:16" ht="15.75" customHeight="1" hidden="1">
      <c r="A157" s="17" t="s">
        <v>101</v>
      </c>
      <c r="B157" s="33">
        <v>22847.137</v>
      </c>
      <c r="C157" s="32">
        <v>5681.723</v>
      </c>
      <c r="D157" s="32">
        <v>26.698</v>
      </c>
      <c r="E157" s="29">
        <f t="shared" si="56"/>
        <v>28555.558</v>
      </c>
      <c r="F157" s="51">
        <v>0</v>
      </c>
      <c r="G157" s="32">
        <v>14264.965</v>
      </c>
      <c r="H157" s="32">
        <v>2063.431</v>
      </c>
      <c r="I157" s="33">
        <v>3705.623</v>
      </c>
      <c r="J157" s="32">
        <f t="shared" si="57"/>
        <v>20034.019</v>
      </c>
      <c r="K157" s="32">
        <v>3966.068</v>
      </c>
      <c r="L157" s="32">
        <v>7.045</v>
      </c>
      <c r="M157" s="32">
        <v>415.908</v>
      </c>
      <c r="N157" s="32">
        <f t="shared" si="58"/>
        <v>4389.021000000001</v>
      </c>
      <c r="O157" s="32">
        <v>456.33500000000004</v>
      </c>
      <c r="P157" s="23">
        <f t="shared" si="59"/>
        <v>53434.933000000005</v>
      </c>
    </row>
    <row r="158" spans="1:16" ht="15.75" customHeight="1" hidden="1">
      <c r="A158" s="17" t="s">
        <v>102</v>
      </c>
      <c r="B158" s="33">
        <v>2324.979</v>
      </c>
      <c r="C158" s="32">
        <v>4584.584</v>
      </c>
      <c r="D158" s="32">
        <v>30.999</v>
      </c>
      <c r="E158" s="29">
        <f t="shared" si="56"/>
        <v>6940.562</v>
      </c>
      <c r="F158" s="51">
        <v>0</v>
      </c>
      <c r="G158" s="32">
        <v>12804.184</v>
      </c>
      <c r="H158" s="33">
        <v>1591.291</v>
      </c>
      <c r="I158" s="33">
        <v>4363.83</v>
      </c>
      <c r="J158" s="32">
        <f t="shared" si="57"/>
        <v>18759.305</v>
      </c>
      <c r="K158" s="32">
        <v>3599.254</v>
      </c>
      <c r="L158" s="32">
        <v>11.063</v>
      </c>
      <c r="M158" s="32">
        <v>413.595</v>
      </c>
      <c r="N158" s="32">
        <f t="shared" si="58"/>
        <v>4023.9120000000003</v>
      </c>
      <c r="O158" s="32">
        <v>15141.17</v>
      </c>
      <c r="P158" s="23">
        <f t="shared" si="59"/>
        <v>44864.949</v>
      </c>
    </row>
    <row r="159" spans="1:16" ht="15.75" customHeight="1" hidden="1">
      <c r="A159" s="17" t="s">
        <v>103</v>
      </c>
      <c r="B159" s="33">
        <v>4033.1</v>
      </c>
      <c r="C159" s="33">
        <v>3883.056</v>
      </c>
      <c r="D159" s="33">
        <v>68.966</v>
      </c>
      <c r="E159" s="29">
        <f t="shared" si="56"/>
        <v>7985.122</v>
      </c>
      <c r="F159" s="51">
        <v>0</v>
      </c>
      <c r="G159" s="32">
        <v>13069.68</v>
      </c>
      <c r="H159" s="33">
        <v>1380.021</v>
      </c>
      <c r="I159" s="33">
        <v>4194.686</v>
      </c>
      <c r="J159" s="32">
        <f t="shared" si="57"/>
        <v>18644.387000000002</v>
      </c>
      <c r="K159" s="32">
        <v>4070.3</v>
      </c>
      <c r="L159" s="32">
        <v>12.226</v>
      </c>
      <c r="M159" s="32">
        <v>318.5</v>
      </c>
      <c r="N159" s="32">
        <f t="shared" si="58"/>
        <v>4401.026</v>
      </c>
      <c r="O159" s="32">
        <v>190.196</v>
      </c>
      <c r="P159" s="23">
        <f t="shared" si="59"/>
        <v>31220.731000000003</v>
      </c>
    </row>
    <row r="160" spans="1:16" ht="15.75" customHeight="1" hidden="1">
      <c r="A160" s="17" t="s">
        <v>104</v>
      </c>
      <c r="B160" s="33">
        <v>1239.172</v>
      </c>
      <c r="C160" s="33">
        <v>4412.512</v>
      </c>
      <c r="D160" s="33">
        <v>74.424</v>
      </c>
      <c r="E160" s="29">
        <f t="shared" si="56"/>
        <v>5726.107999999999</v>
      </c>
      <c r="F160" s="51">
        <v>0</v>
      </c>
      <c r="G160" s="32">
        <v>14450.19</v>
      </c>
      <c r="H160" s="34">
        <v>1623.521</v>
      </c>
      <c r="I160" s="33">
        <v>4258.534</v>
      </c>
      <c r="J160" s="32">
        <f aca="true" t="shared" si="60" ref="J160:J166">+G160+H160+I160</f>
        <v>20332.245000000003</v>
      </c>
      <c r="K160" s="32">
        <v>4324.516</v>
      </c>
      <c r="L160" s="32">
        <v>1.763</v>
      </c>
      <c r="M160" s="32">
        <v>291.638</v>
      </c>
      <c r="N160" s="32">
        <f t="shared" si="58"/>
        <v>4617.9169999999995</v>
      </c>
      <c r="O160" s="32">
        <v>172.58700000000002</v>
      </c>
      <c r="P160" s="23">
        <f t="shared" si="59"/>
        <v>30848.857000000004</v>
      </c>
    </row>
    <row r="161" spans="1:16" ht="15.75" customHeight="1" hidden="1">
      <c r="A161" s="17" t="s">
        <v>107</v>
      </c>
      <c r="B161" s="33">
        <v>1219.696</v>
      </c>
      <c r="C161" s="33">
        <v>4295.947</v>
      </c>
      <c r="D161" s="33">
        <v>28.93</v>
      </c>
      <c r="E161" s="29">
        <f t="shared" si="56"/>
        <v>5544.573</v>
      </c>
      <c r="F161" s="51">
        <v>0</v>
      </c>
      <c r="G161" s="32">
        <v>14178.181</v>
      </c>
      <c r="H161" s="34">
        <v>1571.79</v>
      </c>
      <c r="I161" s="33">
        <v>4184.89</v>
      </c>
      <c r="J161" s="32">
        <f t="shared" si="60"/>
        <v>19934.861</v>
      </c>
      <c r="K161" s="32">
        <v>3952.425</v>
      </c>
      <c r="L161" s="32">
        <v>10.032</v>
      </c>
      <c r="M161" s="32">
        <v>406.368</v>
      </c>
      <c r="N161" s="32">
        <f t="shared" si="58"/>
        <v>4368.825000000001</v>
      </c>
      <c r="O161" s="32">
        <v>167.11700000000002</v>
      </c>
      <c r="P161" s="23">
        <f t="shared" si="59"/>
        <v>30015.376</v>
      </c>
    </row>
    <row r="162" spans="1:16" ht="15.75" customHeight="1" hidden="1">
      <c r="A162" s="17" t="s">
        <v>109</v>
      </c>
      <c r="B162" s="33">
        <v>1984.742</v>
      </c>
      <c r="C162" s="33">
        <v>3164.838</v>
      </c>
      <c r="D162" s="33">
        <v>14.7</v>
      </c>
      <c r="E162" s="29">
        <f t="shared" si="56"/>
        <v>5164.28</v>
      </c>
      <c r="F162" s="51">
        <v>0</v>
      </c>
      <c r="G162" s="32">
        <v>17369.286</v>
      </c>
      <c r="H162" s="34">
        <v>1394.368</v>
      </c>
      <c r="I162" s="33">
        <v>5645.677</v>
      </c>
      <c r="J162" s="32">
        <f t="shared" si="60"/>
        <v>24409.331</v>
      </c>
      <c r="K162" s="32">
        <v>4139.981</v>
      </c>
      <c r="L162" s="32">
        <v>21.548</v>
      </c>
      <c r="M162" s="32">
        <v>355.063</v>
      </c>
      <c r="N162" s="32">
        <f t="shared" si="58"/>
        <v>4516.592</v>
      </c>
      <c r="O162" s="32">
        <v>171.178</v>
      </c>
      <c r="P162" s="23">
        <f t="shared" si="59"/>
        <v>34261.381</v>
      </c>
    </row>
    <row r="163" spans="1:16" ht="15.75" customHeight="1" hidden="1">
      <c r="A163" s="17" t="s">
        <v>111</v>
      </c>
      <c r="B163" s="33">
        <v>3463.701</v>
      </c>
      <c r="C163" s="33">
        <v>5099.903</v>
      </c>
      <c r="D163" s="33">
        <v>119.4</v>
      </c>
      <c r="E163" s="29">
        <f t="shared" si="56"/>
        <v>8683.003999999999</v>
      </c>
      <c r="F163" s="51">
        <v>0</v>
      </c>
      <c r="G163" s="52">
        <v>18006.079</v>
      </c>
      <c r="H163" s="34">
        <v>1613.5389999999998</v>
      </c>
      <c r="I163" s="33">
        <v>4759.073</v>
      </c>
      <c r="J163" s="32">
        <f t="shared" si="60"/>
        <v>24378.691000000003</v>
      </c>
      <c r="K163" s="32">
        <v>4388.647</v>
      </c>
      <c r="L163" s="32">
        <v>23.211</v>
      </c>
      <c r="M163" s="32">
        <v>817.07</v>
      </c>
      <c r="N163" s="32">
        <f t="shared" si="58"/>
        <v>5228.928</v>
      </c>
      <c r="O163" s="32">
        <v>37.19</v>
      </c>
      <c r="P163" s="23">
        <f t="shared" si="59"/>
        <v>38327.813</v>
      </c>
    </row>
    <row r="164" spans="1:16" ht="15.75" customHeight="1" hidden="1">
      <c r="A164" s="17" t="s">
        <v>112</v>
      </c>
      <c r="B164" s="33">
        <v>15440.154</v>
      </c>
      <c r="C164" s="33">
        <v>4571.614</v>
      </c>
      <c r="D164" s="35">
        <v>22</v>
      </c>
      <c r="E164" s="29">
        <f t="shared" si="56"/>
        <v>20033.768</v>
      </c>
      <c r="F164" s="49">
        <v>0</v>
      </c>
      <c r="G164" s="34">
        <v>15551.313</v>
      </c>
      <c r="H164" s="34">
        <v>1451.0610000000001</v>
      </c>
      <c r="I164" s="33">
        <v>4311.805</v>
      </c>
      <c r="J164" s="32">
        <f t="shared" si="60"/>
        <v>21314.179</v>
      </c>
      <c r="K164" s="32">
        <v>4256.145</v>
      </c>
      <c r="L164" s="32">
        <v>27.211</v>
      </c>
      <c r="M164" s="32">
        <v>456.978</v>
      </c>
      <c r="N164" s="32">
        <f t="shared" si="58"/>
        <v>4740.334000000001</v>
      </c>
      <c r="O164" s="32">
        <v>130.899</v>
      </c>
      <c r="P164" s="23">
        <f t="shared" si="59"/>
        <v>46219.18</v>
      </c>
    </row>
    <row r="165" spans="1:16" ht="15.75" customHeight="1" hidden="1">
      <c r="A165" s="17" t="s">
        <v>114</v>
      </c>
      <c r="B165" s="33">
        <v>2387.085</v>
      </c>
      <c r="C165" s="33">
        <v>4405.018</v>
      </c>
      <c r="D165" s="33">
        <v>31.2</v>
      </c>
      <c r="E165" s="29">
        <f t="shared" si="56"/>
        <v>6823.303</v>
      </c>
      <c r="F165" s="49">
        <v>0</v>
      </c>
      <c r="G165" s="34">
        <v>15193.466</v>
      </c>
      <c r="H165" s="34">
        <v>1741.164</v>
      </c>
      <c r="I165" s="33">
        <v>3292.212</v>
      </c>
      <c r="J165" s="32">
        <f t="shared" si="60"/>
        <v>20226.842</v>
      </c>
      <c r="K165" s="32">
        <v>4297.062</v>
      </c>
      <c r="L165" s="32">
        <v>12.658</v>
      </c>
      <c r="M165" s="32">
        <v>384.773</v>
      </c>
      <c r="N165" s="32">
        <f t="shared" si="58"/>
        <v>4694.493</v>
      </c>
      <c r="O165" s="32">
        <v>127.077</v>
      </c>
      <c r="P165" s="23">
        <f t="shared" si="59"/>
        <v>31871.715</v>
      </c>
    </row>
    <row r="166" spans="1:16" ht="15.75" customHeight="1" hidden="1">
      <c r="A166" s="17" t="s">
        <v>128</v>
      </c>
      <c r="B166" s="33">
        <v>2818.9</v>
      </c>
      <c r="C166" s="33">
        <v>4727.2</v>
      </c>
      <c r="D166" s="33">
        <v>21.2</v>
      </c>
      <c r="E166" s="29">
        <f t="shared" si="56"/>
        <v>7567.3</v>
      </c>
      <c r="F166" s="49">
        <v>0</v>
      </c>
      <c r="G166" s="34">
        <v>17482.7</v>
      </c>
      <c r="H166" s="34">
        <v>925.9</v>
      </c>
      <c r="I166" s="33">
        <v>3734.8</v>
      </c>
      <c r="J166" s="32">
        <f t="shared" si="60"/>
        <v>22143.4</v>
      </c>
      <c r="K166" s="32">
        <v>4800.6</v>
      </c>
      <c r="L166" s="32">
        <v>28</v>
      </c>
      <c r="M166" s="32">
        <v>387.3</v>
      </c>
      <c r="N166" s="32">
        <f t="shared" si="58"/>
        <v>5215.900000000001</v>
      </c>
      <c r="O166" s="32">
        <v>129.7</v>
      </c>
      <c r="P166" s="23">
        <f t="shared" si="59"/>
        <v>35056.3</v>
      </c>
    </row>
    <row r="167" spans="1:16" ht="15.75" customHeight="1">
      <c r="A167" s="17"/>
      <c r="B167" s="33"/>
      <c r="C167" s="33"/>
      <c r="D167" s="33"/>
      <c r="E167" s="29"/>
      <c r="F167" s="49"/>
      <c r="G167" s="34"/>
      <c r="H167" s="34"/>
      <c r="I167" s="33"/>
      <c r="J167" s="32"/>
      <c r="K167" s="32"/>
      <c r="L167" s="32"/>
      <c r="M167" s="32"/>
      <c r="N167" s="32"/>
      <c r="O167" s="32"/>
      <c r="P167" s="23"/>
    </row>
    <row r="168" spans="1:16" ht="15.75" customHeight="1">
      <c r="A168" s="17" t="s">
        <v>121</v>
      </c>
      <c r="B168" s="33">
        <f aca="true" t="shared" si="61" ref="B168:P168">SUM(B213:B216)</f>
        <v>8833.723152</v>
      </c>
      <c r="C168" s="33">
        <f t="shared" si="61"/>
        <v>17943.288231</v>
      </c>
      <c r="D168" s="33">
        <f t="shared" si="61"/>
        <v>298.7201</v>
      </c>
      <c r="E168" s="33">
        <f t="shared" si="61"/>
        <v>27075.731483000003</v>
      </c>
      <c r="F168" s="60">
        <f t="shared" si="61"/>
        <v>0</v>
      </c>
      <c r="G168" s="33">
        <f t="shared" si="61"/>
        <v>53751.449166</v>
      </c>
      <c r="H168" s="33">
        <f t="shared" si="61"/>
        <v>3534.3317930000003</v>
      </c>
      <c r="I168" s="33">
        <f t="shared" si="61"/>
        <v>21734.328226</v>
      </c>
      <c r="J168" s="33">
        <f t="shared" si="61"/>
        <v>79020.10918500001</v>
      </c>
      <c r="K168" s="33">
        <f t="shared" si="61"/>
        <v>10578.58038</v>
      </c>
      <c r="L168" s="33">
        <f t="shared" si="61"/>
        <v>52.239222999999996</v>
      </c>
      <c r="M168" s="33">
        <f t="shared" si="61"/>
        <v>1693.131717</v>
      </c>
      <c r="N168" s="33">
        <f t="shared" si="61"/>
        <v>12323.95132</v>
      </c>
      <c r="O168" s="33">
        <f t="shared" si="61"/>
        <v>7473.252331000001</v>
      </c>
      <c r="P168" s="33">
        <f t="shared" si="61"/>
        <v>125893.04431900001</v>
      </c>
    </row>
    <row r="169" spans="1:16" ht="15.75" customHeight="1">
      <c r="A169" s="17" t="s">
        <v>126</v>
      </c>
      <c r="B169" s="33">
        <f aca="true" t="shared" si="62" ref="B169:G169">SUM(B217:B219)</f>
        <v>18948.183860999998</v>
      </c>
      <c r="C169" s="33">
        <f t="shared" si="62"/>
        <v>12979.476999999999</v>
      </c>
      <c r="D169" s="33">
        <f t="shared" si="62"/>
        <v>99.53</v>
      </c>
      <c r="E169" s="33">
        <f t="shared" si="62"/>
        <v>32027.190861</v>
      </c>
      <c r="F169" s="60">
        <f>SUM(F215:F217)</f>
        <v>0</v>
      </c>
      <c r="G169" s="33">
        <f t="shared" si="62"/>
        <v>57777.299999999996</v>
      </c>
      <c r="H169" s="33">
        <f>SUM(H217:H219)</f>
        <v>3646</v>
      </c>
      <c r="I169" s="33">
        <f aca="true" t="shared" si="63" ref="I169:P169">SUM(I217:I219)</f>
        <v>21659.199999999997</v>
      </c>
      <c r="J169" s="33">
        <f t="shared" si="63"/>
        <v>83082.5</v>
      </c>
      <c r="K169" s="33">
        <f t="shared" si="63"/>
        <v>9482.7</v>
      </c>
      <c r="L169" s="33">
        <f t="shared" si="63"/>
        <v>56.300000000000004</v>
      </c>
      <c r="M169" s="33">
        <f t="shared" si="63"/>
        <v>1465.6</v>
      </c>
      <c r="N169" s="33">
        <f t="shared" si="63"/>
        <v>11004.6</v>
      </c>
      <c r="O169" s="33">
        <f t="shared" si="63"/>
        <v>7025.3200000000015</v>
      </c>
      <c r="P169" s="33">
        <f t="shared" si="63"/>
        <v>133139.610861</v>
      </c>
    </row>
    <row r="170" spans="1:16" ht="15.75" customHeight="1">
      <c r="A170" s="17" t="s">
        <v>110</v>
      </c>
      <c r="B170" s="33">
        <f>SUM(B220:B222)</f>
        <v>21218.7</v>
      </c>
      <c r="C170" s="33">
        <f aca="true" t="shared" si="64" ref="C170:P170">SUM(C220:C222)</f>
        <v>11921.59</v>
      </c>
      <c r="D170" s="33">
        <f t="shared" si="64"/>
        <v>100.79</v>
      </c>
      <c r="E170" s="33">
        <f t="shared" si="64"/>
        <v>33241.08</v>
      </c>
      <c r="F170" s="60">
        <f>SUM(F216:F218)</f>
        <v>0</v>
      </c>
      <c r="G170" s="33">
        <f t="shared" si="64"/>
        <v>65468.05</v>
      </c>
      <c r="H170" s="33">
        <f t="shared" si="64"/>
        <v>3756.25</v>
      </c>
      <c r="I170" s="33">
        <f t="shared" si="64"/>
        <v>27216.699999999997</v>
      </c>
      <c r="J170" s="33">
        <f t="shared" si="64"/>
        <v>96441</v>
      </c>
      <c r="K170" s="33">
        <f t="shared" si="64"/>
        <v>11894.5</v>
      </c>
      <c r="L170" s="33">
        <f t="shared" si="64"/>
        <v>282.85</v>
      </c>
      <c r="M170" s="33">
        <f t="shared" si="64"/>
        <v>4405.24</v>
      </c>
      <c r="N170" s="33">
        <f t="shared" si="64"/>
        <v>16582.59</v>
      </c>
      <c r="O170" s="33">
        <f t="shared" si="64"/>
        <v>6580.59</v>
      </c>
      <c r="P170" s="33">
        <f t="shared" si="64"/>
        <v>152845.26</v>
      </c>
    </row>
    <row r="171" spans="1:16" ht="15.75" customHeight="1">
      <c r="A171" s="17" t="s">
        <v>116</v>
      </c>
      <c r="B171" s="33">
        <f>SUM(B223:B225)</f>
        <v>24099.082773000002</v>
      </c>
      <c r="C171" s="33">
        <f aca="true" t="shared" si="65" ref="C171:P171">SUM(C223:C225)</f>
        <v>21286.889928</v>
      </c>
      <c r="D171" s="33">
        <f t="shared" si="65"/>
        <v>153.561035</v>
      </c>
      <c r="E171" s="33">
        <f t="shared" si="65"/>
        <v>45539.533736</v>
      </c>
      <c r="F171" s="60">
        <f>SUM(F217:F219)</f>
        <v>0</v>
      </c>
      <c r="G171" s="33">
        <f t="shared" si="65"/>
        <v>63208.89391299999</v>
      </c>
      <c r="H171" s="33">
        <f t="shared" si="65"/>
        <v>6709.246058</v>
      </c>
      <c r="I171" s="33">
        <f t="shared" si="65"/>
        <v>21780.720162999998</v>
      </c>
      <c r="J171" s="33">
        <f t="shared" si="65"/>
        <v>91698.860134</v>
      </c>
      <c r="K171" s="33">
        <f t="shared" si="65"/>
        <v>13226.523364</v>
      </c>
      <c r="L171" s="33">
        <f t="shared" si="65"/>
        <v>279.872237</v>
      </c>
      <c r="M171" s="33">
        <f t="shared" si="65"/>
        <v>1796.1206</v>
      </c>
      <c r="N171" s="33">
        <f t="shared" si="65"/>
        <v>15302.516201000002</v>
      </c>
      <c r="O171" s="33">
        <f t="shared" si="65"/>
        <v>7788.410505</v>
      </c>
      <c r="P171" s="33">
        <f t="shared" si="65"/>
        <v>160329.32057600003</v>
      </c>
    </row>
    <row r="172" spans="1:16" ht="15.75" customHeight="1">
      <c r="A172" s="17"/>
      <c r="B172" s="33"/>
      <c r="C172" s="33"/>
      <c r="D172" s="33"/>
      <c r="E172" s="32"/>
      <c r="F172" s="61"/>
      <c r="G172" s="34"/>
      <c r="H172" s="34"/>
      <c r="I172" s="33"/>
      <c r="J172" s="32"/>
      <c r="K172" s="32"/>
      <c r="L172" s="32"/>
      <c r="M172" s="32"/>
      <c r="N172" s="32"/>
      <c r="O172" s="32"/>
      <c r="P172" s="33"/>
    </row>
    <row r="173" spans="1:16" ht="15.75" customHeight="1">
      <c r="A173" s="17" t="s">
        <v>144</v>
      </c>
      <c r="B173" s="33">
        <f>SUM(B227:B229)</f>
        <v>20898.636067</v>
      </c>
      <c r="C173" s="33">
        <f aca="true" t="shared" si="66" ref="C173:P173">SUM(C227:C229)</f>
        <v>15224.149056999999</v>
      </c>
      <c r="D173" s="33">
        <f t="shared" si="66"/>
        <v>126.45147</v>
      </c>
      <c r="E173" s="33">
        <f t="shared" si="66"/>
        <v>36249.236594</v>
      </c>
      <c r="F173" s="33">
        <f t="shared" si="66"/>
        <v>0</v>
      </c>
      <c r="G173" s="33">
        <f t="shared" si="66"/>
        <v>61618.390844</v>
      </c>
      <c r="H173" s="33">
        <f t="shared" si="66"/>
        <v>8285.801297</v>
      </c>
      <c r="I173" s="33">
        <f t="shared" si="66"/>
        <v>22291.547769999997</v>
      </c>
      <c r="J173" s="33">
        <f t="shared" si="66"/>
        <v>92195.739911</v>
      </c>
      <c r="K173" s="33">
        <f t="shared" si="66"/>
        <v>13327.556196000001</v>
      </c>
      <c r="L173" s="33">
        <f t="shared" si="66"/>
        <v>75.12311799999999</v>
      </c>
      <c r="M173" s="33">
        <f t="shared" si="66"/>
        <v>1763.7347579999998</v>
      </c>
      <c r="N173" s="33">
        <f t="shared" si="66"/>
        <v>15166.414072</v>
      </c>
      <c r="O173" s="33">
        <f t="shared" si="66"/>
        <v>11590.206097</v>
      </c>
      <c r="P173" s="33">
        <f t="shared" si="66"/>
        <v>155201.59667399997</v>
      </c>
    </row>
    <row r="174" spans="1:16" ht="15.75" customHeight="1">
      <c r="A174" s="17" t="s">
        <v>126</v>
      </c>
      <c r="B174" s="33">
        <f aca="true" t="shared" si="67" ref="B174:G174">SUM(B230:B232)</f>
        <v>17771.528662</v>
      </c>
      <c r="C174" s="33">
        <f t="shared" si="67"/>
        <v>13870.112426</v>
      </c>
      <c r="D174" s="33">
        <f t="shared" si="67"/>
        <v>90.599293</v>
      </c>
      <c r="E174" s="33">
        <f t="shared" si="67"/>
        <v>31732.240381</v>
      </c>
      <c r="F174" s="33">
        <f t="shared" si="67"/>
        <v>0</v>
      </c>
      <c r="G174" s="33">
        <f t="shared" si="67"/>
        <v>40821.438049000004</v>
      </c>
      <c r="H174" s="33">
        <f>SUM(H230:H232)</f>
        <v>5265.31876</v>
      </c>
      <c r="I174" s="33">
        <f aca="true" t="shared" si="68" ref="I174:P174">SUM(I230:I232)</f>
        <v>19686.075654</v>
      </c>
      <c r="J174" s="33">
        <f t="shared" si="68"/>
        <v>65772.832463</v>
      </c>
      <c r="K174" s="33">
        <f t="shared" si="68"/>
        <v>8976.294257</v>
      </c>
      <c r="L174" s="33">
        <f t="shared" si="68"/>
        <v>41.078642</v>
      </c>
      <c r="M174" s="33">
        <f t="shared" si="68"/>
        <v>1224.409921</v>
      </c>
      <c r="N174" s="33">
        <f t="shared" si="68"/>
        <v>10241.78282</v>
      </c>
      <c r="O174" s="33">
        <f t="shared" si="68"/>
        <v>5475.4061</v>
      </c>
      <c r="P174" s="33">
        <f t="shared" si="68"/>
        <v>113222.26176400001</v>
      </c>
    </row>
    <row r="175" spans="1:16" ht="15.75" customHeight="1">
      <c r="A175" s="17" t="s">
        <v>149</v>
      </c>
      <c r="B175" s="33">
        <f>SUM(B233:B235)</f>
        <v>16631.431038</v>
      </c>
      <c r="C175" s="33">
        <f aca="true" t="shared" si="69" ref="C175:P175">SUM(C233:C235)</f>
        <v>14039.664241</v>
      </c>
      <c r="D175" s="33">
        <f t="shared" si="69"/>
        <v>115.721473</v>
      </c>
      <c r="E175" s="33">
        <f t="shared" si="69"/>
        <v>30786.816752</v>
      </c>
      <c r="F175" s="33">
        <f t="shared" si="69"/>
        <v>0</v>
      </c>
      <c r="G175" s="33">
        <f t="shared" si="69"/>
        <v>49523.895810999995</v>
      </c>
      <c r="H175" s="33">
        <f t="shared" si="69"/>
        <v>9525.478985</v>
      </c>
      <c r="I175" s="33">
        <f t="shared" si="69"/>
        <v>23283.250926</v>
      </c>
      <c r="J175" s="33">
        <f t="shared" si="69"/>
        <v>82332.625722</v>
      </c>
      <c r="K175" s="33">
        <f t="shared" si="69"/>
        <v>9939.931679000001</v>
      </c>
      <c r="L175" s="33">
        <f t="shared" si="69"/>
        <v>3.868134</v>
      </c>
      <c r="M175" s="33">
        <f t="shared" si="69"/>
        <v>1469.436737096</v>
      </c>
      <c r="N175" s="33">
        <f t="shared" si="69"/>
        <v>11413.236550096</v>
      </c>
      <c r="O175" s="33">
        <f t="shared" si="69"/>
        <v>9556.761156</v>
      </c>
      <c r="P175" s="33">
        <f t="shared" si="69"/>
        <v>134089.440180096</v>
      </c>
    </row>
    <row r="176" spans="1:16" ht="15.75" customHeight="1">
      <c r="A176" s="17" t="s">
        <v>157</v>
      </c>
      <c r="B176" s="33"/>
      <c r="C176" s="33"/>
      <c r="D176" s="33"/>
      <c r="E176" s="32"/>
      <c r="F176" s="52"/>
      <c r="G176" s="33">
        <f>SUM(G236:G238)</f>
        <v>56116.676032999996</v>
      </c>
      <c r="H176" s="33">
        <f>SUM(H236:H238)</f>
        <v>6596.800909</v>
      </c>
      <c r="I176" s="33">
        <f aca="true" t="shared" si="70" ref="I176:P176">SUM(I236:I238)</f>
        <v>19451.274369</v>
      </c>
      <c r="J176" s="33">
        <f t="shared" si="70"/>
        <v>82164.751311</v>
      </c>
      <c r="K176" s="33">
        <f t="shared" si="70"/>
        <v>13427.561668</v>
      </c>
      <c r="L176" s="53">
        <v>0</v>
      </c>
      <c r="M176" s="33">
        <f t="shared" si="70"/>
        <v>2717.341666</v>
      </c>
      <c r="N176" s="33">
        <f t="shared" si="70"/>
        <v>16144.903333999999</v>
      </c>
      <c r="O176" s="33">
        <f t="shared" si="70"/>
        <v>9574.296838</v>
      </c>
      <c r="P176" s="33">
        <f t="shared" si="70"/>
        <v>141152.867421</v>
      </c>
    </row>
    <row r="177" spans="1:16" ht="15.75" customHeight="1">
      <c r="A177" s="17"/>
      <c r="B177" s="33"/>
      <c r="C177" s="33"/>
      <c r="D177" s="33"/>
      <c r="E177" s="32"/>
      <c r="F177" s="52"/>
      <c r="G177" s="34"/>
      <c r="H177" s="34"/>
      <c r="I177" s="33"/>
      <c r="J177" s="32"/>
      <c r="K177" s="32"/>
      <c r="L177" s="64"/>
      <c r="M177" s="32"/>
      <c r="N177" s="32"/>
      <c r="O177" s="32"/>
      <c r="P177" s="33"/>
    </row>
    <row r="178" spans="1:16" ht="15.75" customHeight="1">
      <c r="A178" s="17" t="s">
        <v>161</v>
      </c>
      <c r="B178" s="33">
        <f>SUM(B240:B242)</f>
        <v>18432.911018</v>
      </c>
      <c r="C178" s="33">
        <f aca="true" t="shared" si="71" ref="C178:P178">SUM(C240:C242)</f>
        <v>15912.526221</v>
      </c>
      <c r="D178" s="33">
        <f t="shared" si="71"/>
        <v>113.042505</v>
      </c>
      <c r="E178" s="33">
        <f t="shared" si="71"/>
        <v>34458.479744</v>
      </c>
      <c r="F178" s="33">
        <f t="shared" si="71"/>
        <v>0</v>
      </c>
      <c r="G178" s="33">
        <f t="shared" si="71"/>
        <v>52316.605193</v>
      </c>
      <c r="H178" s="33">
        <f t="shared" si="71"/>
        <v>7797.3559829999995</v>
      </c>
      <c r="I178" s="33">
        <f t="shared" si="71"/>
        <v>18941.777991000003</v>
      </c>
      <c r="J178" s="33">
        <f t="shared" si="71"/>
        <v>79055.739167</v>
      </c>
      <c r="K178" s="33">
        <f t="shared" si="71"/>
        <v>13640.696189999999</v>
      </c>
      <c r="L178" s="33">
        <f t="shared" si="71"/>
        <v>15.353445</v>
      </c>
      <c r="M178" s="33">
        <f t="shared" si="71"/>
        <v>1867.0144841904</v>
      </c>
      <c r="N178" s="33">
        <f t="shared" si="71"/>
        <v>15523.0641191904</v>
      </c>
      <c r="O178" s="33">
        <f t="shared" si="71"/>
        <v>9558.828843000005</v>
      </c>
      <c r="P178" s="33">
        <f t="shared" si="71"/>
        <v>138596.1118731904</v>
      </c>
    </row>
    <row r="179" spans="1:16" ht="15.75" customHeight="1">
      <c r="A179" s="17" t="s">
        <v>126</v>
      </c>
      <c r="B179" s="33">
        <f>SUM(B243:B245)</f>
        <v>18641.890766</v>
      </c>
      <c r="C179" s="33">
        <f aca="true" t="shared" si="72" ref="C179:P179">SUM(C243:C245)</f>
        <v>13389.023161000001</v>
      </c>
      <c r="D179" s="33">
        <f t="shared" si="72"/>
        <v>132.837114</v>
      </c>
      <c r="E179" s="33">
        <f t="shared" si="72"/>
        <v>32163.751040999996</v>
      </c>
      <c r="F179" s="33">
        <f t="shared" si="72"/>
        <v>0</v>
      </c>
      <c r="G179" s="33">
        <f t="shared" si="72"/>
        <v>53755.246788000004</v>
      </c>
      <c r="H179" s="33">
        <f t="shared" si="72"/>
        <v>8615.640604</v>
      </c>
      <c r="I179" s="33">
        <f t="shared" si="72"/>
        <v>19586.483737</v>
      </c>
      <c r="J179" s="33">
        <f t="shared" si="72"/>
        <v>81957.371129</v>
      </c>
      <c r="K179" s="33">
        <f t="shared" si="72"/>
        <v>14428.385565999999</v>
      </c>
      <c r="L179" s="33">
        <f t="shared" si="72"/>
        <v>60.836554</v>
      </c>
      <c r="M179" s="33">
        <f t="shared" si="72"/>
        <v>1756.703178203936</v>
      </c>
      <c r="N179" s="33">
        <f t="shared" si="72"/>
        <v>16245.925298203936</v>
      </c>
      <c r="O179" s="33">
        <f t="shared" si="72"/>
        <v>11845.541583972066</v>
      </c>
      <c r="P179" s="33">
        <f t="shared" si="72"/>
        <v>142212.589052176</v>
      </c>
    </row>
    <row r="180" spans="1:16" ht="15.75" customHeight="1">
      <c r="A180" s="17" t="s">
        <v>149</v>
      </c>
      <c r="B180" s="33">
        <f>SUM(B246:B248)</f>
        <v>19340.989247999998</v>
      </c>
      <c r="C180" s="33">
        <f aca="true" t="shared" si="73" ref="C180:P180">SUM(C246:C248)</f>
        <v>12756.320627000001</v>
      </c>
      <c r="D180" s="33">
        <f t="shared" si="73"/>
        <v>98.91390899999999</v>
      </c>
      <c r="E180" s="33">
        <f t="shared" si="73"/>
        <v>32196.223784000005</v>
      </c>
      <c r="F180" s="33">
        <f t="shared" si="73"/>
        <v>0</v>
      </c>
      <c r="G180" s="33">
        <f t="shared" si="73"/>
        <v>59807.586239</v>
      </c>
      <c r="H180" s="33">
        <f t="shared" si="73"/>
        <v>8075.511914000001</v>
      </c>
      <c r="I180" s="33">
        <f t="shared" si="73"/>
        <v>25614.893600000003</v>
      </c>
      <c r="J180" s="33">
        <f t="shared" si="73"/>
        <v>93497.991753</v>
      </c>
      <c r="K180" s="33">
        <f t="shared" si="73"/>
        <v>14751.374566999999</v>
      </c>
      <c r="L180" s="33">
        <f t="shared" si="73"/>
        <v>99.34235000000001</v>
      </c>
      <c r="M180" s="33">
        <f t="shared" si="73"/>
        <v>1914.6032570000002</v>
      </c>
      <c r="N180" s="33">
        <f t="shared" si="73"/>
        <v>16765.320174</v>
      </c>
      <c r="O180" s="33">
        <f t="shared" si="73"/>
        <v>11394.814077000003</v>
      </c>
      <c r="P180" s="33">
        <f t="shared" si="73"/>
        <v>153854.349788</v>
      </c>
    </row>
    <row r="181" spans="1:17" ht="15.75" customHeight="1">
      <c r="A181" s="17" t="s">
        <v>157</v>
      </c>
      <c r="B181" s="33">
        <f>SUM(B249:B251)</f>
        <v>19292.719548</v>
      </c>
      <c r="C181" s="33">
        <f>SUM(C249:C251)</f>
        <v>14275.730034</v>
      </c>
      <c r="D181" s="33">
        <f>SUM(D249:D251)</f>
        <v>88.08328900000001</v>
      </c>
      <c r="E181" s="33">
        <f>SUM(E249:E251)</f>
        <v>33656.532871</v>
      </c>
      <c r="F181" s="33">
        <f>SUM(F249:F251)</f>
        <v>0</v>
      </c>
      <c r="G181" s="33">
        <f aca="true" t="shared" si="74" ref="G181:P181">SUM(G249:G251)</f>
        <v>55892.29262099999</v>
      </c>
      <c r="H181" s="33">
        <f t="shared" si="74"/>
        <v>9312.612928999999</v>
      </c>
      <c r="I181" s="33">
        <f t="shared" si="74"/>
        <v>20528.306074</v>
      </c>
      <c r="J181" s="33">
        <f t="shared" si="74"/>
        <v>85733.21162399999</v>
      </c>
      <c r="K181" s="33">
        <f t="shared" si="74"/>
        <v>16291.193496</v>
      </c>
      <c r="L181" s="33">
        <f t="shared" si="74"/>
        <v>250.253258</v>
      </c>
      <c r="M181" s="33">
        <f t="shared" si="74"/>
        <v>2102.9042099052804</v>
      </c>
      <c r="N181" s="33">
        <f t="shared" si="74"/>
        <v>18644.35096390528</v>
      </c>
      <c r="O181" s="33">
        <f t="shared" si="74"/>
        <v>11910.425291633728</v>
      </c>
      <c r="P181" s="34">
        <f t="shared" si="74"/>
        <v>149944.520750539</v>
      </c>
      <c r="Q181" s="6"/>
    </row>
    <row r="182" spans="1:17" ht="15.75" customHeight="1">
      <c r="A182" s="17"/>
      <c r="B182" s="33"/>
      <c r="C182" s="33"/>
      <c r="D182" s="52"/>
      <c r="E182" s="33"/>
      <c r="F182" s="52"/>
      <c r="G182" s="52"/>
      <c r="H182" s="33"/>
      <c r="I182" s="52"/>
      <c r="J182" s="33"/>
      <c r="K182" s="52"/>
      <c r="L182" s="33"/>
      <c r="M182" s="52"/>
      <c r="N182" s="33"/>
      <c r="O182" s="52"/>
      <c r="P182" s="34"/>
      <c r="Q182" s="6"/>
    </row>
    <row r="183" spans="1:17" ht="15.75" customHeight="1">
      <c r="A183" s="17" t="s">
        <v>181</v>
      </c>
      <c r="B183" s="33">
        <f aca="true" t="shared" si="75" ref="B183:G183">SUM(B253:B255)</f>
        <v>25473.606388</v>
      </c>
      <c r="C183" s="33">
        <f t="shared" si="75"/>
        <v>19547.395063</v>
      </c>
      <c r="D183" s="33">
        <f t="shared" si="75"/>
        <v>52.028108</v>
      </c>
      <c r="E183" s="33">
        <f t="shared" si="75"/>
        <v>45073.029559</v>
      </c>
      <c r="F183" s="33">
        <f t="shared" si="75"/>
        <v>0</v>
      </c>
      <c r="G183" s="33">
        <f t="shared" si="75"/>
        <v>60726.991287</v>
      </c>
      <c r="H183" s="33">
        <f>SUM(H253:H255)</f>
        <v>10081.915860000001</v>
      </c>
      <c r="I183" s="33">
        <f aca="true" t="shared" si="76" ref="I183:P183">SUM(I253:I255)</f>
        <v>23648.386531</v>
      </c>
      <c r="J183" s="33">
        <f t="shared" si="76"/>
        <v>94457.293678</v>
      </c>
      <c r="K183" s="33">
        <f t="shared" si="76"/>
        <v>15313.763288</v>
      </c>
      <c r="L183" s="33">
        <f t="shared" si="76"/>
        <v>101.69252499999999</v>
      </c>
      <c r="M183" s="33">
        <f t="shared" si="76"/>
        <v>2153.084427</v>
      </c>
      <c r="N183" s="33">
        <f t="shared" si="76"/>
        <v>17568.540240000002</v>
      </c>
      <c r="O183" s="33">
        <f t="shared" si="76"/>
        <v>10280.307377999998</v>
      </c>
      <c r="P183" s="34">
        <f t="shared" si="76"/>
        <v>167379.17085499997</v>
      </c>
      <c r="Q183" s="6"/>
    </row>
    <row r="184" spans="1:18" ht="15.75">
      <c r="A184" s="17"/>
      <c r="B184" s="17"/>
      <c r="C184" s="17"/>
      <c r="E184" s="17"/>
      <c r="H184" s="17"/>
      <c r="J184" s="17"/>
      <c r="L184" s="17"/>
      <c r="N184" s="17"/>
      <c r="P184" s="6"/>
      <c r="Q184" s="6"/>
      <c r="R184" s="7"/>
    </row>
    <row r="185" spans="1:16" ht="15.75" customHeight="1" hidden="1">
      <c r="A185" s="17" t="s">
        <v>115</v>
      </c>
      <c r="B185" s="33">
        <v>2818.948</v>
      </c>
      <c r="C185" s="33">
        <v>4727.229</v>
      </c>
      <c r="D185" s="33">
        <v>21.2</v>
      </c>
      <c r="E185" s="29">
        <f>+B185+C185+D185</f>
        <v>7567.3769999999995</v>
      </c>
      <c r="F185" s="49">
        <v>0</v>
      </c>
      <c r="G185" s="34">
        <v>17482.719</v>
      </c>
      <c r="H185" s="34">
        <v>925.9169999999999</v>
      </c>
      <c r="I185" s="33">
        <v>3734.759</v>
      </c>
      <c r="J185" s="32">
        <f>+G185+H185+I185</f>
        <v>22143.395000000004</v>
      </c>
      <c r="K185" s="32">
        <v>4800.63</v>
      </c>
      <c r="L185" s="32">
        <v>28.043</v>
      </c>
      <c r="M185" s="32">
        <v>387.26</v>
      </c>
      <c r="N185" s="32">
        <f>+K185+L185+M185</f>
        <v>5215.933</v>
      </c>
      <c r="O185" s="32">
        <v>129.672</v>
      </c>
      <c r="P185" s="23">
        <f>+O185+N185+J185+E185+F185</f>
        <v>35056.377</v>
      </c>
    </row>
    <row r="186" spans="1:16" ht="15.75" customHeight="1" hidden="1">
      <c r="A186" s="17" t="s">
        <v>73</v>
      </c>
      <c r="B186" s="33">
        <v>16619.205</v>
      </c>
      <c r="C186" s="33">
        <v>7175.262</v>
      </c>
      <c r="D186" s="33">
        <v>29.298</v>
      </c>
      <c r="E186" s="29">
        <f aca="true" t="shared" si="77" ref="E186:E251">+B186+C186+D186</f>
        <v>23823.765</v>
      </c>
      <c r="F186" s="49">
        <v>0</v>
      </c>
      <c r="G186" s="34">
        <v>17081.664</v>
      </c>
      <c r="H186" s="34">
        <v>1008.53</v>
      </c>
      <c r="I186" s="33">
        <v>4549.7196</v>
      </c>
      <c r="J186" s="32">
        <f aca="true" t="shared" si="78" ref="J186:J195">+G186+H186+I186</f>
        <v>22639.9136</v>
      </c>
      <c r="K186" s="32">
        <v>3957.932</v>
      </c>
      <c r="L186" s="32">
        <v>39.974</v>
      </c>
      <c r="M186" s="32">
        <v>478.424</v>
      </c>
      <c r="N186" s="32">
        <f t="shared" si="58"/>
        <v>4476.33</v>
      </c>
      <c r="O186" s="32">
        <v>299.284</v>
      </c>
      <c r="P186" s="23">
        <f aca="true" t="shared" si="79" ref="P186:P193">+O186+N186+J186+E186+F186</f>
        <v>51239.2926</v>
      </c>
    </row>
    <row r="187" spans="1:16" ht="15.75" customHeight="1" hidden="1">
      <c r="A187" s="17" t="s">
        <v>119</v>
      </c>
      <c r="B187" s="33">
        <v>2112.072</v>
      </c>
      <c r="C187" s="33">
        <v>5373.968</v>
      </c>
      <c r="D187" s="33">
        <v>19.068</v>
      </c>
      <c r="E187" s="29">
        <f t="shared" si="77"/>
        <v>7505.108</v>
      </c>
      <c r="F187" s="49">
        <v>0</v>
      </c>
      <c r="G187" s="34">
        <v>16321.916</v>
      </c>
      <c r="H187" s="34">
        <v>1121.1689999999999</v>
      </c>
      <c r="I187" s="33">
        <v>4186.827</v>
      </c>
      <c r="J187" s="32">
        <f t="shared" si="78"/>
        <v>21629.912</v>
      </c>
      <c r="K187" s="32">
        <v>3761.252</v>
      </c>
      <c r="L187" s="53">
        <v>0</v>
      </c>
      <c r="M187" s="32">
        <v>442.652</v>
      </c>
      <c r="N187" s="32">
        <f t="shared" si="58"/>
        <v>4203.9039999999995</v>
      </c>
      <c r="O187" s="32">
        <v>743.389</v>
      </c>
      <c r="P187" s="23">
        <f t="shared" si="79"/>
        <v>34082.313</v>
      </c>
    </row>
    <row r="188" spans="1:16" ht="15.75" customHeight="1" hidden="1">
      <c r="A188" s="17" t="s">
        <v>120</v>
      </c>
      <c r="B188" s="33">
        <v>22308.353</v>
      </c>
      <c r="C188" s="33">
        <v>5910.321</v>
      </c>
      <c r="D188" s="33">
        <v>13.684</v>
      </c>
      <c r="E188" s="29">
        <f t="shared" si="77"/>
        <v>28232.358</v>
      </c>
      <c r="F188" s="49">
        <v>0</v>
      </c>
      <c r="G188" s="34">
        <v>14459.909</v>
      </c>
      <c r="H188" s="34">
        <v>935.502</v>
      </c>
      <c r="I188" s="33">
        <v>3688.7709999999997</v>
      </c>
      <c r="J188" s="32">
        <f t="shared" si="78"/>
        <v>19084.182</v>
      </c>
      <c r="K188" s="32">
        <v>3559.807</v>
      </c>
      <c r="L188" s="53">
        <v>0</v>
      </c>
      <c r="M188" s="32">
        <v>434.439</v>
      </c>
      <c r="N188" s="32">
        <f t="shared" si="58"/>
        <v>3994.2459999999996</v>
      </c>
      <c r="O188" s="7">
        <v>841.983</v>
      </c>
      <c r="P188" s="23">
        <f t="shared" si="79"/>
        <v>52152.769</v>
      </c>
    </row>
    <row r="189" spans="1:16" ht="15.75" customHeight="1" hidden="1">
      <c r="A189" s="17" t="s">
        <v>122</v>
      </c>
      <c r="B189" s="33">
        <v>3729.722</v>
      </c>
      <c r="C189" s="33">
        <v>6122.902</v>
      </c>
      <c r="D189" s="33">
        <v>25.506</v>
      </c>
      <c r="E189" s="29">
        <f t="shared" si="77"/>
        <v>9878.13</v>
      </c>
      <c r="F189" s="49">
        <v>0</v>
      </c>
      <c r="G189" s="34">
        <v>16658.275</v>
      </c>
      <c r="H189" s="34">
        <v>401.932</v>
      </c>
      <c r="I189" s="33">
        <v>4155.509</v>
      </c>
      <c r="J189" s="32">
        <f t="shared" si="78"/>
        <v>21215.716</v>
      </c>
      <c r="K189" s="32">
        <v>3412.005</v>
      </c>
      <c r="L189" s="32">
        <v>5.567</v>
      </c>
      <c r="M189" s="32">
        <v>379.09</v>
      </c>
      <c r="N189" s="32">
        <f t="shared" si="58"/>
        <v>3796.6620000000003</v>
      </c>
      <c r="O189" s="7">
        <v>434.027</v>
      </c>
      <c r="P189" s="23">
        <f t="shared" si="79"/>
        <v>35324.534999999996</v>
      </c>
    </row>
    <row r="190" spans="1:16" ht="15.75" customHeight="1" hidden="1">
      <c r="A190" s="17" t="s">
        <v>123</v>
      </c>
      <c r="B190" s="33">
        <v>4124.326</v>
      </c>
      <c r="C190" s="33">
        <v>5938.896</v>
      </c>
      <c r="D190" s="33">
        <v>22.656</v>
      </c>
      <c r="E190" s="29">
        <f t="shared" si="77"/>
        <v>10085.878</v>
      </c>
      <c r="F190" s="49">
        <v>0</v>
      </c>
      <c r="G190" s="34">
        <v>14859.979404000002</v>
      </c>
      <c r="H190" s="57">
        <v>454.061543</v>
      </c>
      <c r="I190" s="33">
        <v>4896.880322999999</v>
      </c>
      <c r="J190" s="32">
        <f t="shared" si="78"/>
        <v>20210.92127</v>
      </c>
      <c r="K190" s="32">
        <v>3436.666788</v>
      </c>
      <c r="L190" s="32">
        <v>0.781</v>
      </c>
      <c r="M190" s="32">
        <v>417.067366</v>
      </c>
      <c r="N190" s="32">
        <f t="shared" si="58"/>
        <v>3854.5151539999997</v>
      </c>
      <c r="O190" s="7">
        <v>419.824576</v>
      </c>
      <c r="P190" s="23">
        <f t="shared" si="79"/>
        <v>34571.138999999996</v>
      </c>
    </row>
    <row r="191" spans="1:16" ht="15.75" customHeight="1" hidden="1">
      <c r="A191" s="17" t="s">
        <v>124</v>
      </c>
      <c r="B191" s="33">
        <v>1620.759</v>
      </c>
      <c r="C191" s="33">
        <v>5158.177</v>
      </c>
      <c r="D191" s="33">
        <v>15.3</v>
      </c>
      <c r="E191" s="29">
        <f t="shared" si="77"/>
        <v>6794.236</v>
      </c>
      <c r="F191" s="49">
        <v>0</v>
      </c>
      <c r="G191" s="34">
        <v>17156.417</v>
      </c>
      <c r="H191" s="57">
        <v>468.593</v>
      </c>
      <c r="I191" s="33">
        <v>4299.0748</v>
      </c>
      <c r="J191" s="32">
        <f t="shared" si="78"/>
        <v>21924.084800000004</v>
      </c>
      <c r="K191" s="32">
        <v>3764.23</v>
      </c>
      <c r="L191" s="32">
        <v>0.6618</v>
      </c>
      <c r="M191" s="32">
        <v>356.937</v>
      </c>
      <c r="N191" s="32">
        <f t="shared" si="58"/>
        <v>4121.8288</v>
      </c>
      <c r="O191" s="7">
        <v>368.202</v>
      </c>
      <c r="P191" s="23">
        <f t="shared" si="79"/>
        <v>33208.3516</v>
      </c>
    </row>
    <row r="192" spans="1:16" ht="15.75" customHeight="1" hidden="1">
      <c r="A192" s="17" t="s">
        <v>127</v>
      </c>
      <c r="B192" s="33">
        <v>3170.364</v>
      </c>
      <c r="C192" s="33">
        <v>6246.669</v>
      </c>
      <c r="D192" s="33">
        <v>17.813</v>
      </c>
      <c r="E192" s="29">
        <f t="shared" si="77"/>
        <v>9434.846</v>
      </c>
      <c r="F192" s="49">
        <v>0</v>
      </c>
      <c r="G192" s="34">
        <v>16934.673000000003</v>
      </c>
      <c r="H192" s="57">
        <v>367.91499999999996</v>
      </c>
      <c r="I192" s="33">
        <v>7271.267</v>
      </c>
      <c r="J192" s="32">
        <f t="shared" si="78"/>
        <v>24573.855000000003</v>
      </c>
      <c r="K192" s="32">
        <v>3830.619</v>
      </c>
      <c r="L192" s="32">
        <v>0.45</v>
      </c>
      <c r="M192" s="32">
        <v>412.962</v>
      </c>
      <c r="N192" s="32">
        <f t="shared" si="58"/>
        <v>4244.031</v>
      </c>
      <c r="O192" s="7">
        <v>463.535</v>
      </c>
      <c r="P192" s="23">
        <f>+O192+N192+J192+E192+F192</f>
        <v>38716.267</v>
      </c>
    </row>
    <row r="193" spans="1:16" ht="15.75" customHeight="1" hidden="1">
      <c r="A193" s="17" t="s">
        <v>129</v>
      </c>
      <c r="B193" s="33">
        <v>2395.367</v>
      </c>
      <c r="C193" s="33">
        <v>4541.492</v>
      </c>
      <c r="D193" s="33">
        <v>9.697</v>
      </c>
      <c r="E193" s="29">
        <f t="shared" si="77"/>
        <v>6946.5560000000005</v>
      </c>
      <c r="F193" s="49">
        <v>0</v>
      </c>
      <c r="G193" s="34">
        <v>18509.341</v>
      </c>
      <c r="H193" s="57">
        <v>432.994</v>
      </c>
      <c r="I193" s="33">
        <v>8209.789</v>
      </c>
      <c r="J193" s="32">
        <f t="shared" si="78"/>
        <v>27152.124</v>
      </c>
      <c r="K193" s="32">
        <v>3792.433</v>
      </c>
      <c r="L193" s="32">
        <v>0.968</v>
      </c>
      <c r="M193" s="32">
        <v>496.356</v>
      </c>
      <c r="N193" s="32">
        <f t="shared" si="58"/>
        <v>4289.757</v>
      </c>
      <c r="O193" s="7">
        <v>837.627</v>
      </c>
      <c r="P193" s="23">
        <f t="shared" si="79"/>
        <v>39226.064</v>
      </c>
    </row>
    <row r="194" spans="1:16" ht="15.75" customHeight="1" hidden="1">
      <c r="A194" s="17" t="s">
        <v>130</v>
      </c>
      <c r="B194" s="33">
        <v>2494.186</v>
      </c>
      <c r="C194" s="33">
        <v>5401.379</v>
      </c>
      <c r="D194" s="33">
        <v>7.277</v>
      </c>
      <c r="E194" s="29">
        <f t="shared" si="77"/>
        <v>7902.842000000001</v>
      </c>
      <c r="F194" s="49">
        <v>0</v>
      </c>
      <c r="G194" s="34">
        <v>18917.673</v>
      </c>
      <c r="H194" s="57">
        <v>618.594</v>
      </c>
      <c r="I194" s="33">
        <v>7496.017</v>
      </c>
      <c r="J194" s="32">
        <f t="shared" si="78"/>
        <v>27032.284</v>
      </c>
      <c r="K194" s="32">
        <v>3300.768</v>
      </c>
      <c r="L194" s="53">
        <v>0</v>
      </c>
      <c r="M194" s="32">
        <v>456.742</v>
      </c>
      <c r="N194" s="32">
        <f t="shared" si="58"/>
        <v>3757.51</v>
      </c>
      <c r="O194" s="7">
        <v>1307.752</v>
      </c>
      <c r="P194" s="23">
        <f>+O194+N194+J194+E194+F194</f>
        <v>40000.388000000006</v>
      </c>
    </row>
    <row r="195" spans="1:18" ht="15.75" customHeight="1" hidden="1">
      <c r="A195" s="17" t="s">
        <v>132</v>
      </c>
      <c r="B195" s="33">
        <v>18301.000653</v>
      </c>
      <c r="C195" s="33">
        <v>7988.736</v>
      </c>
      <c r="D195" s="33">
        <v>4.1803</v>
      </c>
      <c r="E195" s="29">
        <f t="shared" si="77"/>
        <v>26293.916953</v>
      </c>
      <c r="F195" s="49">
        <v>0</v>
      </c>
      <c r="G195" s="34">
        <v>17192.867642</v>
      </c>
      <c r="H195" s="57">
        <v>299.53900000000004</v>
      </c>
      <c r="I195" s="33">
        <v>6968.441000000001</v>
      </c>
      <c r="J195" s="32">
        <f t="shared" si="78"/>
        <v>24460.847642</v>
      </c>
      <c r="K195" s="32">
        <v>4000.301</v>
      </c>
      <c r="L195" s="32">
        <v>0.984</v>
      </c>
      <c r="M195" s="32">
        <v>490.425</v>
      </c>
      <c r="N195" s="32">
        <f t="shared" si="58"/>
        <v>4491.71</v>
      </c>
      <c r="O195" s="7">
        <v>1460.3880000000001</v>
      </c>
      <c r="P195" s="23">
        <f>+O195+N195+J195+E195+F195</f>
        <v>56706.862595</v>
      </c>
      <c r="Q195" s="7"/>
      <c r="R195" s="7"/>
    </row>
    <row r="196" spans="1:18" ht="15.75" customHeight="1" hidden="1">
      <c r="A196" s="17" t="s">
        <v>133</v>
      </c>
      <c r="B196" s="33">
        <v>2460.578</v>
      </c>
      <c r="C196" s="33">
        <v>6666.865</v>
      </c>
      <c r="D196" s="33">
        <v>83.168</v>
      </c>
      <c r="E196" s="29">
        <f t="shared" si="77"/>
        <v>9210.610999999999</v>
      </c>
      <c r="F196" s="49">
        <v>0</v>
      </c>
      <c r="G196" s="34">
        <v>16482.169</v>
      </c>
      <c r="H196" s="57">
        <v>501.58799999999997</v>
      </c>
      <c r="I196" s="33">
        <v>6391.401000000001</v>
      </c>
      <c r="J196" s="32">
        <f>+G196+H196+I196</f>
        <v>23375.158000000003</v>
      </c>
      <c r="K196" s="32">
        <v>3339.402</v>
      </c>
      <c r="L196" s="32">
        <v>1.42</v>
      </c>
      <c r="M196" s="32">
        <v>1009.731</v>
      </c>
      <c r="N196" s="32">
        <f t="shared" si="58"/>
        <v>4350.553</v>
      </c>
      <c r="O196" s="7">
        <v>1274.1760000000002</v>
      </c>
      <c r="P196" s="23">
        <f>+O196+N196+J196+E196+F196</f>
        <v>38210.498</v>
      </c>
      <c r="Q196" s="7"/>
      <c r="R196" s="7"/>
    </row>
    <row r="197" spans="1:18" ht="15.75" customHeight="1" hidden="1">
      <c r="A197" s="17" t="s">
        <v>134</v>
      </c>
      <c r="B197" s="33">
        <v>3195.031306</v>
      </c>
      <c r="C197" s="33">
        <v>6358.173463</v>
      </c>
      <c r="D197" s="33">
        <v>247.69077</v>
      </c>
      <c r="E197" s="29">
        <f t="shared" si="77"/>
        <v>9800.895539</v>
      </c>
      <c r="F197" s="49">
        <v>0</v>
      </c>
      <c r="G197" s="34">
        <v>16853.860099999998</v>
      </c>
      <c r="H197" s="57">
        <v>414.054071</v>
      </c>
      <c r="I197" s="33">
        <v>6139.563983000001</v>
      </c>
      <c r="J197" s="32">
        <f>+G197+H197+I197</f>
        <v>23407.478153999997</v>
      </c>
      <c r="K197" s="32">
        <v>3567.787277</v>
      </c>
      <c r="L197" s="32">
        <v>115.996848</v>
      </c>
      <c r="M197" s="32">
        <v>557.089826</v>
      </c>
      <c r="N197" s="32">
        <f t="shared" si="58"/>
        <v>4240.8739510000005</v>
      </c>
      <c r="O197" s="7">
        <v>991.086338</v>
      </c>
      <c r="P197" s="23">
        <f>+O197+N197+J197+E197+F197</f>
        <v>38440.333982</v>
      </c>
      <c r="Q197" s="7"/>
      <c r="R197" s="7"/>
    </row>
    <row r="198" spans="1:18" ht="15.75" customHeight="1" hidden="1">
      <c r="A198" s="17"/>
      <c r="B198" s="33"/>
      <c r="C198" s="33"/>
      <c r="D198" s="33"/>
      <c r="E198" s="29"/>
      <c r="F198" s="49"/>
      <c r="G198" s="34"/>
      <c r="H198" s="57"/>
      <c r="I198" s="33"/>
      <c r="J198" s="32"/>
      <c r="K198" s="32"/>
      <c r="L198" s="32"/>
      <c r="M198" s="32"/>
      <c r="N198" s="32"/>
      <c r="O198" s="7"/>
      <c r="P198" s="23"/>
      <c r="Q198" s="7"/>
      <c r="R198" s="7"/>
    </row>
    <row r="199" spans="1:18" ht="15.75" customHeight="1" hidden="1">
      <c r="A199" s="17" t="s">
        <v>97</v>
      </c>
      <c r="B199" s="33">
        <v>16085.203</v>
      </c>
      <c r="C199" s="33">
        <v>7020.85</v>
      </c>
      <c r="D199" s="33">
        <v>22.244939</v>
      </c>
      <c r="E199" s="29">
        <f t="shared" si="77"/>
        <v>23128.297939</v>
      </c>
      <c r="F199" s="49">
        <v>0</v>
      </c>
      <c r="G199" s="34">
        <v>17710</v>
      </c>
      <c r="H199" s="57">
        <v>374.424404</v>
      </c>
      <c r="I199" s="33">
        <f>6669.5+1214.8</f>
        <v>7884.3</v>
      </c>
      <c r="J199" s="32">
        <f aca="true" t="shared" si="80" ref="J199:J256">+G199+H199+I199</f>
        <v>25968.724404</v>
      </c>
      <c r="K199" s="32">
        <v>3147.259</v>
      </c>
      <c r="L199" s="32">
        <v>39.655</v>
      </c>
      <c r="M199" s="32">
        <v>558.348</v>
      </c>
      <c r="N199" s="32">
        <f t="shared" si="58"/>
        <v>3745.262</v>
      </c>
      <c r="O199" s="7">
        <v>1494.049</v>
      </c>
      <c r="P199" s="23">
        <f aca="true" t="shared" si="81" ref="P199:P256">+O199+N199+J199+E199+F199</f>
        <v>54336.333343000006</v>
      </c>
      <c r="Q199" s="7"/>
      <c r="R199" s="7"/>
    </row>
    <row r="200" spans="1:18" ht="15.75" customHeight="1" hidden="1">
      <c r="A200" s="17" t="s">
        <v>137</v>
      </c>
      <c r="B200" s="33">
        <v>1049.426036</v>
      </c>
      <c r="C200" s="33">
        <v>3954.757912</v>
      </c>
      <c r="D200" s="33">
        <v>16.369203</v>
      </c>
      <c r="E200" s="29">
        <f t="shared" si="77"/>
        <v>5020.553151</v>
      </c>
      <c r="F200" s="49">
        <v>0</v>
      </c>
      <c r="G200" s="34">
        <v>15992.207882</v>
      </c>
      <c r="H200" s="57">
        <v>284.005994</v>
      </c>
      <c r="I200" s="33">
        <v>6441.751563</v>
      </c>
      <c r="J200" s="32">
        <f t="shared" si="80"/>
        <v>22717.965439</v>
      </c>
      <c r="K200" s="32">
        <v>2836.088296</v>
      </c>
      <c r="L200" s="32">
        <v>32.663606</v>
      </c>
      <c r="M200" s="32">
        <v>492.961918</v>
      </c>
      <c r="N200" s="32">
        <f t="shared" si="58"/>
        <v>3361.71382</v>
      </c>
      <c r="O200" s="7">
        <v>1310.799949</v>
      </c>
      <c r="P200" s="23">
        <f t="shared" si="81"/>
        <v>32411.032359</v>
      </c>
      <c r="Q200" s="7"/>
      <c r="R200" s="7"/>
    </row>
    <row r="201" spans="1:18" ht="15.75" customHeight="1" hidden="1">
      <c r="A201" s="17"/>
      <c r="B201" s="33"/>
      <c r="C201" s="33"/>
      <c r="D201" s="33"/>
      <c r="E201" s="29"/>
      <c r="F201" s="49"/>
      <c r="G201" s="34"/>
      <c r="H201" s="57"/>
      <c r="I201" s="33"/>
      <c r="J201" s="32"/>
      <c r="K201" s="32"/>
      <c r="L201" s="32"/>
      <c r="M201" s="32"/>
      <c r="N201" s="32"/>
      <c r="O201" s="7"/>
      <c r="P201" s="23"/>
      <c r="Q201" s="7"/>
      <c r="R201" s="7"/>
    </row>
    <row r="202" spans="1:18" ht="15.75" customHeight="1" hidden="1">
      <c r="A202" s="17" t="s">
        <v>138</v>
      </c>
      <c r="B202" s="33">
        <v>17425.402533</v>
      </c>
      <c r="C202" s="33">
        <v>4183.841449</v>
      </c>
      <c r="D202" s="33">
        <v>146.029229</v>
      </c>
      <c r="E202" s="29">
        <f t="shared" si="77"/>
        <v>21755.273211</v>
      </c>
      <c r="F202" s="49">
        <v>0</v>
      </c>
      <c r="G202" s="34">
        <v>13272.880669</v>
      </c>
      <c r="H202" s="57">
        <v>405.16825900000003</v>
      </c>
      <c r="I202" s="33">
        <v>6493.145722</v>
      </c>
      <c r="J202" s="32">
        <f t="shared" si="80"/>
        <v>20171.19465</v>
      </c>
      <c r="K202" s="32">
        <v>3076.760435</v>
      </c>
      <c r="L202" s="32">
        <v>48.437679</v>
      </c>
      <c r="M202" s="32">
        <v>437.027341</v>
      </c>
      <c r="N202" s="32">
        <f t="shared" si="58"/>
        <v>3562.2254550000002</v>
      </c>
      <c r="O202" s="7">
        <v>1605.6577410000002</v>
      </c>
      <c r="P202" s="23">
        <f t="shared" si="81"/>
        <v>47094.351057</v>
      </c>
      <c r="Q202" s="7"/>
      <c r="R202" s="7"/>
    </row>
    <row r="203" spans="1:18" ht="15.75" customHeight="1" hidden="1">
      <c r="A203" s="17" t="s">
        <v>28</v>
      </c>
      <c r="B203" s="33">
        <v>2820.699</v>
      </c>
      <c r="C203" s="33">
        <v>3875.283</v>
      </c>
      <c r="D203" s="33">
        <v>32.074</v>
      </c>
      <c r="E203" s="29">
        <f t="shared" si="77"/>
        <v>6728.056</v>
      </c>
      <c r="F203" s="49">
        <v>0</v>
      </c>
      <c r="G203" s="34">
        <v>16316.791000000001</v>
      </c>
      <c r="H203" s="57">
        <v>224.583</v>
      </c>
      <c r="I203" s="33">
        <v>7173.857</v>
      </c>
      <c r="J203" s="32">
        <f t="shared" si="80"/>
        <v>23715.231</v>
      </c>
      <c r="K203" s="32">
        <v>3277.417</v>
      </c>
      <c r="L203" s="32">
        <v>53.16</v>
      </c>
      <c r="M203" s="32">
        <v>469.605</v>
      </c>
      <c r="N203" s="32">
        <f t="shared" si="58"/>
        <v>3800.182</v>
      </c>
      <c r="O203" s="7">
        <v>1197.805</v>
      </c>
      <c r="P203" s="23">
        <f t="shared" si="81"/>
        <v>35441.274</v>
      </c>
      <c r="Q203" s="7"/>
      <c r="R203" s="7"/>
    </row>
    <row r="204" spans="1:18" ht="15.75" customHeight="1" hidden="1">
      <c r="A204" s="17" t="s">
        <v>141</v>
      </c>
      <c r="B204" s="33">
        <v>2009.65192</v>
      </c>
      <c r="C204" s="33">
        <v>3880.246252</v>
      </c>
      <c r="D204" s="33">
        <v>62.726008</v>
      </c>
      <c r="E204" s="29">
        <f t="shared" si="77"/>
        <v>5952.62418</v>
      </c>
      <c r="F204" s="49">
        <v>0</v>
      </c>
      <c r="G204" s="34">
        <v>15373.619544000001</v>
      </c>
      <c r="H204" s="57">
        <v>547.103458</v>
      </c>
      <c r="I204" s="33">
        <v>6460.78151</v>
      </c>
      <c r="J204" s="32">
        <f t="shared" si="80"/>
        <v>22381.504512</v>
      </c>
      <c r="K204" s="32">
        <v>3564.800624</v>
      </c>
      <c r="L204" s="32">
        <v>48.557652</v>
      </c>
      <c r="M204" s="32">
        <v>464.190589</v>
      </c>
      <c r="N204" s="32">
        <f t="shared" si="58"/>
        <v>4077.5488649999998</v>
      </c>
      <c r="O204" s="7">
        <v>1647.136213</v>
      </c>
      <c r="P204" s="23">
        <f t="shared" si="81"/>
        <v>34058.81377</v>
      </c>
      <c r="Q204" s="7"/>
      <c r="R204" s="7"/>
    </row>
    <row r="205" spans="1:18" ht="15.75" customHeight="1" hidden="1">
      <c r="A205" s="17" t="s">
        <v>143</v>
      </c>
      <c r="B205" s="33">
        <v>16389.382168</v>
      </c>
      <c r="C205" s="33">
        <v>3474.5929</v>
      </c>
      <c r="D205" s="33">
        <v>28.531983</v>
      </c>
      <c r="E205" s="29">
        <f t="shared" si="77"/>
        <v>19892.507051</v>
      </c>
      <c r="F205" s="49">
        <v>0</v>
      </c>
      <c r="G205" s="34">
        <v>18706.642595999998</v>
      </c>
      <c r="H205" s="57">
        <v>328.6</v>
      </c>
      <c r="I205" s="33">
        <v>7494.042694</v>
      </c>
      <c r="J205" s="32">
        <f t="shared" si="80"/>
        <v>26529.285289999996</v>
      </c>
      <c r="K205" s="32">
        <v>3812.970992</v>
      </c>
      <c r="L205" s="32">
        <v>41.268485</v>
      </c>
      <c r="M205" s="32">
        <v>478.137835</v>
      </c>
      <c r="N205" s="32">
        <f t="shared" si="58"/>
        <v>4332.3773120000005</v>
      </c>
      <c r="O205" s="7">
        <f>1081.422002+33.9</f>
        <v>1115.322002</v>
      </c>
      <c r="P205" s="23">
        <f t="shared" si="81"/>
        <v>51869.491655</v>
      </c>
      <c r="Q205" s="7"/>
      <c r="R205" s="7"/>
    </row>
    <row r="206" spans="1:18" ht="15.75" customHeight="1" hidden="1">
      <c r="A206" s="17" t="s">
        <v>145</v>
      </c>
      <c r="B206" s="33">
        <v>1980.868</v>
      </c>
      <c r="C206" s="33">
        <v>3481.823</v>
      </c>
      <c r="D206" s="33">
        <v>18.623115</v>
      </c>
      <c r="E206" s="29">
        <f t="shared" si="77"/>
        <v>5481.314115</v>
      </c>
      <c r="F206" s="49">
        <v>0</v>
      </c>
      <c r="G206" s="34">
        <v>18794.5</v>
      </c>
      <c r="H206" s="57">
        <v>493.9</v>
      </c>
      <c r="I206" s="33">
        <v>8461.568601</v>
      </c>
      <c r="J206" s="32">
        <f t="shared" si="80"/>
        <v>27749.968601</v>
      </c>
      <c r="K206" s="32">
        <v>3970.254792</v>
      </c>
      <c r="L206" s="32">
        <v>237.7</v>
      </c>
      <c r="M206" s="32">
        <f>522.335419+1605.3</f>
        <v>2127.635419</v>
      </c>
      <c r="N206" s="32">
        <f t="shared" si="58"/>
        <v>6335.590211000001</v>
      </c>
      <c r="O206" s="7">
        <f>1189.759416+598.25</f>
        <v>1788.009416</v>
      </c>
      <c r="P206" s="23">
        <f t="shared" si="81"/>
        <v>41354.882343000005</v>
      </c>
      <c r="Q206" s="7"/>
      <c r="R206" s="7"/>
    </row>
    <row r="207" spans="1:18" ht="15.75" customHeight="1" hidden="1">
      <c r="A207" s="17" t="s">
        <v>146</v>
      </c>
      <c r="B207" s="33">
        <v>2688.2</v>
      </c>
      <c r="C207" s="33">
        <v>3549.1</v>
      </c>
      <c r="D207" s="33">
        <v>32.1</v>
      </c>
      <c r="E207" s="29">
        <f t="shared" si="77"/>
        <v>6269.4</v>
      </c>
      <c r="F207" s="49">
        <v>0</v>
      </c>
      <c r="G207" s="34">
        <v>22971.6</v>
      </c>
      <c r="H207" s="57">
        <v>1889.7</v>
      </c>
      <c r="I207" s="33">
        <f>5230+801</f>
        <v>6031</v>
      </c>
      <c r="J207" s="32">
        <f t="shared" si="80"/>
        <v>30892.3</v>
      </c>
      <c r="K207" s="32">
        <v>3603</v>
      </c>
      <c r="L207" s="32">
        <v>78.8</v>
      </c>
      <c r="M207" s="32">
        <v>625.7</v>
      </c>
      <c r="N207" s="32">
        <f t="shared" si="58"/>
        <v>4307.5</v>
      </c>
      <c r="O207" s="7">
        <f>513.2+1860.95</f>
        <v>2374.15</v>
      </c>
      <c r="P207" s="23">
        <f t="shared" si="81"/>
        <v>43843.35</v>
      </c>
      <c r="Q207" s="7"/>
      <c r="R207" s="7"/>
    </row>
    <row r="208" spans="1:18" ht="15.75" customHeight="1" hidden="1">
      <c r="A208" s="17" t="s">
        <v>148</v>
      </c>
      <c r="B208" s="33">
        <v>15356.62608</v>
      </c>
      <c r="C208" s="33">
        <v>3624.602725</v>
      </c>
      <c r="D208" s="33">
        <v>30.369118</v>
      </c>
      <c r="E208" s="29">
        <f t="shared" si="77"/>
        <v>19011.597922999998</v>
      </c>
      <c r="F208" s="49">
        <v>0</v>
      </c>
      <c r="G208" s="34">
        <v>18936.245874</v>
      </c>
      <c r="H208" s="57">
        <v>671.762158</v>
      </c>
      <c r="I208" s="33">
        <v>9889.819072</v>
      </c>
      <c r="J208" s="32">
        <f t="shared" si="80"/>
        <v>29497.827104000004</v>
      </c>
      <c r="K208" s="32">
        <v>4107.054994</v>
      </c>
      <c r="L208" s="32">
        <v>50.550034</v>
      </c>
      <c r="M208" s="32">
        <v>448.181294</v>
      </c>
      <c r="N208" s="32">
        <f t="shared" si="58"/>
        <v>4605.786322</v>
      </c>
      <c r="O208" s="7">
        <v>1946.1115310000002</v>
      </c>
      <c r="P208" s="23">
        <f t="shared" si="81"/>
        <v>55061.32288000001</v>
      </c>
      <c r="Q208" s="7"/>
      <c r="R208" s="7"/>
    </row>
    <row r="209" spans="1:18" ht="15.75" customHeight="1" hidden="1">
      <c r="A209" s="17" t="s">
        <v>152</v>
      </c>
      <c r="B209" s="33">
        <v>1829</v>
      </c>
      <c r="C209" s="33">
        <v>3801.7</v>
      </c>
      <c r="D209" s="33">
        <v>29.9</v>
      </c>
      <c r="E209" s="29">
        <f t="shared" si="77"/>
        <v>5660.599999999999</v>
      </c>
      <c r="F209" s="49">
        <v>0</v>
      </c>
      <c r="G209" s="34">
        <v>18896.7</v>
      </c>
      <c r="H209" s="57">
        <v>201</v>
      </c>
      <c r="I209" s="33">
        <f>5835.7+1242.4</f>
        <v>7078.1</v>
      </c>
      <c r="J209" s="32">
        <f t="shared" si="80"/>
        <v>26175.800000000003</v>
      </c>
      <c r="K209" s="32">
        <v>3262.7</v>
      </c>
      <c r="L209" s="32">
        <v>53.7</v>
      </c>
      <c r="M209" s="32">
        <v>473.1</v>
      </c>
      <c r="N209" s="32">
        <f t="shared" si="58"/>
        <v>3789.4999999999995</v>
      </c>
      <c r="O209" s="7">
        <f>568.3+2279</f>
        <v>2847.3</v>
      </c>
      <c r="P209" s="23">
        <f t="shared" si="81"/>
        <v>38473.200000000004</v>
      </c>
      <c r="Q209" s="7"/>
      <c r="R209" s="7"/>
    </row>
    <row r="210" spans="1:18" ht="15.75" customHeight="1" hidden="1">
      <c r="A210" s="17" t="s">
        <v>154</v>
      </c>
      <c r="B210" s="33">
        <v>2093.5</v>
      </c>
      <c r="C210" s="33">
        <v>5531.7</v>
      </c>
      <c r="D210" s="33">
        <v>18.8</v>
      </c>
      <c r="E210" s="29">
        <f t="shared" si="77"/>
        <v>7644</v>
      </c>
      <c r="F210" s="49">
        <v>0</v>
      </c>
      <c r="G210" s="34">
        <v>16432.1</v>
      </c>
      <c r="H210" s="57">
        <v>417.7</v>
      </c>
      <c r="I210" s="33">
        <f>6527.6+1247.6</f>
        <v>7775.200000000001</v>
      </c>
      <c r="J210" s="32">
        <f t="shared" si="80"/>
        <v>24625</v>
      </c>
      <c r="K210" s="32">
        <v>3955.2</v>
      </c>
      <c r="L210" s="32">
        <v>57.64</v>
      </c>
      <c r="M210" s="32">
        <v>593.54</v>
      </c>
      <c r="N210" s="32">
        <f t="shared" si="58"/>
        <v>4606.379999999999</v>
      </c>
      <c r="O210" s="7">
        <f>1420.8+730.25</f>
        <v>2151.05</v>
      </c>
      <c r="P210" s="23">
        <f t="shared" si="81"/>
        <v>39026.43</v>
      </c>
      <c r="Q210" s="7"/>
      <c r="R210" s="7"/>
    </row>
    <row r="211" spans="1:18" ht="15.75" customHeight="1" hidden="1">
      <c r="A211" s="17" t="s">
        <v>156</v>
      </c>
      <c r="B211" s="33">
        <v>12718.2</v>
      </c>
      <c r="C211" s="33">
        <v>6730</v>
      </c>
      <c r="D211" s="33">
        <v>22.45179</v>
      </c>
      <c r="E211" s="29">
        <f t="shared" si="77"/>
        <v>19470.65179</v>
      </c>
      <c r="F211" s="49">
        <v>0</v>
      </c>
      <c r="G211" s="34">
        <v>17598.834173</v>
      </c>
      <c r="H211" s="57">
        <f>426.6+805.4</f>
        <v>1232</v>
      </c>
      <c r="I211" s="33">
        <v>6376.051890000001</v>
      </c>
      <c r="J211" s="32">
        <f t="shared" si="80"/>
        <v>25206.886062999998</v>
      </c>
      <c r="K211" s="32">
        <v>3825.85</v>
      </c>
      <c r="L211" s="32">
        <v>32.82997</v>
      </c>
      <c r="M211" s="32">
        <v>551.431007</v>
      </c>
      <c r="N211" s="32">
        <f t="shared" si="58"/>
        <v>4410.110977</v>
      </c>
      <c r="O211" s="7">
        <f>1854.857627+626.5</f>
        <v>2481.3576270000003</v>
      </c>
      <c r="P211" s="23">
        <f t="shared" si="81"/>
        <v>51569.006456999996</v>
      </c>
      <c r="Q211" s="7"/>
      <c r="R211" s="7"/>
    </row>
    <row r="212" spans="1:18" ht="15.75" customHeight="1" hidden="1">
      <c r="A212" s="17"/>
      <c r="B212" s="33"/>
      <c r="C212" s="33"/>
      <c r="D212" s="33"/>
      <c r="E212" s="29"/>
      <c r="F212" s="49"/>
      <c r="G212" s="34"/>
      <c r="H212" s="57"/>
      <c r="I212" s="33"/>
      <c r="J212" s="32"/>
      <c r="K212" s="32"/>
      <c r="L212" s="32"/>
      <c r="M212" s="32"/>
      <c r="N212" s="32"/>
      <c r="O212" s="7"/>
      <c r="P212" s="23"/>
      <c r="Q212" s="7"/>
      <c r="R212" s="7"/>
    </row>
    <row r="213" spans="1:18" ht="15.75" customHeight="1" hidden="1">
      <c r="A213" s="17" t="s">
        <v>118</v>
      </c>
      <c r="B213" s="33">
        <v>3799.919755</v>
      </c>
      <c r="C213" s="33">
        <v>5618.588231</v>
      </c>
      <c r="D213" s="33">
        <v>159.8201</v>
      </c>
      <c r="E213" s="29">
        <f t="shared" si="77"/>
        <v>9578.328086000001</v>
      </c>
      <c r="F213" s="49">
        <v>0</v>
      </c>
      <c r="G213" s="34">
        <f>8296.593284+11223.155882</f>
        <v>19519.749166</v>
      </c>
      <c r="H213" s="57">
        <v>1258.331793</v>
      </c>
      <c r="I213" s="33">
        <v>8749.828226</v>
      </c>
      <c r="J213" s="32">
        <f t="shared" si="80"/>
        <v>29527.909185000004</v>
      </c>
      <c r="K213" s="32">
        <v>3854.68038</v>
      </c>
      <c r="L213" s="32">
        <v>24.239223</v>
      </c>
      <c r="M213" s="32">
        <v>587.031717</v>
      </c>
      <c r="N213" s="32">
        <f t="shared" si="58"/>
        <v>4465.95132</v>
      </c>
      <c r="O213" s="7">
        <v>2412.052331</v>
      </c>
      <c r="P213" s="23">
        <f t="shared" si="81"/>
        <v>45984.240922000005</v>
      </c>
      <c r="Q213" s="7"/>
      <c r="R213" s="7"/>
    </row>
    <row r="214" spans="1:18" ht="15.75" customHeight="1" hidden="1">
      <c r="A214" s="17"/>
      <c r="B214" s="33"/>
      <c r="C214" s="33"/>
      <c r="D214" s="33"/>
      <c r="E214" s="29"/>
      <c r="F214" s="49"/>
      <c r="G214" s="34"/>
      <c r="H214" s="57"/>
      <c r="I214" s="33"/>
      <c r="J214" s="32"/>
      <c r="K214" s="32"/>
      <c r="L214" s="32"/>
      <c r="M214" s="32"/>
      <c r="N214" s="32"/>
      <c r="O214" s="7"/>
      <c r="P214" s="23"/>
      <c r="Q214" s="7"/>
      <c r="R214" s="7"/>
    </row>
    <row r="215" spans="1:18" ht="15.75" customHeight="1" hidden="1">
      <c r="A215" s="17" t="s">
        <v>160</v>
      </c>
      <c r="B215" s="33">
        <v>1191.403397</v>
      </c>
      <c r="C215" s="33">
        <v>4483.9</v>
      </c>
      <c r="D215" s="33">
        <v>59.3</v>
      </c>
      <c r="E215" s="29">
        <f t="shared" si="77"/>
        <v>5734.603397</v>
      </c>
      <c r="F215" s="49">
        <v>0</v>
      </c>
      <c r="G215" s="34">
        <v>17173.8</v>
      </c>
      <c r="H215" s="57">
        <f>406+707.5</f>
        <v>1113.5</v>
      </c>
      <c r="I215" s="33">
        <f>5678+994.6</f>
        <v>6672.6</v>
      </c>
      <c r="J215" s="32">
        <f t="shared" si="80"/>
        <v>24959.9</v>
      </c>
      <c r="K215" s="32">
        <v>3302.3</v>
      </c>
      <c r="L215" s="32">
        <v>2.1</v>
      </c>
      <c r="M215" s="32">
        <v>461.3</v>
      </c>
      <c r="N215" s="32">
        <f t="shared" si="58"/>
        <v>3765.7000000000003</v>
      </c>
      <c r="O215" s="7">
        <f>1785.8+338.1</f>
        <v>2123.9</v>
      </c>
      <c r="P215" s="23">
        <f t="shared" si="81"/>
        <v>36584.103397</v>
      </c>
      <c r="Q215" s="7"/>
      <c r="R215" s="7"/>
    </row>
    <row r="216" spans="1:18" ht="15.75" customHeight="1" hidden="1">
      <c r="A216" s="17" t="s">
        <v>162</v>
      </c>
      <c r="B216" s="33">
        <v>3842.4</v>
      </c>
      <c r="C216" s="33">
        <v>7840.8</v>
      </c>
      <c r="D216" s="33">
        <v>79.6</v>
      </c>
      <c r="E216" s="29">
        <f t="shared" si="77"/>
        <v>11762.800000000001</v>
      </c>
      <c r="F216" s="49">
        <v>0</v>
      </c>
      <c r="G216" s="34">
        <v>17057.9</v>
      </c>
      <c r="H216" s="57">
        <f>505.5+657</f>
        <v>1162.5</v>
      </c>
      <c r="I216" s="33">
        <f>5485.1+826.8</f>
        <v>6311.900000000001</v>
      </c>
      <c r="J216" s="32">
        <f t="shared" si="80"/>
        <v>24532.300000000003</v>
      </c>
      <c r="K216" s="32">
        <v>3421.6</v>
      </c>
      <c r="L216" s="32">
        <v>25.9</v>
      </c>
      <c r="M216" s="32">
        <v>644.8</v>
      </c>
      <c r="N216" s="32">
        <f t="shared" si="58"/>
        <v>4092.3</v>
      </c>
      <c r="O216" s="7">
        <f>1822.65+1114.65</f>
        <v>2937.3</v>
      </c>
      <c r="P216" s="23">
        <f t="shared" si="81"/>
        <v>43324.700000000004</v>
      </c>
      <c r="Q216" s="7"/>
      <c r="R216" s="7"/>
    </row>
    <row r="217" spans="1:18" ht="15.75" customHeight="1" hidden="1">
      <c r="A217" s="17" t="s">
        <v>163</v>
      </c>
      <c r="B217" s="33">
        <v>4860.6</v>
      </c>
      <c r="C217" s="33">
        <v>4828.6</v>
      </c>
      <c r="D217" s="33">
        <v>30.8</v>
      </c>
      <c r="E217" s="29">
        <f t="shared" si="77"/>
        <v>9720</v>
      </c>
      <c r="F217" s="49">
        <v>0</v>
      </c>
      <c r="G217" s="34">
        <v>19112.1</v>
      </c>
      <c r="H217" s="57">
        <f>634.4+715.9</f>
        <v>1350.3</v>
      </c>
      <c r="I217" s="33">
        <f>5773.4+961</f>
        <v>6734.4</v>
      </c>
      <c r="J217" s="32">
        <f t="shared" si="80"/>
        <v>27196.799999999996</v>
      </c>
      <c r="K217" s="32">
        <v>3956.5</v>
      </c>
      <c r="L217" s="32">
        <v>31.9</v>
      </c>
      <c r="M217" s="32">
        <v>396.2</v>
      </c>
      <c r="N217" s="32">
        <f t="shared" si="58"/>
        <v>4384.6</v>
      </c>
      <c r="O217" s="7">
        <f>43382.3-41301.4</f>
        <v>2080.9000000000015</v>
      </c>
      <c r="P217" s="23">
        <f t="shared" si="81"/>
        <v>43382.299999999996</v>
      </c>
      <c r="Q217" s="7"/>
      <c r="R217" s="7"/>
    </row>
    <row r="218" spans="1:18" ht="15.75" customHeight="1" hidden="1">
      <c r="A218" s="17" t="s">
        <v>164</v>
      </c>
      <c r="B218" s="33">
        <v>2206.283861</v>
      </c>
      <c r="C218" s="33">
        <v>3457.177</v>
      </c>
      <c r="D218" s="33">
        <v>27.53</v>
      </c>
      <c r="E218" s="29">
        <f t="shared" si="77"/>
        <v>5690.990860999999</v>
      </c>
      <c r="F218" s="49">
        <v>0</v>
      </c>
      <c r="G218" s="34">
        <v>20160.8</v>
      </c>
      <c r="H218" s="57">
        <f>376.7+679.5</f>
        <v>1056.2</v>
      </c>
      <c r="I218" s="33">
        <f>990.8+6439.1</f>
        <v>7429.900000000001</v>
      </c>
      <c r="J218" s="32">
        <f t="shared" si="80"/>
        <v>28646.9</v>
      </c>
      <c r="K218" s="32">
        <v>1464</v>
      </c>
      <c r="L218" s="32">
        <v>8.3</v>
      </c>
      <c r="M218" s="32">
        <v>488.7</v>
      </c>
      <c r="N218" s="32">
        <f t="shared" si="58"/>
        <v>1961</v>
      </c>
      <c r="O218" s="7">
        <f>1370.8+306.4</f>
        <v>1677.1999999999998</v>
      </c>
      <c r="P218" s="23">
        <f t="shared" si="81"/>
        <v>37976.090861000004</v>
      </c>
      <c r="Q218" s="7"/>
      <c r="R218" s="7"/>
    </row>
    <row r="219" spans="1:18" ht="15.75" customHeight="1" hidden="1">
      <c r="A219" s="17" t="s">
        <v>165</v>
      </c>
      <c r="B219" s="33">
        <v>11881.3</v>
      </c>
      <c r="C219" s="33">
        <v>4693.7</v>
      </c>
      <c r="D219" s="33">
        <v>41.2</v>
      </c>
      <c r="E219" s="29">
        <f t="shared" si="77"/>
        <v>16616.2</v>
      </c>
      <c r="F219" s="49">
        <v>0</v>
      </c>
      <c r="G219" s="34">
        <v>18504.4</v>
      </c>
      <c r="H219" s="57">
        <f>740.9+498.6</f>
        <v>1239.5</v>
      </c>
      <c r="I219" s="33">
        <f>6614.7+880.2</f>
        <v>7494.9</v>
      </c>
      <c r="J219" s="32">
        <f t="shared" si="80"/>
        <v>27238.800000000003</v>
      </c>
      <c r="K219" s="32">
        <v>4062.2</v>
      </c>
      <c r="L219" s="32">
        <v>16.1</v>
      </c>
      <c r="M219" s="32">
        <v>580.7</v>
      </c>
      <c r="N219" s="32">
        <f t="shared" si="58"/>
        <v>4659</v>
      </c>
      <c r="O219" s="7">
        <f>1238.1+2029.12</f>
        <v>3267.22</v>
      </c>
      <c r="P219" s="23">
        <f t="shared" si="81"/>
        <v>51781.22</v>
      </c>
      <c r="Q219" s="7"/>
      <c r="R219" s="7"/>
    </row>
    <row r="220" spans="1:18" ht="15.75" customHeight="1" hidden="1">
      <c r="A220" s="17" t="s">
        <v>167</v>
      </c>
      <c r="B220" s="33">
        <v>2703.8</v>
      </c>
      <c r="C220" s="33">
        <v>3789.54</v>
      </c>
      <c r="D220" s="33">
        <v>33.24</v>
      </c>
      <c r="E220" s="29">
        <f t="shared" si="77"/>
        <v>6526.58</v>
      </c>
      <c r="F220" s="49">
        <v>0</v>
      </c>
      <c r="G220" s="34">
        <v>20177.3</v>
      </c>
      <c r="H220" s="57">
        <f>397+804.6</f>
        <v>1201.6</v>
      </c>
      <c r="I220" s="33">
        <f>8305.6+1016.5</f>
        <v>9322.1</v>
      </c>
      <c r="J220" s="32">
        <f t="shared" si="80"/>
        <v>30701</v>
      </c>
      <c r="K220" s="32">
        <v>3924.5</v>
      </c>
      <c r="L220" s="53">
        <v>0</v>
      </c>
      <c r="M220" s="32">
        <v>520.44</v>
      </c>
      <c r="N220" s="32">
        <f t="shared" si="58"/>
        <v>4444.9400000000005</v>
      </c>
      <c r="O220" s="7">
        <v>2145.64</v>
      </c>
      <c r="P220" s="23">
        <f t="shared" si="81"/>
        <v>43818.16</v>
      </c>
      <c r="Q220" s="7"/>
      <c r="R220" s="7"/>
    </row>
    <row r="221" spans="1:18" ht="15.75" customHeight="1" hidden="1">
      <c r="A221" s="17" t="s">
        <v>168</v>
      </c>
      <c r="B221" s="33">
        <v>3536.7</v>
      </c>
      <c r="C221" s="33">
        <v>3949.4</v>
      </c>
      <c r="D221" s="33">
        <v>35.1</v>
      </c>
      <c r="E221" s="29">
        <f t="shared" si="77"/>
        <v>7521.200000000001</v>
      </c>
      <c r="F221" s="49">
        <v>0</v>
      </c>
      <c r="G221" s="34">
        <v>23033</v>
      </c>
      <c r="H221" s="57">
        <f>346+785.9</f>
        <v>1131.9</v>
      </c>
      <c r="I221" s="33">
        <f>8181.1+992.4</f>
        <v>9173.5</v>
      </c>
      <c r="J221" s="32">
        <f t="shared" si="80"/>
        <v>33338.4</v>
      </c>
      <c r="K221" s="32">
        <v>3855.1</v>
      </c>
      <c r="L221" s="32">
        <v>140.6</v>
      </c>
      <c r="M221" s="32">
        <v>900.8</v>
      </c>
      <c r="N221" s="32">
        <f t="shared" si="58"/>
        <v>4896.5</v>
      </c>
      <c r="O221" s="7">
        <f>403.7+1331.1</f>
        <v>1734.8</v>
      </c>
      <c r="P221" s="23">
        <f t="shared" si="81"/>
        <v>47490.90000000001</v>
      </c>
      <c r="Q221" s="7"/>
      <c r="R221" s="7"/>
    </row>
    <row r="222" spans="1:18" ht="15.75" customHeight="1" hidden="1">
      <c r="A222" s="17" t="s">
        <v>169</v>
      </c>
      <c r="B222" s="33">
        <v>14978.2</v>
      </c>
      <c r="C222" s="33">
        <v>4182.65</v>
      </c>
      <c r="D222" s="33">
        <v>32.45</v>
      </c>
      <c r="E222" s="29">
        <f t="shared" si="77"/>
        <v>19193.3</v>
      </c>
      <c r="F222" s="49">
        <v>0</v>
      </c>
      <c r="G222" s="34">
        <v>22257.75</v>
      </c>
      <c r="H222" s="57">
        <f>289.9+1132.85</f>
        <v>1422.75</v>
      </c>
      <c r="I222" s="33">
        <f>7115.6+1605.5</f>
        <v>8721.1</v>
      </c>
      <c r="J222" s="32">
        <f t="shared" si="80"/>
        <v>32401.6</v>
      </c>
      <c r="K222" s="32">
        <v>4114.9</v>
      </c>
      <c r="L222" s="32">
        <v>142.25</v>
      </c>
      <c r="M222" s="32">
        <f>2254.8+729.2</f>
        <v>2984</v>
      </c>
      <c r="N222" s="32">
        <f t="shared" si="58"/>
        <v>7241.15</v>
      </c>
      <c r="O222" s="7">
        <f>752.7+1947.45</f>
        <v>2700.15</v>
      </c>
      <c r="P222" s="23">
        <f t="shared" si="81"/>
        <v>61536.2</v>
      </c>
      <c r="Q222" s="7"/>
      <c r="R222" s="7"/>
    </row>
    <row r="223" spans="1:18" ht="15.75" customHeight="1" hidden="1">
      <c r="A223" s="17" t="s">
        <v>171</v>
      </c>
      <c r="B223" s="33">
        <v>5554.48299</v>
      </c>
      <c r="C223" s="33">
        <v>4559.572828</v>
      </c>
      <c r="D223" s="33">
        <v>26.892413</v>
      </c>
      <c r="E223" s="29">
        <f t="shared" si="77"/>
        <v>10140.948231</v>
      </c>
      <c r="F223" s="49">
        <v>0</v>
      </c>
      <c r="G223" s="34">
        <v>21414.551426</v>
      </c>
      <c r="H223" s="57">
        <v>1677.765003</v>
      </c>
      <c r="I223" s="33">
        <v>7667.2385970000005</v>
      </c>
      <c r="J223" s="32">
        <f t="shared" si="80"/>
        <v>30759.555026</v>
      </c>
      <c r="K223" s="32">
        <v>4118.146698</v>
      </c>
      <c r="L223" s="32">
        <v>123.504133</v>
      </c>
      <c r="M223" s="32">
        <v>611.754018</v>
      </c>
      <c r="N223" s="32">
        <f t="shared" si="58"/>
        <v>4853.404849</v>
      </c>
      <c r="O223" s="7">
        <v>2016.91633</v>
      </c>
      <c r="P223" s="23">
        <f t="shared" si="81"/>
        <v>47770.824436</v>
      </c>
      <c r="Q223" s="7"/>
      <c r="R223" s="7"/>
    </row>
    <row r="224" spans="1:18" ht="15.75" customHeight="1" hidden="1">
      <c r="A224" s="17" t="s">
        <v>172</v>
      </c>
      <c r="B224" s="33">
        <v>3589.791752</v>
      </c>
      <c r="C224" s="33">
        <v>11686.6436</v>
      </c>
      <c r="D224" s="33">
        <v>84.06416899999999</v>
      </c>
      <c r="E224" s="29">
        <f t="shared" si="77"/>
        <v>15360.499521</v>
      </c>
      <c r="F224" s="49">
        <v>0</v>
      </c>
      <c r="G224" s="34">
        <v>21162.27882</v>
      </c>
      <c r="H224" s="57">
        <v>2159.159679</v>
      </c>
      <c r="I224" s="33">
        <v>7095.558559</v>
      </c>
      <c r="J224" s="32">
        <f t="shared" si="80"/>
        <v>30416.997058</v>
      </c>
      <c r="K224" s="32">
        <v>4141.244411</v>
      </c>
      <c r="L224" s="32">
        <v>75.727655</v>
      </c>
      <c r="M224" s="32">
        <v>596.875095</v>
      </c>
      <c r="N224" s="32">
        <f t="shared" si="58"/>
        <v>4813.847161</v>
      </c>
      <c r="O224" s="7">
        <v>3571.41716</v>
      </c>
      <c r="P224" s="23">
        <f t="shared" si="81"/>
        <v>54162.7609</v>
      </c>
      <c r="Q224" s="7"/>
      <c r="R224" s="7"/>
    </row>
    <row r="225" spans="1:18" ht="15.75" customHeight="1" hidden="1">
      <c r="A225" s="17" t="s">
        <v>177</v>
      </c>
      <c r="B225" s="33">
        <v>14954.808031</v>
      </c>
      <c r="C225" s="33">
        <v>5040.6735</v>
      </c>
      <c r="D225" s="33">
        <v>42.604453</v>
      </c>
      <c r="E225" s="29">
        <f t="shared" si="77"/>
        <v>20038.085984</v>
      </c>
      <c r="F225" s="49">
        <v>0</v>
      </c>
      <c r="G225" s="34">
        <v>20632.063667</v>
      </c>
      <c r="H225" s="57">
        <v>2872.321376</v>
      </c>
      <c r="I225" s="33">
        <v>7017.923006999999</v>
      </c>
      <c r="J225" s="32">
        <f t="shared" si="80"/>
        <v>30522.30805</v>
      </c>
      <c r="K225" s="32">
        <v>4967.132255</v>
      </c>
      <c r="L225" s="32">
        <v>80.640449</v>
      </c>
      <c r="M225" s="32">
        <v>587.491487</v>
      </c>
      <c r="N225" s="32">
        <f t="shared" si="58"/>
        <v>5635.264191000001</v>
      </c>
      <c r="O225" s="7">
        <v>2200.077015</v>
      </c>
      <c r="P225" s="23">
        <f t="shared" si="81"/>
        <v>58395.73524000001</v>
      </c>
      <c r="Q225" s="7"/>
      <c r="R225" s="7"/>
    </row>
    <row r="226" spans="1:18" ht="15.75" customHeight="1" hidden="1">
      <c r="A226" s="17"/>
      <c r="B226" s="33"/>
      <c r="C226" s="33"/>
      <c r="D226" s="33"/>
      <c r="E226" s="29"/>
      <c r="F226" s="49"/>
      <c r="G226" s="34"/>
      <c r="H226" s="57"/>
      <c r="I226" s="33"/>
      <c r="J226" s="32"/>
      <c r="K226" s="32"/>
      <c r="L226" s="32"/>
      <c r="M226" s="32"/>
      <c r="N226" s="32"/>
      <c r="O226" s="7"/>
      <c r="P226" s="23"/>
      <c r="Q226" s="7"/>
      <c r="R226" s="7"/>
    </row>
    <row r="227" spans="1:18" ht="15.75" customHeight="1" hidden="1">
      <c r="A227" s="17" t="s">
        <v>136</v>
      </c>
      <c r="B227" s="33">
        <v>2972.183125</v>
      </c>
      <c r="C227" s="33">
        <v>6120.352269</v>
      </c>
      <c r="D227" s="33">
        <v>26.025471</v>
      </c>
      <c r="E227" s="29">
        <f t="shared" si="77"/>
        <v>9118.560865000001</v>
      </c>
      <c r="F227" s="49">
        <v>0</v>
      </c>
      <c r="G227" s="34">
        <v>22480.822969</v>
      </c>
      <c r="H227" s="57">
        <f>2457.2+376</f>
        <v>2833.2</v>
      </c>
      <c r="I227" s="33">
        <v>9063.049799999999</v>
      </c>
      <c r="J227" s="32">
        <f t="shared" si="80"/>
        <v>34377.072769</v>
      </c>
      <c r="K227" s="32">
        <v>4527.685324</v>
      </c>
      <c r="L227" s="32">
        <v>36.22432</v>
      </c>
      <c r="M227" s="32">
        <v>668.341462</v>
      </c>
      <c r="N227" s="32">
        <f aca="true" t="shared" si="82" ref="N227:N256">+K227+L227+M227</f>
        <v>5232.251106000001</v>
      </c>
      <c r="O227" s="7">
        <f>2247+536.4</f>
        <v>2783.4</v>
      </c>
      <c r="P227" s="23">
        <f t="shared" si="81"/>
        <v>51511.284739999996</v>
      </c>
      <c r="Q227" s="7"/>
      <c r="R227" s="7"/>
    </row>
    <row r="228" spans="1:18" ht="15.75" customHeight="1" hidden="1">
      <c r="A228" s="17" t="s">
        <v>179</v>
      </c>
      <c r="B228" s="33">
        <v>2354.952942</v>
      </c>
      <c r="C228" s="33">
        <v>4548.516256</v>
      </c>
      <c r="D228" s="33">
        <v>54.387931</v>
      </c>
      <c r="E228" s="29">
        <f t="shared" si="77"/>
        <v>6957.857129</v>
      </c>
      <c r="F228" s="49"/>
      <c r="G228" s="34">
        <v>17440.438964</v>
      </c>
      <c r="H228" s="57">
        <v>2634.2362510000003</v>
      </c>
      <c r="I228" s="33">
        <v>6776.429645</v>
      </c>
      <c r="J228" s="32">
        <f t="shared" si="80"/>
        <v>26851.104860000003</v>
      </c>
      <c r="K228" s="32">
        <v>4497.340932</v>
      </c>
      <c r="L228" s="32">
        <v>25.458</v>
      </c>
      <c r="M228" s="32">
        <v>535.308</v>
      </c>
      <c r="N228" s="32">
        <f t="shared" si="82"/>
        <v>5058.106932</v>
      </c>
      <c r="O228" s="7">
        <v>1956.7166459999999</v>
      </c>
      <c r="P228" s="23">
        <f t="shared" si="81"/>
        <v>40823.785567</v>
      </c>
      <c r="Q228" s="7"/>
      <c r="R228" s="7"/>
    </row>
    <row r="229" spans="1:18" ht="15.75" customHeight="1" hidden="1">
      <c r="A229" s="17" t="s">
        <v>180</v>
      </c>
      <c r="B229" s="33">
        <v>15571.5</v>
      </c>
      <c r="C229" s="33">
        <v>4555.280532</v>
      </c>
      <c r="D229" s="33">
        <v>46.038068</v>
      </c>
      <c r="E229" s="29">
        <f t="shared" si="77"/>
        <v>20172.818600000002</v>
      </c>
      <c r="F229" s="49"/>
      <c r="G229" s="34">
        <v>21697.128911</v>
      </c>
      <c r="H229" s="57">
        <v>2818.365046</v>
      </c>
      <c r="I229" s="33">
        <v>6452.068325</v>
      </c>
      <c r="J229" s="32">
        <f t="shared" si="80"/>
        <v>30967.562282</v>
      </c>
      <c r="K229" s="32">
        <v>4302.52994</v>
      </c>
      <c r="L229" s="32">
        <v>13.440798</v>
      </c>
      <c r="M229" s="32">
        <v>560.085296</v>
      </c>
      <c r="N229" s="32">
        <f t="shared" si="82"/>
        <v>4876.056034</v>
      </c>
      <c r="O229" s="7">
        <v>6850.089451</v>
      </c>
      <c r="P229" s="23">
        <f t="shared" si="81"/>
        <v>62866.526367</v>
      </c>
      <c r="Q229" s="7"/>
      <c r="R229" s="7"/>
    </row>
    <row r="230" spans="1:18" ht="15.75" customHeight="1">
      <c r="A230" s="17" t="s">
        <v>183</v>
      </c>
      <c r="B230" s="33">
        <v>4010.1</v>
      </c>
      <c r="C230" s="33">
        <v>5916.9</v>
      </c>
      <c r="D230" s="33">
        <v>44.8</v>
      </c>
      <c r="E230" s="29">
        <f t="shared" si="77"/>
        <v>9971.8</v>
      </c>
      <c r="F230" s="49"/>
      <c r="G230" s="34">
        <v>14925.1</v>
      </c>
      <c r="H230" s="57">
        <f>1788.6+266.8</f>
        <v>2055.4</v>
      </c>
      <c r="I230" s="33">
        <f>6488.8+776.7</f>
        <v>7265.5</v>
      </c>
      <c r="J230" s="32">
        <f t="shared" si="80"/>
        <v>24246</v>
      </c>
      <c r="K230" s="32">
        <v>3813.6</v>
      </c>
      <c r="L230" s="32">
        <v>41.078642</v>
      </c>
      <c r="M230" s="32">
        <v>474.5</v>
      </c>
      <c r="N230" s="32">
        <f t="shared" si="82"/>
        <v>4329.178642</v>
      </c>
      <c r="O230" s="7">
        <v>2802.0561</v>
      </c>
      <c r="P230" s="23">
        <f t="shared" si="81"/>
        <v>41349.034742</v>
      </c>
      <c r="Q230" s="7"/>
      <c r="R230" s="7"/>
    </row>
    <row r="231" spans="1:18" ht="15.75" customHeight="1">
      <c r="A231" s="17" t="s">
        <v>140</v>
      </c>
      <c r="B231" s="33">
        <v>2239.303962</v>
      </c>
      <c r="C231" s="33">
        <v>3717.153646</v>
      </c>
      <c r="D231" s="33">
        <v>18.107493</v>
      </c>
      <c r="E231" s="29">
        <f t="shared" si="77"/>
        <v>5974.565101000001</v>
      </c>
      <c r="F231" s="49"/>
      <c r="G231" s="34">
        <v>13084.0214</v>
      </c>
      <c r="H231" s="57">
        <f>1165.3+361</f>
        <v>1526.3</v>
      </c>
      <c r="I231" s="33">
        <f>5082.5+438.7</f>
        <v>5521.2</v>
      </c>
      <c r="J231" s="32">
        <f t="shared" si="80"/>
        <v>20131.521399999998</v>
      </c>
      <c r="K231" s="32">
        <v>2301.726257</v>
      </c>
      <c r="L231" s="53">
        <v>0</v>
      </c>
      <c r="M231" s="32">
        <v>328.209921</v>
      </c>
      <c r="N231" s="32">
        <f t="shared" si="82"/>
        <v>2629.936178</v>
      </c>
      <c r="O231" s="7">
        <f>1865.6+170.65</f>
        <v>2036.25</v>
      </c>
      <c r="P231" s="23">
        <f t="shared" si="81"/>
        <v>30772.272678999998</v>
      </c>
      <c r="Q231" s="7"/>
      <c r="R231" s="7"/>
    </row>
    <row r="232" spans="1:18" ht="15.75" customHeight="1">
      <c r="A232" s="17" t="s">
        <v>142</v>
      </c>
      <c r="B232" s="33">
        <v>11522.1247</v>
      </c>
      <c r="C232" s="33">
        <v>4236.05878</v>
      </c>
      <c r="D232" s="33">
        <v>27.6918</v>
      </c>
      <c r="E232" s="29">
        <f t="shared" si="77"/>
        <v>15785.87528</v>
      </c>
      <c r="F232" s="49"/>
      <c r="G232" s="34">
        <v>12812.316649</v>
      </c>
      <c r="H232" s="57">
        <v>1683.61876</v>
      </c>
      <c r="I232" s="33">
        <v>6899.375654</v>
      </c>
      <c r="J232" s="32">
        <f t="shared" si="80"/>
        <v>21395.311063</v>
      </c>
      <c r="K232" s="32">
        <v>2860.968</v>
      </c>
      <c r="L232" s="53">
        <v>0</v>
      </c>
      <c r="M232" s="32">
        <v>421.7</v>
      </c>
      <c r="N232" s="32">
        <f t="shared" si="82"/>
        <v>3282.6679999999997</v>
      </c>
      <c r="O232" s="7">
        <v>637.1</v>
      </c>
      <c r="P232" s="23">
        <f t="shared" si="81"/>
        <v>41100.954343000005</v>
      </c>
      <c r="Q232" s="7"/>
      <c r="R232" s="7"/>
    </row>
    <row r="233" spans="1:18" ht="15.75" customHeight="1">
      <c r="A233" s="17" t="s">
        <v>106</v>
      </c>
      <c r="B233" s="33">
        <v>2667.501767</v>
      </c>
      <c r="C233" s="33">
        <v>3961.651315</v>
      </c>
      <c r="D233" s="33">
        <v>27.214303</v>
      </c>
      <c r="E233" s="29">
        <f t="shared" si="77"/>
        <v>6656.3673850000005</v>
      </c>
      <c r="F233" s="49"/>
      <c r="G233" s="34">
        <v>16182.150126</v>
      </c>
      <c r="H233" s="57">
        <v>1646.367826</v>
      </c>
      <c r="I233" s="33">
        <v>7453.878989999999</v>
      </c>
      <c r="J233" s="32">
        <f t="shared" si="80"/>
        <v>25282.396942</v>
      </c>
      <c r="K233" s="32">
        <v>3465.88984</v>
      </c>
      <c r="L233" s="32">
        <v>3.868134</v>
      </c>
      <c r="M233" s="32">
        <v>433.870847</v>
      </c>
      <c r="N233" s="32">
        <f t="shared" si="82"/>
        <v>3903.628821</v>
      </c>
      <c r="O233" s="7">
        <v>4074.6461009999994</v>
      </c>
      <c r="P233" s="23">
        <f t="shared" si="81"/>
        <v>39917.039248999994</v>
      </c>
      <c r="Q233" s="7"/>
      <c r="R233" s="7"/>
    </row>
    <row r="234" spans="1:18" ht="15.75" customHeight="1">
      <c r="A234" s="17" t="s">
        <v>108</v>
      </c>
      <c r="B234" s="33">
        <v>2037.719271</v>
      </c>
      <c r="C234" s="33">
        <v>4342.476926</v>
      </c>
      <c r="D234" s="33">
        <v>45.52217</v>
      </c>
      <c r="E234" s="29">
        <f t="shared" si="77"/>
        <v>6425.718367</v>
      </c>
      <c r="F234" s="49"/>
      <c r="G234" s="34">
        <v>16291.486685</v>
      </c>
      <c r="H234" s="57">
        <v>5026.618159</v>
      </c>
      <c r="I234" s="33">
        <v>8464.681935999999</v>
      </c>
      <c r="J234" s="32">
        <f t="shared" si="80"/>
        <v>29782.786780000002</v>
      </c>
      <c r="K234" s="32">
        <v>2766.625839</v>
      </c>
      <c r="L234" s="53">
        <v>0</v>
      </c>
      <c r="M234" s="32">
        <v>498.187890096</v>
      </c>
      <c r="N234" s="32">
        <f t="shared" si="82"/>
        <v>3264.813729096</v>
      </c>
      <c r="O234" s="7">
        <v>1219.0141900000017</v>
      </c>
      <c r="P234" s="23">
        <f t="shared" si="81"/>
        <v>40692.333066096005</v>
      </c>
      <c r="Q234" s="7"/>
      <c r="R234" s="7"/>
    </row>
    <row r="235" spans="1:18" ht="15.75" customHeight="1">
      <c r="A235" s="17" t="s">
        <v>147</v>
      </c>
      <c r="B235" s="33">
        <v>11926.21</v>
      </c>
      <c r="C235" s="33">
        <v>5735.536</v>
      </c>
      <c r="D235" s="33">
        <v>42.985</v>
      </c>
      <c r="E235" s="29">
        <f t="shared" si="77"/>
        <v>17704.731</v>
      </c>
      <c r="F235" s="49"/>
      <c r="G235" s="34">
        <v>17050.259</v>
      </c>
      <c r="H235" s="57">
        <v>2852.493</v>
      </c>
      <c r="I235" s="33">
        <v>7364.6900000000005</v>
      </c>
      <c r="J235" s="32">
        <f t="shared" si="80"/>
        <v>27267.441999999995</v>
      </c>
      <c r="K235" s="32">
        <v>3707.416</v>
      </c>
      <c r="L235" s="53">
        <v>0</v>
      </c>
      <c r="M235" s="32">
        <v>537.378</v>
      </c>
      <c r="N235" s="32">
        <f t="shared" si="82"/>
        <v>4244.794</v>
      </c>
      <c r="O235" s="7">
        <v>4263.1008649999985</v>
      </c>
      <c r="P235" s="23">
        <f t="shared" si="81"/>
        <v>53480.06786499999</v>
      </c>
      <c r="Q235" s="7"/>
      <c r="R235" s="7"/>
    </row>
    <row r="236" spans="1:18" ht="15.75" customHeight="1">
      <c r="A236" s="17" t="s">
        <v>151</v>
      </c>
      <c r="B236" s="33">
        <v>2320.066855</v>
      </c>
      <c r="C236" s="33">
        <v>4381.374875</v>
      </c>
      <c r="D236" s="33">
        <v>31.891807</v>
      </c>
      <c r="E236" s="29">
        <f t="shared" si="77"/>
        <v>6733.333537</v>
      </c>
      <c r="F236" s="49"/>
      <c r="G236" s="34">
        <v>19056.089354</v>
      </c>
      <c r="H236" s="57">
        <v>2097.6</v>
      </c>
      <c r="I236" s="33">
        <v>6549.1</v>
      </c>
      <c r="J236" s="32">
        <f t="shared" si="80"/>
        <v>27702.789354</v>
      </c>
      <c r="K236" s="32">
        <v>4292.8</v>
      </c>
      <c r="L236" s="53">
        <v>0</v>
      </c>
      <c r="M236" s="32">
        <v>851.4</v>
      </c>
      <c r="N236" s="32">
        <f t="shared" si="82"/>
        <v>5144.2</v>
      </c>
      <c r="O236" s="7">
        <v>3920.115402</v>
      </c>
      <c r="P236" s="23">
        <f t="shared" si="81"/>
        <v>43500.438293</v>
      </c>
      <c r="Q236" s="7"/>
      <c r="R236" s="7"/>
    </row>
    <row r="237" spans="1:18" ht="15.75" customHeight="1">
      <c r="A237" s="17" t="s">
        <v>153</v>
      </c>
      <c r="B237" s="33">
        <v>3706.095</v>
      </c>
      <c r="C237" s="33">
        <v>2538.872</v>
      </c>
      <c r="D237" s="33">
        <v>38.375</v>
      </c>
      <c r="E237" s="29">
        <f t="shared" si="77"/>
        <v>6283.342</v>
      </c>
      <c r="F237" s="49"/>
      <c r="G237" s="34">
        <v>18300.01547</v>
      </c>
      <c r="H237" s="57">
        <v>2155.54</v>
      </c>
      <c r="I237" s="33">
        <v>6794.294599999999</v>
      </c>
      <c r="J237" s="32">
        <f t="shared" si="80"/>
        <v>27249.85007</v>
      </c>
      <c r="K237" s="32">
        <v>5495.274</v>
      </c>
      <c r="L237" s="53">
        <v>0</v>
      </c>
      <c r="M237" s="32">
        <v>553.395538</v>
      </c>
      <c r="N237" s="32">
        <f t="shared" si="82"/>
        <v>6048.669538</v>
      </c>
      <c r="O237" s="7">
        <v>2565.9441230000007</v>
      </c>
      <c r="P237" s="23">
        <f t="shared" si="81"/>
        <v>42147.805731</v>
      </c>
      <c r="Q237" s="7"/>
      <c r="R237" s="7"/>
    </row>
    <row r="238" spans="1:18" ht="15.75" customHeight="1">
      <c r="A238" s="17" t="s">
        <v>155</v>
      </c>
      <c r="B238" s="33">
        <v>13803.108574</v>
      </c>
      <c r="C238" s="33">
        <v>6409.915687</v>
      </c>
      <c r="D238" s="33">
        <v>39.21614</v>
      </c>
      <c r="E238" s="29">
        <f t="shared" si="77"/>
        <v>20252.240401</v>
      </c>
      <c r="F238" s="49"/>
      <c r="G238" s="34">
        <v>18760.571209</v>
      </c>
      <c r="H238" s="57">
        <v>2343.6609089999997</v>
      </c>
      <c r="I238" s="33">
        <v>6107.879769</v>
      </c>
      <c r="J238" s="32">
        <f t="shared" si="80"/>
        <v>27212.111887</v>
      </c>
      <c r="K238" s="32">
        <v>3639.487668</v>
      </c>
      <c r="L238" s="53">
        <v>0</v>
      </c>
      <c r="M238" s="32">
        <v>1312.546128</v>
      </c>
      <c r="N238" s="32">
        <f t="shared" si="82"/>
        <v>4952.033796</v>
      </c>
      <c r="O238" s="7">
        <v>3088.237313</v>
      </c>
      <c r="P238" s="23">
        <f t="shared" si="81"/>
        <v>55504.623397</v>
      </c>
      <c r="Q238" s="7"/>
      <c r="R238" s="7"/>
    </row>
    <row r="239" spans="1:18" ht="15.75" customHeight="1">
      <c r="A239" s="17"/>
      <c r="B239" s="33"/>
      <c r="C239" s="33"/>
      <c r="D239" s="33"/>
      <c r="E239" s="29"/>
      <c r="F239" s="49"/>
      <c r="G239" s="34"/>
      <c r="H239" s="57"/>
      <c r="I239" s="33"/>
      <c r="J239" s="32"/>
      <c r="K239" s="32"/>
      <c r="L239" s="53"/>
      <c r="M239" s="32"/>
      <c r="N239" s="32"/>
      <c r="O239" s="7"/>
      <c r="P239" s="23"/>
      <c r="Q239" s="7"/>
      <c r="R239" s="7"/>
    </row>
    <row r="240" spans="1:18" ht="15.75" customHeight="1">
      <c r="A240" s="17" t="s">
        <v>159</v>
      </c>
      <c r="B240" s="33">
        <v>2531.977162</v>
      </c>
      <c r="C240" s="33">
        <v>6033.182721</v>
      </c>
      <c r="D240" s="33">
        <v>26.955342</v>
      </c>
      <c r="E240" s="29">
        <f t="shared" si="77"/>
        <v>8592.115225</v>
      </c>
      <c r="F240" s="49"/>
      <c r="G240" s="34">
        <v>17736.839358</v>
      </c>
      <c r="H240" s="57">
        <v>2258.956503</v>
      </c>
      <c r="I240" s="33">
        <v>7270.286884</v>
      </c>
      <c r="J240" s="32">
        <f t="shared" si="80"/>
        <v>27266.082745000003</v>
      </c>
      <c r="K240" s="32">
        <v>4270.814374</v>
      </c>
      <c r="L240" s="53">
        <v>0</v>
      </c>
      <c r="M240" s="32">
        <v>692.5562681904</v>
      </c>
      <c r="N240" s="32">
        <f t="shared" si="82"/>
        <v>4963.3706421904</v>
      </c>
      <c r="O240" s="7">
        <v>3791.760175000006</v>
      </c>
      <c r="P240" s="23">
        <f t="shared" si="81"/>
        <v>44613.32878719041</v>
      </c>
      <c r="Q240" s="7"/>
      <c r="R240" s="7"/>
    </row>
    <row r="241" spans="1:18" ht="15.75" customHeight="1">
      <c r="A241" s="17" t="s">
        <v>74</v>
      </c>
      <c r="B241" s="33">
        <v>2330.8956</v>
      </c>
      <c r="C241" s="57">
        <v>5328.469429</v>
      </c>
      <c r="D241" s="33">
        <v>24.392377</v>
      </c>
      <c r="E241" s="29">
        <f t="shared" si="77"/>
        <v>7683.757406</v>
      </c>
      <c r="F241" s="49"/>
      <c r="G241" s="34">
        <v>15853.099907</v>
      </c>
      <c r="H241" s="57">
        <v>2424.9415989999998</v>
      </c>
      <c r="I241" s="33">
        <v>5751.948407</v>
      </c>
      <c r="J241" s="32">
        <f t="shared" si="80"/>
        <v>24029.989913</v>
      </c>
      <c r="K241" s="32">
        <v>3958.288356</v>
      </c>
      <c r="L241" s="32">
        <v>2.433445</v>
      </c>
      <c r="M241" s="32">
        <v>574.949216</v>
      </c>
      <c r="N241" s="32">
        <f t="shared" si="82"/>
        <v>4535.671017000001</v>
      </c>
      <c r="O241" s="7">
        <v>3479.7416679999988</v>
      </c>
      <c r="P241" s="23">
        <f t="shared" si="81"/>
        <v>39729.160004</v>
      </c>
      <c r="Q241" s="7"/>
      <c r="R241" s="7"/>
    </row>
    <row r="242" spans="1:18" ht="15.75" customHeight="1">
      <c r="A242" s="17" t="s">
        <v>27</v>
      </c>
      <c r="B242" s="33">
        <v>13570.038256</v>
      </c>
      <c r="C242" s="57">
        <v>4550.874071</v>
      </c>
      <c r="D242" s="33">
        <v>61.694786</v>
      </c>
      <c r="E242" s="29">
        <f t="shared" si="77"/>
        <v>18182.607113</v>
      </c>
      <c r="F242" s="49"/>
      <c r="G242" s="34">
        <v>18726.665928000002</v>
      </c>
      <c r="H242" s="57">
        <v>3113.4578810000003</v>
      </c>
      <c r="I242" s="33">
        <v>5919.5427</v>
      </c>
      <c r="J242" s="32">
        <f t="shared" si="80"/>
        <v>27759.666509000002</v>
      </c>
      <c r="K242" s="32">
        <v>5411.59346</v>
      </c>
      <c r="L242" s="32">
        <v>12.92</v>
      </c>
      <c r="M242" s="32">
        <v>599.509</v>
      </c>
      <c r="N242" s="32">
        <f t="shared" si="82"/>
        <v>6024.02246</v>
      </c>
      <c r="O242" s="7">
        <v>2287.327</v>
      </c>
      <c r="P242" s="23">
        <f t="shared" si="81"/>
        <v>54253.623082</v>
      </c>
      <c r="Q242" s="7"/>
      <c r="R242" s="7"/>
    </row>
    <row r="243" spans="1:18" ht="15.75" customHeight="1">
      <c r="A243" s="17" t="s">
        <v>28</v>
      </c>
      <c r="B243" s="33">
        <v>2970.470232</v>
      </c>
      <c r="C243" s="57">
        <v>4259.861696</v>
      </c>
      <c r="D243" s="33">
        <v>51.303168</v>
      </c>
      <c r="E243" s="29">
        <f t="shared" si="77"/>
        <v>7281.635096</v>
      </c>
      <c r="F243" s="49"/>
      <c r="G243" s="34">
        <v>18457.668268</v>
      </c>
      <c r="H243" s="57">
        <v>2951.595468</v>
      </c>
      <c r="I243" s="33">
        <v>6607.4944909999995</v>
      </c>
      <c r="J243" s="32">
        <f t="shared" si="80"/>
        <v>28016.758227</v>
      </c>
      <c r="K243" s="32">
        <v>4537.957932</v>
      </c>
      <c r="L243" s="32">
        <v>38.703333</v>
      </c>
      <c r="M243" s="32">
        <v>529.021614</v>
      </c>
      <c r="N243" s="32">
        <f t="shared" si="82"/>
        <v>5105.682879000001</v>
      </c>
      <c r="O243" s="7">
        <v>5194.707183999999</v>
      </c>
      <c r="P243" s="23">
        <f t="shared" si="81"/>
        <v>45598.783385999996</v>
      </c>
      <c r="Q243" s="7"/>
      <c r="R243" s="7"/>
    </row>
    <row r="244" spans="1:18" ht="15.75" customHeight="1">
      <c r="A244" s="17" t="s">
        <v>81</v>
      </c>
      <c r="B244" s="33">
        <v>1909.008141</v>
      </c>
      <c r="C244" s="57">
        <v>3856.015875</v>
      </c>
      <c r="D244" s="33">
        <v>30.129743</v>
      </c>
      <c r="E244" s="29">
        <f t="shared" si="77"/>
        <v>5795.153759000001</v>
      </c>
      <c r="F244" s="49"/>
      <c r="G244" s="34">
        <v>17442.730383000002</v>
      </c>
      <c r="H244" s="57">
        <v>2691.161185</v>
      </c>
      <c r="I244" s="33">
        <v>6331.084834</v>
      </c>
      <c r="J244" s="32">
        <f t="shared" si="80"/>
        <v>26464.976402000004</v>
      </c>
      <c r="K244" s="32">
        <v>4921.93759</v>
      </c>
      <c r="L244" s="32">
        <v>9.818396</v>
      </c>
      <c r="M244" s="32">
        <v>552.53900631184</v>
      </c>
      <c r="N244" s="32">
        <f t="shared" si="82"/>
        <v>5484.294992311839</v>
      </c>
      <c r="O244" s="7">
        <v>3108.8834909999596</v>
      </c>
      <c r="P244" s="23">
        <f t="shared" si="81"/>
        <v>40853.3086443118</v>
      </c>
      <c r="Q244" s="7"/>
      <c r="R244" s="7"/>
    </row>
    <row r="245" spans="1:18" ht="15.75" customHeight="1">
      <c r="A245" s="17" t="s">
        <v>142</v>
      </c>
      <c r="B245" s="33">
        <v>13762.412393</v>
      </c>
      <c r="C245" s="57">
        <v>5273.14559</v>
      </c>
      <c r="D245" s="33">
        <v>51.404203</v>
      </c>
      <c r="E245" s="29">
        <f t="shared" si="77"/>
        <v>19086.962185999997</v>
      </c>
      <c r="F245" s="49"/>
      <c r="G245" s="34">
        <v>17854.848137</v>
      </c>
      <c r="H245" s="57">
        <v>2972.8839510000003</v>
      </c>
      <c r="I245" s="33">
        <v>6647.904412000001</v>
      </c>
      <c r="J245" s="32">
        <f t="shared" si="80"/>
        <v>27475.6365</v>
      </c>
      <c r="K245" s="32">
        <v>4968.490044</v>
      </c>
      <c r="L245" s="32">
        <v>12.314825</v>
      </c>
      <c r="M245" s="32">
        <v>675.142557892096</v>
      </c>
      <c r="N245" s="32">
        <f t="shared" si="82"/>
        <v>5655.947426892097</v>
      </c>
      <c r="O245" s="7">
        <v>3541.9509089721078</v>
      </c>
      <c r="P245" s="23">
        <f t="shared" si="81"/>
        <v>55760.497021864205</v>
      </c>
      <c r="Q245" s="7"/>
      <c r="R245" s="7"/>
    </row>
    <row r="246" spans="1:18" ht="15.75" customHeight="1">
      <c r="A246" s="17" t="s">
        <v>106</v>
      </c>
      <c r="B246" s="33">
        <v>2773.07584</v>
      </c>
      <c r="C246" s="57">
        <v>4042.006806</v>
      </c>
      <c r="D246" s="33">
        <v>33.206972</v>
      </c>
      <c r="E246" s="29">
        <f t="shared" si="77"/>
        <v>6848.289618</v>
      </c>
      <c r="F246" s="49"/>
      <c r="G246" s="34">
        <v>18587.308988</v>
      </c>
      <c r="H246" s="57">
        <v>2731.882015</v>
      </c>
      <c r="I246" s="33">
        <v>7563.79665</v>
      </c>
      <c r="J246" s="32">
        <f t="shared" si="80"/>
        <v>28882.987653</v>
      </c>
      <c r="K246" s="32">
        <v>4875.976289</v>
      </c>
      <c r="L246" s="32">
        <v>4.590701</v>
      </c>
      <c r="M246" s="32">
        <v>524.975838</v>
      </c>
      <c r="N246" s="32">
        <f t="shared" si="82"/>
        <v>5405.542828000001</v>
      </c>
      <c r="O246" s="7">
        <v>3374.184739</v>
      </c>
      <c r="P246" s="23">
        <f t="shared" si="81"/>
        <v>44511.004838</v>
      </c>
      <c r="Q246" s="7"/>
      <c r="R246" s="7"/>
    </row>
    <row r="247" spans="1:18" ht="15.75" customHeight="1">
      <c r="A247" s="17" t="s">
        <v>108</v>
      </c>
      <c r="B247" s="33">
        <v>4383.294387</v>
      </c>
      <c r="C247" s="57">
        <v>4172.82462</v>
      </c>
      <c r="D247" s="33">
        <v>35.005323</v>
      </c>
      <c r="E247" s="29">
        <f t="shared" si="77"/>
        <v>8591.12433</v>
      </c>
      <c r="F247" s="49"/>
      <c r="G247" s="34">
        <v>20895.952275</v>
      </c>
      <c r="H247" s="57">
        <v>2636.60985</v>
      </c>
      <c r="I247" s="33">
        <v>8872.080762</v>
      </c>
      <c r="J247" s="32">
        <f t="shared" si="80"/>
        <v>32404.642887</v>
      </c>
      <c r="K247" s="32">
        <v>5133.501936</v>
      </c>
      <c r="L247" s="32">
        <v>41.471566</v>
      </c>
      <c r="M247" s="32">
        <v>675.545218</v>
      </c>
      <c r="N247" s="32">
        <f t="shared" si="82"/>
        <v>5850.51872</v>
      </c>
      <c r="O247" s="7">
        <v>3530.1130960000028</v>
      </c>
      <c r="P247" s="23">
        <f t="shared" si="81"/>
        <v>50376.399033</v>
      </c>
      <c r="Q247" s="7"/>
      <c r="R247" s="7"/>
    </row>
    <row r="248" spans="1:18" ht="15.75" customHeight="1">
      <c r="A248" s="17" t="s">
        <v>147</v>
      </c>
      <c r="B248" s="33">
        <v>12184.619021</v>
      </c>
      <c r="C248" s="57">
        <v>4541.489201</v>
      </c>
      <c r="D248" s="33">
        <v>30.701614</v>
      </c>
      <c r="E248" s="29">
        <f t="shared" si="77"/>
        <v>16756.809836000004</v>
      </c>
      <c r="F248" s="49"/>
      <c r="G248" s="34">
        <v>20324.324976</v>
      </c>
      <c r="H248" s="57">
        <v>2707.020049</v>
      </c>
      <c r="I248" s="33">
        <v>9179.016188</v>
      </c>
      <c r="J248" s="32">
        <f t="shared" si="80"/>
        <v>32210.361212999996</v>
      </c>
      <c r="K248" s="32">
        <v>4741.896342</v>
      </c>
      <c r="L248" s="32">
        <v>53.280083</v>
      </c>
      <c r="M248" s="32">
        <v>714.082201</v>
      </c>
      <c r="N248" s="32">
        <f t="shared" si="82"/>
        <v>5509.258626</v>
      </c>
      <c r="O248" s="7">
        <v>4490.516242</v>
      </c>
      <c r="P248" s="23">
        <f t="shared" si="81"/>
        <v>58966.945917000005</v>
      </c>
      <c r="Q248" s="7"/>
      <c r="R248" s="7"/>
    </row>
    <row r="249" spans="1:18" ht="15.75" customHeight="1">
      <c r="A249" s="17" t="s">
        <v>151</v>
      </c>
      <c r="B249" s="33">
        <v>3448.523146</v>
      </c>
      <c r="C249" s="57">
        <v>3963.696267</v>
      </c>
      <c r="D249" s="33">
        <v>33.594183</v>
      </c>
      <c r="E249" s="29">
        <f t="shared" si="77"/>
        <v>7445.813596</v>
      </c>
      <c r="F249" s="49"/>
      <c r="G249" s="34">
        <v>17272.716897</v>
      </c>
      <c r="H249" s="57">
        <v>2813.853199</v>
      </c>
      <c r="I249" s="33">
        <v>7889.501795</v>
      </c>
      <c r="J249" s="32">
        <f t="shared" si="80"/>
        <v>27976.071891</v>
      </c>
      <c r="K249" s="32">
        <v>4920.758441</v>
      </c>
      <c r="L249" s="32">
        <v>39.636028</v>
      </c>
      <c r="M249" s="32">
        <v>560.984098</v>
      </c>
      <c r="N249" s="32">
        <f t="shared" si="82"/>
        <v>5521.378567</v>
      </c>
      <c r="O249" s="7">
        <v>3803.489694000006</v>
      </c>
      <c r="P249" s="23">
        <f t="shared" si="81"/>
        <v>44746.753748</v>
      </c>
      <c r="Q249" s="7"/>
      <c r="R249" s="7"/>
    </row>
    <row r="250" spans="1:18" ht="15.75" customHeight="1">
      <c r="A250" s="17" t="s">
        <v>153</v>
      </c>
      <c r="B250" s="33">
        <v>3977.671019</v>
      </c>
      <c r="C250" s="57">
        <v>4859.973575</v>
      </c>
      <c r="D250" s="33">
        <v>24.144633</v>
      </c>
      <c r="E250" s="29">
        <f t="shared" si="77"/>
        <v>8861.789227</v>
      </c>
      <c r="F250" s="49"/>
      <c r="G250" s="34">
        <v>20937.488144</v>
      </c>
      <c r="H250" s="57">
        <v>2986.2937789999996</v>
      </c>
      <c r="I250" s="33">
        <v>6123.975727999999</v>
      </c>
      <c r="J250" s="32">
        <f t="shared" si="80"/>
        <v>30047.757651</v>
      </c>
      <c r="K250" s="32">
        <v>5286.347304</v>
      </c>
      <c r="L250" s="32">
        <v>79.835537</v>
      </c>
      <c r="M250" s="32">
        <v>627.98037</v>
      </c>
      <c r="N250" s="32">
        <f t="shared" si="82"/>
        <v>5994.163211</v>
      </c>
      <c r="O250" s="7">
        <v>4299.422129633709</v>
      </c>
      <c r="P250" s="23">
        <f t="shared" si="81"/>
        <v>49203.132218633706</v>
      </c>
      <c r="Q250" s="7"/>
      <c r="R250" s="7"/>
    </row>
    <row r="251" spans="1:18" ht="15.75" customHeight="1">
      <c r="A251" s="17" t="s">
        <v>155</v>
      </c>
      <c r="B251" s="33">
        <v>11866.525383</v>
      </c>
      <c r="C251" s="57">
        <v>5452.060192</v>
      </c>
      <c r="D251" s="33">
        <v>30.344473</v>
      </c>
      <c r="E251" s="29">
        <f t="shared" si="77"/>
        <v>17348.930048000002</v>
      </c>
      <c r="F251" s="49"/>
      <c r="G251" s="34">
        <v>17682.08758</v>
      </c>
      <c r="H251" s="57">
        <v>3512.465951</v>
      </c>
      <c r="I251" s="33">
        <v>6514.828551</v>
      </c>
      <c r="J251" s="32">
        <f t="shared" si="80"/>
        <v>27709.382081999996</v>
      </c>
      <c r="K251" s="32">
        <v>6084.087751</v>
      </c>
      <c r="L251" s="32">
        <v>130.781693</v>
      </c>
      <c r="M251" s="32">
        <v>913.93974190528</v>
      </c>
      <c r="N251" s="32">
        <f t="shared" si="82"/>
        <v>7128.80918590528</v>
      </c>
      <c r="O251" s="7">
        <v>3807.513468000014</v>
      </c>
      <c r="P251" s="23">
        <f t="shared" si="81"/>
        <v>55994.63478390529</v>
      </c>
      <c r="Q251" s="7"/>
      <c r="R251" s="7"/>
    </row>
    <row r="252" spans="1:18" ht="15.75" customHeight="1">
      <c r="A252" s="17"/>
      <c r="B252" s="33"/>
      <c r="C252" s="57"/>
      <c r="D252" s="33"/>
      <c r="E252" s="29"/>
      <c r="F252" s="49"/>
      <c r="G252" s="34"/>
      <c r="H252" s="57"/>
      <c r="I252" s="33"/>
      <c r="J252" s="32"/>
      <c r="K252" s="32"/>
      <c r="L252" s="32"/>
      <c r="M252" s="32"/>
      <c r="N252" s="32"/>
      <c r="O252" s="7"/>
      <c r="P252" s="23"/>
      <c r="Q252" s="7"/>
      <c r="R252" s="7"/>
    </row>
    <row r="253" spans="1:18" ht="15.75" customHeight="1">
      <c r="A253" s="17" t="s">
        <v>178</v>
      </c>
      <c r="B253" s="33">
        <v>2258.800397</v>
      </c>
      <c r="C253" s="57">
        <v>7243.453715</v>
      </c>
      <c r="D253" s="33">
        <v>21.380001</v>
      </c>
      <c r="E253" s="29">
        <f>+B253+C253+D253</f>
        <v>9523.634112999998</v>
      </c>
      <c r="F253" s="49"/>
      <c r="G253" s="34">
        <v>20178.973393</v>
      </c>
      <c r="H253" s="57">
        <v>3256.005091</v>
      </c>
      <c r="I253" s="33">
        <v>8193.986678</v>
      </c>
      <c r="J253" s="32">
        <f t="shared" si="80"/>
        <v>31628.965162</v>
      </c>
      <c r="K253" s="32">
        <v>5542.820873</v>
      </c>
      <c r="L253" s="32">
        <v>25.520751</v>
      </c>
      <c r="M253" s="32">
        <v>681.322137</v>
      </c>
      <c r="N253" s="32">
        <f t="shared" si="82"/>
        <v>6249.663761</v>
      </c>
      <c r="O253" s="7">
        <v>3020.320104</v>
      </c>
      <c r="P253" s="23">
        <f t="shared" si="81"/>
        <v>50422.58314</v>
      </c>
      <c r="Q253" s="7"/>
      <c r="R253" s="7"/>
    </row>
    <row r="254" spans="1:18" ht="15.75" customHeight="1">
      <c r="A254" s="17" t="s">
        <v>74</v>
      </c>
      <c r="B254" s="33">
        <v>2526.659507</v>
      </c>
      <c r="C254" s="57">
        <v>4469.889765</v>
      </c>
      <c r="D254" s="33">
        <v>17.158104</v>
      </c>
      <c r="E254" s="29">
        <f>+B254+C254+D254</f>
        <v>7013.707376</v>
      </c>
      <c r="F254" s="49"/>
      <c r="G254" s="34">
        <v>21078.965782</v>
      </c>
      <c r="H254" s="57">
        <v>2788.1869380000003</v>
      </c>
      <c r="I254" s="33">
        <v>7833.712651</v>
      </c>
      <c r="J254" s="32">
        <f t="shared" si="80"/>
        <v>31700.865371</v>
      </c>
      <c r="K254" s="32">
        <v>5959.390306</v>
      </c>
      <c r="L254" s="32">
        <v>18.75239</v>
      </c>
      <c r="M254" s="32">
        <v>508.925813</v>
      </c>
      <c r="N254" s="32">
        <f t="shared" si="82"/>
        <v>6487.068509</v>
      </c>
      <c r="O254" s="7">
        <v>3856.6404210000055</v>
      </c>
      <c r="P254" s="23">
        <f t="shared" si="81"/>
        <v>49058.281677</v>
      </c>
      <c r="Q254" s="7"/>
      <c r="R254" s="7"/>
    </row>
    <row r="255" spans="1:18" ht="15.75" customHeight="1">
      <c r="A255" s="17" t="s">
        <v>27</v>
      </c>
      <c r="B255" s="33">
        <v>20688.146484</v>
      </c>
      <c r="C255" s="57">
        <v>7834.051583</v>
      </c>
      <c r="D255" s="33">
        <v>13.490003</v>
      </c>
      <c r="E255" s="29">
        <f>+B255+C255+D255</f>
        <v>28535.68807</v>
      </c>
      <c r="F255" s="49"/>
      <c r="G255" s="34">
        <v>19469.052112</v>
      </c>
      <c r="H255" s="57">
        <v>4037.7238310000002</v>
      </c>
      <c r="I255" s="33">
        <v>7620.687202</v>
      </c>
      <c r="J255" s="32">
        <f t="shared" si="80"/>
        <v>31127.463145</v>
      </c>
      <c r="K255" s="32">
        <v>3811.552109</v>
      </c>
      <c r="L255" s="32">
        <v>57.419384</v>
      </c>
      <c r="M255" s="32">
        <v>962.836477</v>
      </c>
      <c r="N255" s="32">
        <f t="shared" si="82"/>
        <v>4831.80797</v>
      </c>
      <c r="O255" s="7">
        <v>3403.346852999991</v>
      </c>
      <c r="P255" s="23">
        <f t="shared" si="81"/>
        <v>67898.306038</v>
      </c>
      <c r="Q255" s="7"/>
      <c r="R255" s="7"/>
    </row>
    <row r="256" spans="1:18" ht="15.75" customHeight="1">
      <c r="A256" s="17" t="s">
        <v>28</v>
      </c>
      <c r="B256" s="33">
        <v>3742.916694</v>
      </c>
      <c r="C256" s="57">
        <v>5386.13464</v>
      </c>
      <c r="D256" s="33">
        <v>12.272815</v>
      </c>
      <c r="E256" s="29">
        <f>+B256+C256+D256</f>
        <v>9141.324149</v>
      </c>
      <c r="F256" s="49"/>
      <c r="G256" s="34">
        <v>18661.554182</v>
      </c>
      <c r="H256" s="57">
        <v>8389.19787</v>
      </c>
      <c r="I256" s="33">
        <v>3438.690886</v>
      </c>
      <c r="J256" s="32">
        <f t="shared" si="80"/>
        <v>30489.442938</v>
      </c>
      <c r="K256" s="32">
        <v>2737.964485</v>
      </c>
      <c r="L256" s="32">
        <v>33.231634</v>
      </c>
      <c r="M256" s="32">
        <v>856.697108</v>
      </c>
      <c r="N256" s="32">
        <f t="shared" si="82"/>
        <v>3627.893227</v>
      </c>
      <c r="O256" s="7">
        <v>3054.9588250000006</v>
      </c>
      <c r="P256" s="23">
        <f t="shared" si="81"/>
        <v>46313.619139</v>
      </c>
      <c r="Q256" s="7"/>
      <c r="R256" s="7"/>
    </row>
    <row r="257" spans="1:18" ht="18.75">
      <c r="A257" s="66"/>
      <c r="B257" s="65"/>
      <c r="C257" s="36"/>
      <c r="D257" s="36"/>
      <c r="E257" s="37"/>
      <c r="F257" s="38"/>
      <c r="G257" s="36"/>
      <c r="H257" s="39"/>
      <c r="I257" s="40"/>
      <c r="J257" s="37"/>
      <c r="K257" s="36"/>
      <c r="L257" s="55"/>
      <c r="M257" s="62"/>
      <c r="N257" s="11"/>
      <c r="O257" s="21"/>
      <c r="P257" s="36"/>
      <c r="R257" s="7"/>
    </row>
    <row r="258" spans="1:18" ht="18.75">
      <c r="A258" s="67" t="s">
        <v>182</v>
      </c>
      <c r="B258" s="68"/>
      <c r="C258" s="68"/>
      <c r="D258" s="69"/>
      <c r="E258" s="1"/>
      <c r="F258" s="1"/>
      <c r="G258" s="1"/>
      <c r="H258" s="41"/>
      <c r="I258" s="41"/>
      <c r="J258" s="1"/>
      <c r="K258" s="1"/>
      <c r="L258" s="1"/>
      <c r="M258" s="1"/>
      <c r="N258" s="1"/>
      <c r="O258" s="1"/>
      <c r="P258" s="42"/>
      <c r="R258" s="7"/>
    </row>
    <row r="259" spans="1:16" ht="15.75">
      <c r="A259" s="1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4"/>
    </row>
    <row r="260" spans="1:16" ht="15.75">
      <c r="A260" s="45"/>
      <c r="B260" s="45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5.75">
      <c r="A261" s="45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8">
      <c r="A262" s="46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9"/>
      <c r="M262" s="47"/>
      <c r="N262" s="47"/>
      <c r="O262" s="47"/>
      <c r="P262" s="7"/>
    </row>
    <row r="263" spans="1:16" ht="15.75">
      <c r="A263" s="46"/>
      <c r="B263" s="47"/>
      <c r="D263" s="63"/>
      <c r="P263" s="7"/>
    </row>
    <row r="264" spans="1:16" ht="15.75">
      <c r="A264" s="46"/>
      <c r="B264" s="47"/>
      <c r="D264" s="63"/>
      <c r="P264" s="7"/>
    </row>
    <row r="265" spans="1:16" ht="15.75">
      <c r="A265" s="46"/>
      <c r="B265" s="47"/>
      <c r="P265" s="7"/>
    </row>
    <row r="266" spans="1:16" ht="15.75">
      <c r="A266" s="46"/>
      <c r="B266" s="47"/>
      <c r="P266" s="7"/>
    </row>
    <row r="267" spans="1:16" ht="15.75">
      <c r="A267" s="46"/>
      <c r="B267" s="47"/>
      <c r="P267" s="7"/>
    </row>
    <row r="268" spans="1:2" ht="15.75">
      <c r="A268" s="46"/>
      <c r="B268" s="47"/>
    </row>
    <row r="269" spans="1:2" ht="15.75">
      <c r="A269" s="48"/>
      <c r="B269" s="47"/>
    </row>
    <row r="270" spans="1:2" ht="15.75">
      <c r="A270" s="46"/>
      <c r="B270" s="47"/>
    </row>
    <row r="271" spans="1:2" ht="15.75">
      <c r="A271" s="46"/>
      <c r="B271" s="47"/>
    </row>
    <row r="272" spans="1:2" ht="15.75">
      <c r="A272" s="46"/>
      <c r="B272" s="47"/>
    </row>
    <row r="273" spans="1:2" ht="15.75">
      <c r="A273" s="46"/>
      <c r="B273" s="47"/>
    </row>
    <row r="274" spans="1:2" ht="15.75">
      <c r="A274" s="46"/>
      <c r="B274" s="47"/>
    </row>
    <row r="275" spans="1:2" ht="15.75">
      <c r="A275" s="46"/>
      <c r="B275" s="47"/>
    </row>
    <row r="276" spans="1:2" ht="15.75">
      <c r="A276" s="46"/>
      <c r="B276" s="47"/>
    </row>
    <row r="277" spans="1:2" ht="15.75">
      <c r="A277" s="46"/>
      <c r="B277" s="47"/>
    </row>
    <row r="278" spans="1:2" ht="15.75">
      <c r="A278" s="46"/>
      <c r="B278" s="47"/>
    </row>
    <row r="279" spans="1:2" ht="15.75">
      <c r="A279" s="46"/>
      <c r="B279" s="47"/>
    </row>
    <row r="280" spans="1:2" ht="15.75">
      <c r="A280" s="46"/>
      <c r="B280" s="47"/>
    </row>
    <row r="281" spans="1:2" ht="15.75">
      <c r="A281" s="46"/>
      <c r="B281" s="47"/>
    </row>
    <row r="282" spans="1:2" ht="15.75">
      <c r="A282" s="46"/>
      <c r="B282" s="47"/>
    </row>
    <row r="283" spans="1:2" ht="15.75">
      <c r="A283" s="46"/>
      <c r="B283" s="47"/>
    </row>
    <row r="284" spans="1:2" ht="15.75">
      <c r="A284" s="46"/>
      <c r="B284" s="47"/>
    </row>
    <row r="285" spans="1:2" ht="15.75">
      <c r="A285" s="46"/>
      <c r="B285" s="47"/>
    </row>
    <row r="286" spans="1:2" ht="15.75">
      <c r="A286" s="46"/>
      <c r="B286" s="47"/>
    </row>
    <row r="287" spans="1:2" ht="15.75">
      <c r="A287" s="46"/>
      <c r="B287" s="47"/>
    </row>
    <row r="288" spans="1:2" ht="15.75">
      <c r="A288" s="46"/>
      <c r="B288" s="47"/>
    </row>
    <row r="289" spans="1:2" ht="15.75">
      <c r="A289" s="46"/>
      <c r="B289" s="47"/>
    </row>
    <row r="290" spans="1:2" ht="15.75">
      <c r="A290" s="46"/>
      <c r="B290" s="47"/>
    </row>
    <row r="291" spans="1:2" ht="15.75">
      <c r="A291" s="46"/>
      <c r="B291" s="47"/>
    </row>
    <row r="292" spans="1:2" ht="15.75">
      <c r="A292" s="46"/>
      <c r="B292" s="47"/>
    </row>
    <row r="293" spans="1:2" ht="15.75">
      <c r="A293" s="46"/>
      <c r="B293" s="47"/>
    </row>
    <row r="294" spans="1:2" ht="15.75">
      <c r="A294" s="46"/>
      <c r="B294" s="47"/>
    </row>
    <row r="295" spans="1:2" ht="15.75">
      <c r="A295" s="46"/>
      <c r="B295" s="47"/>
    </row>
    <row r="296" spans="1:2" ht="15.75">
      <c r="A296" s="46"/>
      <c r="B296" s="47"/>
    </row>
    <row r="297" spans="1:2" ht="15.75">
      <c r="A297" s="46"/>
      <c r="B297" s="47"/>
    </row>
    <row r="298" spans="1:2" ht="15.75">
      <c r="A298" s="46"/>
      <c r="B298" s="47"/>
    </row>
    <row r="299" spans="1:2" ht="15.75">
      <c r="A299" s="46"/>
      <c r="B299" s="47"/>
    </row>
    <row r="300" spans="1:2" ht="15.75">
      <c r="A300" s="46"/>
      <c r="B300" s="47"/>
    </row>
    <row r="301" spans="1:2" ht="15.75">
      <c r="A301" s="46"/>
      <c r="B301" s="47"/>
    </row>
    <row r="302" spans="1:2" ht="15.75">
      <c r="A302" s="46"/>
      <c r="B302" s="47"/>
    </row>
    <row r="303" spans="1:2" ht="15.75">
      <c r="A303" s="46"/>
      <c r="B303" s="47"/>
    </row>
    <row r="304" spans="1:2" ht="15.75">
      <c r="A304" s="48"/>
      <c r="B304" s="47"/>
    </row>
    <row r="305" spans="1:2" ht="15.75">
      <c r="A305" s="48"/>
      <c r="B305" s="47"/>
    </row>
    <row r="306" ht="15.75">
      <c r="B306" s="47"/>
    </row>
    <row r="307" ht="15.75">
      <c r="B307" s="47"/>
    </row>
  </sheetData>
  <sheetProtection/>
  <mergeCells count="4">
    <mergeCell ref="A4:P4"/>
    <mergeCell ref="A5:P5"/>
    <mergeCell ref="B11:E11"/>
    <mergeCell ref="G11:J11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9" r:id="rId2"/>
  <ignoredErrors>
    <ignoredError sqref="F101 D132:D13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O10">
      <selection activeCell="Q18" sqref="Q18"/>
    </sheetView>
  </sheetViews>
  <sheetFormatPr defaultColWidth="11.5546875" defaultRowHeight="15.75"/>
  <cols>
    <col min="1" max="16384" width="11.5546875" style="56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2016-03-24T09:51:46Z</cp:lastPrinted>
  <dcterms:created xsi:type="dcterms:W3CDTF">2000-08-14T07:37:35Z</dcterms:created>
  <dcterms:modified xsi:type="dcterms:W3CDTF">2017-07-03T15:34:14Z</dcterms:modified>
  <cp:category/>
  <cp:version/>
  <cp:contentType/>
  <cp:contentStatus/>
</cp:coreProperties>
</file>