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I.5 Français" sheetId="1" r:id="rId1"/>
  </sheets>
  <definedNames>
    <definedName name="_xlnm.Print_Area" localSheetId="0">'I.5 Français'!$A$1:$IP$62</definedName>
    <definedName name="Zone_impres_MI">'I.5 Français'!#REF!</definedName>
  </definedNames>
  <calcPr fullCalcOnLoad="1"/>
</workbook>
</file>

<file path=xl/sharedStrings.xml><?xml version="1.0" encoding="utf-8"?>
<sst xmlns="http://schemas.openxmlformats.org/spreadsheetml/2006/main" count="688" uniqueCount="88">
  <si>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</si>
  <si>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</si>
  <si>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</si>
  <si>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</si>
  <si>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</si>
  <si>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</si>
  <si>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</si>
  <si>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</si>
  <si>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</si>
  <si>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</si>
  <si>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</si>
  <si>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</si>
  <si>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</si>
  <si>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</si>
  <si>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</si>
  <si>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</si>
  <si>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</si>
  <si>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</si>
  <si>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</si>
  <si>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</si>
  <si>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</si>
  <si>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</si>
  <si>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</si>
  <si>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</si>
  <si>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</si>
  <si>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</si>
  <si>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</si>
  <si>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</si>
  <si>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</si>
  <si>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</si>
  <si>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</si>
  <si>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</si>
  <si>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</si>
  <si>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</si>
  <si>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</si>
  <si>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</si>
  <si>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</si>
  <si>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</si>
  <si>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</si>
  <si>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</si>
  <si>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</si>
  <si>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</si>
  <si>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</si>
  <si>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</si>
  <si>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</si>
  <si>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</si>
  <si>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</si>
  <si>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</si>
  <si>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</si>
  <si>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</si>
  <si>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</si>
  <si>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</si>
  <si>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</si>
  <si>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</si>
  <si>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</si>
  <si>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</si>
  <si>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</si>
  <si>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</si>
  <si>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</si>
  <si>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</si>
  <si>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</si>
  <si>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</si>
  <si>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</si>
  <si>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</si>
  <si>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</si>
  <si>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</si>
  <si>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</si>
  <si>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</si>
  <si>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</si>
  <si>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</si>
  <si>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</si>
  <si>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</si>
  <si>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</si>
  <si>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</si>
  <si>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</si>
  <si>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</si>
  <si>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</si>
  <si>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</si>
  <si>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</si>
  <si>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</si>
  <si>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</si>
  <si>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</si>
  <si>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</si>
  <si>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</si>
  <si>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</si>
  <si>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</si>
  <si>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</si>
  <si>
    <t>Jan-Fév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</si>
</sst>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_-* #,##0.0000\ _F_-;\-* #,##0.0000\ _F_-;_-* &quot;-&quot;??\ _F_-;_-@_-"/>
    <numFmt numFmtId="210" formatCode="_-* #,##0.00000\ _F_-;\-* #,##0.00000\ _F_-;_-* &quot;-&quot;??\ _F_-;_-@_-"/>
    <numFmt numFmtId="211" formatCode="0.00_)"/>
    <numFmt numFmtId="212" formatCode="0.000_)"/>
    <numFmt numFmtId="213" formatCode="0.0000_)"/>
    <numFmt numFmtId="214" formatCode="0.0"/>
    <numFmt numFmtId="215" formatCode="_-* #,##0.000000\ _F_-;\-* #,##0.000000\ _F_-;_-* &quot;-&quot;??\ _F_-;_-@_-"/>
    <numFmt numFmtId="216" formatCode="#,##0.000000000"/>
    <numFmt numFmtId="217" formatCode="#,##0.000_);\(#,##0.000\)"/>
    <numFmt numFmtId="218" formatCode="#,##0.0000_);\(#,##0.0000\)"/>
    <numFmt numFmtId="219" formatCode="&quot;Vrai&quot;;&quot;Vrai&quot;;&quot;Faux&quot;"/>
    <numFmt numFmtId="220" formatCode="&quot;Actif&quot;;&quot;Actif&quot;;&quot;Inactif&quot;"/>
    <numFmt numFmtId="221" formatCode="[$€-2]\ #,##0.00_);[Red]\([$€-2]\ #,##0.00\)"/>
    <numFmt numFmtId="222" formatCode="#,##0.00_ ;\-#,##0.00\ "/>
    <numFmt numFmtId="223" formatCode="#,##0.000_ ;\-#,##0.000\ 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1">
    <xf numFmtId="198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8" fontId="0" fillId="0" borderId="0" xfId="0" applyBorder="1" applyAlignment="1">
      <alignment/>
    </xf>
    <xf numFmtId="198" fontId="0" fillId="0" borderId="10" xfId="0" applyBorder="1" applyAlignment="1">
      <alignment/>
    </xf>
    <xf numFmtId="198" fontId="0" fillId="0" borderId="11" xfId="0" applyBorder="1" applyAlignment="1">
      <alignment/>
    </xf>
    <xf numFmtId="198" fontId="0" fillId="0" borderId="12" xfId="0" applyBorder="1" applyAlignment="1">
      <alignment/>
    </xf>
    <xf numFmtId="198" fontId="0" fillId="0" borderId="0" xfId="0" applyFill="1" applyAlignment="1">
      <alignment/>
    </xf>
    <xf numFmtId="198" fontId="7" fillId="0" borderId="0" xfId="0" applyFont="1" applyBorder="1" applyAlignment="1">
      <alignment/>
    </xf>
    <xf numFmtId="198" fontId="7" fillId="0" borderId="13" xfId="0" applyFont="1" applyBorder="1" applyAlignment="1">
      <alignment/>
    </xf>
    <xf numFmtId="3" fontId="7" fillId="0" borderId="0" xfId="0" applyNumberFormat="1" applyFont="1" applyBorder="1" applyAlignment="1">
      <alignment/>
    </xf>
    <xf numFmtId="198" fontId="7" fillId="0" borderId="14" xfId="0" applyFont="1" applyBorder="1" applyAlignment="1">
      <alignment/>
    </xf>
    <xf numFmtId="198" fontId="7" fillId="0" borderId="0" xfId="0" applyFont="1" applyBorder="1" applyAlignment="1">
      <alignment horizontal="left"/>
    </xf>
    <xf numFmtId="198" fontId="7" fillId="0" borderId="0" xfId="0" applyFont="1" applyBorder="1" applyAlignment="1">
      <alignment horizontal="fill"/>
    </xf>
    <xf numFmtId="198" fontId="7" fillId="0" borderId="13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98" fontId="26" fillId="0" borderId="0" xfId="0" applyFont="1" applyBorder="1" applyAlignment="1">
      <alignment/>
    </xf>
    <xf numFmtId="198" fontId="7" fillId="0" borderId="10" xfId="0" applyFont="1" applyBorder="1" applyAlignment="1">
      <alignment/>
    </xf>
    <xf numFmtId="198" fontId="7" fillId="0" borderId="15" xfId="0" applyFont="1" applyBorder="1" applyAlignment="1">
      <alignment horizontal="right"/>
    </xf>
    <xf numFmtId="198" fontId="27" fillId="0" borderId="0" xfId="0" applyFont="1" applyBorder="1" applyAlignment="1">
      <alignment/>
    </xf>
    <xf numFmtId="198" fontId="7" fillId="33" borderId="0" xfId="0" applyFont="1" applyFill="1" applyBorder="1" applyAlignment="1">
      <alignment/>
    </xf>
    <xf numFmtId="198" fontId="27" fillId="33" borderId="0" xfId="0" applyFont="1" applyFill="1" applyBorder="1" applyAlignment="1">
      <alignment/>
    </xf>
    <xf numFmtId="198" fontId="27" fillId="0" borderId="0" xfId="0" applyFont="1" applyBorder="1" applyAlignment="1">
      <alignment horizontal="center"/>
    </xf>
    <xf numFmtId="198" fontId="27" fillId="0" borderId="0" xfId="0" applyFont="1" applyBorder="1" applyAlignment="1">
      <alignment horizontal="right"/>
    </xf>
    <xf numFmtId="198" fontId="26" fillId="0" borderId="0" xfId="0" applyFont="1" applyBorder="1" applyAlignment="1">
      <alignment horizontal="right"/>
    </xf>
    <xf numFmtId="195" fontId="7" fillId="0" borderId="0" xfId="46" applyFont="1" applyBorder="1" applyAlignment="1">
      <alignment/>
    </xf>
    <xf numFmtId="198" fontId="28" fillId="0" borderId="0" xfId="0" applyFont="1" applyBorder="1" applyAlignment="1">
      <alignment horizontal="left"/>
    </xf>
    <xf numFmtId="198" fontId="29" fillId="0" borderId="0" xfId="0" applyFont="1" applyBorder="1" applyAlignment="1">
      <alignment/>
    </xf>
    <xf numFmtId="198" fontId="29" fillId="33" borderId="0" xfId="0" applyFont="1" applyFill="1" applyBorder="1" applyAlignment="1">
      <alignment/>
    </xf>
    <xf numFmtId="198" fontId="7" fillId="0" borderId="16" xfId="0" applyFont="1" applyBorder="1" applyAlignment="1">
      <alignment horizontal="fill"/>
    </xf>
    <xf numFmtId="198" fontId="7" fillId="0" borderId="13" xfId="0" applyFont="1" applyBorder="1" applyAlignment="1">
      <alignment horizontal="fill"/>
    </xf>
    <xf numFmtId="198" fontId="7" fillId="0" borderId="12" xfId="0" applyFont="1" applyBorder="1" applyAlignment="1">
      <alignment horizontal="right"/>
    </xf>
    <xf numFmtId="198" fontId="7" fillId="0" borderId="0" xfId="0" applyFont="1" applyBorder="1" applyAlignment="1">
      <alignment horizontal="right"/>
    </xf>
    <xf numFmtId="198" fontId="7" fillId="0" borderId="12" xfId="0" applyFont="1" applyBorder="1" applyAlignment="1">
      <alignment/>
    </xf>
    <xf numFmtId="198" fontId="7" fillId="0" borderId="11" xfId="0" applyFont="1" applyBorder="1" applyAlignment="1">
      <alignment/>
    </xf>
    <xf numFmtId="198" fontId="7" fillId="33" borderId="11" xfId="0" applyFont="1" applyFill="1" applyBorder="1" applyAlignment="1">
      <alignment/>
    </xf>
    <xf numFmtId="198" fontId="7" fillId="0" borderId="17" xfId="0" applyFont="1" applyBorder="1" applyAlignment="1">
      <alignment/>
    </xf>
    <xf numFmtId="198" fontId="7" fillId="0" borderId="18" xfId="0" applyFont="1" applyBorder="1" applyAlignment="1">
      <alignment/>
    </xf>
    <xf numFmtId="198" fontId="7" fillId="0" borderId="17" xfId="0" applyFont="1" applyBorder="1" applyAlignment="1">
      <alignment/>
    </xf>
    <xf numFmtId="198" fontId="7" fillId="0" borderId="18" xfId="0" applyFont="1" applyBorder="1" applyAlignment="1">
      <alignment/>
    </xf>
    <xf numFmtId="198" fontId="7" fillId="0" borderId="14" xfId="0" applyFont="1" applyBorder="1" applyAlignment="1">
      <alignment/>
    </xf>
    <xf numFmtId="198" fontId="7" fillId="0" borderId="15" xfId="0" applyFont="1" applyBorder="1" applyAlignment="1" quotePrefix="1">
      <alignment horizontal="right"/>
    </xf>
    <xf numFmtId="198" fontId="7" fillId="0" borderId="10" xfId="0" applyFont="1" applyBorder="1" applyAlignment="1">
      <alignment/>
    </xf>
    <xf numFmtId="198" fontId="7" fillId="0" borderId="16" xfId="0" applyFont="1" applyBorder="1" applyAlignment="1">
      <alignment horizontal="right"/>
    </xf>
    <xf numFmtId="198" fontId="7" fillId="0" borderId="13" xfId="0" applyFont="1" applyBorder="1" applyAlignment="1">
      <alignment horizontal="right"/>
    </xf>
    <xf numFmtId="198" fontId="7" fillId="0" borderId="13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2" xfId="0" applyFont="1" applyBorder="1" applyAlignment="1">
      <alignment horizontal="center"/>
    </xf>
    <xf numFmtId="198" fontId="7" fillId="0" borderId="19" xfId="0" applyFont="1" applyBorder="1" applyAlignment="1">
      <alignment/>
    </xf>
    <xf numFmtId="198" fontId="7" fillId="0" borderId="19" xfId="0" applyFont="1" applyBorder="1" applyAlignment="1">
      <alignment horizontal="fill"/>
    </xf>
    <xf numFmtId="198" fontId="7" fillId="0" borderId="20" xfId="0" applyFont="1" applyBorder="1" applyAlignment="1">
      <alignment horizontal="fill"/>
    </xf>
    <xf numFmtId="198" fontId="26" fillId="0" borderId="19" xfId="0" applyFont="1" applyBorder="1" applyAlignment="1">
      <alignment horizontal="fill"/>
    </xf>
    <xf numFmtId="198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98" fontId="7" fillId="0" borderId="12" xfId="0" applyNumberFormat="1" applyFont="1" applyBorder="1" applyAlignment="1">
      <alignment/>
    </xf>
    <xf numFmtId="3" fontId="7" fillId="0" borderId="0" xfId="46" applyNumberFormat="1" applyFont="1" applyBorder="1" applyAlignment="1">
      <alignment horizontal="center"/>
    </xf>
    <xf numFmtId="37" fontId="7" fillId="0" borderId="0" xfId="0" applyNumberFormat="1" applyFont="1" applyBorder="1" applyAlignment="1" applyProtection="1">
      <alignment/>
      <protection/>
    </xf>
    <xf numFmtId="200" fontId="7" fillId="0" borderId="0" xfId="46" applyNumberFormat="1" applyFont="1" applyBorder="1" applyAlignment="1" applyProtection="1">
      <alignment/>
      <protection/>
    </xf>
    <xf numFmtId="3" fontId="7" fillId="0" borderId="0" xfId="46" applyNumberFormat="1" applyFont="1" applyBorder="1" applyAlignment="1" applyProtection="1">
      <alignment/>
      <protection/>
    </xf>
    <xf numFmtId="3" fontId="7" fillId="0" borderId="12" xfId="46" applyNumberFormat="1" applyFont="1" applyBorder="1" applyAlignment="1" applyProtection="1">
      <alignment/>
      <protection/>
    </xf>
    <xf numFmtId="3" fontId="7" fillId="0" borderId="10" xfId="46" applyNumberFormat="1" applyFont="1" applyFill="1" applyBorder="1" applyAlignment="1" applyProtection="1">
      <alignment/>
      <protection/>
    </xf>
    <xf numFmtId="3" fontId="7" fillId="0" borderId="10" xfId="46" applyNumberFormat="1" applyFont="1" applyBorder="1" applyAlignment="1" applyProtection="1">
      <alignment/>
      <protection/>
    </xf>
    <xf numFmtId="3" fontId="7" fillId="0" borderId="12" xfId="46" applyNumberFormat="1" applyFont="1" applyBorder="1" applyAlignment="1" applyProtection="1">
      <alignment/>
      <protection/>
    </xf>
    <xf numFmtId="3" fontId="7" fillId="0" borderId="12" xfId="46" applyNumberFormat="1" applyFont="1" applyFill="1" applyBorder="1" applyAlignment="1" applyProtection="1">
      <alignment/>
      <protection/>
    </xf>
    <xf numFmtId="3" fontId="7" fillId="0" borderId="12" xfId="46" applyNumberFormat="1" applyFont="1" applyBorder="1" applyAlignment="1">
      <alignment/>
    </xf>
    <xf numFmtId="3" fontId="7" fillId="0" borderId="12" xfId="46" applyNumberFormat="1" applyFont="1" applyFill="1" applyBorder="1" applyAlignment="1">
      <alignment/>
    </xf>
    <xf numFmtId="3" fontId="7" fillId="0" borderId="12" xfId="46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7" fillId="0" borderId="12" xfId="46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46" applyNumberFormat="1" applyFont="1" applyBorder="1" applyAlignment="1">
      <alignment/>
    </xf>
    <xf numFmtId="3" fontId="7" fillId="0" borderId="12" xfId="46" applyNumberFormat="1" applyFont="1" applyFill="1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" fontId="7" fillId="0" borderId="12" xfId="46" applyNumberFormat="1" applyFont="1" applyBorder="1" applyAlignment="1" applyProtection="1">
      <alignment horizontal="left"/>
      <protection/>
    </xf>
    <xf numFmtId="3" fontId="7" fillId="0" borderId="12" xfId="46" applyNumberFormat="1" applyFont="1" applyBorder="1" applyAlignment="1" applyProtection="1">
      <alignment horizontal="center"/>
      <protection/>
    </xf>
    <xf numFmtId="3" fontId="7" fillId="0" borderId="10" xfId="46" applyNumberFormat="1" applyFont="1" applyBorder="1" applyAlignment="1" applyProtection="1">
      <alignment horizontal="center"/>
      <protection/>
    </xf>
    <xf numFmtId="3" fontId="7" fillId="0" borderId="10" xfId="46" applyNumberFormat="1" applyFont="1" applyBorder="1" applyAlignment="1" applyProtection="1">
      <alignment horizontal="left"/>
      <protection/>
    </xf>
    <xf numFmtId="3" fontId="30" fillId="0" borderId="10" xfId="46" applyNumberFormat="1" applyFont="1" applyBorder="1" applyAlignment="1" applyProtection="1">
      <alignment horizontal="center"/>
      <protection/>
    </xf>
    <xf numFmtId="200" fontId="7" fillId="0" borderId="0" xfId="46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 applyProtection="1">
      <alignment horizontal="center"/>
      <protection/>
    </xf>
    <xf numFmtId="3" fontId="7" fillId="0" borderId="12" xfId="46" applyNumberFormat="1" applyFont="1" applyBorder="1" applyAlignment="1" applyProtection="1">
      <alignment horizontal="right"/>
      <protection/>
    </xf>
    <xf numFmtId="3" fontId="7" fillId="0" borderId="0" xfId="46" applyNumberFormat="1" applyFont="1" applyBorder="1" applyAlignment="1" applyProtection="1">
      <alignment horizontal="right"/>
      <protection/>
    </xf>
    <xf numFmtId="3" fontId="7" fillId="0" borderId="10" xfId="46" applyNumberFormat="1" applyFont="1" applyBorder="1" applyAlignment="1" applyProtection="1">
      <alignment horizontal="right"/>
      <protection/>
    </xf>
    <xf numFmtId="3" fontId="7" fillId="0" borderId="10" xfId="46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5" xfId="0" applyNumberFormat="1" applyFont="1" applyFill="1" applyBorder="1" applyAlignment="1">
      <alignment/>
    </xf>
    <xf numFmtId="3" fontId="7" fillId="0" borderId="12" xfId="46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right" wrapText="1"/>
      <protection/>
    </xf>
    <xf numFmtId="3" fontId="7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35" borderId="15" xfId="0" applyNumberFormat="1" applyFont="1" applyFill="1" applyBorder="1" applyAlignment="1">
      <alignment/>
    </xf>
    <xf numFmtId="3" fontId="26" fillId="0" borderId="12" xfId="46" applyNumberFormat="1" applyFont="1" applyBorder="1" applyAlignment="1" applyProtection="1">
      <alignment horizontal="left"/>
      <protection/>
    </xf>
    <xf numFmtId="3" fontId="7" fillId="35" borderId="12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196" fontId="7" fillId="0" borderId="0" xfId="0" applyNumberFormat="1" applyFont="1" applyBorder="1" applyAlignment="1" applyProtection="1">
      <alignment/>
      <protection/>
    </xf>
    <xf numFmtId="199" fontId="7" fillId="0" borderId="0" xfId="46" applyNumberFormat="1" applyFont="1" applyBorder="1" applyAlignment="1" applyProtection="1">
      <alignment/>
      <protection/>
    </xf>
    <xf numFmtId="3" fontId="7" fillId="0" borderId="12" xfId="0" applyNumberFormat="1" applyFont="1" applyBorder="1" applyAlignment="1">
      <alignment horizontal="left"/>
    </xf>
    <xf numFmtId="37" fontId="7" fillId="0" borderId="12" xfId="0" applyNumberFormat="1" applyFont="1" applyFill="1" applyBorder="1" applyAlignment="1">
      <alignment/>
    </xf>
    <xf numFmtId="3" fontId="7" fillId="0" borderId="10" xfId="46" applyNumberFormat="1" applyFont="1" applyFill="1" applyBorder="1" applyAlignment="1">
      <alignment/>
    </xf>
    <xf numFmtId="202" fontId="7" fillId="0" borderId="12" xfId="46" applyNumberFormat="1" applyFont="1" applyBorder="1" applyAlignment="1" applyProtection="1">
      <alignment/>
      <protection/>
    </xf>
    <xf numFmtId="3" fontId="7" fillId="0" borderId="0" xfId="46" applyNumberFormat="1" applyFont="1" applyBorder="1" applyAlignment="1" applyProtection="1">
      <alignment horizontal="left"/>
      <protection/>
    </xf>
    <xf numFmtId="3" fontId="7" fillId="0" borderId="12" xfId="46" applyNumberFormat="1" applyFont="1" applyFill="1" applyBorder="1" applyAlignment="1" applyProtection="1">
      <alignment horizontal="right"/>
      <protection/>
    </xf>
    <xf numFmtId="198" fontId="7" fillId="0" borderId="12" xfId="0" applyFont="1" applyFill="1" applyBorder="1" applyAlignment="1">
      <alignment/>
    </xf>
    <xf numFmtId="198" fontId="7" fillId="0" borderId="0" xfId="0" applyFont="1" applyFill="1" applyAlignment="1">
      <alignment/>
    </xf>
    <xf numFmtId="3" fontId="7" fillId="0" borderId="15" xfId="46" applyNumberFormat="1" applyFont="1" applyBorder="1" applyAlignment="1" applyProtection="1">
      <alignment horizontal="center"/>
      <protection/>
    </xf>
    <xf numFmtId="3" fontId="7" fillId="0" borderId="12" xfId="46" applyNumberFormat="1" applyFont="1" applyFill="1" applyBorder="1" applyAlignment="1" applyProtection="1">
      <alignment horizontal="center"/>
      <protection/>
    </xf>
    <xf numFmtId="3" fontId="31" fillId="0" borderId="10" xfId="46" applyNumberFormat="1" applyFont="1" applyBorder="1" applyAlignment="1" applyProtection="1">
      <alignment horizontal="left"/>
      <protection/>
    </xf>
    <xf numFmtId="3" fontId="31" fillId="0" borderId="12" xfId="46" applyNumberFormat="1" applyFont="1" applyBorder="1" applyAlignment="1" applyProtection="1">
      <alignment horizontal="left"/>
      <protection/>
    </xf>
    <xf numFmtId="3" fontId="7" fillId="35" borderId="12" xfId="46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" fontId="7" fillId="0" borderId="19" xfId="46" applyNumberFormat="1" applyFont="1" applyBorder="1" applyAlignment="1" applyProtection="1">
      <alignment/>
      <protection/>
    </xf>
    <xf numFmtId="3" fontId="7" fillId="0" borderId="20" xfId="46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fill"/>
      <protection/>
    </xf>
    <xf numFmtId="3" fontId="7" fillId="0" borderId="0" xfId="0" applyNumberFormat="1" applyFont="1" applyBorder="1" applyAlignment="1" applyProtection="1">
      <alignment horizontal="fill"/>
      <protection/>
    </xf>
    <xf numFmtId="3" fontId="7" fillId="0" borderId="12" xfId="0" applyNumberFormat="1" applyFont="1" applyBorder="1" applyAlignment="1" applyProtection="1">
      <alignment horizontal="fill"/>
      <protection/>
    </xf>
    <xf numFmtId="3" fontId="7" fillId="0" borderId="12" xfId="0" applyNumberFormat="1" applyFont="1" applyBorder="1" applyAlignment="1">
      <alignment horizontal="fill"/>
    </xf>
    <xf numFmtId="3" fontId="7" fillId="0" borderId="10" xfId="0" applyNumberFormat="1" applyFont="1" applyBorder="1" applyAlignment="1">
      <alignment horizontal="fill"/>
    </xf>
    <xf numFmtId="3" fontId="7" fillId="0" borderId="12" xfId="46" applyNumberFormat="1" applyFont="1" applyBorder="1" applyAlignment="1">
      <alignment horizontal="fill"/>
    </xf>
    <xf numFmtId="3" fontId="7" fillId="0" borderId="10" xfId="0" applyNumberFormat="1" applyFont="1" applyBorder="1" applyAlignment="1" applyProtection="1">
      <alignment horizontal="fill"/>
      <protection/>
    </xf>
    <xf numFmtId="37" fontId="7" fillId="0" borderId="14" xfId="0" applyNumberFormat="1" applyFont="1" applyBorder="1" applyAlignment="1" applyProtection="1">
      <alignment/>
      <protection/>
    </xf>
    <xf numFmtId="3" fontId="7" fillId="0" borderId="14" xfId="46" applyNumberFormat="1" applyFont="1" applyBorder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41" fontId="7" fillId="0" borderId="12" xfId="0" applyNumberFormat="1" applyFont="1" applyFill="1" applyBorder="1" applyAlignment="1">
      <alignment/>
    </xf>
    <xf numFmtId="198" fontId="7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203" fontId="7" fillId="0" borderId="12" xfId="0" applyNumberFormat="1" applyFont="1" applyBorder="1" applyAlignment="1">
      <alignment/>
    </xf>
    <xf numFmtId="198" fontId="0" fillId="0" borderId="18" xfId="0" applyBorder="1" applyAlignment="1">
      <alignment horizontal="center"/>
    </xf>
    <xf numFmtId="3" fontId="7" fillId="0" borderId="12" xfId="46" applyNumberFormat="1" applyFont="1" applyFill="1" applyBorder="1" applyAlignment="1" applyProtection="1">
      <alignment horizontal="left"/>
      <protection/>
    </xf>
    <xf numFmtId="41" fontId="7" fillId="35" borderId="12" xfId="0" applyNumberFormat="1" applyFont="1" applyFill="1" applyBorder="1" applyAlignment="1">
      <alignment/>
    </xf>
    <xf numFmtId="198" fontId="7" fillId="0" borderId="13" xfId="0" applyFont="1" applyFill="1" applyBorder="1" applyAlignment="1">
      <alignment/>
    </xf>
    <xf numFmtId="198" fontId="7" fillId="0" borderId="17" xfId="0" applyFont="1" applyFill="1" applyBorder="1" applyAlignment="1">
      <alignment horizontal="center"/>
    </xf>
    <xf numFmtId="198" fontId="7" fillId="0" borderId="19" xfId="0" applyFont="1" applyFill="1" applyBorder="1" applyAlignment="1">
      <alignment horizontal="fill"/>
    </xf>
    <xf numFmtId="198" fontId="7" fillId="0" borderId="11" xfId="0" applyFont="1" applyFill="1" applyBorder="1" applyAlignment="1">
      <alignment/>
    </xf>
    <xf numFmtId="198" fontId="0" fillId="0" borderId="12" xfId="0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198" fontId="7" fillId="0" borderId="14" xfId="0" applyFont="1" applyFill="1" applyBorder="1" applyAlignment="1">
      <alignment/>
    </xf>
    <xf numFmtId="198" fontId="7" fillId="0" borderId="21" xfId="0" applyFont="1" applyBorder="1" applyAlignment="1">
      <alignment horizontal="center"/>
    </xf>
    <xf numFmtId="198" fontId="7" fillId="0" borderId="16" xfId="0" applyFont="1" applyBorder="1" applyAlignment="1">
      <alignment horizontal="center"/>
    </xf>
    <xf numFmtId="198" fontId="7" fillId="0" borderId="13" xfId="0" applyFont="1" applyBorder="1" applyAlignment="1">
      <alignment horizontal="center"/>
    </xf>
    <xf numFmtId="198" fontId="7" fillId="0" borderId="20" xfId="0" applyFont="1" applyBorder="1" applyAlignment="1">
      <alignment horizontal="center"/>
    </xf>
    <xf numFmtId="198" fontId="7" fillId="0" borderId="17" xfId="0" applyFont="1" applyBorder="1" applyAlignment="1">
      <alignment horizontal="center"/>
    </xf>
    <xf numFmtId="198" fontId="7" fillId="0" borderId="0" xfId="0" applyFont="1" applyBorder="1" applyAlignment="1">
      <alignment horizontal="center"/>
    </xf>
    <xf numFmtId="198" fontId="7" fillId="0" borderId="0" xfId="0" applyFont="1" applyBorder="1" applyAlignment="1">
      <alignment/>
    </xf>
    <xf numFmtId="198" fontId="7" fillId="0" borderId="11" xfId="0" applyFont="1" applyBorder="1" applyAlignment="1">
      <alignment horizontal="center"/>
    </xf>
    <xf numFmtId="198" fontId="7" fillId="0" borderId="19" xfId="0" applyFont="1" applyBorder="1" applyAlignment="1">
      <alignment horizontal="center"/>
    </xf>
    <xf numFmtId="198" fontId="7" fillId="0" borderId="10" xfId="0" applyFont="1" applyBorder="1" applyAlignment="1">
      <alignment horizontal="center"/>
    </xf>
    <xf numFmtId="198" fontId="7" fillId="0" borderId="22" xfId="0" applyFont="1" applyBorder="1" applyAlignment="1">
      <alignment/>
    </xf>
    <xf numFmtId="198" fontId="7" fillId="0" borderId="23" xfId="0" applyFont="1" applyBorder="1" applyAlignment="1">
      <alignment/>
    </xf>
    <xf numFmtId="198" fontId="7" fillId="0" borderId="24" xfId="0" applyFont="1" applyBorder="1" applyAlignment="1">
      <alignment horizontal="fill"/>
    </xf>
    <xf numFmtId="198" fontId="7" fillId="0" borderId="22" xfId="0" applyFont="1" applyBorder="1" applyAlignment="1">
      <alignment horizontal="fill"/>
    </xf>
    <xf numFmtId="198" fontId="25" fillId="0" borderId="22" xfId="0" applyFont="1" applyBorder="1" applyAlignment="1">
      <alignment horizontal="fill"/>
    </xf>
    <xf numFmtId="198" fontId="26" fillId="0" borderId="22" xfId="0" applyFont="1" applyBorder="1" applyAlignment="1">
      <alignment horizontal="right"/>
    </xf>
    <xf numFmtId="198" fontId="26" fillId="0" borderId="22" xfId="0" applyFont="1" applyBorder="1" applyAlignment="1">
      <alignment/>
    </xf>
    <xf numFmtId="198" fontId="0" fillId="0" borderId="22" xfId="0" applyBorder="1" applyAlignment="1">
      <alignment/>
    </xf>
    <xf numFmtId="198" fontId="26" fillId="0" borderId="22" xfId="0" applyFont="1" applyFill="1" applyBorder="1" applyAlignment="1">
      <alignment/>
    </xf>
    <xf numFmtId="198" fontId="26" fillId="0" borderId="25" xfId="0" applyFont="1" applyBorder="1" applyAlignment="1">
      <alignment/>
    </xf>
    <xf numFmtId="198" fontId="7" fillId="0" borderId="26" xfId="0" applyFont="1" applyBorder="1" applyAlignment="1">
      <alignment/>
    </xf>
    <xf numFmtId="198" fontId="7" fillId="0" borderId="25" xfId="0" applyFont="1" applyBorder="1" applyAlignment="1">
      <alignment horizontal="right"/>
    </xf>
    <xf numFmtId="198" fontId="28" fillId="0" borderId="25" xfId="0" applyFont="1" applyBorder="1" applyAlignment="1">
      <alignment horizontal="left"/>
    </xf>
    <xf numFmtId="198" fontId="7" fillId="0" borderId="27" xfId="0" applyFont="1" applyBorder="1" applyAlignment="1">
      <alignment horizontal="fill"/>
    </xf>
    <xf numFmtId="198" fontId="0" fillId="0" borderId="28" xfId="0" applyBorder="1" applyAlignment="1">
      <alignment/>
    </xf>
    <xf numFmtId="198" fontId="7" fillId="0" borderId="29" xfId="0" applyFont="1" applyBorder="1" applyAlignment="1">
      <alignment/>
    </xf>
    <xf numFmtId="198" fontId="26" fillId="0" borderId="30" xfId="0" applyFont="1" applyBorder="1" applyAlignment="1">
      <alignment horizontal="right"/>
    </xf>
    <xf numFmtId="198" fontId="7" fillId="0" borderId="30" xfId="0" applyFont="1" applyBorder="1" applyAlignment="1">
      <alignment/>
    </xf>
    <xf numFmtId="198" fontId="7" fillId="0" borderId="31" xfId="0" applyFont="1" applyBorder="1" applyAlignment="1">
      <alignment horizontal="center"/>
    </xf>
    <xf numFmtId="198" fontId="26" fillId="0" borderId="32" xfId="0" applyFont="1" applyBorder="1" applyAlignment="1">
      <alignment/>
    </xf>
    <xf numFmtId="198" fontId="7" fillId="0" borderId="33" xfId="0" applyFont="1" applyBorder="1" applyAlignment="1">
      <alignment horizontal="fill"/>
    </xf>
    <xf numFmtId="198" fontId="7" fillId="0" borderId="28" xfId="0" applyFont="1" applyBorder="1" applyAlignment="1">
      <alignment/>
    </xf>
    <xf numFmtId="198" fontId="7" fillId="0" borderId="34" xfId="0" applyFont="1" applyBorder="1" applyAlignment="1">
      <alignment/>
    </xf>
    <xf numFmtId="198" fontId="26" fillId="0" borderId="30" xfId="0" applyFont="1" applyBorder="1" applyAlignment="1">
      <alignment horizontal="left"/>
    </xf>
    <xf numFmtId="198" fontId="7" fillId="0" borderId="35" xfId="0" applyFont="1" applyBorder="1" applyAlignment="1">
      <alignment/>
    </xf>
    <xf numFmtId="198" fontId="0" fillId="0" borderId="0" xfId="0" applyFill="1" applyBorder="1" applyAlignment="1">
      <alignment/>
    </xf>
    <xf numFmtId="3" fontId="7" fillId="0" borderId="35" xfId="0" applyNumberFormat="1" applyFont="1" applyBorder="1" applyAlignment="1">
      <alignment/>
    </xf>
    <xf numFmtId="198" fontId="7" fillId="0" borderId="30" xfId="0" applyFont="1" applyBorder="1" applyAlignment="1">
      <alignment horizontal="left"/>
    </xf>
    <xf numFmtId="3" fontId="7" fillId="0" borderId="35" xfId="0" applyNumberFormat="1" applyFont="1" applyFill="1" applyBorder="1" applyAlignment="1">
      <alignment/>
    </xf>
    <xf numFmtId="41" fontId="7" fillId="0" borderId="35" xfId="0" applyNumberFormat="1" applyFont="1" applyFill="1" applyBorder="1" applyAlignment="1">
      <alignment/>
    </xf>
    <xf numFmtId="49" fontId="7" fillId="0" borderId="30" xfId="0" applyNumberFormat="1" applyFont="1" applyBorder="1" applyAlignment="1">
      <alignment horizontal="left"/>
    </xf>
    <xf numFmtId="3" fontId="7" fillId="35" borderId="35" xfId="0" applyNumberFormat="1" applyFont="1" applyFill="1" applyBorder="1" applyAlignment="1">
      <alignment/>
    </xf>
    <xf numFmtId="3" fontId="7" fillId="0" borderId="35" xfId="46" applyNumberFormat="1" applyFont="1" applyBorder="1" applyAlignment="1" applyProtection="1">
      <alignment horizontal="left"/>
      <protection/>
    </xf>
    <xf numFmtId="198" fontId="7" fillId="0" borderId="30" xfId="0" applyFont="1" applyBorder="1" applyAlignment="1">
      <alignment horizontal="fill"/>
    </xf>
    <xf numFmtId="3" fontId="7" fillId="0" borderId="33" xfId="0" applyNumberFormat="1" applyFont="1" applyBorder="1" applyAlignment="1">
      <alignment/>
    </xf>
    <xf numFmtId="198" fontId="7" fillId="0" borderId="36" xfId="0" applyFont="1" applyBorder="1" applyAlignment="1">
      <alignment/>
    </xf>
    <xf numFmtId="198" fontId="7" fillId="0" borderId="25" xfId="0" applyFont="1" applyBorder="1" applyAlignment="1">
      <alignment horizontal="left"/>
    </xf>
    <xf numFmtId="198" fontId="26" fillId="0" borderId="25" xfId="0" applyFont="1" applyBorder="1" applyAlignment="1">
      <alignment horizontal="left"/>
    </xf>
    <xf numFmtId="198" fontId="7" fillId="0" borderId="37" xfId="0" applyFont="1" applyBorder="1" applyAlignment="1">
      <alignment horizontal="fill"/>
    </xf>
    <xf numFmtId="198" fontId="7" fillId="0" borderId="23" xfId="0" applyFont="1" applyBorder="1" applyAlignment="1">
      <alignment horizontal="fill"/>
    </xf>
    <xf numFmtId="37" fontId="7" fillId="0" borderId="23" xfId="0" applyNumberFormat="1" applyFont="1" applyBorder="1" applyAlignment="1" applyProtection="1">
      <alignment horizontal="fill"/>
      <protection/>
    </xf>
    <xf numFmtId="37" fontId="7" fillId="0" borderId="23" xfId="0" applyNumberFormat="1" applyFont="1" applyFill="1" applyBorder="1" applyAlignment="1" applyProtection="1">
      <alignment horizontal="fill"/>
      <protection/>
    </xf>
    <xf numFmtId="37" fontId="7" fillId="0" borderId="38" xfId="0" applyNumberFormat="1" applyFont="1" applyBorder="1" applyAlignment="1" applyProtection="1">
      <alignment horizontal="fill"/>
      <protection/>
    </xf>
    <xf numFmtId="37" fontId="7" fillId="0" borderId="39" xfId="0" applyNumberFormat="1" applyFont="1" applyBorder="1" applyAlignment="1" applyProtection="1">
      <alignment horizontal="fill"/>
      <protection/>
    </xf>
    <xf numFmtId="198" fontId="7" fillId="0" borderId="10" xfId="0" applyFont="1" applyBorder="1" applyAlignment="1">
      <alignment horizontal="center"/>
    </xf>
    <xf numFmtId="198" fontId="7" fillId="0" borderId="40" xfId="0" applyFont="1" applyBorder="1" applyAlignment="1">
      <alignment horizontal="center"/>
    </xf>
    <xf numFmtId="198" fontId="7" fillId="0" borderId="19" xfId="0" applyFont="1" applyBorder="1" applyAlignment="1">
      <alignment horizontal="center"/>
    </xf>
    <xf numFmtId="198" fontId="7" fillId="0" borderId="19" xfId="0" applyFont="1" applyBorder="1" applyAlignment="1">
      <alignment horizontal="center"/>
    </xf>
    <xf numFmtId="198" fontId="7" fillId="0" borderId="19" xfId="0" applyFont="1" applyBorder="1" applyAlignment="1">
      <alignment horizontal="center"/>
    </xf>
    <xf numFmtId="3" fontId="7" fillId="37" borderId="35" xfId="0" applyNumberFormat="1" applyFont="1" applyFill="1" applyBorder="1" applyAlignment="1">
      <alignment/>
    </xf>
    <xf numFmtId="198" fontId="7" fillId="0" borderId="10" xfId="0" applyFont="1" applyBorder="1" applyAlignment="1">
      <alignment horizontal="center"/>
    </xf>
    <xf numFmtId="198" fontId="7" fillId="0" borderId="33" xfId="0" applyFont="1" applyBorder="1" applyAlignment="1">
      <alignment horizontal="center"/>
    </xf>
    <xf numFmtId="198" fontId="26" fillId="0" borderId="41" xfId="0" applyFont="1" applyBorder="1" applyAlignment="1">
      <alignment horizontal="right"/>
    </xf>
    <xf numFmtId="198" fontId="7" fillId="0" borderId="38" xfId="0" applyFont="1" applyBorder="1" applyAlignment="1">
      <alignment/>
    </xf>
    <xf numFmtId="198" fontId="7" fillId="0" borderId="35" xfId="0" applyFont="1" applyFill="1" applyBorder="1" applyAlignment="1">
      <alignment/>
    </xf>
    <xf numFmtId="3" fontId="7" fillId="0" borderId="35" xfId="46" applyNumberFormat="1" applyFont="1" applyFill="1" applyBorder="1" applyAlignment="1" applyProtection="1">
      <alignment horizontal="left"/>
      <protection/>
    </xf>
    <xf numFmtId="3" fontId="7" fillId="0" borderId="33" xfId="0" applyNumberFormat="1" applyFont="1" applyFill="1" applyBorder="1" applyAlignment="1">
      <alignment/>
    </xf>
    <xf numFmtId="198" fontId="7" fillId="0" borderId="14" xfId="0" applyFont="1" applyBorder="1" applyAlignment="1">
      <alignment horizontal="center"/>
    </xf>
    <xf numFmtId="198" fontId="7" fillId="0" borderId="17" xfId="0" applyFont="1" applyBorder="1" applyAlignment="1">
      <alignment horizontal="center"/>
    </xf>
    <xf numFmtId="198" fontId="7" fillId="0" borderId="13" xfId="0" applyFont="1" applyBorder="1" applyAlignment="1">
      <alignment horizontal="center"/>
    </xf>
    <xf numFmtId="198" fontId="7" fillId="0" borderId="20" xfId="0" applyFont="1" applyBorder="1" applyAlignment="1">
      <alignment horizontal="center"/>
    </xf>
    <xf numFmtId="198" fontId="7" fillId="0" borderId="18" xfId="0" applyFont="1" applyBorder="1" applyAlignment="1">
      <alignment horizontal="center"/>
    </xf>
    <xf numFmtId="198" fontId="7" fillId="0" borderId="16" xfId="0" applyFont="1" applyBorder="1" applyAlignment="1">
      <alignment horizontal="center"/>
    </xf>
    <xf numFmtId="198" fontId="7" fillId="0" borderId="24" xfId="0" applyFont="1" applyBorder="1" applyAlignment="1">
      <alignment horizontal="center"/>
    </xf>
    <xf numFmtId="198" fontId="7" fillId="0" borderId="22" xfId="0" applyFont="1" applyBorder="1" applyAlignment="1">
      <alignment horizontal="center"/>
    </xf>
    <xf numFmtId="198" fontId="7" fillId="0" borderId="42" xfId="0" applyFont="1" applyBorder="1" applyAlignment="1">
      <alignment horizontal="center"/>
    </xf>
    <xf numFmtId="198" fontId="7" fillId="0" borderId="37" xfId="0" applyFont="1" applyBorder="1" applyAlignment="1">
      <alignment horizontal="center"/>
    </xf>
    <xf numFmtId="198" fontId="7" fillId="0" borderId="23" xfId="0" applyFont="1" applyBorder="1" applyAlignment="1">
      <alignment horizontal="center"/>
    </xf>
    <xf numFmtId="198" fontId="7" fillId="0" borderId="39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198" fontId="0" fillId="0" borderId="24" xfId="0" applyBorder="1" applyAlignment="1">
      <alignment horizontal="center"/>
    </xf>
    <xf numFmtId="198" fontId="0" fillId="0" borderId="22" xfId="0" applyBorder="1" applyAlignment="1">
      <alignment horizontal="center"/>
    </xf>
    <xf numFmtId="198" fontId="0" fillId="0" borderId="42" xfId="0" applyBorder="1" applyAlignment="1">
      <alignment horizontal="center"/>
    </xf>
    <xf numFmtId="198" fontId="0" fillId="0" borderId="37" xfId="0" applyBorder="1" applyAlignment="1">
      <alignment horizontal="center"/>
    </xf>
    <xf numFmtId="198" fontId="0" fillId="0" borderId="23" xfId="0" applyBorder="1" applyAlignment="1">
      <alignment horizontal="center"/>
    </xf>
    <xf numFmtId="198" fontId="0" fillId="0" borderId="39" xfId="0" applyBorder="1" applyAlignment="1">
      <alignment horizontal="center"/>
    </xf>
    <xf numFmtId="198" fontId="7" fillId="0" borderId="27" xfId="0" applyFont="1" applyBorder="1" applyAlignment="1">
      <alignment horizontal="center"/>
    </xf>
    <xf numFmtId="198" fontId="7" fillId="0" borderId="43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 2 9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1038225"/>
          <a:ext cx="34480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2862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98"/>
  <sheetViews>
    <sheetView showGridLines="0" tabSelected="1" zoomScale="124" zoomScaleNormal="124" zoomScalePageLayoutView="0" workbookViewId="0" topLeftCell="A1">
      <pane xSplit="27" ySplit="9" topLeftCell="AK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IO2" sqref="IO2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hidden="1" customWidth="1"/>
    <col min="30" max="30" width="10.4453125" style="0" hidden="1" customWidth="1"/>
    <col min="31" max="34" width="9.88671875" style="0" hidden="1" customWidth="1"/>
    <col min="35" max="35" width="8.88671875" style="0" hidden="1" customWidth="1"/>
    <col min="36" max="40" width="8.88671875" style="0" bestFit="1" customWidth="1"/>
    <col min="41" max="41" width="9.77734375" style="0" hidden="1" customWidth="1"/>
    <col min="42" max="43" width="9.99609375" style="0" hidden="1" customWidth="1"/>
    <col min="44" max="48" width="9.88671875" style="0" hidden="1" customWidth="1"/>
    <col min="49" max="49" width="10.88671875" style="0" hidden="1" customWidth="1"/>
    <col min="50" max="51" width="9.99609375" style="0" hidden="1" customWidth="1"/>
    <col min="52" max="53" width="9.77734375" style="0" hidden="1" customWidth="1"/>
    <col min="54" max="54" width="9.6640625" style="0" hidden="1" customWidth="1"/>
    <col min="55" max="55" width="10.10546875" style="0" hidden="1" customWidth="1"/>
    <col min="56" max="59" width="9.77734375" style="0" hidden="1" customWidth="1"/>
    <col min="60" max="60" width="9.88671875" style="0" hidden="1" customWidth="1"/>
    <col min="61" max="61" width="10.21484375" style="0" hidden="1" customWidth="1"/>
    <col min="62" max="62" width="9.99609375" style="0" hidden="1" customWidth="1"/>
    <col min="63" max="64" width="9.6640625" style="0" hidden="1" customWidth="1"/>
    <col min="65" max="69" width="9.99609375" style="0" hidden="1" customWidth="1"/>
    <col min="70" max="100" width="9.88671875" style="0" hidden="1" customWidth="1"/>
    <col min="101" max="103" width="8.88671875" style="0" hidden="1" customWidth="1"/>
    <col min="104" max="117" width="10.77734375" style="0" hidden="1" customWidth="1"/>
    <col min="118" max="125" width="11.3359375" style="0" hidden="1" customWidth="1"/>
    <col min="126" max="126" width="8.4453125" style="0" hidden="1" customWidth="1"/>
    <col min="127" max="129" width="11.3359375" style="0" hidden="1" customWidth="1"/>
    <col min="130" max="130" width="8.77734375" style="0" hidden="1" customWidth="1"/>
    <col min="131" max="131" width="8.6640625" style="0" hidden="1" customWidth="1"/>
    <col min="132" max="138" width="11.3359375" style="0" hidden="1" customWidth="1"/>
    <col min="139" max="142" width="8.4453125" style="0" hidden="1" customWidth="1"/>
    <col min="143" max="143" width="10.5546875" style="0" hidden="1" customWidth="1"/>
    <col min="144" max="144" width="9.3359375" style="0" hidden="1" customWidth="1"/>
    <col min="145" max="147" width="10.5546875" style="0" hidden="1" customWidth="1"/>
    <col min="148" max="155" width="10.3359375" style="0" hidden="1" customWidth="1"/>
    <col min="156" max="164" width="9.3359375" style="0" hidden="1" customWidth="1"/>
    <col min="165" max="168" width="9.3359375" style="6" hidden="1" customWidth="1"/>
    <col min="169" max="195" width="9.3359375" style="0" hidden="1" customWidth="1"/>
    <col min="196" max="196" width="9.99609375" style="0" hidden="1" customWidth="1"/>
    <col min="197" max="201" width="9.3359375" style="0" hidden="1" customWidth="1"/>
    <col min="202" max="203" width="7.88671875" style="0" hidden="1" customWidth="1"/>
    <col min="204" max="204" width="8.4453125" style="0" hidden="1" customWidth="1"/>
    <col min="205" max="205" width="7.88671875" style="0" hidden="1" customWidth="1"/>
    <col min="206" max="207" width="8.10546875" style="0" hidden="1" customWidth="1"/>
    <col min="208" max="208" width="8.77734375" style="0" hidden="1" customWidth="1"/>
    <col min="209" max="209" width="9.99609375" style="127" hidden="1" customWidth="1"/>
    <col min="210" max="220" width="7.88671875" style="0" hidden="1" customWidth="1"/>
    <col min="221" max="232" width="9.99609375" style="127" hidden="1" customWidth="1"/>
    <col min="233" max="233" width="8.4453125" style="127" hidden="1" customWidth="1"/>
    <col min="234" max="234" width="8.88671875" style="127" hidden="1" customWidth="1"/>
    <col min="235" max="235" width="9.99609375" style="127" hidden="1" customWidth="1"/>
    <col min="236" max="236" width="9.99609375" style="127" customWidth="1"/>
    <col min="237" max="237" width="9.99609375" style="127" hidden="1" customWidth="1"/>
    <col min="238" max="246" width="7.88671875" style="127" hidden="1" customWidth="1"/>
    <col min="247" max="247" width="8.88671875" style="127" customWidth="1"/>
    <col min="248" max="248" width="9.99609375" style="127" hidden="1" customWidth="1"/>
    <col min="249" max="250" width="9.99609375" style="127" customWidth="1"/>
  </cols>
  <sheetData>
    <row r="1" spans="1:250" ht="1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61"/>
      <c r="AP1" s="162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3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63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5"/>
      <c r="EN1" s="164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4"/>
      <c r="FA1" s="164"/>
      <c r="FB1" s="164"/>
      <c r="FC1" s="164"/>
      <c r="FD1" s="164"/>
      <c r="FE1" s="164"/>
      <c r="FF1" s="164"/>
      <c r="FG1" s="164"/>
      <c r="FH1" s="164"/>
      <c r="FI1" s="166"/>
      <c r="FJ1" s="166"/>
      <c r="FK1" s="166"/>
      <c r="FL1" s="166"/>
      <c r="FM1" s="164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5"/>
      <c r="HA1" s="163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58"/>
      <c r="HN1" s="163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N1" s="163"/>
      <c r="IO1" s="163"/>
      <c r="IP1" s="210" t="s">
        <v>78</v>
      </c>
    </row>
    <row r="2" spans="1:250" ht="15">
      <c r="A2" s="167" t="s">
        <v>81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7"/>
      <c r="BS2" s="7"/>
      <c r="BT2" s="7"/>
      <c r="BU2" s="15"/>
      <c r="BV2" s="1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130"/>
      <c r="FJ2" s="130"/>
      <c r="FK2" s="130"/>
      <c r="FL2" s="130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16"/>
    </row>
    <row r="3" spans="1:250" ht="18">
      <c r="A3" s="16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8" t="s">
        <v>69</v>
      </c>
      <c r="P3" s="19"/>
      <c r="Q3" s="20" t="s">
        <v>70</v>
      </c>
      <c r="R3" s="18" t="s">
        <v>1</v>
      </c>
      <c r="S3" s="21" t="s">
        <v>72</v>
      </c>
      <c r="T3" s="18"/>
      <c r="U3" s="18"/>
      <c r="V3" s="18"/>
      <c r="W3" s="18"/>
      <c r="X3" s="18"/>
      <c r="Y3" s="22"/>
      <c r="Z3" s="22"/>
      <c r="AA3" s="22"/>
      <c r="AB3" s="22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3"/>
      <c r="AP3" s="7"/>
      <c r="AQ3" s="7"/>
      <c r="AR3" s="7"/>
      <c r="AS3" s="7"/>
      <c r="AT3" s="7"/>
      <c r="AU3" s="7"/>
      <c r="AV3" s="7"/>
      <c r="AW3" s="7"/>
      <c r="AX3" s="7"/>
      <c r="AY3" s="7"/>
      <c r="AZ3" s="23"/>
      <c r="BA3" s="23"/>
      <c r="BB3" s="22"/>
      <c r="BC3" s="7"/>
      <c r="BD3" s="7"/>
      <c r="BE3" s="7"/>
      <c r="BF3" s="7"/>
      <c r="BG3" s="24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9"/>
      <c r="CV3" s="9"/>
      <c r="CW3" s="9"/>
      <c r="CX3" s="9"/>
      <c r="CY3" s="9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130"/>
      <c r="FJ3" s="130"/>
      <c r="FK3" s="130"/>
      <c r="FL3" s="130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16"/>
    </row>
    <row r="4" spans="1:250" ht="18">
      <c r="A4" s="170" t="s">
        <v>2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7"/>
      <c r="O4" s="27"/>
      <c r="P4" s="27"/>
      <c r="Q4" s="2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22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130"/>
      <c r="FJ4" s="130"/>
      <c r="FK4" s="130"/>
      <c r="FL4" s="130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16"/>
    </row>
    <row r="5" spans="1:250" ht="15.75" thickBot="1">
      <c r="A5" s="17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8" t="s">
        <v>2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141"/>
      <c r="FJ5" s="141"/>
      <c r="FK5" s="141"/>
      <c r="FL5" s="141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211"/>
    </row>
    <row r="6" spans="1:250" ht="15">
      <c r="A6" s="172"/>
      <c r="B6" s="3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2"/>
      <c r="O6" s="7"/>
      <c r="P6" s="32"/>
      <c r="Q6" s="32"/>
      <c r="R6" s="32"/>
      <c r="S6" s="33"/>
      <c r="T6" s="33"/>
      <c r="U6" s="33"/>
      <c r="V6" s="33"/>
      <c r="W6" s="33"/>
      <c r="X6" s="33"/>
      <c r="Y6" s="34"/>
      <c r="Z6" s="34"/>
      <c r="AA6" s="34"/>
      <c r="AB6" s="34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3"/>
      <c r="AP6" s="36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33"/>
      <c r="BB6" s="7"/>
      <c r="BC6" s="7"/>
      <c r="BD6" s="7"/>
      <c r="BE6" s="7"/>
      <c r="BF6" s="7"/>
      <c r="BG6" s="7"/>
      <c r="BH6" s="7"/>
      <c r="BI6" s="7"/>
      <c r="BJ6" s="7"/>
      <c r="BK6" s="7"/>
      <c r="BL6" s="31"/>
      <c r="BM6" s="10"/>
      <c r="BN6" s="36"/>
      <c r="BO6" s="36"/>
      <c r="BP6" s="219">
        <v>2010</v>
      </c>
      <c r="BQ6" s="36"/>
      <c r="BR6" s="36"/>
      <c r="BS6" s="37"/>
      <c r="BT6" s="36"/>
      <c r="BU6" s="36"/>
      <c r="BV6" s="33"/>
      <c r="BW6" s="33"/>
      <c r="BX6" s="36"/>
      <c r="BY6" s="36"/>
      <c r="BZ6" s="37"/>
      <c r="CA6" s="33"/>
      <c r="CB6" s="38">
        <v>2011</v>
      </c>
      <c r="CC6" s="39"/>
      <c r="CD6" s="39"/>
      <c r="CE6" s="39"/>
      <c r="CF6" s="39"/>
      <c r="CG6" s="39"/>
      <c r="CH6" s="39"/>
      <c r="CI6" s="39"/>
      <c r="CJ6" s="39"/>
      <c r="CK6" s="39"/>
      <c r="CL6" s="219">
        <v>2011</v>
      </c>
      <c r="CM6" s="216"/>
      <c r="CN6" s="219">
        <v>2012</v>
      </c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6"/>
      <c r="DA6" s="219">
        <v>2013</v>
      </c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6"/>
      <c r="DN6" s="2"/>
      <c r="DO6" s="227">
        <v>2014</v>
      </c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9"/>
      <c r="EA6" s="138"/>
      <c r="EB6" s="215">
        <v>2015</v>
      </c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6"/>
      <c r="EN6" s="219">
        <v>2016</v>
      </c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6"/>
      <c r="FA6" s="219">
        <v>2017</v>
      </c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6"/>
      <c r="FN6" s="4"/>
      <c r="FO6" s="219">
        <v>2018</v>
      </c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6"/>
      <c r="GA6" s="38">
        <v>2019</v>
      </c>
      <c r="GB6" s="39"/>
      <c r="GC6" s="39"/>
      <c r="GD6" s="39"/>
      <c r="GE6" s="39"/>
      <c r="GF6" s="39"/>
      <c r="GG6" s="39"/>
      <c r="GH6" s="215">
        <v>2020</v>
      </c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6"/>
      <c r="HA6" s="219">
        <v>2021</v>
      </c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21">
        <v>2022</v>
      </c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3"/>
      <c r="IA6" s="221">
        <v>2023</v>
      </c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3"/>
      <c r="IN6" s="233">
        <v>2024</v>
      </c>
      <c r="IO6" s="234"/>
      <c r="IP6" s="235"/>
    </row>
    <row r="7" spans="1:250" ht="15.75" thickBot="1">
      <c r="A7" s="174" t="s">
        <v>62</v>
      </c>
      <c r="B7" s="7">
        <v>1985</v>
      </c>
      <c r="C7" s="7">
        <v>1986</v>
      </c>
      <c r="D7" s="153" t="s">
        <v>3</v>
      </c>
      <c r="E7" s="153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31" t="s">
        <v>11</v>
      </c>
      <c r="M7" s="31" t="s">
        <v>12</v>
      </c>
      <c r="N7" s="30" t="s">
        <v>13</v>
      </c>
      <c r="O7" s="31" t="s">
        <v>14</v>
      </c>
      <c r="P7" s="30" t="s">
        <v>15</v>
      </c>
      <c r="Q7" s="30">
        <v>2000</v>
      </c>
      <c r="R7" s="17">
        <v>2001</v>
      </c>
      <c r="S7" s="40">
        <v>2002</v>
      </c>
      <c r="T7" s="30">
        <v>2003</v>
      </c>
      <c r="U7" s="30">
        <v>2004</v>
      </c>
      <c r="V7" s="30">
        <v>2005</v>
      </c>
      <c r="W7" s="30">
        <v>2006</v>
      </c>
      <c r="X7" s="30">
        <v>2007</v>
      </c>
      <c r="Y7" s="30">
        <v>2008</v>
      </c>
      <c r="Z7" s="30">
        <v>2009</v>
      </c>
      <c r="AA7" s="30">
        <v>2010</v>
      </c>
      <c r="AB7" s="30">
        <v>2011</v>
      </c>
      <c r="AC7" s="41">
        <v>2012</v>
      </c>
      <c r="AD7" s="41">
        <v>2013</v>
      </c>
      <c r="AE7" s="41">
        <v>2014</v>
      </c>
      <c r="AF7" s="41">
        <v>2015</v>
      </c>
      <c r="AG7" s="41">
        <v>2016</v>
      </c>
      <c r="AH7" s="41">
        <v>2017</v>
      </c>
      <c r="AI7" s="41">
        <v>2018</v>
      </c>
      <c r="AJ7" s="41">
        <v>2019</v>
      </c>
      <c r="AK7" s="41">
        <v>2020</v>
      </c>
      <c r="AL7" s="41">
        <v>2021</v>
      </c>
      <c r="AM7" s="41">
        <v>2022</v>
      </c>
      <c r="AN7" s="41">
        <v>2023</v>
      </c>
      <c r="AO7" s="156">
        <v>2008</v>
      </c>
      <c r="AP7" s="42">
        <v>2008</v>
      </c>
      <c r="AQ7" s="43">
        <v>2008</v>
      </c>
      <c r="AR7" s="43">
        <v>2008</v>
      </c>
      <c r="AS7" s="43">
        <v>2008</v>
      </c>
      <c r="AT7" s="44">
        <v>2008</v>
      </c>
      <c r="AU7" s="43">
        <v>2008</v>
      </c>
      <c r="AV7" s="43">
        <v>2008</v>
      </c>
      <c r="AW7" s="43">
        <v>2008</v>
      </c>
      <c r="AX7" s="43">
        <v>2008</v>
      </c>
      <c r="AY7" s="43">
        <v>2008</v>
      </c>
      <c r="AZ7" s="43">
        <v>2008</v>
      </c>
      <c r="BA7" s="156">
        <v>2009</v>
      </c>
      <c r="BB7" s="43">
        <v>2009</v>
      </c>
      <c r="BC7" s="150">
        <v>2009</v>
      </c>
      <c r="BD7" s="43">
        <v>2009</v>
      </c>
      <c r="BE7" s="43">
        <v>2009</v>
      </c>
      <c r="BF7" s="44">
        <v>2009</v>
      </c>
      <c r="BG7" s="43">
        <v>2009</v>
      </c>
      <c r="BH7" s="43">
        <v>2009</v>
      </c>
      <c r="BI7" s="43">
        <v>2009</v>
      </c>
      <c r="BJ7" s="43">
        <v>2009</v>
      </c>
      <c r="BK7" s="43">
        <v>2009</v>
      </c>
      <c r="BL7" s="150">
        <v>2009</v>
      </c>
      <c r="BM7" s="13"/>
      <c r="BN7" s="42">
        <v>2010</v>
      </c>
      <c r="BO7" s="42">
        <v>2010</v>
      </c>
      <c r="BP7" s="220"/>
      <c r="BQ7" s="149">
        <v>2010</v>
      </c>
      <c r="BR7" s="149">
        <v>2010</v>
      </c>
      <c r="BS7" s="151">
        <v>2010</v>
      </c>
      <c r="BT7" s="42">
        <v>2010</v>
      </c>
      <c r="BU7" s="149">
        <v>2010</v>
      </c>
      <c r="BV7" s="149">
        <v>2010</v>
      </c>
      <c r="BW7" s="149">
        <v>2010</v>
      </c>
      <c r="BX7" s="220">
        <v>2010</v>
      </c>
      <c r="BY7" s="217"/>
      <c r="BZ7" s="218"/>
      <c r="CA7" s="156">
        <v>2011</v>
      </c>
      <c r="CB7" s="45"/>
      <c r="CC7" s="44"/>
      <c r="CD7" s="44"/>
      <c r="CE7" s="44"/>
      <c r="CF7" s="44"/>
      <c r="CG7" s="44"/>
      <c r="CH7" s="44"/>
      <c r="CI7" s="44"/>
      <c r="CJ7" s="44"/>
      <c r="CK7" s="44"/>
      <c r="CL7" s="220"/>
      <c r="CM7" s="218"/>
      <c r="CN7" s="220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8"/>
      <c r="DA7" s="220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8"/>
      <c r="DN7" s="41">
        <v>2014</v>
      </c>
      <c r="DO7" s="230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2"/>
      <c r="EA7" s="45">
        <v>2015</v>
      </c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8"/>
      <c r="EN7" s="220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8"/>
      <c r="FA7" s="220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8"/>
      <c r="FN7" s="156">
        <v>2018</v>
      </c>
      <c r="FO7" s="220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8"/>
      <c r="GA7" s="45"/>
      <c r="GB7" s="44"/>
      <c r="GC7" s="44"/>
      <c r="GD7" s="44"/>
      <c r="GE7" s="44"/>
      <c r="GF7" s="44"/>
      <c r="GG7" s="44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8"/>
      <c r="HA7" s="220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24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6"/>
      <c r="IA7" s="239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40"/>
      <c r="IN7" s="236"/>
      <c r="IO7" s="237"/>
      <c r="IP7" s="238"/>
    </row>
    <row r="8" spans="1:250" ht="15">
      <c r="A8" s="17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2"/>
      <c r="O8" s="7"/>
      <c r="P8" s="32"/>
      <c r="Q8" s="32"/>
      <c r="R8" s="32"/>
      <c r="S8" s="16"/>
      <c r="T8" s="16"/>
      <c r="U8" s="16"/>
      <c r="V8" s="16"/>
      <c r="W8" s="16"/>
      <c r="X8" s="16"/>
      <c r="Y8" s="46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202"/>
      <c r="AM8" s="208"/>
      <c r="AN8" s="157"/>
      <c r="AO8" s="157" t="s">
        <v>16</v>
      </c>
      <c r="AP8" s="157" t="s">
        <v>17</v>
      </c>
      <c r="AQ8" s="46" t="s">
        <v>18</v>
      </c>
      <c r="AR8" s="46" t="s">
        <v>19</v>
      </c>
      <c r="AS8" s="46" t="s">
        <v>20</v>
      </c>
      <c r="AT8" s="157" t="s">
        <v>21</v>
      </c>
      <c r="AU8" s="157" t="s">
        <v>22</v>
      </c>
      <c r="AV8" s="157" t="s">
        <v>23</v>
      </c>
      <c r="AW8" s="157" t="s">
        <v>24</v>
      </c>
      <c r="AX8" s="157" t="s">
        <v>25</v>
      </c>
      <c r="AY8" s="157" t="s">
        <v>26</v>
      </c>
      <c r="AZ8" s="157" t="s">
        <v>27</v>
      </c>
      <c r="BA8" s="157" t="s">
        <v>16</v>
      </c>
      <c r="BB8" s="157" t="s">
        <v>17</v>
      </c>
      <c r="BC8" s="46" t="s">
        <v>18</v>
      </c>
      <c r="BD8" s="46" t="s">
        <v>19</v>
      </c>
      <c r="BE8" s="46" t="s">
        <v>20</v>
      </c>
      <c r="BF8" s="157" t="s">
        <v>21</v>
      </c>
      <c r="BG8" s="157" t="s">
        <v>22</v>
      </c>
      <c r="BH8" s="157" t="s">
        <v>23</v>
      </c>
      <c r="BI8" s="157" t="s">
        <v>24</v>
      </c>
      <c r="BJ8" s="157" t="s">
        <v>25</v>
      </c>
      <c r="BK8" s="157" t="s">
        <v>26</v>
      </c>
      <c r="BL8" s="155" t="s">
        <v>27</v>
      </c>
      <c r="BM8" s="155" t="s">
        <v>75</v>
      </c>
      <c r="BN8" s="152" t="s">
        <v>16</v>
      </c>
      <c r="BO8" s="152" t="s">
        <v>17</v>
      </c>
      <c r="BP8" s="152" t="s">
        <v>18</v>
      </c>
      <c r="BQ8" s="152" t="s">
        <v>19</v>
      </c>
      <c r="BR8" s="157" t="s">
        <v>20</v>
      </c>
      <c r="BS8" s="152" t="s">
        <v>21</v>
      </c>
      <c r="BT8" s="152" t="s">
        <v>22</v>
      </c>
      <c r="BU8" s="152" t="s">
        <v>23</v>
      </c>
      <c r="BV8" s="152" t="s">
        <v>24</v>
      </c>
      <c r="BW8" s="152" t="s">
        <v>25</v>
      </c>
      <c r="BX8" s="152" t="s">
        <v>26</v>
      </c>
      <c r="BY8" s="152" t="s">
        <v>27</v>
      </c>
      <c r="BZ8" s="157" t="s">
        <v>77</v>
      </c>
      <c r="CA8" s="152" t="s">
        <v>16</v>
      </c>
      <c r="CB8" s="152" t="s">
        <v>17</v>
      </c>
      <c r="CC8" s="152" t="s">
        <v>18</v>
      </c>
      <c r="CD8" s="152" t="s">
        <v>19</v>
      </c>
      <c r="CE8" s="152" t="s">
        <v>20</v>
      </c>
      <c r="CF8" s="152" t="s">
        <v>21</v>
      </c>
      <c r="CG8" s="152" t="s">
        <v>22</v>
      </c>
      <c r="CH8" s="152" t="s">
        <v>23</v>
      </c>
      <c r="CI8" s="152" t="s">
        <v>24</v>
      </c>
      <c r="CJ8" s="152" t="s">
        <v>25</v>
      </c>
      <c r="CK8" s="152" t="s">
        <v>26</v>
      </c>
      <c r="CL8" s="152" t="s">
        <v>27</v>
      </c>
      <c r="CM8" s="152" t="s">
        <v>77</v>
      </c>
      <c r="CN8" s="152" t="s">
        <v>16</v>
      </c>
      <c r="CO8" s="152" t="s">
        <v>17</v>
      </c>
      <c r="CP8" s="152" t="s">
        <v>18</v>
      </c>
      <c r="CQ8" s="152" t="s">
        <v>19</v>
      </c>
      <c r="CR8" s="152" t="s">
        <v>20</v>
      </c>
      <c r="CS8" s="152" t="s">
        <v>21</v>
      </c>
      <c r="CT8" s="152" t="s">
        <v>22</v>
      </c>
      <c r="CU8" s="152" t="s">
        <v>23</v>
      </c>
      <c r="CV8" s="152" t="s">
        <v>24</v>
      </c>
      <c r="CW8" s="155" t="s">
        <v>25</v>
      </c>
      <c r="CX8" s="155" t="s">
        <v>26</v>
      </c>
      <c r="CY8" s="155" t="s">
        <v>27</v>
      </c>
      <c r="CZ8" s="152" t="s">
        <v>77</v>
      </c>
      <c r="DA8" s="152" t="s">
        <v>16</v>
      </c>
      <c r="DB8" s="152" t="s">
        <v>17</v>
      </c>
      <c r="DC8" s="152" t="s">
        <v>18</v>
      </c>
      <c r="DD8" s="152" t="s">
        <v>19</v>
      </c>
      <c r="DE8" s="152" t="s">
        <v>20</v>
      </c>
      <c r="DF8" s="152" t="s">
        <v>21</v>
      </c>
      <c r="DG8" s="152" t="s">
        <v>22</v>
      </c>
      <c r="DH8" s="152" t="s">
        <v>23</v>
      </c>
      <c r="DI8" s="152" t="s">
        <v>24</v>
      </c>
      <c r="DJ8" s="152" t="s">
        <v>25</v>
      </c>
      <c r="DK8" s="152" t="s">
        <v>26</v>
      </c>
      <c r="DL8" s="152" t="s">
        <v>27</v>
      </c>
      <c r="DM8" s="152" t="s">
        <v>77</v>
      </c>
      <c r="DN8" s="152" t="s">
        <v>16</v>
      </c>
      <c r="DO8" s="152" t="s">
        <v>17</v>
      </c>
      <c r="DP8" s="152" t="s">
        <v>18</v>
      </c>
      <c r="DQ8" s="152" t="s">
        <v>19</v>
      </c>
      <c r="DR8" s="152" t="s">
        <v>20</v>
      </c>
      <c r="DS8" s="152" t="s">
        <v>21</v>
      </c>
      <c r="DT8" s="152" t="s">
        <v>22</v>
      </c>
      <c r="DU8" s="152" t="s">
        <v>23</v>
      </c>
      <c r="DV8" s="152" t="s">
        <v>24</v>
      </c>
      <c r="DW8" s="152" t="s">
        <v>25</v>
      </c>
      <c r="DX8" s="152" t="s">
        <v>26</v>
      </c>
      <c r="DY8" s="152" t="s">
        <v>27</v>
      </c>
      <c r="DZ8" s="155" t="s">
        <v>77</v>
      </c>
      <c r="EA8" s="152" t="s">
        <v>16</v>
      </c>
      <c r="EB8" s="152" t="s">
        <v>17</v>
      </c>
      <c r="EC8" s="152" t="s">
        <v>18</v>
      </c>
      <c r="ED8" s="152" t="s">
        <v>19</v>
      </c>
      <c r="EE8" s="152" t="s">
        <v>20</v>
      </c>
      <c r="EF8" s="152" t="s">
        <v>21</v>
      </c>
      <c r="EG8" s="152" t="s">
        <v>22</v>
      </c>
      <c r="EH8" s="152" t="s">
        <v>23</v>
      </c>
      <c r="EI8" s="152" t="s">
        <v>24</v>
      </c>
      <c r="EJ8" s="152" t="s">
        <v>25</v>
      </c>
      <c r="EK8" s="152" t="s">
        <v>26</v>
      </c>
      <c r="EL8" s="152" t="s">
        <v>27</v>
      </c>
      <c r="EM8" s="155" t="s">
        <v>86</v>
      </c>
      <c r="EN8" s="152" t="s">
        <v>83</v>
      </c>
      <c r="EO8" s="152" t="s">
        <v>84</v>
      </c>
      <c r="EP8" s="152" t="s">
        <v>73</v>
      </c>
      <c r="EQ8" s="152" t="s">
        <v>19</v>
      </c>
      <c r="ER8" s="152" t="s">
        <v>20</v>
      </c>
      <c r="ES8" s="155" t="s">
        <v>21</v>
      </c>
      <c r="ET8" s="155" t="s">
        <v>22</v>
      </c>
      <c r="EU8" s="155" t="s">
        <v>23</v>
      </c>
      <c r="EV8" s="152" t="s">
        <v>24</v>
      </c>
      <c r="EW8" s="152" t="s">
        <v>25</v>
      </c>
      <c r="EX8" s="152" t="s">
        <v>26</v>
      </c>
      <c r="EY8" s="152" t="s">
        <v>27</v>
      </c>
      <c r="EZ8" s="155" t="s">
        <v>77</v>
      </c>
      <c r="FA8" s="155" t="s">
        <v>16</v>
      </c>
      <c r="FB8" s="155" t="s">
        <v>17</v>
      </c>
      <c r="FC8" s="155" t="s">
        <v>18</v>
      </c>
      <c r="FD8" s="155" t="s">
        <v>19</v>
      </c>
      <c r="FE8" s="155" t="s">
        <v>20</v>
      </c>
      <c r="FF8" s="155" t="s">
        <v>21</v>
      </c>
      <c r="FG8" s="155" t="s">
        <v>22</v>
      </c>
      <c r="FH8" s="155" t="s">
        <v>23</v>
      </c>
      <c r="FI8" s="142" t="s">
        <v>24</v>
      </c>
      <c r="FJ8" s="142" t="s">
        <v>25</v>
      </c>
      <c r="FK8" s="142" t="s">
        <v>26</v>
      </c>
      <c r="FL8" s="142" t="s">
        <v>27</v>
      </c>
      <c r="FM8" s="155" t="s">
        <v>77</v>
      </c>
      <c r="FN8" s="155" t="s">
        <v>16</v>
      </c>
      <c r="FO8" s="155" t="s">
        <v>17</v>
      </c>
      <c r="FP8" s="155" t="s">
        <v>18</v>
      </c>
      <c r="FQ8" s="155" t="s">
        <v>19</v>
      </c>
      <c r="FR8" s="155" t="s">
        <v>20</v>
      </c>
      <c r="FS8" s="155" t="s">
        <v>21</v>
      </c>
      <c r="FT8" s="155" t="s">
        <v>22</v>
      </c>
      <c r="FU8" s="155" t="s">
        <v>23</v>
      </c>
      <c r="FV8" s="155" t="s">
        <v>24</v>
      </c>
      <c r="FW8" s="155" t="s">
        <v>25</v>
      </c>
      <c r="FX8" s="155" t="s">
        <v>26</v>
      </c>
      <c r="FY8" s="155" t="s">
        <v>27</v>
      </c>
      <c r="FZ8" s="155" t="s">
        <v>77</v>
      </c>
      <c r="GA8" s="148" t="s">
        <v>16</v>
      </c>
      <c r="GB8" s="148" t="s">
        <v>17</v>
      </c>
      <c r="GC8" s="148" t="s">
        <v>18</v>
      </c>
      <c r="GD8" s="148" t="s">
        <v>19</v>
      </c>
      <c r="GE8" s="148" t="s">
        <v>20</v>
      </c>
      <c r="GF8" s="148" t="s">
        <v>21</v>
      </c>
      <c r="GG8" s="148" t="s">
        <v>22</v>
      </c>
      <c r="GH8" s="148" t="s">
        <v>23</v>
      </c>
      <c r="GI8" s="148" t="s">
        <v>24</v>
      </c>
      <c r="GJ8" s="148" t="s">
        <v>25</v>
      </c>
      <c r="GK8" s="148" t="s">
        <v>26</v>
      </c>
      <c r="GL8" s="148" t="s">
        <v>27</v>
      </c>
      <c r="GM8" s="148" t="s">
        <v>77</v>
      </c>
      <c r="GN8" s="148" t="s">
        <v>16</v>
      </c>
      <c r="GO8" s="148" t="s">
        <v>17</v>
      </c>
      <c r="GP8" s="148" t="s">
        <v>18</v>
      </c>
      <c r="GQ8" s="148" t="s">
        <v>19</v>
      </c>
      <c r="GR8" s="148" t="s">
        <v>20</v>
      </c>
      <c r="GS8" s="148" t="s">
        <v>21</v>
      </c>
      <c r="GT8" s="148" t="s">
        <v>22</v>
      </c>
      <c r="GU8" s="148" t="s">
        <v>23</v>
      </c>
      <c r="GV8" s="148" t="s">
        <v>24</v>
      </c>
      <c r="GW8" s="148" t="s">
        <v>25</v>
      </c>
      <c r="GX8" s="148" t="s">
        <v>26</v>
      </c>
      <c r="GY8" s="148" t="s">
        <v>27</v>
      </c>
      <c r="GZ8" s="148" t="s">
        <v>77</v>
      </c>
      <c r="HA8" s="148" t="s">
        <v>16</v>
      </c>
      <c r="HB8" s="148" t="s">
        <v>17</v>
      </c>
      <c r="HC8" s="148" t="s">
        <v>18</v>
      </c>
      <c r="HD8" s="148" t="s">
        <v>19</v>
      </c>
      <c r="HE8" s="148" t="s">
        <v>20</v>
      </c>
      <c r="HF8" s="148" t="s">
        <v>21</v>
      </c>
      <c r="HG8" s="148" t="s">
        <v>22</v>
      </c>
      <c r="HH8" s="148" t="s">
        <v>23</v>
      </c>
      <c r="HI8" s="148" t="s">
        <v>24</v>
      </c>
      <c r="HJ8" s="148" t="s">
        <v>25</v>
      </c>
      <c r="HK8" s="148" t="s">
        <v>26</v>
      </c>
      <c r="HL8" s="148" t="s">
        <v>27</v>
      </c>
      <c r="HM8" s="148" t="s">
        <v>77</v>
      </c>
      <c r="HN8" s="156" t="s">
        <v>16</v>
      </c>
      <c r="HO8" s="156" t="s">
        <v>17</v>
      </c>
      <c r="HP8" s="156" t="s">
        <v>18</v>
      </c>
      <c r="HQ8" s="156" t="s">
        <v>19</v>
      </c>
      <c r="HR8" s="156" t="s">
        <v>20</v>
      </c>
      <c r="HS8" s="156" t="s">
        <v>21</v>
      </c>
      <c r="HT8" s="156" t="s">
        <v>22</v>
      </c>
      <c r="HU8" s="156" t="s">
        <v>23</v>
      </c>
      <c r="HV8" s="156" t="s">
        <v>24</v>
      </c>
      <c r="HW8" s="156" t="s">
        <v>25</v>
      </c>
      <c r="HX8" s="156" t="s">
        <v>26</v>
      </c>
      <c r="HY8" s="156" t="s">
        <v>27</v>
      </c>
      <c r="HZ8" s="203" t="s">
        <v>77</v>
      </c>
      <c r="IA8" s="176" t="s">
        <v>16</v>
      </c>
      <c r="IB8" s="176" t="s">
        <v>17</v>
      </c>
      <c r="IC8" s="176" t="s">
        <v>18</v>
      </c>
      <c r="ID8" s="176" t="s">
        <v>19</v>
      </c>
      <c r="IE8" s="176" t="s">
        <v>20</v>
      </c>
      <c r="IF8" s="176" t="s">
        <v>21</v>
      </c>
      <c r="IG8" s="176" t="s">
        <v>22</v>
      </c>
      <c r="IH8" s="176" t="s">
        <v>23</v>
      </c>
      <c r="II8" s="204" t="s">
        <v>24</v>
      </c>
      <c r="IJ8" s="204" t="s">
        <v>25</v>
      </c>
      <c r="IK8" s="205" t="s">
        <v>26</v>
      </c>
      <c r="IL8" s="206" t="s">
        <v>27</v>
      </c>
      <c r="IM8" s="209" t="s">
        <v>87</v>
      </c>
      <c r="IN8" s="209" t="s">
        <v>16</v>
      </c>
      <c r="IO8" s="209" t="s">
        <v>17</v>
      </c>
      <c r="IP8" s="209" t="s">
        <v>87</v>
      </c>
    </row>
    <row r="9" spans="1:250" ht="15">
      <c r="A9" s="177" t="s">
        <v>63</v>
      </c>
      <c r="B9" s="8"/>
      <c r="C9" s="29" t="s">
        <v>0</v>
      </c>
      <c r="D9" s="29" t="s">
        <v>0</v>
      </c>
      <c r="E9" s="29" t="s">
        <v>0</v>
      </c>
      <c r="F9" s="29" t="s">
        <v>0</v>
      </c>
      <c r="G9" s="29" t="s">
        <v>0</v>
      </c>
      <c r="H9" s="29" t="s">
        <v>0</v>
      </c>
      <c r="I9" s="29" t="s">
        <v>0</v>
      </c>
      <c r="J9" s="29" t="s">
        <v>0</v>
      </c>
      <c r="K9" s="29" t="s">
        <v>0</v>
      </c>
      <c r="L9" s="29" t="s">
        <v>0</v>
      </c>
      <c r="M9" s="29"/>
      <c r="N9" s="48"/>
      <c r="O9" s="29"/>
      <c r="P9" s="48"/>
      <c r="Q9" s="48"/>
      <c r="R9" s="48"/>
      <c r="S9" s="49"/>
      <c r="T9" s="49"/>
      <c r="U9" s="49"/>
      <c r="V9" s="48"/>
      <c r="W9" s="50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7"/>
      <c r="AP9" s="49"/>
      <c r="AQ9" s="49"/>
      <c r="AR9" s="48"/>
      <c r="AS9" s="48"/>
      <c r="AT9" s="48"/>
      <c r="AU9" s="48"/>
      <c r="AV9" s="48"/>
      <c r="AW9" s="48"/>
      <c r="AX9" s="48"/>
      <c r="AY9" s="48"/>
      <c r="AZ9" s="48"/>
      <c r="BA9" s="47"/>
      <c r="BB9" s="49"/>
      <c r="BC9" s="49"/>
      <c r="BD9" s="48"/>
      <c r="BE9" s="48"/>
      <c r="BF9" s="48"/>
      <c r="BG9" s="48"/>
      <c r="BH9" s="48"/>
      <c r="BI9" s="48"/>
      <c r="BJ9" s="48"/>
      <c r="BK9" s="48"/>
      <c r="BL9" s="48"/>
      <c r="BM9" s="49"/>
      <c r="BN9" s="47"/>
      <c r="BO9" s="47"/>
      <c r="BP9" s="47"/>
      <c r="BQ9" s="49"/>
      <c r="BR9" s="48"/>
      <c r="BS9" s="49"/>
      <c r="BT9" s="48"/>
      <c r="BU9" s="28"/>
      <c r="BV9" s="48"/>
      <c r="BW9" s="48"/>
      <c r="BX9" s="48"/>
      <c r="BY9" s="48"/>
      <c r="BZ9" s="49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143"/>
      <c r="FJ9" s="143"/>
      <c r="FK9" s="143"/>
      <c r="FL9" s="143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</row>
    <row r="10" spans="1:250" ht="15">
      <c r="A10" s="17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3"/>
      <c r="O10" s="10"/>
      <c r="P10" s="33"/>
      <c r="Q10" s="33"/>
      <c r="R10" s="33"/>
      <c r="S10" s="16"/>
      <c r="T10" s="16"/>
      <c r="U10" s="16"/>
      <c r="V10" s="16"/>
      <c r="W10" s="16"/>
      <c r="X10" s="16"/>
      <c r="Y10" s="33"/>
      <c r="Z10" s="33"/>
      <c r="AA10" s="33"/>
      <c r="AB10" s="3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3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  <c r="BB10" s="37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3"/>
      <c r="BN10" s="33"/>
      <c r="BO10" s="33"/>
      <c r="BP10" s="33"/>
      <c r="BQ10" s="37"/>
      <c r="BR10" s="32"/>
      <c r="BS10" s="16"/>
      <c r="BT10" s="32"/>
      <c r="BU10" s="51"/>
      <c r="BV10" s="33"/>
      <c r="BW10" s="33"/>
      <c r="BX10" s="33"/>
      <c r="BY10" s="33"/>
      <c r="BZ10" s="16"/>
      <c r="CA10" s="33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144"/>
      <c r="FJ10" s="144"/>
      <c r="FK10" s="144"/>
      <c r="FL10" s="144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</row>
    <row r="11" spans="1:250" ht="15">
      <c r="A11" s="181" t="s">
        <v>28</v>
      </c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2"/>
      <c r="O11" s="7"/>
      <c r="P11" s="32"/>
      <c r="Q11" s="32"/>
      <c r="R11" s="32"/>
      <c r="S11" s="16"/>
      <c r="T11" s="16"/>
      <c r="U11" s="16"/>
      <c r="V11" s="16"/>
      <c r="W11" s="16"/>
      <c r="X11" s="16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16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16"/>
      <c r="BR11" s="32"/>
      <c r="BS11" s="16"/>
      <c r="BT11" s="32"/>
      <c r="BU11" s="51"/>
      <c r="BV11" s="32"/>
      <c r="BW11" s="32"/>
      <c r="BX11" s="32"/>
      <c r="BY11" s="32"/>
      <c r="BZ11" s="16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108"/>
      <c r="FJ11" s="108"/>
      <c r="FK11" s="108"/>
      <c r="FL11" s="108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</row>
    <row r="12" spans="1:250" ht="15">
      <c r="A12" s="17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2"/>
      <c r="O12" s="7"/>
      <c r="P12" s="32"/>
      <c r="Q12" s="32"/>
      <c r="R12" s="32"/>
      <c r="S12" s="16"/>
      <c r="T12" s="16"/>
      <c r="U12" s="16"/>
      <c r="V12" s="16"/>
      <c r="W12" s="16"/>
      <c r="X12" s="16"/>
      <c r="Y12" s="32"/>
      <c r="Z12" s="32"/>
      <c r="AA12" s="32"/>
      <c r="AB12" s="32"/>
      <c r="AC12" s="52"/>
      <c r="AD12" s="52"/>
      <c r="AE12" s="52"/>
      <c r="AF12" s="52"/>
      <c r="AG12" s="52"/>
      <c r="AH12" s="52"/>
      <c r="AI12" s="53"/>
      <c r="AJ12" s="53"/>
      <c r="AK12" s="53"/>
      <c r="AL12" s="53"/>
      <c r="AM12" s="53"/>
      <c r="AN12" s="53"/>
      <c r="AO12" s="32"/>
      <c r="AP12" s="32"/>
      <c r="AQ12" s="32"/>
      <c r="AR12" s="32"/>
      <c r="AS12" s="32"/>
      <c r="AT12" s="32"/>
      <c r="AU12" s="53"/>
      <c r="AV12" s="32"/>
      <c r="AW12" s="32"/>
      <c r="AX12" s="32"/>
      <c r="AY12" s="32"/>
      <c r="AZ12" s="32"/>
      <c r="BA12" s="32"/>
      <c r="BB12" s="16"/>
      <c r="BC12" s="30"/>
      <c r="BD12" s="32"/>
      <c r="BE12" s="32"/>
      <c r="BF12" s="32"/>
      <c r="BG12" s="53"/>
      <c r="BH12" s="32"/>
      <c r="BI12" s="32"/>
      <c r="BJ12" s="54"/>
      <c r="BK12" s="32"/>
      <c r="BL12" s="32"/>
      <c r="BM12" s="32"/>
      <c r="BN12" s="32"/>
      <c r="BO12" s="3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"/>
      <c r="FA12" s="53"/>
      <c r="FB12" s="53"/>
      <c r="FC12" s="53"/>
      <c r="FD12" s="53"/>
      <c r="FE12" s="53"/>
      <c r="FF12" s="53"/>
      <c r="FG12" s="53"/>
      <c r="FH12" s="53"/>
      <c r="FI12" s="68"/>
      <c r="FJ12" s="145"/>
      <c r="FK12" s="145"/>
      <c r="FL12" s="18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68"/>
      <c r="HF12" s="68"/>
      <c r="HG12" s="68"/>
      <c r="HH12" s="68"/>
      <c r="HI12" s="68"/>
      <c r="HJ12" s="68"/>
      <c r="HK12" s="68"/>
      <c r="HL12" s="68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</row>
    <row r="13" spans="1:250" ht="15">
      <c r="A13" s="185" t="s">
        <v>29</v>
      </c>
      <c r="B13" s="55">
        <v>803498</v>
      </c>
      <c r="C13" s="56">
        <v>919509</v>
      </c>
      <c r="D13" s="56">
        <v>880422</v>
      </c>
      <c r="E13" s="56">
        <v>877812</v>
      </c>
      <c r="F13" s="56">
        <v>842299</v>
      </c>
      <c r="G13" s="56">
        <v>916180</v>
      </c>
      <c r="H13" s="56">
        <v>981965</v>
      </c>
      <c r="I13" s="56">
        <v>1007387</v>
      </c>
      <c r="J13" s="56">
        <v>1044372</v>
      </c>
      <c r="K13" s="56">
        <v>1187058</v>
      </c>
      <c r="L13" s="57">
        <v>1148948</v>
      </c>
      <c r="M13" s="58">
        <v>997188</v>
      </c>
      <c r="N13" s="59">
        <v>983680</v>
      </c>
      <c r="O13" s="58">
        <v>820942</v>
      </c>
      <c r="P13" s="59">
        <v>784401</v>
      </c>
      <c r="Q13" s="59">
        <v>723763</v>
      </c>
      <c r="R13" s="60">
        <v>533368</v>
      </c>
      <c r="S13" s="60">
        <v>540597</v>
      </c>
      <c r="T13" s="59">
        <v>676682</v>
      </c>
      <c r="U13" s="59">
        <v>764089</v>
      </c>
      <c r="V13" s="59">
        <v>776201</v>
      </c>
      <c r="W13" s="59">
        <v>950805</v>
      </c>
      <c r="X13" s="59">
        <v>975699</v>
      </c>
      <c r="Y13" s="59">
        <v>1039179</v>
      </c>
      <c r="Z13" s="59">
        <v>970199</v>
      </c>
      <c r="AA13" s="52">
        <v>1193312.2464</v>
      </c>
      <c r="AB13" s="53">
        <v>1253805.3504</v>
      </c>
      <c r="AC13" s="52">
        <v>1224708.6048</v>
      </c>
      <c r="AD13" s="52">
        <v>1245477.4596</v>
      </c>
      <c r="AE13" s="52">
        <v>1342184.3568</v>
      </c>
      <c r="AF13" s="52">
        <v>1248240.1312000002</v>
      </c>
      <c r="AG13" s="52">
        <v>1148731.7584</v>
      </c>
      <c r="AH13" s="52">
        <v>1359744.8336</v>
      </c>
      <c r="AI13" s="52">
        <v>1374506.8912</v>
      </c>
      <c r="AJ13" s="52">
        <v>1374506.8912</v>
      </c>
      <c r="AK13" s="52">
        <v>1459335.1176</v>
      </c>
      <c r="AL13" s="52">
        <v>1456203.4120000002</v>
      </c>
      <c r="AM13" s="52">
        <v>1410171.3031999997</v>
      </c>
      <c r="AN13" s="52">
        <v>1657727.7824</v>
      </c>
      <c r="AO13" s="53">
        <v>79365</v>
      </c>
      <c r="AP13" s="61">
        <v>66259</v>
      </c>
      <c r="AQ13" s="62">
        <v>72593</v>
      </c>
      <c r="AR13" s="63">
        <v>76177</v>
      </c>
      <c r="AS13" s="64">
        <v>86077</v>
      </c>
      <c r="AT13" s="65">
        <v>88554</v>
      </c>
      <c r="AU13" s="65">
        <v>97187</v>
      </c>
      <c r="AV13" s="65">
        <v>109464</v>
      </c>
      <c r="AW13" s="65">
        <v>93340</v>
      </c>
      <c r="AX13" s="66">
        <v>98811</v>
      </c>
      <c r="AY13" s="53">
        <v>76539</v>
      </c>
      <c r="AZ13" s="67">
        <v>94813</v>
      </c>
      <c r="BA13" s="53">
        <v>78786</v>
      </c>
      <c r="BB13" s="61">
        <v>67520</v>
      </c>
      <c r="BC13" s="62">
        <v>66573</v>
      </c>
      <c r="BD13" s="63">
        <v>74982</v>
      </c>
      <c r="BE13" s="64">
        <v>73153</v>
      </c>
      <c r="BF13" s="65">
        <v>77767</v>
      </c>
      <c r="BG13" s="65">
        <v>116923</v>
      </c>
      <c r="BH13" s="65">
        <v>91892</v>
      </c>
      <c r="BI13" s="65">
        <v>85102</v>
      </c>
      <c r="BJ13" s="66">
        <v>84466</v>
      </c>
      <c r="BK13" s="53">
        <v>67683</v>
      </c>
      <c r="BL13" s="67">
        <v>85352</v>
      </c>
      <c r="BM13" s="64">
        <f>SUM(BA13:BL13)</f>
        <v>970199</v>
      </c>
      <c r="BN13" s="53">
        <v>93361.86</v>
      </c>
      <c r="BO13" s="53">
        <v>73434</v>
      </c>
      <c r="BP13" s="52">
        <f>11910923*72/10000</f>
        <v>85758.6456</v>
      </c>
      <c r="BQ13" s="52">
        <v>88832</v>
      </c>
      <c r="BR13" s="52">
        <f>11425140*72/10000</f>
        <v>82261.008</v>
      </c>
      <c r="BS13" s="52">
        <f>13924968*72/10000</f>
        <v>100259.7696</v>
      </c>
      <c r="BT13" s="52">
        <f>17415726*72/10000</f>
        <v>125393.2272</v>
      </c>
      <c r="BU13" s="52">
        <f>18019272*72/10000</f>
        <v>129738.7584</v>
      </c>
      <c r="BV13" s="52">
        <f>15775800*72/10000</f>
        <v>113585.76</v>
      </c>
      <c r="BW13" s="52">
        <f>14111352*72/10000</f>
        <v>101601.7344</v>
      </c>
      <c r="BX13" s="52">
        <v>99570.2912</v>
      </c>
      <c r="BY13" s="52">
        <v>99515.192</v>
      </c>
      <c r="BZ13" s="52">
        <f>SUM(BN13:BY13)</f>
        <v>1193312.2464</v>
      </c>
      <c r="CA13" s="52">
        <f>(14503980*72+136*2000)/10000</f>
        <v>104455.856</v>
      </c>
      <c r="CB13" s="52">
        <f>(12403224*72+174*2000)/10000</f>
        <v>89338.0128</v>
      </c>
      <c r="CC13" s="52">
        <f>(14600208*72+199*2000)/10000</f>
        <v>105161.2976</v>
      </c>
      <c r="CD13" s="52">
        <f>(14276652*72+189*2000)/10000</f>
        <v>102829.6944</v>
      </c>
      <c r="CE13" s="52">
        <f>(15106044*72/10000)+(173*20/100)</f>
        <v>108798.1168</v>
      </c>
      <c r="CF13" s="52">
        <f>(13364508*72/10000)+(234*20/100)</f>
        <v>96271.2576</v>
      </c>
      <c r="CG13" s="52">
        <f>(16591440*72/10000+219*20/100)</f>
        <v>119502.168</v>
      </c>
      <c r="CH13" s="52">
        <f>16761072*72/10000+231*20/100</f>
        <v>120725.9184</v>
      </c>
      <c r="CI13" s="52">
        <f>(16270296*72+206*2000)/10000</f>
        <v>117187.3312</v>
      </c>
      <c r="CJ13" s="52">
        <f>(13888944*72+178*2000)/10000</f>
        <v>100035.9968</v>
      </c>
      <c r="CK13" s="52">
        <f>(10826472*72+236*2000)/10000</f>
        <v>77997.7984</v>
      </c>
      <c r="CL13" s="52">
        <f>(15480792*72/10000)+(201*20/100)</f>
        <v>111501.90239999999</v>
      </c>
      <c r="CM13" s="52">
        <f>SUM(CA13:CL13)</f>
        <v>1253805.3504</v>
      </c>
      <c r="CN13" s="53">
        <f>(13640544*72)/10000+(73*20)/100</f>
        <v>98226.51680000001</v>
      </c>
      <c r="CO13" s="53">
        <f>(11560548*72+165*2000)/10000</f>
        <v>83268.9456</v>
      </c>
      <c r="CP13" s="53">
        <f>(13723104*72+166*2000)/10000</f>
        <v>98839.5488</v>
      </c>
      <c r="CQ13" s="53">
        <f>(13979172*72+81*2000)/10000</f>
        <v>100666.2384</v>
      </c>
      <c r="CR13" s="53">
        <f>(13589928*72/10000)+(122*20/100)</f>
        <v>97871.8816</v>
      </c>
      <c r="CS13" s="53">
        <f>16278744*72/10000+120*20/100</f>
        <v>117230.9568</v>
      </c>
      <c r="CT13" s="53">
        <f>(16900152*72/10000+184*20/100)</f>
        <v>121717.8944</v>
      </c>
      <c r="CU13" s="53">
        <f>(18414756*72+122*2000)/10000</f>
        <v>132610.6432</v>
      </c>
      <c r="CV13" s="53">
        <f>(15361728*72+113*2000)/10000</f>
        <v>110627.0416</v>
      </c>
      <c r="CW13" s="53">
        <f>(12711732*72+161*2000)/10000</f>
        <v>91556.6704</v>
      </c>
      <c r="CX13" s="53">
        <f>(11025744*72+143*2000)/10000</f>
        <v>79413.9568</v>
      </c>
      <c r="CY13" s="53">
        <f>(12867432*72+164*2000)/10000</f>
        <v>92678.3104</v>
      </c>
      <c r="CZ13" s="53">
        <f>SUM(CN13:CY13)</f>
        <v>1224708.6048</v>
      </c>
      <c r="DA13" s="53">
        <f>(13507224*72+174*2000)/10000</f>
        <v>97286.8128</v>
      </c>
      <c r="DB13" s="53">
        <f>(12554484*72+146*2000)/10000</f>
        <v>90421.4848</v>
      </c>
      <c r="DC13" s="53">
        <f>(13088004*72+162*2000)/10000</f>
        <v>94266.0288</v>
      </c>
      <c r="DD13" s="68">
        <f>(14221152*72+206*2000)/10000</f>
        <v>102433.4944</v>
      </c>
      <c r="DE13" s="68">
        <f>(14004048*72+199*2000)/10000</f>
        <v>100868.9456</v>
      </c>
      <c r="DF13" s="53">
        <f>(14887020*72+193*2000)/10000</f>
        <v>107225.144</v>
      </c>
      <c r="DG13" s="53">
        <f>(18104616*72+474192*50+213*2000)/10000</f>
        <v>132766.7952</v>
      </c>
      <c r="DH13" s="68">
        <f>(16696980*72+0*50+187*2000)/10000</f>
        <v>120255.656</v>
      </c>
      <c r="DI13" s="68">
        <f>(15887496*72+205*2000+165744*50)/10000</f>
        <v>115259.6912</v>
      </c>
      <c r="DJ13" s="68">
        <f>(13956780*72+221*2000+907344*50)/10000</f>
        <v>105069.736</v>
      </c>
      <c r="DK13" s="68">
        <f>(12531912*72)/10000+174*20/100+992784*50/10000</f>
        <v>95228.4864</v>
      </c>
      <c r="DL13" s="68">
        <f>(11714352*72+1050*50)/10000+233*20/100</f>
        <v>84395.18440000001</v>
      </c>
      <c r="DM13" s="53">
        <f>SUM(DA13:DL13)</f>
        <v>1245477.4596</v>
      </c>
      <c r="DN13" s="68">
        <f>(14745612*72+200*2000+1268556*50)/10000</f>
        <v>112551.1864</v>
      </c>
      <c r="DO13" s="68">
        <f>(12232272*72+200*2000+486972*50)/10000</f>
        <v>90547.2184</v>
      </c>
      <c r="DP13" s="68">
        <f>(12950088*72+237*2000+548232*50)/10000</f>
        <v>96029.1936</v>
      </c>
      <c r="DQ13" s="68">
        <f>(14098452*72+203*2000+1015944*50)/10000</f>
        <v>106629.1744</v>
      </c>
      <c r="DR13" s="68">
        <f>(15971520*72+199*2000+589460*50)/10000</f>
        <v>117982.044</v>
      </c>
      <c r="DS13" s="68">
        <f>(14212668*72+213*2000+712800*50)/10000</f>
        <v>105937.8096</v>
      </c>
      <c r="DT13" s="68">
        <f>(18770364*72+509020*50+194*2000)/10000</f>
        <v>137730.5208</v>
      </c>
      <c r="DU13" s="68">
        <f>(19022220*72+831340*50+213*2000)/10000</f>
        <v>141159.284</v>
      </c>
      <c r="DV13" s="68">
        <f>(13785612*72+746220*50+262*2000)/10000</f>
        <v>103039.9064</v>
      </c>
      <c r="DW13" s="68">
        <f>(14947164*72+532020*50+295*2000)/10000</f>
        <v>110338.6808</v>
      </c>
      <c r="DX13" s="68">
        <f>(13873296*72+443780*50+162*2000)/10000</f>
        <v>102139.0312</v>
      </c>
      <c r="DY13" s="68">
        <f>(16089876*72+438760*50+297*2000)/10000</f>
        <v>118100.3072</v>
      </c>
      <c r="DZ13" s="68">
        <f>SUM(DN13:DY13)</f>
        <v>1342184.3568</v>
      </c>
      <c r="EA13" s="68">
        <f>(14019504*72+627900*50+184*2000)/10000</f>
        <v>104116.7288</v>
      </c>
      <c r="EB13" s="68">
        <f>(14085972*72+242720*50+219*2000)/10000</f>
        <v>102676.3984</v>
      </c>
      <c r="EC13" s="68">
        <f>(13194396*72+1009680*50+198*2000)/10000</f>
        <v>100087.6512</v>
      </c>
      <c r="ED13" s="68">
        <f>(14987784*72/10000)+(883060*50/10000)+(292*20/100)</f>
        <v>112385.7448</v>
      </c>
      <c r="EE13" s="68">
        <f>(12573048*72+158*2000)/10000</f>
        <v>90557.5456</v>
      </c>
      <c r="EF13" s="68">
        <f>(13976820*72+503940*50+263*2000)/10000</f>
        <v>103205.404</v>
      </c>
      <c r="EG13" s="68">
        <f>(16258320*72+1940920*50+56+304*2000)/10000</f>
        <v>126825.3096</v>
      </c>
      <c r="EH13" s="68">
        <f>(16213464*72+805000*50+226*2000)/10000</f>
        <v>120807.1408</v>
      </c>
      <c r="EI13" s="68">
        <f>(16686876*72+1208480*50+435*2000)/10000</f>
        <v>126274.9072</v>
      </c>
      <c r="EJ13" s="68">
        <f>(10734216*72+2235200*50+298*2000)/10000</f>
        <v>88521.9552</v>
      </c>
      <c r="EK13" s="68">
        <f>(11788740*72+648480*50+334*2000)/10000</f>
        <v>88188.128</v>
      </c>
      <c r="EL13" s="68">
        <f>(11420808*72+458440*50+356*2000)/10000</f>
        <v>84593.2176</v>
      </c>
      <c r="EM13" s="68">
        <f>SUM(EA13:EL13)</f>
        <v>1248240.1312000002</v>
      </c>
      <c r="EN13" s="68">
        <f>(12910476*72+984580*50+360*2000)/10000</f>
        <v>97950.3272</v>
      </c>
      <c r="EO13" s="68">
        <f>(11111448*72+1487520*50+390*2000)/10000</f>
        <v>87518.0256</v>
      </c>
      <c r="EP13" s="68">
        <f>(11387328*72+313880*50+482*200)/10000</f>
        <v>83567.8016</v>
      </c>
      <c r="EQ13" s="68">
        <f>(11973840*72+324020*50+375*2000)/10000</f>
        <v>87906.748</v>
      </c>
      <c r="ER13" s="68">
        <f>(11711208*72+1201300*50+486*2000)/10000</f>
        <v>90424.3976</v>
      </c>
      <c r="ES13" s="68">
        <f>(13078656*72+483*2000)/10000</f>
        <v>94262.9232</v>
      </c>
      <c r="ET13" s="68">
        <f>(15670128*72+971540*50+478*2000)/10000</f>
        <v>117778.2216</v>
      </c>
      <c r="EU13" s="68">
        <f>(16503300*72+818080*50+557*2000)/10000</f>
        <v>123025.56</v>
      </c>
      <c r="EV13" s="68">
        <f>(13370808*72+1142380*50+468*2000)/10000</f>
        <v>102075.3176</v>
      </c>
      <c r="EW13" s="68">
        <f>(12243648*72+394460*50+445*2000)/10000</f>
        <v>90215.5656</v>
      </c>
      <c r="EX13" s="68">
        <f>(10695576*72+1051000*50+402*2000)/10000</f>
        <v>82343.5472</v>
      </c>
      <c r="EY13" s="68">
        <f>(12495156*72+320800*50+471*2000)/10000</f>
        <v>91663.3232</v>
      </c>
      <c r="EZ13" s="68">
        <f>SUM(EN13:EY13)</f>
        <v>1148731.7584</v>
      </c>
      <c r="FA13" s="68">
        <f>(13565232*72+437180*50+442*2000)/10000</f>
        <v>99943.9704</v>
      </c>
      <c r="FB13" s="68">
        <f>(12660360*72+903800*50+366*2000)/10000</f>
        <v>95746.792</v>
      </c>
      <c r="FC13" s="68">
        <f>(13860480*72+606080*50+448*2000)/10000</f>
        <v>102915.456</v>
      </c>
      <c r="FD13" s="68">
        <f>(15584256*72+1109840*50+443*2000)/10000</f>
        <v>117844.4432</v>
      </c>
      <c r="FE13" s="68">
        <f>(14461824*72+1102920*50+539*2000)/10000</f>
        <v>109747.5328</v>
      </c>
      <c r="FF13" s="68">
        <f>(16805016*72+1670680+510*2000+251700*50)/10000</f>
        <v>122523.6832</v>
      </c>
      <c r="FG13" s="68">
        <f>(19867740*72+1654640*50+488*2000+295040*50)/10000</f>
        <v>152893.728</v>
      </c>
      <c r="FH13" s="68">
        <f>(17316380*72+2255720*50+550*2000+917180*50)/10000</f>
        <v>140652.436</v>
      </c>
      <c r="FI13" s="68">
        <f>(12988676*72+1828120*50+549*2000+600*50)/10000</f>
        <v>102771.8672</v>
      </c>
      <c r="FJ13" s="53">
        <f>(12998676*72+1828120*50+549*2000+600*50)/10000</f>
        <v>102843.8672</v>
      </c>
      <c r="FK13" s="53">
        <f>(13587468*72+826040*50+411*2000)/10000</f>
        <v>102042.1696</v>
      </c>
      <c r="FL13" s="53">
        <f>(14058540*72+1299660*50+491*2000+400180*50)/10000</f>
        <v>109818.888</v>
      </c>
      <c r="FM13" s="68">
        <f>SUM(FA13:FL13)</f>
        <v>1359744.8336</v>
      </c>
      <c r="FN13" s="68">
        <f>(14801160*72+2304080*50+28*2000)/10000</f>
        <v>118094.352</v>
      </c>
      <c r="FO13" s="68">
        <f>(12132216*72+1435380*50+354*2000)/10000</f>
        <v>94599.6552</v>
      </c>
      <c r="FP13" s="68">
        <f>(12422232*72+2069220*50+344*2000)/10000</f>
        <v>99854.9704</v>
      </c>
      <c r="FQ13" s="68">
        <f>(13945512*72+2530160*50+281*2000)/10000</f>
        <v>113114.6864</v>
      </c>
      <c r="FR13" s="68">
        <f>(14487492*72+2277740*50+431*2000)/10000</f>
        <v>115784.8424</v>
      </c>
      <c r="FS13" s="68">
        <f>(14955708*72+2312540*50+414*2000)/10000</f>
        <v>119326.5976</v>
      </c>
      <c r="FT13" s="68">
        <f>(18078072*72+3214440*50+400*2000)/10000</f>
        <v>146314.3184</v>
      </c>
      <c r="FU13" s="68">
        <f>(16935888*72+2911580*50+524*2000)/10000</f>
        <v>136601.0936</v>
      </c>
      <c r="FV13" s="68">
        <f>(13743852*72+3345960*50+491*2000)/10000</f>
        <v>115783.7344</v>
      </c>
      <c r="FW13" s="68">
        <f>(13205832*72+2502560*50+368*2000)/10000</f>
        <v>107668.3904</v>
      </c>
      <c r="FX13" s="68">
        <f>(11552580*72+3317820*50+350*2000)/10000</f>
        <v>99837.676</v>
      </c>
      <c r="FY13" s="68">
        <f>(13196052*72+2498680*50+108*2000)/10000</f>
        <v>107526.5744</v>
      </c>
      <c r="FZ13" s="68">
        <f>SUM(FN13:FY13)</f>
        <v>1374506.8912</v>
      </c>
      <c r="GA13" s="68">
        <f>(14400732*72+3882540*50+100*2000)/10000</f>
        <v>123117.9704</v>
      </c>
      <c r="GB13" s="68">
        <f>(10516596*72+2569300*50+263*2000)/10000</f>
        <v>88618.5912</v>
      </c>
      <c r="GC13" s="68">
        <f>(12441492*72+2713540*50+298*2000)/10000</f>
        <v>103206.0424</v>
      </c>
      <c r="GD13" s="68">
        <f>(12533424*72+2042480*50+230*2000)/10000</f>
        <v>100499.0528</v>
      </c>
      <c r="GE13" s="68">
        <f>(13470096*72+3611680*50+295*2000)/10000</f>
        <v>115102.0912</v>
      </c>
      <c r="GF13" s="68">
        <f>(13122012*72+4581520*50+293*2000)/10000</f>
        <v>117444.6864</v>
      </c>
      <c r="GG13" s="68">
        <f>(17103000*72+3604220*50+380*2000)/10000</f>
        <v>141238.7</v>
      </c>
      <c r="GH13" s="68">
        <f>(17011716*72+5778160*50+325*2000)/10000</f>
        <v>151440.1552</v>
      </c>
      <c r="GI13" s="68">
        <f>(14683344*72+2131900*50+356*2000)/10000</f>
        <v>116450.7768</v>
      </c>
      <c r="GJ13" s="68">
        <f>(12444540*72+4392160*50+395*2000)/10000</f>
        <v>111640.488</v>
      </c>
      <c r="GK13" s="68">
        <f>(11838852*72+3103480*50+204*2000)/10000</f>
        <v>100797.9344</v>
      </c>
      <c r="GL13" s="68">
        <f>(12964872*72+5244100*50+331*2000)/10000</f>
        <v>119633.7784</v>
      </c>
      <c r="GM13" s="68">
        <f>SUM(GA13:GL13)</f>
        <v>1389190.2672</v>
      </c>
      <c r="GN13" s="68">
        <f>(13690572*72+4204560*50+219*2000)/10000</f>
        <v>119638.7184</v>
      </c>
      <c r="GO13" s="68">
        <f>(11577876*72+3860760*50+214*2000)/10000</f>
        <v>102707.3072</v>
      </c>
      <c r="GP13" s="68">
        <f>(12694944*72+3849960*50+90*2000)/10000</f>
        <v>110671.3968</v>
      </c>
      <c r="GQ13" s="68">
        <f>(12287568*72+3962700*50)/10000</f>
        <v>108283.9896</v>
      </c>
      <c r="GR13" s="68">
        <f>(14185392*72+3899780*50)/10000</f>
        <v>121633.7224</v>
      </c>
      <c r="GS13" s="68">
        <f>(13772748*72+3744720*50)/10000</f>
        <v>117887.3856</v>
      </c>
      <c r="GT13" s="68">
        <f>(16406760*72+5137000*50)/10000</f>
        <v>143813.672</v>
      </c>
      <c r="GU13" s="68">
        <f>(17013024*72+4428800*50)/10000</f>
        <v>144637.7728</v>
      </c>
      <c r="GV13" s="68">
        <f>(15239892*72+4047700*50+355*2000)/10000</f>
        <v>130036.7224</v>
      </c>
      <c r="GW13" s="68">
        <f>(14550264*72+4773080*50+282*2000)/10000</f>
        <v>128683.7008</v>
      </c>
      <c r="GX13" s="68">
        <f>(12585876*72+3261000*50+258*2000)/10000</f>
        <v>106974.9072</v>
      </c>
      <c r="GY13" s="68">
        <f>(13726392*72+5095960*50+280*2000)/10000</f>
        <v>124365.8224</v>
      </c>
      <c r="GZ13" s="68">
        <f>SUM(GN13:GY13)</f>
        <v>1459335.1176</v>
      </c>
      <c r="HA13" s="68">
        <f>(12857016*72+5519820*50+123*2000)/10000</f>
        <v>120194.2152</v>
      </c>
      <c r="HB13" s="68">
        <f>(13277616*72+5243260*50+288*2000)/10000</f>
        <v>121872.7352</v>
      </c>
      <c r="HC13" s="68">
        <f>(13733328*72+4712340*50+214*2000)/10000</f>
        <v>122484.4616</v>
      </c>
      <c r="HD13" s="68">
        <f>(12412356*72+3547340*50+225*2000)/10000</f>
        <v>107150.6632</v>
      </c>
      <c r="HE13" s="68">
        <f>(13469256*72+4707780*50+284*20000)/10000</f>
        <v>121085.5432</v>
      </c>
      <c r="HF13" s="68">
        <f>(14157192*72+5149480*50+271*2000)/10000</f>
        <v>127733.3824</v>
      </c>
      <c r="HG13" s="68">
        <f>(14537712*72+5344840*50+305*2000)/10000</f>
        <v>131456.7264</v>
      </c>
      <c r="HH13" s="68">
        <f>(15758868*72+5442180*50+371*2000)/10000</f>
        <v>140748.9496</v>
      </c>
      <c r="HI13" s="68">
        <f>(13330068*72+4193040*50+249*2000)/10000</f>
        <v>116991.4896</v>
      </c>
      <c r="HJ13" s="68">
        <f>(14373588*72+4894040*50+372*2000)/10000</f>
        <v>128034.4336</v>
      </c>
      <c r="HK13" s="68">
        <f>(11624484*72+2899560*50+355*2000)/10000</f>
        <v>98265.0848</v>
      </c>
      <c r="HL13" s="68">
        <f>(13636476*72+4385060*50+389*2000)/10000</f>
        <v>120185.7272</v>
      </c>
      <c r="HM13" s="68">
        <f>SUM(HA13:HL13)</f>
        <v>1456203.4120000002</v>
      </c>
      <c r="HN13" s="68">
        <f>(13636476*72+4385060*50+389*2000)/10000</f>
        <v>120185.7272</v>
      </c>
      <c r="HO13" s="68">
        <f>(10799352*72+2718900*50+400*2000)/10000</f>
        <v>91429.8344</v>
      </c>
      <c r="HP13" s="68">
        <f>(14598540*72+5118560*50+347*2000)/10000</f>
        <v>130771.688</v>
      </c>
      <c r="HQ13" s="68">
        <v>126956.74</v>
      </c>
      <c r="HR13" s="68">
        <f>(13856556*72+5174980*50+351*2000)/10000</f>
        <v>125712.3032</v>
      </c>
      <c r="HS13" s="68">
        <f>(13924680*72+5232240*50+395*2000)/10000</f>
        <v>126497.896</v>
      </c>
      <c r="HT13" s="68">
        <f>(12802980*72+5996380*50+289*2000)/10000</f>
        <v>122221.156</v>
      </c>
      <c r="HU13" s="68">
        <f>(12018156*72+4552200*50+300*2000)/10000</f>
        <v>109351.7232</v>
      </c>
      <c r="HV13" s="68">
        <f>(12496176*72+4772500*50+390*2000)/10000</f>
        <v>113912.9672</v>
      </c>
      <c r="HW13" s="68">
        <f>(11000844*72+5737940*50+431*2000)/10000</f>
        <v>107981.9768</v>
      </c>
      <c r="HX13" s="68">
        <f>(12452520*72+2932440*50+1541420*50+345*2000)/10000</f>
        <v>112096.444</v>
      </c>
      <c r="HY13" s="68">
        <f>(13244076*72+4877420*50+654880*50+170*2000)/10000</f>
        <v>123052.8472</v>
      </c>
      <c r="HZ13" s="68">
        <f>SUM(HN13:HY13)</f>
        <v>1410171.3031999997</v>
      </c>
      <c r="IA13" s="186">
        <f>(13658760*72+4356500*50+372*2000)/10000</f>
        <v>120199.972</v>
      </c>
      <c r="IB13" s="186">
        <f>(11628528*72+4327340*50+569740*50+183*2000)/10000</f>
        <v>108247.4016</v>
      </c>
      <c r="IC13" s="186">
        <f>(12877368*72+5017860*50+1056440*50+281*2000)/10000</f>
        <v>123144.7496</v>
      </c>
      <c r="ID13" s="186">
        <f>(13950984*72+1814280*50+594020*50+299*2000)/10000</f>
        <v>112548.3848</v>
      </c>
      <c r="IE13" s="186">
        <f>(15096036*72+4909300*50+983880*50+193*2000)/10000</f>
        <v>138195.9592</v>
      </c>
      <c r="IF13" s="186">
        <f>(14768328*72+5624060*50+1119860*50+389*2000)/10000</f>
        <v>140129.3616</v>
      </c>
      <c r="IG13" s="186">
        <f>(15670968*72+6942540*50+518540*50+300*2000)/10000</f>
        <v>150196.3696</v>
      </c>
      <c r="IH13" s="186">
        <f>(16856220*72+7243760*50+501920*50+442*2000)/10000</f>
        <v>160181.584</v>
      </c>
      <c r="II13" s="186">
        <f>(15371364*72+5286000*50+664060*50+378*2000)/10000</f>
        <v>140499.7208</v>
      </c>
      <c r="IJ13" s="186">
        <f>(16980876*72+4697320*50+1653860*50+473*20000)/10000</f>
        <v>154964.2072</v>
      </c>
      <c r="IK13" s="186">
        <f>(17452188*72+4803040*50+296140*50+151*2000)/10000</f>
        <v>151181.8536</v>
      </c>
      <c r="IL13" s="186">
        <f>(18375072*72+4808260*50+370960*50+208*2000)/10000</f>
        <v>158238.2184</v>
      </c>
      <c r="IM13" s="186">
        <f>SUM(IA13:IB13)</f>
        <v>228447.3736</v>
      </c>
      <c r="IN13" s="186">
        <f>(17344644*72+4105980*50+1140820*50+309*2000)/10000</f>
        <v>151177.2368</v>
      </c>
      <c r="IO13" s="186">
        <f>(13160928*72+1753350*50+950520*50+281*2000)/10000</f>
        <v>108334.2316</v>
      </c>
      <c r="IP13" s="186">
        <f>IN13+IO13</f>
        <v>259511.4684</v>
      </c>
    </row>
    <row r="14" spans="1:250" ht="15">
      <c r="A14" s="185" t="s">
        <v>30</v>
      </c>
      <c r="B14" s="55">
        <v>14117</v>
      </c>
      <c r="C14" s="56">
        <v>50841</v>
      </c>
      <c r="D14" s="56">
        <v>58259</v>
      </c>
      <c r="E14" s="56">
        <v>75302</v>
      </c>
      <c r="F14" s="56">
        <v>76551</v>
      </c>
      <c r="G14" s="56">
        <v>93862</v>
      </c>
      <c r="H14" s="56">
        <v>101867</v>
      </c>
      <c r="I14" s="56">
        <v>154164</v>
      </c>
      <c r="J14" s="56">
        <v>144235</v>
      </c>
      <c r="K14" s="56">
        <v>195612</v>
      </c>
      <c r="L14" s="57">
        <v>255264</v>
      </c>
      <c r="M14" s="58">
        <v>230733</v>
      </c>
      <c r="N14" s="59">
        <v>177549</v>
      </c>
      <c r="O14" s="58">
        <v>215379</v>
      </c>
      <c r="P14" s="59">
        <v>199708</v>
      </c>
      <c r="Q14" s="59">
        <v>167836</v>
      </c>
      <c r="R14" s="59">
        <v>168819</v>
      </c>
      <c r="S14" s="61">
        <v>211736</v>
      </c>
      <c r="T14" s="69">
        <v>199478</v>
      </c>
      <c r="U14" s="69">
        <v>209028</v>
      </c>
      <c r="V14" s="69">
        <v>236270</v>
      </c>
      <c r="W14" s="69">
        <v>269492</v>
      </c>
      <c r="X14" s="69">
        <v>313732</v>
      </c>
      <c r="Y14" s="69">
        <v>329518</v>
      </c>
      <c r="Z14" s="69">
        <v>396268</v>
      </c>
      <c r="AA14" s="52">
        <v>471926.61559999996</v>
      </c>
      <c r="AB14" s="53">
        <v>494959.3289</v>
      </c>
      <c r="AC14" s="52">
        <v>525151.0576000001</v>
      </c>
      <c r="AD14" s="52">
        <v>538454.3802</v>
      </c>
      <c r="AE14" s="52">
        <v>500120.54240000003</v>
      </c>
      <c r="AF14" s="52">
        <v>481406.0752000001</v>
      </c>
      <c r="AG14" s="52">
        <v>534220.2188</v>
      </c>
      <c r="AH14" s="52">
        <v>601852.7104</v>
      </c>
      <c r="AI14" s="52">
        <v>677602.0700000001</v>
      </c>
      <c r="AJ14" s="52">
        <v>677602.0700000001</v>
      </c>
      <c r="AK14" s="52">
        <v>800976.2012</v>
      </c>
      <c r="AL14" s="52">
        <v>897980.2701999999</v>
      </c>
      <c r="AM14" s="52">
        <v>1004595.4008</v>
      </c>
      <c r="AN14" s="52">
        <v>1006775.5031999998</v>
      </c>
      <c r="AO14" s="53">
        <f>23608+2775</f>
        <v>26383</v>
      </c>
      <c r="AP14" s="70">
        <f>976+18899+2351</f>
        <v>22226</v>
      </c>
      <c r="AQ14" s="71">
        <f>2926+16461+1857</f>
        <v>21244</v>
      </c>
      <c r="AR14" s="71">
        <f>966+22272+2088</f>
        <v>25326</v>
      </c>
      <c r="AS14" s="64">
        <f>468+24296+4430</f>
        <v>29194</v>
      </c>
      <c r="AT14" s="64">
        <f>21736+2314</f>
        <v>24050</v>
      </c>
      <c r="AU14" s="64">
        <f>494+25132+3113</f>
        <v>28739</v>
      </c>
      <c r="AV14" s="64">
        <f>247+26749+1811</f>
        <v>28807</v>
      </c>
      <c r="AW14" s="64">
        <f>441+27751+4679</f>
        <v>32871</v>
      </c>
      <c r="AX14" s="72">
        <f>187+28116+3083</f>
        <v>31386</v>
      </c>
      <c r="AY14" s="73">
        <f>132+22722+3174</f>
        <v>26028</v>
      </c>
      <c r="AZ14" s="74">
        <f>308+29523+3433</f>
        <v>33264</v>
      </c>
      <c r="BA14" s="53">
        <f>157+32294+3551</f>
        <v>36002</v>
      </c>
      <c r="BB14" s="70">
        <f>79+23168+2912</f>
        <v>26159</v>
      </c>
      <c r="BC14" s="71">
        <f>111+24527+2365</f>
        <v>27003</v>
      </c>
      <c r="BD14" s="71">
        <f>33220+3512</f>
        <v>36732</v>
      </c>
      <c r="BE14" s="64">
        <f>25855+3204</f>
        <v>29059</v>
      </c>
      <c r="BF14" s="64">
        <f>618+29069+3678</f>
        <v>33365</v>
      </c>
      <c r="BG14" s="64">
        <f>33647+3500</f>
        <v>37147</v>
      </c>
      <c r="BH14" s="64">
        <f>34408+4346</f>
        <v>38754</v>
      </c>
      <c r="BI14" s="64">
        <f>27945+3782</f>
        <v>31727</v>
      </c>
      <c r="BJ14" s="72">
        <f>479+29849+1935</f>
        <v>32263</v>
      </c>
      <c r="BK14" s="73">
        <f>29207+6191</f>
        <v>35398</v>
      </c>
      <c r="BL14" s="74">
        <f>30750+1909</f>
        <v>32659</v>
      </c>
      <c r="BM14" s="64">
        <f aca="true" t="shared" si="0" ref="BM14:BM23">SUM(BA14:BL14)</f>
        <v>396268</v>
      </c>
      <c r="BN14" s="53">
        <v>39000</v>
      </c>
      <c r="BO14" s="53">
        <f>464+31720+4478</f>
        <v>36662</v>
      </c>
      <c r="BP14" s="52">
        <f>(62400*33+5069184*65+1311456*33)/10000</f>
        <v>37483.4208</v>
      </c>
      <c r="BQ14" s="52">
        <v>37281</v>
      </c>
      <c r="BR14" s="52">
        <f>(95064*33+5791008*65+1295184*33)/10000</f>
        <v>42229.3704</v>
      </c>
      <c r="BS14" s="52">
        <f>(5730132*65+723984*33)/10000</f>
        <v>39635.0052</v>
      </c>
      <c r="BT14" s="52">
        <f>(5186592*65+475032*33)/10000</f>
        <v>35280.4536</v>
      </c>
      <c r="BU14" s="52">
        <f>(5853756*65+1044240*33)/10000</f>
        <v>41495.406</v>
      </c>
      <c r="BV14" s="52">
        <f>(141072*33+5451048*65+873624*33+143*2000)/10000</f>
        <v>38808.9088</v>
      </c>
      <c r="BW14" s="52">
        <f>(78024*33+5819280*65+877512*33+129*2000+186*2000)/10000</f>
        <v>41041.5888</v>
      </c>
      <c r="BX14" s="52">
        <v>38832.324</v>
      </c>
      <c r="BY14" s="52">
        <v>44177.138</v>
      </c>
      <c r="BZ14" s="52">
        <f>SUM(BN14:BY14)</f>
        <v>471926.61559999996</v>
      </c>
      <c r="CA14" s="52">
        <f>(259584*33+5646876*65+400896*33+73*2000)/10000</f>
        <v>38898.878</v>
      </c>
      <c r="CB14" s="52">
        <f>(39696*33+4729668*65+892176*33+104*2000)/10000</f>
        <v>33838.8196</v>
      </c>
      <c r="CC14" s="52">
        <f>(209688*33+5993292*65+919320*33+93*2000)/10000</f>
        <v>42700.7244</v>
      </c>
      <c r="CD14" s="52">
        <f>(5479008*65+888672*33+80*2000)/10000</f>
        <v>38562.1696</v>
      </c>
      <c r="CE14" s="52">
        <f>(147480*33+5444760*65+798480*33)/10000+(109*20/100)</f>
        <v>38534.408</v>
      </c>
      <c r="CF14" s="52">
        <f>(47664*33+5435280*65+35517*33)/10000+(102*20/100)</f>
        <v>35624.217300000004</v>
      </c>
      <c r="CG14" s="52">
        <f>(203640*33+5207556*65+919464*33)/10000+(113*20/100)</f>
        <v>37577.9572</v>
      </c>
      <c r="CH14" s="52">
        <f>(247824*33+6811608*65+464712*33)/10000+(112*20/100)</f>
        <v>46649.2208</v>
      </c>
      <c r="CI14" s="52">
        <f>(108720*33+6425640*65+547680*33+92*2000)/10000</f>
        <v>43951.18</v>
      </c>
      <c r="CJ14" s="52">
        <f>(174456*33+6743640*65+1167264*33+109*2000)/10000</f>
        <v>48283.136</v>
      </c>
      <c r="CK14" s="52">
        <f>(6408144*65+432720*33+96*2000)/10000</f>
        <v>43100.112</v>
      </c>
      <c r="CL14" s="52">
        <f>(251592*33+6599748*65+1058088*33)/10000+(91*20/100)</f>
        <v>47238.505999999994</v>
      </c>
      <c r="CM14" s="52">
        <f aca="true" t="shared" si="1" ref="CM14:CM23">SUM(CA14:CL14)</f>
        <v>494959.3289</v>
      </c>
      <c r="CN14" s="53">
        <f>(5938620*65+1039368*33)/10000+(195*20)/100</f>
        <v>42069.9444</v>
      </c>
      <c r="CO14" s="53">
        <f>(5614392*65+1413552*33+40*2000)/10000</f>
        <v>41166.2696</v>
      </c>
      <c r="CP14" s="53">
        <f>(224016*33+5800344*65+479904*33+60*2000)/10000</f>
        <v>40037.172</v>
      </c>
      <c r="CQ14" s="53">
        <f>(5744640*65+430872*33+33*2000)/10000</f>
        <v>38768.6376</v>
      </c>
      <c r="CR14" s="53">
        <f>(401016*33+6684840*65+1127760*33)/10000+(60*20/100)</f>
        <v>48508.4208</v>
      </c>
      <c r="CS14" s="53">
        <f>(720*33+6924972*65+2520*33)/10000+30*20/100</f>
        <v>45029.01</v>
      </c>
      <c r="CT14" s="53">
        <f>(96*33+6685248*65+1024368*33+69*2000)/10000</f>
        <v>46848.6432</v>
      </c>
      <c r="CU14" s="53">
        <f>(105912*33+7041036*65+1195392*33+35*100)/10000</f>
        <v>50061.3872</v>
      </c>
      <c r="CV14" s="53">
        <f>(218352*33+6011764*65+303312*33+351912*65+33*2000)/10000</f>
        <v>43091.9852</v>
      </c>
      <c r="CW14" s="53">
        <f>(46920*33+5947512*65+389280*33+414960*65)/10000+(51*2000)/10000</f>
        <v>42805.727999999996</v>
      </c>
      <c r="CX14" s="53">
        <f>(5968152*65+1211352*33+60*2000)/10000</f>
        <v>42802.4496</v>
      </c>
      <c r="CY14" s="53">
        <f>(6205188*65+970680*33+63576*65+56*2000)/10000</f>
        <v>43961.41</v>
      </c>
      <c r="CZ14" s="53">
        <f aca="true" t="shared" si="2" ref="CZ14:CZ23">SUM(CN14:CY14)</f>
        <v>525151.0576000001</v>
      </c>
      <c r="DA14" s="53">
        <f>(136704*33+7020276*65+690120*33+198600*65+69*2000)/10000</f>
        <v>49665.0132</v>
      </c>
      <c r="DB14" s="53">
        <f>(6514428*65+850896*33+2592*65+51*2000)/10000</f>
        <v>45178.7868</v>
      </c>
      <c r="DC14" s="53">
        <f>(5914392*65+704304*33+72468*65+55*2000)/10000</f>
        <v>41249.7932</v>
      </c>
      <c r="DD14" s="68">
        <f>(143280*33+5920572*65+375864*33+114636+62*2000)/10000</f>
        <v>40220.7568</v>
      </c>
      <c r="DE14" s="68">
        <f>(151656*33+7049316*65+1055256*33+139584*65+91*2000)/10000</f>
        <v>50728.8596</v>
      </c>
      <c r="DF14" s="53">
        <f>(126696*33+5736504*65+1265640*33+77640*65+77*2000)/10000</f>
        <v>42402.0448</v>
      </c>
      <c r="DG14" s="53">
        <f>(129000*33+6769824*65+1020240*33+61584*65+68*2000)/10000</f>
        <v>48210.244</v>
      </c>
      <c r="DH14" s="68">
        <f>(127224*33+6240528*65+1274978*33+0*65+54*2000)/10000</f>
        <v>45201.4986</v>
      </c>
      <c r="DI14" s="68">
        <f>(6633024*65+1078608*33+219216*65+87*2000)/10000</f>
        <v>48116.3664</v>
      </c>
      <c r="DJ14" s="68">
        <f>(146880*30+6193728*65+1283208*33+76128*65+73*2000)/10000</f>
        <v>45443.8904</v>
      </c>
      <c r="DK14" s="68">
        <f>(173084*33+5087676*65+743544*33)/10000+59*20/100</f>
        <v>36106.5664</v>
      </c>
      <c r="DL14" s="68">
        <f>(6404904*65+1299480*33)/10000+52*20/100</f>
        <v>45930.560000000005</v>
      </c>
      <c r="DM14" s="53">
        <f>SUM(DA14:DL14)</f>
        <v>538454.3802</v>
      </c>
      <c r="DN14" s="68">
        <f>(5024412*65+1244952*33+53*2000)/10000</f>
        <v>36777.6196</v>
      </c>
      <c r="DO14" s="68">
        <f>(5628912*65+53*2000)/10000</f>
        <v>36598.528</v>
      </c>
      <c r="DP14" s="68">
        <f>(55620*33+5751060*65+966768*33+60*2000)/10000</f>
        <v>40767.7704</v>
      </c>
      <c r="DQ14" s="68">
        <f>(122952*33+4750140*65+1062744*33+62664*65+58*2000)/10000</f>
        <v>35207.6228</v>
      </c>
      <c r="DR14" s="68">
        <f>(6535140*65+1146888*33+65*2000+61764*65)/10000</f>
        <v>46677.6064</v>
      </c>
      <c r="DS14" s="68">
        <f>(120336*33+6057276*65+1330224*33+83*2000)/10000</f>
        <v>44175.742</v>
      </c>
      <c r="DT14" s="68">
        <f>(5420196*65+24000*33+1287432*33+66*2000)/10000</f>
        <v>39572.1996</v>
      </c>
      <c r="DU14" s="68">
        <f>(7385568*65+12048*65+113016*33+1401288*33+39*2000)/10000</f>
        <v>53089.5072</v>
      </c>
      <c r="DV14" s="68">
        <f>(4848444*65+1208448*33+28*2000)/10000</f>
        <v>35508.3644</v>
      </c>
      <c r="DW14" s="68">
        <f>(5987544*65+60444*65+119040*33+1191096*33+51*2000)/10000</f>
        <v>43645.5708</v>
      </c>
      <c r="DX14" s="68">
        <f>(5423052*65+1319064*33+30*2000)/10000</f>
        <v>39608.7492</v>
      </c>
      <c r="DY14" s="68">
        <f>(7053444*65+840*65+2112*33+795408*33+33*2000)/10000</f>
        <v>48491.262</v>
      </c>
      <c r="DZ14" s="68">
        <f>SUM(DN14:DY14)</f>
        <v>500120.54240000003</v>
      </c>
      <c r="EA14" s="68">
        <f>(5527200*65+48*33+1852032*33+50*2000)/10000</f>
        <v>42048.664</v>
      </c>
      <c r="EB14" s="68">
        <f>(5178948*65+603168*33+45*2000)/10000</f>
        <v>35662.6164</v>
      </c>
      <c r="EC14" s="68">
        <f>(5133840*65+78288*33+1678560*33+50*2000)/10000</f>
        <v>39177.5584</v>
      </c>
      <c r="ED14" s="68">
        <f>(5540664*65/10000)+(1090416*33/10000)+(155*20/100)</f>
        <v>39643.688799999996</v>
      </c>
      <c r="EE14" s="68">
        <f>(4933764*65+558120*33+39*2000)/10000</f>
        <v>33919.062</v>
      </c>
      <c r="EF14" s="68">
        <f>(5580960*65+1282224*33+100*2000)/10000</f>
        <v>40527.5792</v>
      </c>
      <c r="EG14" s="68">
        <f>(5616048*65+1177128*33+109*2000)/10000</f>
        <v>40410.6344</v>
      </c>
      <c r="EH14" s="68">
        <f>(5773572*65+1465944*33+97*2000)/10000</f>
        <v>42385.2332</v>
      </c>
      <c r="EI14" s="68">
        <f>(6413604*65+931176*33+176*2000)/10000</f>
        <v>44796.5068</v>
      </c>
      <c r="EJ14" s="68">
        <f>(4961004*65+1461432*33+114*2000)/10000</f>
        <v>37092.0516</v>
      </c>
      <c r="EK14" s="68">
        <f>(5337624*65+1869408*33+101*2000)/10000</f>
        <v>40883.8024</v>
      </c>
      <c r="EL14" s="68">
        <f>(6268884*65+1238040*33+127*2000)/10000</f>
        <v>44858.678</v>
      </c>
      <c r="EM14" s="68">
        <f>SUM(EA14:EL14)</f>
        <v>481406.0752000001</v>
      </c>
      <c r="EN14" s="68">
        <f>(4646004*65+74952*33+1673208*33+125*2000)/10000</f>
        <v>35992.954</v>
      </c>
      <c r="EO14" s="68">
        <f>(4196940*65+1365320*50+571248*33+107*2000)/10000</f>
        <v>36013.2284</v>
      </c>
      <c r="EP14" s="68">
        <f>(5822628*65+1628088*33+153*2000+1763740*50)/10000</f>
        <v>52069.0724</v>
      </c>
      <c r="EQ14" s="68">
        <f>(3936360*65+1552920*50+1166616*33+295600*50+116*2000)/10000</f>
        <v>38701.9728</v>
      </c>
      <c r="ER14" s="68">
        <f>(4637772*65+886520*50+1045152*33+145*2000)/10000</f>
        <v>38056.1196</v>
      </c>
      <c r="ES14" s="68">
        <f>(4064964*65+1757340*50+1024368*33+155*2000)/10000</f>
        <v>38620.3804</v>
      </c>
      <c r="ET14" s="68">
        <f>(6291192*65+755040*33+123*2000+564720*50)/10000</f>
        <v>46232.58</v>
      </c>
      <c r="EU14" s="68">
        <f>(6588228*65+1872360*50+1768512*33+198*2000+712800*50)/10000</f>
        <v>61624.9716</v>
      </c>
      <c r="EV14" s="68">
        <f>(5249148*65+1271120*50+1772112*33+148*2000)/10000</f>
        <v>46352.6316</v>
      </c>
      <c r="EW14" s="68">
        <f>(4916088*65+987000*50+1214808*33+113*2000+1998560*50)/10000</f>
        <v>50913.8384</v>
      </c>
      <c r="EX14" s="68">
        <f>(4357800*65+1054440*50+1278120*33+120*2000+1554020*50)/10000</f>
        <v>45609.796</v>
      </c>
      <c r="EY14" s="68">
        <f>(5331384*65+135540*50+1066872*33+124*2000+1031100*50)/10000</f>
        <v>44032.6736</v>
      </c>
      <c r="EZ14" s="68">
        <f>SUM(EN14:EY14)</f>
        <v>534220.2188</v>
      </c>
      <c r="FA14" s="68">
        <f>(5250780*65+1010300*50+1050744*33+139*2000+1435100*50)/10000</f>
        <v>49852.3252</v>
      </c>
      <c r="FB14" s="68">
        <f>(5070048*65+1052780*50+833040*50+1005528*33+111*2000)/10000</f>
        <v>45724.8544</v>
      </c>
      <c r="FC14" s="68">
        <f>(5051472*65+991100*50+1381680*50+1455744*33+132*2000)/10000</f>
        <v>49528.8232</v>
      </c>
      <c r="FD14" s="68">
        <f>(5725320*65+454780*50+466820*50+1339752*33+166*2000)/10000</f>
        <v>46276.9616</v>
      </c>
      <c r="FE14" s="68">
        <f>(5968440*65+954200*50+1570020*50+2076144*33+182*2000)/10000</f>
        <v>58303.6352</v>
      </c>
      <c r="FF14" s="68">
        <f>(5168520*65+962940*50+969140*50+1062480*33+159*2000)/10000</f>
        <v>46793.764</v>
      </c>
      <c r="FG14" s="68">
        <f>(5398140*65+2602240*50+1082660*50+1261152*33+148*2000)/10000</f>
        <v>57703.8116</v>
      </c>
      <c r="FH14" s="68">
        <f>(4010112*65+2406520*50+1485280*50+2176536*33+237*200)/10000</f>
        <v>52712.0368</v>
      </c>
      <c r="FI14" s="68">
        <f>(3704724*65+3172040*50+1282880*50+1366392*33+219*2000)/10000</f>
        <v>50908.1996</v>
      </c>
      <c r="FJ14" s="68">
        <f>(3704724*65+3172040*50+1282880*50+1366392*33+219*2000)/10000</f>
        <v>50908.1996</v>
      </c>
      <c r="FK14" s="68">
        <f>(3297756*65+872780*50+1039440*50+773712*33+112*2000)/10000</f>
        <v>33572.1636</v>
      </c>
      <c r="FL14" s="68">
        <f>(6428772*65+1405020*50+1502000*50+972672*33+180*2000)/10000</f>
        <v>59567.9356</v>
      </c>
      <c r="FM14" s="68">
        <f>SUM(FA14:FL14)</f>
        <v>601852.7104</v>
      </c>
      <c r="FN14" s="68">
        <f>(6093672*65+1605980*50+986280*50+1844856*33+44*2000)/10000</f>
        <v>58666.9928</v>
      </c>
      <c r="FO14" s="68">
        <f>(5502780*65+604480*50+1082420*50+1970544*33+142*2000)/10000</f>
        <v>50733.7652</v>
      </c>
      <c r="FP14" s="68">
        <f>(4886736*65+1791280*50+1715040*50+1399440*33+116*2000)/10000</f>
        <v>53936.736</v>
      </c>
      <c r="FQ14" s="68">
        <f>(5044884*65+1658520*50+834300*50+1969440*33+159*2000)/10000</f>
        <v>51786.798</v>
      </c>
      <c r="FR14" s="68">
        <f>(6876924*65+920820*50+1584120*50+1560936*33+127*2000)/10000</f>
        <v>62401.1948</v>
      </c>
      <c r="FS14" s="68">
        <f>(6567564*65+539920*50+1339440*50+1832112*33+160*2000)/10000</f>
        <v>58163.9356</v>
      </c>
      <c r="FT14" s="68">
        <f>(6388032*65+1189800*50+1478440*50+1232520*33+152*2000)/10000</f>
        <v>58961.124</v>
      </c>
      <c r="FU14" s="68">
        <f>(6478428*65+1200480*50+1372100*50+2286192*33+187*2000)/10000</f>
        <v>62554.5156</v>
      </c>
      <c r="FV14" s="68">
        <f>(5558568*65+1161720*50+1179460*50+1324200*33+141*2000)/10000</f>
        <v>52234.652</v>
      </c>
      <c r="FW14" s="68">
        <f>(5818104*65+786540*50+1569900*50+2402952*33+116*2000)/10000</f>
        <v>57552.8176</v>
      </c>
      <c r="FX14" s="68">
        <f>(5698908*65+1274440*50+1697980*50+1770792*33+167*2000)/10000</f>
        <v>57782.0156</v>
      </c>
      <c r="FY14" s="68">
        <f>(5457516*65+540280*50+1584220*50+2038536*33+20*2000)/10000</f>
        <v>52827.5228</v>
      </c>
      <c r="FZ14" s="68">
        <f>SUM(FN14:FY14)</f>
        <v>677602.0700000001</v>
      </c>
      <c r="GA14" s="68">
        <f>(6063084*65+1580340*50+1264460*50+1025448*33)/10000</f>
        <v>57018.0244</v>
      </c>
      <c r="GB14" s="68">
        <f>(2146236*65+1011900*50+1609200*50+1335912*33+90*2000)/10000</f>
        <v>31482.5436</v>
      </c>
      <c r="GC14" s="68">
        <f>(5553096*65+1199320*50+1621220*50+1539408*33+90*2000)/10000</f>
        <v>55295.8704</v>
      </c>
      <c r="GD14" s="68">
        <f>(6168528*65+72500*50+1008080*50+1288056*33+99*2000)/10000</f>
        <v>49768.7168</v>
      </c>
      <c r="GE14" s="68">
        <f>(5674188*65+533300*50+1782660*50+78*2000)/10000</f>
        <v>48477.622</v>
      </c>
      <c r="GF14" s="68">
        <f>(5643480*65+1648040*50+1749260*50+736382*33+108*2000)/10000</f>
        <v>56120.7806</v>
      </c>
      <c r="GG14" s="68">
        <f>(5301828*65+2558360*65+1850140*50+117*2000)/10000</f>
        <v>60365.322</v>
      </c>
      <c r="GH14" s="68">
        <f>(6349776*65+3719200*50+2033480*50+1138512*33+145*2000)/10000</f>
        <v>73823.0336</v>
      </c>
      <c r="GI14" s="68">
        <f>(5843892*65+3008880*50+2586600*50+1504920*33+179*2000)/10000</f>
        <v>70964.734</v>
      </c>
      <c r="GJ14" s="68">
        <f>(5958036*65+2223320*50+1675280*50+1506960*33+150*2000)/10000</f>
        <v>63223.202</v>
      </c>
      <c r="GK14" s="68">
        <f>(5316528*65+1980600*50+1723900*50+1461216*33+156*20000)/10000</f>
        <v>58213.9448</v>
      </c>
      <c r="GL14" s="68">
        <f>(6032964*65+2743000*50+1998840*50+1507656*33+104*2000)/10000</f>
        <v>67919.5308</v>
      </c>
      <c r="GM14" s="68">
        <f>SUM(GA14:GL14)</f>
        <v>692673.3249999998</v>
      </c>
      <c r="GN14" s="68">
        <f>(6845988*65+2999880*50+2080660*50+1479528*33+124*2000)/10000</f>
        <v>74808.8644</v>
      </c>
      <c r="GO14" s="68">
        <f>(5741064*65+2738680*50+2119380*50+110*2000)/10000</f>
        <v>61629.216</v>
      </c>
      <c r="GP14" s="68">
        <f>(5823312*65+2507760*50+1317540*50+730416*33)/10000</f>
        <v>59388.4008</v>
      </c>
      <c r="GQ14" s="68">
        <f>(5253144*65+2096560*50+2058120*50)/10000</f>
        <v>54918.836</v>
      </c>
      <c r="GR14" s="68">
        <f>(7239108*65+2957600*50+1967200*50)/10000</f>
        <v>71678.202</v>
      </c>
      <c r="GS14" s="68">
        <f>(6741192*65+2329080*50+2154560*50)/10000</f>
        <v>66235.948</v>
      </c>
      <c r="GT14" s="68">
        <f>(7629804*65+2858360*50+2106520*50)/10000</f>
        <v>74418.126</v>
      </c>
      <c r="GU14" s="68">
        <f>(7948332*65+3186860*50+1538500*50)/10000</f>
        <v>75290.958</v>
      </c>
      <c r="GV14" s="68">
        <f>(7468884*65+2700800*50+2488640*50+156*2000)/10000</f>
        <v>74526.146</v>
      </c>
      <c r="GW14" s="68">
        <f>(6880008*65+2587440*50+1814900*50+777816*33+125*2000)/10000</f>
        <v>69323.5448</v>
      </c>
      <c r="GX14" s="68">
        <f>(6719124*50+175380*50+1842420*50+69024*33+123*2000)/10000</f>
        <v>43936.9992</v>
      </c>
      <c r="GY14" s="68">
        <f>(7273524*65+3105260*50+1882350*50+785880*33+58*2000)/10000</f>
        <v>74820.96</v>
      </c>
      <c r="GZ14" s="68">
        <f>SUM(GN14:GY14)</f>
        <v>800976.2012</v>
      </c>
      <c r="HA14" s="68">
        <f>(6242028*65+3127380*50+1881140*50+655968*33+77*2000)/10000</f>
        <v>67795.8764</v>
      </c>
      <c r="HB14" s="68">
        <f>(6441972*65+1935040*50+1976100*50+621624*33+176*2000)/10000</f>
        <v>63515.0772</v>
      </c>
      <c r="HC14" s="68">
        <f>(6179268*65+3278780*50+1943100*50+667896*33+25*2000)/10000</f>
        <v>68483.6988</v>
      </c>
      <c r="HD14" s="68">
        <f>(6755928*65+2691660*50+1982920*50+1097568*33+129*2000)/10000</f>
        <v>70934.2064</v>
      </c>
      <c r="HE14" s="68">
        <f>(6542268*65+3175240*50+1580720*50+672984*33+76*2000)/10000</f>
        <v>68540.5892</v>
      </c>
      <c r="HF14" s="68">
        <f>(6929268*65+3540660*50+1873740*50+1098216*33+133*2000)/10000</f>
        <v>75762.9548</v>
      </c>
      <c r="HG14" s="68">
        <f>(7234944*65+2963700*50+2454940*50+259704*33+50*2000)/10000</f>
        <v>74987.3592</v>
      </c>
      <c r="HH14" s="68">
        <f>(7464576*65+3341180*50+2678260*50+1851480*33+82*2000)/10000</f>
        <v>84743.228</v>
      </c>
      <c r="HI14" s="68">
        <f>(7704180*65+2712160*50+2575620*50+1908288*33+267*2000)/10000</f>
        <v>82866.8204</v>
      </c>
      <c r="HJ14" s="68">
        <f>(7986168*65+2777600*50+2084380*50+1548648*33+135*2000)/10000</f>
        <v>81357.5304</v>
      </c>
      <c r="HK14" s="68">
        <f>(5182296*65+2262700*50+1945640*50+1682544*33+168*2000)/10000</f>
        <v>60312.6192</v>
      </c>
      <c r="HL14" s="68">
        <f>(7362528*65+3058080+50+2339300*50+11749444*33+242*2000)/10000</f>
        <v>98680.3102</v>
      </c>
      <c r="HM14" s="68">
        <f>SUM(HA14:HL14)</f>
        <v>897980.2701999999</v>
      </c>
      <c r="HN14" s="68">
        <f>(7362528*65+3058080*50+2339300*50+747528*33+242*2000)/10000</f>
        <v>77358.5744</v>
      </c>
      <c r="HO14" s="68">
        <f>(4698120*65+1623660*50+1680740*50+828384*33+227*2000)/10000</f>
        <v>49838.8472</v>
      </c>
      <c r="HP14" s="68">
        <f>(5637480*65+2445280*50+2414860*50+1110096*30+338*2000)/10000</f>
        <v>64342.208</v>
      </c>
      <c r="HQ14" s="68">
        <v>82172.0972</v>
      </c>
      <c r="HR14" s="68">
        <f>(8748852*65+3560920*50+1680600*50+1524744*33+167*2000)/10000</f>
        <v>88140.1932</v>
      </c>
      <c r="HS14" s="68">
        <f>(8605020*65+3598680*50+2320180*50+1481760*33+204*2000)/10000</f>
        <v>90457.538</v>
      </c>
      <c r="HT14" s="68">
        <f>(8506296*65+3965960*50+3965960*50+1577600*50+2089896*33+143*2000)/10000</f>
        <v>109763.7808</v>
      </c>
      <c r="HU14" s="68">
        <f>(7927296*65+3179560*50+2624640*50+2438976*33+239*2000)/10000</f>
        <v>88644.8448</v>
      </c>
      <c r="HV14" s="68">
        <f>(8700228*65+3228520*50+2375140*50+1570704*33+230*2000)/10000</f>
        <v>89799.1052</v>
      </c>
      <c r="HW14" s="68">
        <f>(7853796*65+3923660*50+2527280*50+2498256*50+216*2000)/10000</f>
        <v>95838.854</v>
      </c>
      <c r="HX14" s="68">
        <f>(6996024*65+2869080*50+1263800*50+2184840*33+192*2000)/10000</f>
        <v>73386.928</v>
      </c>
      <c r="HY14" s="68">
        <f>(9445860*65+2870620*50+2264440*50+1549488*50+158*2000)/10000</f>
        <v>94852.43</v>
      </c>
      <c r="HZ14" s="68">
        <f>SUM(HN14:HY14)</f>
        <v>1004595.4008</v>
      </c>
      <c r="IA14" s="186">
        <f>(8202204*65+3478400*50+2057280*50+1038216*33+189*2000)/10000</f>
        <v>84456.6388</v>
      </c>
      <c r="IB14" s="186">
        <f>(7965984*65+2281420*50+1597660*50+760656*33+54*2000)/10000</f>
        <v>73695.2608</v>
      </c>
      <c r="IC14" s="186">
        <f>(8777712*65+2761560*50+1382560*50+1783728*33+138*2000)/10000</f>
        <v>83689.6304</v>
      </c>
      <c r="ID14" s="186">
        <f>(6440328*65+1125120*50+1880320*50+1429824*33+192*2000)/10000</f>
        <v>61646.1512</v>
      </c>
      <c r="IE14" s="186">
        <f>(9703140*65+3544960*50+2562740*50+1226016*33+156*2000)/10000</f>
        <v>97685.9628</v>
      </c>
      <c r="IF14" s="186">
        <f>(8547888*65+3594180*50+1763940*50+182*2000)/10000</f>
        <v>82388.272</v>
      </c>
      <c r="IG14" s="186">
        <f>(9985656*65+2576780*50+1650780*50+721464*33+179*2000+45*2000)/10000</f>
        <v>88470.1952</v>
      </c>
      <c r="IH14" s="186">
        <f>(10454904*65+2937180*50+2474900*50+1376232*33+280*2000+77*2000)/10000</f>
        <v>99630.2416</v>
      </c>
      <c r="II14" s="186">
        <f>(10479300*65+1801440*50+1867400*50+1864944*33+166*2000+42*2000)/10000</f>
        <v>92655.5652</v>
      </c>
      <c r="IJ14" s="186">
        <f>(10143336*65+1561420*50+1875280*50+1389744*33+169*2000+42*2000)/10000</f>
        <v>87743.5392</v>
      </c>
      <c r="IK14" s="186">
        <f>(8792328*65+2011140*50+1940100*50+1346544*33+88*2000+55*2000)/10000</f>
        <v>81378.5272</v>
      </c>
      <c r="IL14" s="186">
        <f>(8305668*65+2005740*50+1309540*50+829296*33+138*2000+40*2000)/10000</f>
        <v>73335.5188</v>
      </c>
      <c r="IM14" s="186">
        <f>SUM(IA14:IB14)</f>
        <v>158151.8996</v>
      </c>
      <c r="IN14" s="186">
        <f>(8685336*65+2069240*50+1699600*50+1570848*33+149*2000+51*2000)/10000</f>
        <v>80522.6824</v>
      </c>
      <c r="IO14" s="186">
        <f>(5737284*65+1792960*50+2441720*50+1324728*33+1324728*33+168*2000+58*2000)/10000</f>
        <v>67254.1508</v>
      </c>
      <c r="IP14" s="186">
        <f>IN14+IO14</f>
        <v>147776.8332</v>
      </c>
    </row>
    <row r="15" spans="1:250" ht="15">
      <c r="A15" s="185" t="s">
        <v>31</v>
      </c>
      <c r="B15" s="55">
        <v>126869</v>
      </c>
      <c r="C15" s="56">
        <v>134706</v>
      </c>
      <c r="D15" s="56">
        <v>130308</v>
      </c>
      <c r="E15" s="56">
        <v>126380</v>
      </c>
      <c r="F15" s="56">
        <v>139472</v>
      </c>
      <c r="G15" s="56">
        <v>137404</v>
      </c>
      <c r="H15" s="56">
        <v>147967</v>
      </c>
      <c r="I15" s="56">
        <v>159914</v>
      </c>
      <c r="J15" s="56">
        <v>179300</v>
      </c>
      <c r="K15" s="56">
        <v>201400</v>
      </c>
      <c r="L15" s="57">
        <v>219746</v>
      </c>
      <c r="M15" s="58">
        <v>179079</v>
      </c>
      <c r="N15" s="59">
        <v>146580</v>
      </c>
      <c r="O15" s="58">
        <v>143538</v>
      </c>
      <c r="P15" s="59">
        <v>126977</v>
      </c>
      <c r="Q15" s="59">
        <v>119867</v>
      </c>
      <c r="R15" s="59">
        <v>94405</v>
      </c>
      <c r="S15" s="61">
        <v>111269</v>
      </c>
      <c r="T15" s="59">
        <v>121064</v>
      </c>
      <c r="U15" s="59">
        <v>119578</v>
      </c>
      <c r="V15" s="59">
        <v>143574</v>
      </c>
      <c r="W15" s="59">
        <v>257722</v>
      </c>
      <c r="X15" s="59">
        <v>294213</v>
      </c>
      <c r="Y15" s="59">
        <v>284977</v>
      </c>
      <c r="Z15" s="59">
        <v>287063</v>
      </c>
      <c r="AA15" s="52">
        <v>319936.58999999997</v>
      </c>
      <c r="AB15" s="53">
        <v>331898.83200000005</v>
      </c>
      <c r="AC15" s="52">
        <v>291518.877</v>
      </c>
      <c r="AD15" s="52">
        <v>359970.33599999995</v>
      </c>
      <c r="AE15" s="52">
        <v>369186.912</v>
      </c>
      <c r="AF15" s="52">
        <v>332256.9</v>
      </c>
      <c r="AG15" s="52">
        <v>397268.92799999996</v>
      </c>
      <c r="AH15" s="52">
        <v>366838.464</v>
      </c>
      <c r="AI15" s="52">
        <v>398765.976</v>
      </c>
      <c r="AJ15" s="52">
        <v>398765.976</v>
      </c>
      <c r="AK15" s="52">
        <v>369340.6536000001</v>
      </c>
      <c r="AL15" s="52">
        <v>429924.77390000003</v>
      </c>
      <c r="AM15" s="52">
        <v>402614.76239999995</v>
      </c>
      <c r="AN15" s="52">
        <v>250244.33760000003</v>
      </c>
      <c r="AO15" s="69">
        <f>10623+9851+1029+912+688+96</f>
        <v>23199</v>
      </c>
      <c r="AP15" s="61">
        <f>9236+5983+1665+941+279</f>
        <v>18104</v>
      </c>
      <c r="AQ15" s="71">
        <f>9530+7171+435+480+279+214</f>
        <v>18109</v>
      </c>
      <c r="AR15" s="75">
        <f>8856+6191+1418+681+277</f>
        <v>17423</v>
      </c>
      <c r="AS15" s="64">
        <f>12460+8370+2254+1297+528+169</f>
        <v>25078</v>
      </c>
      <c r="AT15" s="76">
        <f>11675+8930+1692+803+426</f>
        <v>23526</v>
      </c>
      <c r="AU15" s="76">
        <f>13063+10020+2121+746+547+177</f>
        <v>26674</v>
      </c>
      <c r="AV15" s="76">
        <v>28213</v>
      </c>
      <c r="AW15" s="76">
        <f>15210+9924+2895+560</f>
        <v>28589</v>
      </c>
      <c r="AX15" s="72">
        <f>25234+258</f>
        <v>25492</v>
      </c>
      <c r="AY15" s="73">
        <v>26348</v>
      </c>
      <c r="AZ15" s="67">
        <v>24222</v>
      </c>
      <c r="BA15" s="69">
        <v>28849</v>
      </c>
      <c r="BB15" s="61">
        <f>8505+6317+2000+672</f>
        <v>17494</v>
      </c>
      <c r="BC15" s="71">
        <f>12670+7839+31+672+395</f>
        <v>21607</v>
      </c>
      <c r="BD15" s="75">
        <f>11756+9569+2308+1241+453+179</f>
        <v>25506</v>
      </c>
      <c r="BE15" s="64">
        <f>7046+8149+601+1186+701</f>
        <v>17683</v>
      </c>
      <c r="BF15" s="76">
        <v>22903</v>
      </c>
      <c r="BG15" s="76">
        <f>13095+9492+1833+1544+419</f>
        <v>26383</v>
      </c>
      <c r="BH15" s="76">
        <v>28015</v>
      </c>
      <c r="BI15" s="76">
        <f>15051+11855+2576</f>
        <v>29482</v>
      </c>
      <c r="BJ15" s="72">
        <v>21738</v>
      </c>
      <c r="BK15" s="73">
        <v>25411</v>
      </c>
      <c r="BL15" s="67">
        <v>21992</v>
      </c>
      <c r="BM15" s="64">
        <f t="shared" si="0"/>
        <v>287063</v>
      </c>
      <c r="BN15" s="69">
        <v>24866</v>
      </c>
      <c r="BO15" s="69">
        <v>26243</v>
      </c>
      <c r="BP15" s="52">
        <f>(4227792+4296144+699192+456096+217680+70248)*30/10000</f>
        <v>29901.456</v>
      </c>
      <c r="BQ15" s="52">
        <v>24713</v>
      </c>
      <c r="BR15" s="52">
        <f>(3356664+2946240+1389192+446496+215808)*30/10000</f>
        <v>25063.2</v>
      </c>
      <c r="BS15" s="52">
        <f>(4666896+3232440+729360+346728+292248)*30/10000</f>
        <v>27803.016</v>
      </c>
      <c r="BT15" s="52">
        <f>(4148112+3792048+361344)*30/10000</f>
        <v>24904.512</v>
      </c>
      <c r="BU15" s="52">
        <f>(9458832*30/10000)</f>
        <v>28376.496</v>
      </c>
      <c r="BV15" s="52">
        <f>(4518360*30+3371712*30+580440*30)/10000</f>
        <v>25411.536</v>
      </c>
      <c r="BW15" s="52">
        <f>(8852400*30)/10000</f>
        <v>26557.2</v>
      </c>
      <c r="BX15" s="52">
        <v>29022.87</v>
      </c>
      <c r="BY15" s="52">
        <v>27074.304</v>
      </c>
      <c r="BZ15" s="52">
        <f aca="true" t="shared" si="3" ref="BZ15:BZ23">SUM(BN15:BY15)</f>
        <v>319936.58999999997</v>
      </c>
      <c r="CA15" s="52">
        <f>8110392*30/10000</f>
        <v>24331.176</v>
      </c>
      <c r="CB15" s="52">
        <f>(7512192*30)/10000</f>
        <v>22536.576</v>
      </c>
      <c r="CC15" s="52">
        <f>7989816*30/10000</f>
        <v>23969.448</v>
      </c>
      <c r="CD15" s="52">
        <f>8168904*30/10000</f>
        <v>24506.712</v>
      </c>
      <c r="CE15" s="52">
        <f>7069752*30/10000</f>
        <v>21209.256</v>
      </c>
      <c r="CF15" s="52">
        <f>9937392*0.003</f>
        <v>29812.176</v>
      </c>
      <c r="CG15" s="52">
        <f>11541096*30/10000</f>
        <v>34623.288</v>
      </c>
      <c r="CH15" s="52">
        <f>12547032*30/10000</f>
        <v>37641.096</v>
      </c>
      <c r="CI15" s="52">
        <f>11428632*30/10000</f>
        <v>34285.896</v>
      </c>
      <c r="CJ15" s="52">
        <f>9119784*30/10000</f>
        <v>27359.352</v>
      </c>
      <c r="CK15" s="52">
        <f>5571840*30/10000</f>
        <v>16715.52</v>
      </c>
      <c r="CL15" s="52">
        <f>11636112*30/10000</f>
        <v>34908.336</v>
      </c>
      <c r="CM15" s="52">
        <f t="shared" si="1"/>
        <v>331898.83200000005</v>
      </c>
      <c r="CN15" s="53">
        <f>(11615064*30)/10000</f>
        <v>34845.192</v>
      </c>
      <c r="CO15" s="53">
        <f>(8313408*30+119136*30)/10000</f>
        <v>25297.632</v>
      </c>
      <c r="CP15" s="53">
        <f>(5592288*30+119136*30)/10000</f>
        <v>17134.272</v>
      </c>
      <c r="CQ15" s="53">
        <f>6105239*30/10000</f>
        <v>18315.717</v>
      </c>
      <c r="CR15" s="53">
        <f>6237525*30/10000</f>
        <v>18712.575</v>
      </c>
      <c r="CS15" s="53">
        <f>7291270*30/10000</f>
        <v>21873.81</v>
      </c>
      <c r="CT15" s="53">
        <f>(8163255*30/10000)</f>
        <v>24489.765</v>
      </c>
      <c r="CU15" s="53">
        <f>10965528*30/10000</f>
        <v>32896.584</v>
      </c>
      <c r="CV15" s="53">
        <f>(6831718*30)/10000</f>
        <v>20495.154</v>
      </c>
      <c r="CW15" s="53">
        <f>8305896*30/10000</f>
        <v>24917.688</v>
      </c>
      <c r="CX15" s="53">
        <f>8738784*30/10000</f>
        <v>26216.352</v>
      </c>
      <c r="CY15" s="53">
        <f>8774712*30/10000</f>
        <v>26324.136</v>
      </c>
      <c r="CZ15" s="53">
        <f t="shared" si="2"/>
        <v>291518.877</v>
      </c>
      <c r="DA15" s="53">
        <f>12080544*30/10000</f>
        <v>36241.632</v>
      </c>
      <c r="DB15" s="53">
        <f>(7728408*30)/10000</f>
        <v>23185.224</v>
      </c>
      <c r="DC15" s="53">
        <f>9302856*30/10000</f>
        <v>27908.568</v>
      </c>
      <c r="DD15" s="68">
        <f>7129992*30/10000</f>
        <v>21389.976</v>
      </c>
      <c r="DE15" s="68">
        <f>(13058304*30)/10000</f>
        <v>39174.912</v>
      </c>
      <c r="DF15" s="53">
        <f>10079928*30/10000</f>
        <v>30239.784</v>
      </c>
      <c r="DG15" s="53">
        <f>10079928*30/10000</f>
        <v>30239.784</v>
      </c>
      <c r="DH15" s="68">
        <f>13865904*30/10000</f>
        <v>41597.712</v>
      </c>
      <c r="DI15" s="68">
        <f>9982632*30/10000</f>
        <v>29947.896</v>
      </c>
      <c r="DJ15" s="68">
        <f>(11847168*30)/10000</f>
        <v>35541.504</v>
      </c>
      <c r="DK15" s="68">
        <f>7259016*30/10000</f>
        <v>21777.048</v>
      </c>
      <c r="DL15" s="68">
        <f>7575432*30/10000</f>
        <v>22726.296</v>
      </c>
      <c r="DM15" s="53">
        <f>SUM(DA15:DL15)</f>
        <v>359970.33599999995</v>
      </c>
      <c r="DN15" s="68">
        <f>(5100000+5153688+650928+885360+617028)*30/10000</f>
        <v>37221.012</v>
      </c>
      <c r="DO15" s="68">
        <f>(1536000+3093384+647136+733248+324336)*30/10000</f>
        <v>19002.312</v>
      </c>
      <c r="DP15" s="68">
        <f>(2937192*30+2793744*30+666024*30+527928*30+371964*30)/10000</f>
        <v>21890.556</v>
      </c>
      <c r="DQ15" s="68">
        <f>8959056*30/10000</f>
        <v>26877.168</v>
      </c>
      <c r="DR15" s="68">
        <f>(3822408*30+3603624*30+1038336*30+526056*30+1957392*30)/10000</f>
        <v>32843.448</v>
      </c>
      <c r="DS15" s="68">
        <f>(4572864*30+5593248*30+897456*30+904008*30+951240*30)/10000</f>
        <v>38756.448</v>
      </c>
      <c r="DT15" s="68">
        <f>14667192*30/10000</f>
        <v>44001.576</v>
      </c>
      <c r="DU15" s="68">
        <f>11856288*30/10000</f>
        <v>35568.864</v>
      </c>
      <c r="DV15" s="68">
        <f>(8345784*30)/10000</f>
        <v>25037.352</v>
      </c>
      <c r="DW15" s="68">
        <f>10209528*30/10000</f>
        <v>30628.584</v>
      </c>
      <c r="DX15" s="68">
        <f>(8294832*30)/10000</f>
        <v>24884.496</v>
      </c>
      <c r="DY15" s="68">
        <f>(10825032*30)/10000</f>
        <v>32475.096</v>
      </c>
      <c r="DZ15" s="68">
        <f>SUM(DN15:DY15)</f>
        <v>369186.912</v>
      </c>
      <c r="EA15" s="68">
        <f>(11148744*30)/10000</f>
        <v>33446.232</v>
      </c>
      <c r="EB15" s="68">
        <f>(8038056*30)/10000</f>
        <v>24114.168</v>
      </c>
      <c r="EC15" s="68">
        <f>(8586240*30)/10000</f>
        <v>25758.72</v>
      </c>
      <c r="ED15" s="68">
        <f>(7879152*30/10000)</f>
        <v>23637.456</v>
      </c>
      <c r="EE15" s="68">
        <f>4337544*30/10000</f>
        <v>13012.632</v>
      </c>
      <c r="EF15" s="68">
        <f>(11228088*30/10000)</f>
        <v>33684.264</v>
      </c>
      <c r="EG15" s="68">
        <f>10188264*30/10000</f>
        <v>30564.792</v>
      </c>
      <c r="EH15" s="68">
        <f>(10900176*30)/10000</f>
        <v>32700.528</v>
      </c>
      <c r="EI15" s="68">
        <f>(13148040*30/10000)</f>
        <v>39444.12</v>
      </c>
      <c r="EJ15" s="68">
        <f>(8954164*30)/10000</f>
        <v>26862.492</v>
      </c>
      <c r="EK15" s="68">
        <f>(7215936*30)/10000</f>
        <v>21647.808</v>
      </c>
      <c r="EL15" s="68">
        <f>9127896*30/10000</f>
        <v>27383.688</v>
      </c>
      <c r="EM15" s="68">
        <f>SUM(EA15:EL15)</f>
        <v>332256.9</v>
      </c>
      <c r="EN15" s="68">
        <f>(11567112*30)/10000</f>
        <v>34701.336</v>
      </c>
      <c r="EO15" s="68">
        <f>4437528*30/10000</f>
        <v>13312.584</v>
      </c>
      <c r="EP15" s="68">
        <f>(13714200*30)/10000</f>
        <v>41142.6</v>
      </c>
      <c r="EQ15" s="68">
        <f>(13714200*30)/10000</f>
        <v>41142.6</v>
      </c>
      <c r="ER15" s="68">
        <f>(8870328*30)/10000</f>
        <v>26610.984</v>
      </c>
      <c r="ES15" s="68">
        <f>(9544224*30)/10000</f>
        <v>28632.672</v>
      </c>
      <c r="ET15" s="68">
        <f>11268168*30/10000</f>
        <v>33804.504</v>
      </c>
      <c r="EU15" s="68">
        <f>(13836696*30)/10000</f>
        <v>41510.088</v>
      </c>
      <c r="EV15" s="68">
        <f>(14778024*30)/10000</f>
        <v>44334.072</v>
      </c>
      <c r="EW15" s="68">
        <f>(11862408*30)/10000</f>
        <v>35587.224</v>
      </c>
      <c r="EX15" s="68">
        <f>(9203136*30/10000)</f>
        <v>27609.408</v>
      </c>
      <c r="EY15" s="68">
        <f>9626952*30/10000</f>
        <v>28880.856</v>
      </c>
      <c r="EZ15" s="68">
        <f>SUM(EN15:EY15)</f>
        <v>397268.92799999996</v>
      </c>
      <c r="FA15" s="68">
        <f>11811304*30/10000</f>
        <v>35433.912</v>
      </c>
      <c r="FB15" s="68">
        <f>6385224*30/10000</f>
        <v>19155.672</v>
      </c>
      <c r="FC15" s="68">
        <f>(8014896*30)/10000</f>
        <v>24044.688</v>
      </c>
      <c r="FD15" s="68">
        <f>9192024*30/10000</f>
        <v>27576.072</v>
      </c>
      <c r="FE15" s="68">
        <f>(10136040*30+994704*20)/10000</f>
        <v>32397.528</v>
      </c>
      <c r="FF15" s="68">
        <f>10080168*30/10000</f>
        <v>30240.504</v>
      </c>
      <c r="FG15" s="68">
        <f>(13282872*30)/10000</f>
        <v>39848.616</v>
      </c>
      <c r="FH15" s="68">
        <f>(12581520*30)/10000</f>
        <v>37744.56</v>
      </c>
      <c r="FI15" s="68">
        <f>(11069736*30)/10000</f>
        <v>33209.208</v>
      </c>
      <c r="FJ15" s="68">
        <f>(11069736*30)/10000</f>
        <v>33209.208</v>
      </c>
      <c r="FK15" s="68">
        <f>(7880952*30+357624*20)/10000</f>
        <v>24358.104</v>
      </c>
      <c r="FL15" s="68">
        <f>(9358536*30+772392*20)/10000</f>
        <v>29620.392</v>
      </c>
      <c r="FM15" s="68">
        <f>SUM(FA15:FL15)</f>
        <v>366838.464</v>
      </c>
      <c r="FN15" s="68">
        <f>(12586920*30+421296*33)/10000</f>
        <v>39151.0368</v>
      </c>
      <c r="FO15" s="68">
        <f>(7494384*30+812880*33)/10000</f>
        <v>25165.656</v>
      </c>
      <c r="FP15" s="68">
        <f>(8620944*30+234480*33)/10000</f>
        <v>26636.616</v>
      </c>
      <c r="FQ15" s="68">
        <f>(9353952*30+648048*33)/10000</f>
        <v>30200.4144</v>
      </c>
      <c r="FR15" s="68">
        <f>(8890008*30+649032*33)/10000</f>
        <v>28811.8296</v>
      </c>
      <c r="FS15" s="68">
        <f>(10171200*30+671880*33)/10000</f>
        <v>32730.804</v>
      </c>
      <c r="FT15" s="68">
        <f>(12561504*30+371496*20+654840*33)/10000</f>
        <v>40588.476</v>
      </c>
      <c r="FU15" s="68">
        <f>(12664368*30+1078560*33)/10000</f>
        <v>41552.352</v>
      </c>
      <c r="FV15" s="68">
        <f>(12102384*30+673776*33)/10000</f>
        <v>38530.6128</v>
      </c>
      <c r="FW15" s="68">
        <f>(8803824*30+272976*33+618384*33)/10000</f>
        <v>29352.96</v>
      </c>
      <c r="FX15" s="68">
        <f>(10489080*30+418272*33)/10000</f>
        <v>32847.5376</v>
      </c>
      <c r="FY15" s="68">
        <f>(10749648*30+287496*33)/10000</f>
        <v>33197.6808</v>
      </c>
      <c r="FZ15" s="68">
        <f>SUM(FN15:FY15)</f>
        <v>398765.976</v>
      </c>
      <c r="GA15" s="68">
        <f>(11688768*30+486096*33)/10000</f>
        <v>36670.4208</v>
      </c>
      <c r="GB15" s="68">
        <f>(7798728*30+742488*33)/10000</f>
        <v>25846.3944</v>
      </c>
      <c r="GC15" s="68">
        <f>(12006744*30+328632*33)/10000</f>
        <v>37104.7176</v>
      </c>
      <c r="GD15" s="68">
        <f>(10787928*30+1704*33+1129440*33)/10000</f>
        <v>36096.5592</v>
      </c>
      <c r="GE15" s="68">
        <f>(10918464*30+1221384*33)/10000</f>
        <v>36785.9592</v>
      </c>
      <c r="GF15" s="68">
        <f>(11422392*30)/10000</f>
        <v>34267.176</v>
      </c>
      <c r="GG15" s="68">
        <f>(13126104*30+828720*33)/10000</f>
        <v>42113.088</v>
      </c>
      <c r="GH15" s="68">
        <f>(13244952*30)/10000</f>
        <v>39734.856</v>
      </c>
      <c r="GI15" s="68">
        <f>(11577312*30+726936*33)/10000</f>
        <v>37130.8248</v>
      </c>
      <c r="GJ15" s="68">
        <f>(10368696*30+1037712*33)/10000</f>
        <v>34530.5376</v>
      </c>
      <c r="GK15" s="68">
        <f>(8694528*30+282912*33)/10000</f>
        <v>27017.1936</v>
      </c>
      <c r="GL15" s="68">
        <f>(8279232*30+1168968*33)/10000</f>
        <v>28695.2904</v>
      </c>
      <c r="GM15" s="68">
        <f>SUM(GA15:GL15)</f>
        <v>415993.01759999996</v>
      </c>
      <c r="GN15" s="68">
        <f>(5852016*30+512280*33)/10000</f>
        <v>19246.572</v>
      </c>
      <c r="GO15" s="68">
        <f>(6244440*30+38*30+406008*33)/10000</f>
        <v>20073.2604</v>
      </c>
      <c r="GP15" s="68">
        <f>(9895656*30+174*30+515016*33)/10000</f>
        <v>31387.0428</v>
      </c>
      <c r="GQ15" s="68">
        <f>(6601704*30+153*30+294672*33)/10000</f>
        <v>20777.9886</v>
      </c>
      <c r="GR15" s="68">
        <f>(7635696*30+181*30+749016*33)/10000</f>
        <v>25379.3838</v>
      </c>
      <c r="GS15" s="68">
        <f>(11096760*30+64*30+884016*33)/10000</f>
        <v>36207.7248</v>
      </c>
      <c r="GT15" s="68">
        <f>(12144624*30+129*30+1361472*33)/10000</f>
        <v>40927.1166</v>
      </c>
      <c r="GU15" s="68">
        <f>(13340016*30+77*30+1146744*33)/10000</f>
        <v>43804.5342</v>
      </c>
      <c r="GV15" s="68">
        <f>(12007608*30+47*30+873696*33)/10000</f>
        <v>38906.1618</v>
      </c>
      <c r="GW15" s="68">
        <f>(9496752*30+32*30+295104*33)/10000</f>
        <v>29464.1952</v>
      </c>
      <c r="GX15" s="68">
        <f>(8701560*30+15*30+596928*33)/10000</f>
        <v>28074.5874</v>
      </c>
      <c r="GY15" s="68">
        <f>(10706424*30+14*30+601200*33+299640*33)/10000</f>
        <v>35092.086</v>
      </c>
      <c r="GZ15" s="68">
        <f>SUM(GN15:GY15)</f>
        <v>369340.6536000001</v>
      </c>
      <c r="HA15" s="68">
        <f>(10265712*30+4*30+289155*33+297888*33)/10000</f>
        <v>32734.3899</v>
      </c>
      <c r="HB15" s="68">
        <f>(6005928*30+567696*33+461784*33)/10000</f>
        <v>21415.068</v>
      </c>
      <c r="HC15" s="68">
        <f>(8750328*30+586080*33)/10000</f>
        <v>28185.048</v>
      </c>
      <c r="HD15" s="68">
        <f>(7803744*30+532848*33)/10000</f>
        <v>25169.6304</v>
      </c>
      <c r="HE15" s="68">
        <f>(10527264*30+74880*33+301320*33)/10000</f>
        <v>32823.252</v>
      </c>
      <c r="HF15" s="68">
        <f>(10284696*30+593832*33+592824*33)/10000</f>
        <v>34770.0528</v>
      </c>
      <c r="HG15" s="68">
        <f>(11722632*30+584592*33+590520*33)/10000</f>
        <v>39045.7656</v>
      </c>
      <c r="HH15" s="68">
        <f>(11646552*30+428976*33+428760*33)/10000</f>
        <v>37770.1848</v>
      </c>
      <c r="HI15" s="68">
        <f>(9225576*30+593016*33+578448*33)/10000</f>
        <v>31542.5592</v>
      </c>
      <c r="HJ15" s="68">
        <f>(10932720*30+605856*33+632216*33)/10000</f>
        <v>36883.7976</v>
      </c>
      <c r="HK15" s="68">
        <f>(9432288*30+307968*33+455400*33)/10000</f>
        <v>30815.9784</v>
      </c>
      <c r="HL15" s="68">
        <f>(7362528*65+3058080*50+2339300*50+1174944*33+242*2000)/10000</f>
        <v>78769.0472</v>
      </c>
      <c r="HM15" s="68">
        <f>SUM(HA15:HL15)</f>
        <v>429924.77390000003</v>
      </c>
      <c r="HN15" s="68">
        <f>(10434624*30+702264*33+654672*33)/10000</f>
        <v>35781.7608</v>
      </c>
      <c r="HO15" s="68">
        <f>(8646192*30+530496*33+292320*33)/10000</f>
        <v>28653.8688</v>
      </c>
      <c r="HP15" s="68">
        <f>(5033928*30+358848*33+346992*33)/10000</f>
        <v>17431.056</v>
      </c>
      <c r="HQ15" s="68">
        <v>37039.7664</v>
      </c>
      <c r="HR15" s="68">
        <f>(10637208*30+911280*33)/10000</f>
        <v>34918.848</v>
      </c>
      <c r="HS15" s="68">
        <f>(9616632*30+395304*33)/10000</f>
        <v>30154.3992</v>
      </c>
      <c r="HT15" s="68">
        <f>(13756560*30+281064*33)/10000</f>
        <v>42197.1912</v>
      </c>
      <c r="HU15" s="68">
        <f>(12529440*30+465312*33+265992*33)/10000</f>
        <v>40001.6232</v>
      </c>
      <c r="HV15" s="68">
        <f>(12472872*30+719640*33+448200*33)/10000</f>
        <v>41272.488</v>
      </c>
      <c r="HW15" s="68">
        <f>(11282328*30+184128*33+294408*33)/10000</f>
        <v>35426.1528</v>
      </c>
      <c r="HX15" s="68">
        <f>(9591000*30)/10000</f>
        <v>28773</v>
      </c>
      <c r="HY15" s="68">
        <f>(10321536*30)/10000</f>
        <v>30964.608</v>
      </c>
      <c r="HZ15" s="68">
        <f>SUM(HN15:HY15)</f>
        <v>402614.76239999995</v>
      </c>
      <c r="IA15" s="186">
        <f>(7660872*30+266328*33+519696*33)/10000</f>
        <v>25576.4952</v>
      </c>
      <c r="IB15" s="186">
        <f>(4228440*30+101520*33+391824*33)/10000</f>
        <v>14313.3552</v>
      </c>
      <c r="IC15" s="186">
        <f>(3947904*30+170856*33)/10000</f>
        <v>12407.5368</v>
      </c>
      <c r="ID15" s="186">
        <f>(5958552*30+159096*33+243048*33)/10000</f>
        <v>19202.7312</v>
      </c>
      <c r="IE15" s="186">
        <f>(7686048*30+318456*33)/10000</f>
        <v>24109.0488</v>
      </c>
      <c r="IF15" s="186">
        <f>(5619816*33)/10000</f>
        <v>18545.3928</v>
      </c>
      <c r="IG15" s="186">
        <f>(5848656*30+369864)/10000</f>
        <v>17582.9544</v>
      </c>
      <c r="IH15" s="186">
        <f>(8559072*30+318792*33)/10000</f>
        <v>26729.2296</v>
      </c>
      <c r="II15" s="186">
        <f>(8910168*30+302400*33)/10000</f>
        <v>27728.424</v>
      </c>
      <c r="IJ15" s="186">
        <f>(8606976*30+289032*33)/10000</f>
        <v>26774.7336</v>
      </c>
      <c r="IK15" s="186">
        <f>(5164464*30+288360*33)/10000</f>
        <v>16444.98</v>
      </c>
      <c r="IL15" s="186">
        <f>(6943152*30)/10000</f>
        <v>20829.456</v>
      </c>
      <c r="IM15" s="186">
        <f>SUM(IA15:IB15)</f>
        <v>39889.8504</v>
      </c>
      <c r="IN15" s="186">
        <f>(5344056*30+163680*33)/10000</f>
        <v>16572.312</v>
      </c>
      <c r="IO15" s="186">
        <f>(8719176*30+207888*33)/10000</f>
        <v>26843.5584</v>
      </c>
      <c r="IP15" s="186">
        <f>IN15+IO15</f>
        <v>43415.8704</v>
      </c>
    </row>
    <row r="16" spans="1:250" ht="15" hidden="1">
      <c r="A16" s="185" t="s">
        <v>32</v>
      </c>
      <c r="B16" s="14"/>
      <c r="C16" s="56">
        <v>5088</v>
      </c>
      <c r="D16" s="56">
        <v>6203</v>
      </c>
      <c r="E16" s="56">
        <v>6017</v>
      </c>
      <c r="F16" s="56">
        <v>1404</v>
      </c>
      <c r="G16" s="77" t="s">
        <v>33</v>
      </c>
      <c r="H16" s="77" t="s">
        <v>33</v>
      </c>
      <c r="I16" s="56">
        <v>6619</v>
      </c>
      <c r="J16" s="56">
        <v>2267</v>
      </c>
      <c r="K16" s="56">
        <v>2349</v>
      </c>
      <c r="L16" s="57">
        <v>472.205</v>
      </c>
      <c r="M16" s="58">
        <v>497</v>
      </c>
      <c r="N16" s="78" t="s">
        <v>64</v>
      </c>
      <c r="O16" s="78" t="s">
        <v>64</v>
      </c>
      <c r="P16" s="78" t="s">
        <v>64</v>
      </c>
      <c r="Q16" s="78" t="s">
        <v>64</v>
      </c>
      <c r="R16" s="79" t="s">
        <v>33</v>
      </c>
      <c r="S16" s="80"/>
      <c r="T16" s="80"/>
      <c r="U16" s="80"/>
      <c r="V16" s="80"/>
      <c r="W16" s="80"/>
      <c r="X16" s="80"/>
      <c r="Y16" s="78"/>
      <c r="Z16" s="78"/>
      <c r="AA16" s="52">
        <v>0</v>
      </c>
      <c r="AB16" s="53">
        <v>0</v>
      </c>
      <c r="AC16" s="52">
        <v>0</v>
      </c>
      <c r="AD16" s="52">
        <v>0</v>
      </c>
      <c r="AE16" s="52">
        <v>0</v>
      </c>
      <c r="AF16" s="52">
        <v>0</v>
      </c>
      <c r="AG16" s="52"/>
      <c r="AH16" s="52"/>
      <c r="AI16" s="52">
        <v>0</v>
      </c>
      <c r="AJ16" s="52"/>
      <c r="AK16" s="52"/>
      <c r="AL16" s="52"/>
      <c r="AM16" s="52"/>
      <c r="AN16" s="52"/>
      <c r="AO16" s="53"/>
      <c r="AP16" s="81"/>
      <c r="AQ16" s="62"/>
      <c r="AR16" s="78"/>
      <c r="AS16" s="78"/>
      <c r="AT16" s="78"/>
      <c r="AU16" s="62"/>
      <c r="AV16" s="78"/>
      <c r="AW16" s="78"/>
      <c r="AX16" s="78"/>
      <c r="AY16" s="78"/>
      <c r="AZ16" s="81"/>
      <c r="BA16" s="53"/>
      <c r="BB16" s="81"/>
      <c r="BC16" s="62"/>
      <c r="BD16" s="78"/>
      <c r="BE16" s="78"/>
      <c r="BF16" s="78"/>
      <c r="BG16" s="62"/>
      <c r="BH16" s="78"/>
      <c r="BI16" s="78"/>
      <c r="BJ16" s="78"/>
      <c r="BK16" s="78"/>
      <c r="BL16" s="81"/>
      <c r="BM16" s="64">
        <f t="shared" si="0"/>
        <v>0</v>
      </c>
      <c r="BN16" s="53"/>
      <c r="BO16" s="53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>
        <f t="shared" si="3"/>
        <v>0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>
        <f t="shared" si="1"/>
        <v>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>
        <f t="shared" si="2"/>
        <v>0</v>
      </c>
      <c r="DA16" s="53">
        <f>SUM(CM16:CX16)</f>
        <v>0</v>
      </c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>
        <f aca="true" t="shared" si="4" ref="DM16:DM22">SUM(DA16:DK16)</f>
        <v>0</v>
      </c>
      <c r="DN16" s="53">
        <f>SUM(CZ16:DK16)</f>
        <v>0</v>
      </c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68">
        <f aca="true" t="shared" si="5" ref="DZ16:DZ22">SUM(DN16:DQ16)</f>
        <v>0</v>
      </c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>
        <f aca="true" t="shared" si="6" ref="EM16:EM22">SUM(EA16:ED16)</f>
        <v>0</v>
      </c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186"/>
      <c r="IB16" s="186"/>
      <c r="IC16" s="186"/>
      <c r="ID16" s="186"/>
      <c r="IE16" s="186"/>
      <c r="IF16" s="186"/>
      <c r="IG16" s="186"/>
      <c r="IH16" s="186"/>
      <c r="II16" s="186"/>
      <c r="IJ16" s="189"/>
      <c r="IK16" s="189"/>
      <c r="IL16" s="189"/>
      <c r="IM16" s="186"/>
      <c r="IN16" s="186"/>
      <c r="IO16" s="186"/>
      <c r="IP16" s="186"/>
    </row>
    <row r="17" spans="1:250" ht="15" hidden="1">
      <c r="A17" s="18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52">
        <v>0</v>
      </c>
      <c r="AB17" s="53">
        <v>0</v>
      </c>
      <c r="AC17" s="52">
        <v>0</v>
      </c>
      <c r="AD17" s="52">
        <v>0</v>
      </c>
      <c r="AE17" s="9">
        <v>0</v>
      </c>
      <c r="AF17" s="9">
        <v>0</v>
      </c>
      <c r="AG17" s="9"/>
      <c r="AH17" s="9"/>
      <c r="AI17" s="9">
        <v>0</v>
      </c>
      <c r="AJ17" s="9"/>
      <c r="AK17" s="9"/>
      <c r="AL17" s="9"/>
      <c r="AM17" s="9"/>
      <c r="AN17" s="9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64">
        <f t="shared" si="0"/>
        <v>0</v>
      </c>
      <c r="BN17" s="82"/>
      <c r="BO17" s="8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>
        <f t="shared" si="3"/>
        <v>0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>
        <f t="shared" si="1"/>
        <v>0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>
        <f t="shared" si="2"/>
        <v>0</v>
      </c>
      <c r="DA17" s="53">
        <f>SUM(CM17:CX17)</f>
        <v>0</v>
      </c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>
        <f t="shared" si="4"/>
        <v>0</v>
      </c>
      <c r="DN17" s="53">
        <f>SUM(CZ17:DK17)</f>
        <v>0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68">
        <f t="shared" si="5"/>
        <v>0</v>
      </c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>
        <f t="shared" si="6"/>
        <v>0</v>
      </c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186"/>
      <c r="IB17" s="186"/>
      <c r="IC17" s="186"/>
      <c r="ID17" s="186"/>
      <c r="IE17" s="186"/>
      <c r="IF17" s="186"/>
      <c r="IG17" s="186"/>
      <c r="IH17" s="186"/>
      <c r="II17" s="186"/>
      <c r="IJ17" s="189"/>
      <c r="IK17" s="189"/>
      <c r="IL17" s="189"/>
      <c r="IM17" s="186"/>
      <c r="IN17" s="186"/>
      <c r="IO17" s="186"/>
      <c r="IP17" s="186"/>
    </row>
    <row r="18" spans="1:250" ht="15" hidden="1">
      <c r="A18" s="185" t="s">
        <v>66</v>
      </c>
      <c r="B18" s="14">
        <v>79333</v>
      </c>
      <c r="C18" s="56">
        <v>26611</v>
      </c>
      <c r="D18" s="56">
        <v>10569</v>
      </c>
      <c r="E18" s="56">
        <v>18807</v>
      </c>
      <c r="F18" s="56">
        <v>29655</v>
      </c>
      <c r="G18" s="56">
        <v>56867</v>
      </c>
      <c r="H18" s="56">
        <v>45727</v>
      </c>
      <c r="I18" s="56">
        <v>66881</v>
      </c>
      <c r="J18" s="56">
        <v>84995</v>
      </c>
      <c r="K18" s="56">
        <v>40132</v>
      </c>
      <c r="L18" s="83" t="s">
        <v>33</v>
      </c>
      <c r="M18" s="84" t="s">
        <v>33</v>
      </c>
      <c r="N18" s="85">
        <v>254128</v>
      </c>
      <c r="O18" s="86">
        <v>288367</v>
      </c>
      <c r="P18" s="85">
        <v>255667</v>
      </c>
      <c r="Q18" s="85">
        <v>130388</v>
      </c>
      <c r="R18" s="85">
        <v>111485</v>
      </c>
      <c r="S18" s="87">
        <v>80125</v>
      </c>
      <c r="T18" s="85">
        <v>70736</v>
      </c>
      <c r="U18" s="85">
        <v>6008</v>
      </c>
      <c r="V18" s="81" t="s">
        <v>64</v>
      </c>
      <c r="W18" s="81"/>
      <c r="X18" s="81"/>
      <c r="Y18" s="81"/>
      <c r="Z18" s="81"/>
      <c r="AA18" s="52">
        <v>0</v>
      </c>
      <c r="AB18" s="53">
        <v>0</v>
      </c>
      <c r="AC18" s="52">
        <v>0</v>
      </c>
      <c r="AD18" s="52">
        <v>0</v>
      </c>
      <c r="AE18" s="9">
        <v>0</v>
      </c>
      <c r="AF18" s="9">
        <v>0</v>
      </c>
      <c r="AG18" s="9"/>
      <c r="AH18" s="9"/>
      <c r="AI18" s="9">
        <v>0</v>
      </c>
      <c r="AJ18" s="9"/>
      <c r="AK18" s="9"/>
      <c r="AL18" s="9"/>
      <c r="AM18" s="9"/>
      <c r="AN18" s="9"/>
      <c r="AO18" s="81" t="s">
        <v>64</v>
      </c>
      <c r="AP18" s="81" t="s">
        <v>64</v>
      </c>
      <c r="AQ18" s="81"/>
      <c r="AR18" s="88"/>
      <c r="AS18" s="88"/>
      <c r="AT18" s="88"/>
      <c r="AU18" s="88"/>
      <c r="AV18" s="88"/>
      <c r="AW18" s="88"/>
      <c r="AX18" s="81"/>
      <c r="AY18" s="78"/>
      <c r="AZ18" s="81"/>
      <c r="BA18" s="81"/>
      <c r="BB18" s="81"/>
      <c r="BC18" s="81"/>
      <c r="BD18" s="88"/>
      <c r="BE18" s="88"/>
      <c r="BF18" s="88"/>
      <c r="BG18" s="88"/>
      <c r="BH18" s="88"/>
      <c r="BI18" s="88"/>
      <c r="BJ18" s="81"/>
      <c r="BK18" s="78"/>
      <c r="BL18" s="81"/>
      <c r="BM18" s="64">
        <f t="shared" si="0"/>
        <v>0</v>
      </c>
      <c r="BN18" s="81"/>
      <c r="BO18" s="81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>
        <f t="shared" si="3"/>
        <v>0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>
        <f t="shared" si="1"/>
        <v>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>
        <f t="shared" si="2"/>
        <v>0</v>
      </c>
      <c r="DA18" s="53">
        <f>SUM(CM18:CX18)</f>
        <v>0</v>
      </c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>
        <f t="shared" si="4"/>
        <v>0</v>
      </c>
      <c r="DN18" s="53">
        <f>SUM(CZ18:DK18)</f>
        <v>0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68">
        <f t="shared" si="5"/>
        <v>0</v>
      </c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>
        <f t="shared" si="6"/>
        <v>0</v>
      </c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186"/>
      <c r="IB18" s="186"/>
      <c r="IC18" s="186"/>
      <c r="ID18" s="186"/>
      <c r="IE18" s="186"/>
      <c r="IF18" s="186"/>
      <c r="IG18" s="186"/>
      <c r="IH18" s="186"/>
      <c r="II18" s="186"/>
      <c r="IJ18" s="189"/>
      <c r="IK18" s="189"/>
      <c r="IL18" s="189"/>
      <c r="IM18" s="186"/>
      <c r="IN18" s="186"/>
      <c r="IO18" s="186"/>
      <c r="IP18" s="186"/>
    </row>
    <row r="19" spans="1:250" ht="15">
      <c r="A19" s="185" t="s">
        <v>34</v>
      </c>
      <c r="B19" s="89" t="s">
        <v>33</v>
      </c>
      <c r="C19" s="77" t="s">
        <v>33</v>
      </c>
      <c r="D19" s="77" t="s">
        <v>33</v>
      </c>
      <c r="E19" s="56">
        <v>4658</v>
      </c>
      <c r="F19" s="56">
        <v>8518</v>
      </c>
      <c r="G19" s="56">
        <v>10310</v>
      </c>
      <c r="H19" s="56">
        <v>14384</v>
      </c>
      <c r="I19" s="56">
        <v>17301</v>
      </c>
      <c r="J19" s="56">
        <v>13916</v>
      </c>
      <c r="K19" s="56">
        <v>12268</v>
      </c>
      <c r="L19" s="57">
        <v>15300</v>
      </c>
      <c r="M19" s="58">
        <v>17755</v>
      </c>
      <c r="N19" s="59">
        <v>19582</v>
      </c>
      <c r="O19" s="58">
        <v>21713</v>
      </c>
      <c r="P19" s="59">
        <v>20613</v>
      </c>
      <c r="Q19" s="59">
        <v>18315</v>
      </c>
      <c r="R19" s="59">
        <v>18186</v>
      </c>
      <c r="S19" s="61">
        <v>17661</v>
      </c>
      <c r="T19" s="85">
        <v>20268</v>
      </c>
      <c r="U19" s="85">
        <v>20152</v>
      </c>
      <c r="V19" s="85">
        <v>19058</v>
      </c>
      <c r="W19" s="85">
        <v>18147</v>
      </c>
      <c r="X19" s="85">
        <v>20213</v>
      </c>
      <c r="Y19" s="85">
        <v>18233</v>
      </c>
      <c r="Z19" s="87">
        <v>14314.1</v>
      </c>
      <c r="AA19" s="52">
        <v>18936.8</v>
      </c>
      <c r="AB19" s="53">
        <v>20687.8</v>
      </c>
      <c r="AC19" s="52">
        <v>23168.399999999998</v>
      </c>
      <c r="AD19" s="52">
        <v>25820.65</v>
      </c>
      <c r="AE19" s="52">
        <v>21543.199999999997</v>
      </c>
      <c r="AF19" s="52">
        <v>22997.450000000004</v>
      </c>
      <c r="AG19" s="52">
        <v>23655.66</v>
      </c>
      <c r="AH19" s="52">
        <v>21940.100000000002</v>
      </c>
      <c r="AI19" s="52">
        <v>19534.500000000004</v>
      </c>
      <c r="AJ19" s="52">
        <v>19534.500000000004</v>
      </c>
      <c r="AK19" s="52">
        <v>20435.6</v>
      </c>
      <c r="AL19" s="52">
        <v>15879.749999999998</v>
      </c>
      <c r="AM19" s="52">
        <v>19479.4</v>
      </c>
      <c r="AN19" s="52">
        <v>13763.509999999998</v>
      </c>
      <c r="AO19" s="78" t="s">
        <v>64</v>
      </c>
      <c r="AP19" s="81" t="s">
        <v>64</v>
      </c>
      <c r="AQ19" s="81" t="s">
        <v>64</v>
      </c>
      <c r="AR19" s="81" t="s">
        <v>64</v>
      </c>
      <c r="AS19" s="81" t="s">
        <v>64</v>
      </c>
      <c r="AT19" s="81" t="s">
        <v>64</v>
      </c>
      <c r="AU19" s="81" t="s">
        <v>64</v>
      </c>
      <c r="AV19" s="81" t="s">
        <v>64</v>
      </c>
      <c r="AW19" s="81" t="s">
        <v>64</v>
      </c>
      <c r="AX19" s="81" t="s">
        <v>64</v>
      </c>
      <c r="AY19" s="81" t="s">
        <v>64</v>
      </c>
      <c r="AZ19" s="81" t="s">
        <v>64</v>
      </c>
      <c r="BA19" s="80" t="s">
        <v>64</v>
      </c>
      <c r="BB19" s="80" t="s">
        <v>64</v>
      </c>
      <c r="BC19" s="80" t="s">
        <v>64</v>
      </c>
      <c r="BD19" s="80" t="s">
        <v>64</v>
      </c>
      <c r="BE19" s="80" t="s">
        <v>64</v>
      </c>
      <c r="BF19" s="79" t="s">
        <v>64</v>
      </c>
      <c r="BG19" s="87">
        <v>2869.85</v>
      </c>
      <c r="BH19" s="64">
        <v>3530.65</v>
      </c>
      <c r="BI19" s="64">
        <v>3500.2</v>
      </c>
      <c r="BJ19" s="64">
        <v>3725.65</v>
      </c>
      <c r="BK19" s="53">
        <v>687.75</v>
      </c>
      <c r="BL19" s="80" t="s">
        <v>64</v>
      </c>
      <c r="BM19" s="64">
        <f t="shared" si="0"/>
        <v>14314.1</v>
      </c>
      <c r="BN19" s="79" t="s">
        <v>64</v>
      </c>
      <c r="BO19" s="79" t="s">
        <v>64</v>
      </c>
      <c r="BP19" s="52" t="s">
        <v>64</v>
      </c>
      <c r="BQ19" s="52" t="s">
        <v>64</v>
      </c>
      <c r="BR19" s="52" t="s">
        <v>64</v>
      </c>
      <c r="BS19" s="52" t="s">
        <v>64</v>
      </c>
      <c r="BT19" s="52">
        <v>2238.45</v>
      </c>
      <c r="BU19" s="52">
        <v>3952.45</v>
      </c>
      <c r="BV19" s="52">
        <v>4274.2</v>
      </c>
      <c r="BW19" s="52">
        <v>3974.6</v>
      </c>
      <c r="BX19" s="52">
        <v>4087.25</v>
      </c>
      <c r="BY19" s="52">
        <v>410</v>
      </c>
      <c r="BZ19" s="52">
        <f>SUM(BN19:BY19)</f>
        <v>18936.949999999997</v>
      </c>
      <c r="CA19" s="52" t="s">
        <v>64</v>
      </c>
      <c r="CB19" s="52" t="s">
        <v>64</v>
      </c>
      <c r="CC19" s="52" t="s">
        <v>64</v>
      </c>
      <c r="CD19" s="52" t="s">
        <v>64</v>
      </c>
      <c r="CE19" s="52" t="s">
        <v>64</v>
      </c>
      <c r="CF19" s="52">
        <v>1340.45</v>
      </c>
      <c r="CG19" s="52">
        <v>3710.4</v>
      </c>
      <c r="CH19" s="52">
        <v>3933.15</v>
      </c>
      <c r="CI19" s="52">
        <v>3639.5</v>
      </c>
      <c r="CJ19" s="52">
        <v>4167.5</v>
      </c>
      <c r="CK19" s="52">
        <v>3403.25</v>
      </c>
      <c r="CL19" s="52">
        <v>493.55</v>
      </c>
      <c r="CM19" s="52">
        <f t="shared" si="1"/>
        <v>20687.8</v>
      </c>
      <c r="CN19" s="53" t="s">
        <v>64</v>
      </c>
      <c r="CO19" s="53" t="s">
        <v>64</v>
      </c>
      <c r="CP19" s="53" t="s">
        <v>64</v>
      </c>
      <c r="CQ19" s="53" t="s">
        <v>64</v>
      </c>
      <c r="CR19" s="53" t="s">
        <v>64</v>
      </c>
      <c r="CS19" s="53">
        <v>1926.15</v>
      </c>
      <c r="CT19" s="53">
        <v>3845.95</v>
      </c>
      <c r="CU19" s="68">
        <v>4164.85</v>
      </c>
      <c r="CV19" s="68">
        <v>3887.4</v>
      </c>
      <c r="CW19" s="68">
        <v>4238.9</v>
      </c>
      <c r="CX19" s="68">
        <v>3912.8</v>
      </c>
      <c r="CY19" s="68">
        <v>1192.35</v>
      </c>
      <c r="CZ19" s="53">
        <f t="shared" si="2"/>
        <v>23168.399999999998</v>
      </c>
      <c r="DA19" s="53" t="s">
        <v>64</v>
      </c>
      <c r="DB19" s="129">
        <v>0</v>
      </c>
      <c r="DC19" s="129">
        <v>0</v>
      </c>
      <c r="DD19" s="53" t="s">
        <v>64</v>
      </c>
      <c r="DE19" s="52">
        <v>443.85</v>
      </c>
      <c r="DF19" s="53">
        <v>3985.8</v>
      </c>
      <c r="DG19" s="53">
        <v>4665</v>
      </c>
      <c r="DH19" s="53">
        <v>4235.55</v>
      </c>
      <c r="DI19" s="53">
        <v>4189.85</v>
      </c>
      <c r="DJ19" s="53">
        <v>3759.1</v>
      </c>
      <c r="DK19" s="53">
        <v>3846.1</v>
      </c>
      <c r="DL19" s="53">
        <v>695.4</v>
      </c>
      <c r="DM19" s="53">
        <f>SUM(DA19:DL19)</f>
        <v>25820.65</v>
      </c>
      <c r="DN19" s="129">
        <v>0</v>
      </c>
      <c r="DO19" s="129">
        <v>0</v>
      </c>
      <c r="DP19" s="129">
        <v>0</v>
      </c>
      <c r="DQ19" s="129">
        <v>0</v>
      </c>
      <c r="DR19" s="129">
        <v>0</v>
      </c>
      <c r="DS19" s="68">
        <v>2699.85</v>
      </c>
      <c r="DT19" s="68">
        <v>4161.2</v>
      </c>
      <c r="DU19" s="68">
        <v>4525.8</v>
      </c>
      <c r="DV19" s="68">
        <v>4379.15</v>
      </c>
      <c r="DW19" s="68">
        <v>4092.1</v>
      </c>
      <c r="DX19" s="68">
        <v>1685.1</v>
      </c>
      <c r="DY19" s="129">
        <v>0</v>
      </c>
      <c r="DZ19" s="68">
        <f>SUM(DN19:DY19)</f>
        <v>21543.199999999997</v>
      </c>
      <c r="EA19" s="129">
        <v>0</v>
      </c>
      <c r="EB19" s="129">
        <v>0</v>
      </c>
      <c r="EC19" s="129">
        <v>0</v>
      </c>
      <c r="ED19" s="129">
        <v>0</v>
      </c>
      <c r="EE19" s="129">
        <v>0</v>
      </c>
      <c r="EF19" s="129">
        <v>903.85</v>
      </c>
      <c r="EG19" s="68">
        <v>4264.95</v>
      </c>
      <c r="EH19" s="68">
        <v>4423.9</v>
      </c>
      <c r="EI19" s="68">
        <v>4436.65</v>
      </c>
      <c r="EJ19" s="68">
        <v>4967.55</v>
      </c>
      <c r="EK19" s="68">
        <v>3827.9</v>
      </c>
      <c r="EL19" s="68">
        <v>172.65</v>
      </c>
      <c r="EM19" s="68">
        <f>SUM(EA19:EL19)</f>
        <v>22997.450000000004</v>
      </c>
      <c r="EN19" s="129">
        <v>0</v>
      </c>
      <c r="EO19" s="129">
        <v>0</v>
      </c>
      <c r="EP19" s="129">
        <v>0</v>
      </c>
      <c r="EQ19" s="129">
        <v>0</v>
      </c>
      <c r="ER19" s="129">
        <v>0</v>
      </c>
      <c r="ES19" s="68">
        <v>1738.35</v>
      </c>
      <c r="ET19" s="68">
        <v>4109.25</v>
      </c>
      <c r="EU19" s="68">
        <v>4109.25</v>
      </c>
      <c r="EV19" s="68">
        <v>4655.35</v>
      </c>
      <c r="EW19" s="68">
        <v>4190.5</v>
      </c>
      <c r="EX19" s="68">
        <v>3706.76</v>
      </c>
      <c r="EY19" s="68">
        <v>1146.2</v>
      </c>
      <c r="EZ19" s="68">
        <f>SUM(EN19:EY19)</f>
        <v>23655.66</v>
      </c>
      <c r="FA19" s="129">
        <v>0</v>
      </c>
      <c r="FB19" s="129">
        <v>0</v>
      </c>
      <c r="FC19" s="129">
        <v>0</v>
      </c>
      <c r="FD19" s="129">
        <v>0</v>
      </c>
      <c r="FE19" s="129">
        <v>0</v>
      </c>
      <c r="FF19" s="129">
        <v>1911.25</v>
      </c>
      <c r="FG19" s="129">
        <v>4088.35</v>
      </c>
      <c r="FH19" s="68">
        <v>3690.8</v>
      </c>
      <c r="FI19" s="68">
        <v>3984.2</v>
      </c>
      <c r="FJ19" s="68">
        <v>3359.2</v>
      </c>
      <c r="FK19" s="68">
        <v>2893.25</v>
      </c>
      <c r="FL19" s="68">
        <v>2013.05</v>
      </c>
      <c r="FM19" s="68">
        <f>SUM(FA19:FL19)</f>
        <v>21940.100000000002</v>
      </c>
      <c r="FN19" s="129">
        <v>0</v>
      </c>
      <c r="FO19" s="129">
        <v>0</v>
      </c>
      <c r="FP19" s="129">
        <v>0</v>
      </c>
      <c r="FQ19" s="129">
        <v>0</v>
      </c>
      <c r="FR19" s="129">
        <v>0</v>
      </c>
      <c r="FS19" s="129">
        <v>187.85</v>
      </c>
      <c r="FT19" s="68">
        <v>3826.3</v>
      </c>
      <c r="FU19" s="68">
        <v>4639.7</v>
      </c>
      <c r="FV19" s="68">
        <v>4100.3</v>
      </c>
      <c r="FW19" s="68">
        <v>3495.15</v>
      </c>
      <c r="FX19" s="68">
        <v>2612.3</v>
      </c>
      <c r="FY19" s="68">
        <v>672.9</v>
      </c>
      <c r="FZ19" s="68">
        <f>SUM(FN19:FY19)</f>
        <v>19534.500000000004</v>
      </c>
      <c r="GA19" s="129">
        <v>0</v>
      </c>
      <c r="GB19" s="129">
        <v>0</v>
      </c>
      <c r="GC19" s="129">
        <v>0</v>
      </c>
      <c r="GD19" s="129">
        <v>0</v>
      </c>
      <c r="GE19" s="129">
        <v>0</v>
      </c>
      <c r="GF19" s="129">
        <v>347.75</v>
      </c>
      <c r="GG19" s="68">
        <v>3826.7</v>
      </c>
      <c r="GH19" s="68">
        <v>4094.45</v>
      </c>
      <c r="GI19" s="68">
        <v>3706.65</v>
      </c>
      <c r="GJ19" s="68">
        <v>3061.75</v>
      </c>
      <c r="GK19" s="68">
        <v>2965.2</v>
      </c>
      <c r="GL19" s="68">
        <v>571.9</v>
      </c>
      <c r="GM19" s="68">
        <f>SUM(GA19:GL19)</f>
        <v>18574.4</v>
      </c>
      <c r="GN19" s="129">
        <v>0</v>
      </c>
      <c r="GO19" s="129">
        <v>0</v>
      </c>
      <c r="GP19" s="129">
        <v>0</v>
      </c>
      <c r="GQ19" s="129">
        <v>0</v>
      </c>
      <c r="GR19" s="129">
        <v>0</v>
      </c>
      <c r="GS19" s="68">
        <v>588.75</v>
      </c>
      <c r="GT19" s="68">
        <v>4333</v>
      </c>
      <c r="GU19" s="68">
        <v>4486.25</v>
      </c>
      <c r="GV19" s="68">
        <v>4311.1</v>
      </c>
      <c r="GW19" s="68">
        <v>4368.95</v>
      </c>
      <c r="GX19" s="68">
        <v>2347.55</v>
      </c>
      <c r="GY19" s="68">
        <v>0</v>
      </c>
      <c r="GZ19" s="68">
        <f>SUM(GN19:GY19)</f>
        <v>20435.6</v>
      </c>
      <c r="HA19" s="129">
        <v>0</v>
      </c>
      <c r="HB19" s="68">
        <v>0</v>
      </c>
      <c r="HC19" s="68">
        <v>0</v>
      </c>
      <c r="HD19" s="68">
        <v>0</v>
      </c>
      <c r="HE19" s="68">
        <v>0</v>
      </c>
      <c r="HF19" s="68">
        <v>452</v>
      </c>
      <c r="HG19" s="68">
        <v>3278.65</v>
      </c>
      <c r="HH19" s="68">
        <v>3709.6</v>
      </c>
      <c r="HI19" s="68">
        <v>3848.3</v>
      </c>
      <c r="HJ19" s="68">
        <v>3515.4</v>
      </c>
      <c r="HK19" s="68">
        <v>1075.8</v>
      </c>
      <c r="HL19" s="68">
        <v>0</v>
      </c>
      <c r="HM19" s="68">
        <f>SUM(HA19:HL19)</f>
        <v>15879.749999999998</v>
      </c>
      <c r="HN19" s="129">
        <v>0</v>
      </c>
      <c r="HO19" s="129">
        <v>0</v>
      </c>
      <c r="HP19" s="129">
        <v>0</v>
      </c>
      <c r="HQ19" s="129">
        <v>0</v>
      </c>
      <c r="HR19" s="129">
        <v>0</v>
      </c>
      <c r="HS19" s="68">
        <v>0</v>
      </c>
      <c r="HT19" s="68">
        <v>2151.2</v>
      </c>
      <c r="HU19" s="68">
        <v>4177.3</v>
      </c>
      <c r="HV19" s="68">
        <v>3740.55</v>
      </c>
      <c r="HW19" s="68">
        <v>3710.75</v>
      </c>
      <c r="HX19" s="68">
        <v>3313.15</v>
      </c>
      <c r="HY19" s="68">
        <v>2386.45</v>
      </c>
      <c r="HZ19" s="68">
        <f>SUM(HN19:HY19)</f>
        <v>19479.4</v>
      </c>
      <c r="IA19" s="187">
        <v>0</v>
      </c>
      <c r="IB19" s="129">
        <v>0</v>
      </c>
      <c r="IC19" s="134">
        <v>0</v>
      </c>
      <c r="ID19" s="134">
        <v>0</v>
      </c>
      <c r="IE19" s="134">
        <v>0</v>
      </c>
      <c r="IF19" s="134">
        <v>0</v>
      </c>
      <c r="IG19" s="134">
        <v>713.6</v>
      </c>
      <c r="IH19" s="186">
        <v>4307.45</v>
      </c>
      <c r="II19" s="186">
        <v>3776.6</v>
      </c>
      <c r="IJ19" s="186">
        <v>3316.7</v>
      </c>
      <c r="IK19" s="186">
        <v>1463.85</v>
      </c>
      <c r="IL19" s="186">
        <v>185.31</v>
      </c>
      <c r="IM19" s="186">
        <f>SUM(IA19:IB19)</f>
        <v>0</v>
      </c>
      <c r="IN19" s="187">
        <v>0</v>
      </c>
      <c r="IO19" s="187">
        <v>0</v>
      </c>
      <c r="IP19" s="186">
        <f>IN19+IO19</f>
        <v>0</v>
      </c>
    </row>
    <row r="20" spans="1:250" ht="15">
      <c r="A20" s="185" t="s">
        <v>35</v>
      </c>
      <c r="B20" s="14">
        <v>346133</v>
      </c>
      <c r="C20" s="56">
        <v>601742</v>
      </c>
      <c r="D20" s="56">
        <v>534882</v>
      </c>
      <c r="E20" s="56">
        <v>602314</v>
      </c>
      <c r="F20" s="56">
        <v>644642</v>
      </c>
      <c r="G20" s="56">
        <v>541944</v>
      </c>
      <c r="H20" s="56">
        <v>448520</v>
      </c>
      <c r="I20" s="56">
        <v>340500</v>
      </c>
      <c r="J20" s="56">
        <v>329200</v>
      </c>
      <c r="K20" s="56">
        <v>279900</v>
      </c>
      <c r="L20" s="57">
        <v>211450</v>
      </c>
      <c r="M20" s="58">
        <v>234600</v>
      </c>
      <c r="N20" s="59">
        <v>199715</v>
      </c>
      <c r="O20" s="58">
        <v>133560</v>
      </c>
      <c r="P20" s="59">
        <v>111535</v>
      </c>
      <c r="Q20" s="59">
        <v>104370</v>
      </c>
      <c r="R20" s="59">
        <v>86750</v>
      </c>
      <c r="S20" s="61">
        <v>80260</v>
      </c>
      <c r="T20" s="87">
        <v>125000</v>
      </c>
      <c r="U20" s="87">
        <v>157850</v>
      </c>
      <c r="V20" s="87">
        <v>135900</v>
      </c>
      <c r="W20" s="87">
        <v>101206</v>
      </c>
      <c r="X20" s="87">
        <v>51220</v>
      </c>
      <c r="Y20" s="87">
        <v>33550</v>
      </c>
      <c r="Z20" s="87">
        <v>31528</v>
      </c>
      <c r="AA20" s="52">
        <v>26501</v>
      </c>
      <c r="AB20" s="53">
        <v>43555</v>
      </c>
      <c r="AC20" s="90">
        <v>47790</v>
      </c>
      <c r="AD20" s="90">
        <v>38101</v>
      </c>
      <c r="AE20" s="90">
        <v>18148</v>
      </c>
      <c r="AF20" s="90">
        <v>21360</v>
      </c>
      <c r="AG20" s="90">
        <v>41280</v>
      </c>
      <c r="AH20" s="90">
        <v>18805</v>
      </c>
      <c r="AI20" s="90">
        <v>15685</v>
      </c>
      <c r="AJ20" s="90">
        <v>15685</v>
      </c>
      <c r="AK20" s="90">
        <v>17810</v>
      </c>
      <c r="AL20" s="90">
        <v>23815</v>
      </c>
      <c r="AM20" s="90">
        <v>8510</v>
      </c>
      <c r="AN20" s="90">
        <v>3120</v>
      </c>
      <c r="AO20" s="85">
        <v>8190</v>
      </c>
      <c r="AP20" s="87">
        <v>3125</v>
      </c>
      <c r="AQ20" s="81" t="s">
        <v>64</v>
      </c>
      <c r="AR20" s="88">
        <v>2355</v>
      </c>
      <c r="AS20" s="81" t="s">
        <v>64</v>
      </c>
      <c r="AT20" s="87">
        <v>1740</v>
      </c>
      <c r="AU20" s="87">
        <v>35</v>
      </c>
      <c r="AV20" s="87">
        <v>2700</v>
      </c>
      <c r="AW20" s="85">
        <v>2100</v>
      </c>
      <c r="AX20" s="65">
        <v>3680</v>
      </c>
      <c r="AY20" s="53">
        <v>5130</v>
      </c>
      <c r="AZ20" s="88">
        <v>4495</v>
      </c>
      <c r="BA20" s="87">
        <v>5060</v>
      </c>
      <c r="BB20" s="87">
        <v>4210</v>
      </c>
      <c r="BC20" s="87">
        <v>3495</v>
      </c>
      <c r="BD20" s="88">
        <v>3540</v>
      </c>
      <c r="BE20" s="87">
        <v>2685</v>
      </c>
      <c r="BF20" s="85">
        <v>2015</v>
      </c>
      <c r="BG20" s="87">
        <v>2495</v>
      </c>
      <c r="BH20" s="87">
        <v>1665</v>
      </c>
      <c r="BI20" s="85">
        <v>1685</v>
      </c>
      <c r="BJ20" s="65">
        <v>1500</v>
      </c>
      <c r="BK20" s="53">
        <v>1238</v>
      </c>
      <c r="BL20" s="88">
        <v>1940</v>
      </c>
      <c r="BM20" s="64">
        <f t="shared" si="0"/>
        <v>31528</v>
      </c>
      <c r="BN20" s="85">
        <v>1600</v>
      </c>
      <c r="BO20" s="85">
        <v>1585</v>
      </c>
      <c r="BP20" s="52">
        <v>2075</v>
      </c>
      <c r="BQ20" s="52">
        <v>1858</v>
      </c>
      <c r="BR20" s="52">
        <v>1645</v>
      </c>
      <c r="BS20" s="52">
        <v>1440</v>
      </c>
      <c r="BT20" s="52">
        <v>2200</v>
      </c>
      <c r="BU20" s="52">
        <v>2858</v>
      </c>
      <c r="BV20" s="52">
        <v>2655</v>
      </c>
      <c r="BW20" s="52">
        <v>2205</v>
      </c>
      <c r="BX20" s="52">
        <v>2395</v>
      </c>
      <c r="BY20" s="52">
        <v>3985</v>
      </c>
      <c r="BZ20" s="52">
        <f t="shared" si="3"/>
        <v>26501</v>
      </c>
      <c r="CA20" s="52">
        <v>5720</v>
      </c>
      <c r="CB20" s="52">
        <v>4540</v>
      </c>
      <c r="CC20" s="52">
        <v>4455</v>
      </c>
      <c r="CD20" s="52">
        <v>1690</v>
      </c>
      <c r="CE20" s="52">
        <v>2640</v>
      </c>
      <c r="CF20" s="52">
        <v>4380</v>
      </c>
      <c r="CG20" s="52">
        <v>2265</v>
      </c>
      <c r="CH20" s="90">
        <v>2270</v>
      </c>
      <c r="CI20" s="90">
        <v>3180</v>
      </c>
      <c r="CJ20" s="90">
        <v>3295</v>
      </c>
      <c r="CK20" s="90">
        <v>3930</v>
      </c>
      <c r="CL20" s="90">
        <v>5190</v>
      </c>
      <c r="CM20" s="52">
        <f t="shared" si="1"/>
        <v>43555</v>
      </c>
      <c r="CN20" s="53">
        <v>5780</v>
      </c>
      <c r="CO20" s="53">
        <v>5180</v>
      </c>
      <c r="CP20" s="53">
        <v>5805</v>
      </c>
      <c r="CQ20" s="53">
        <v>4010</v>
      </c>
      <c r="CR20" s="53">
        <v>2990</v>
      </c>
      <c r="CS20" s="53">
        <v>2745</v>
      </c>
      <c r="CT20" s="53">
        <v>0</v>
      </c>
      <c r="CU20" s="53">
        <v>1700</v>
      </c>
      <c r="CV20" s="53">
        <v>2935</v>
      </c>
      <c r="CW20" s="53">
        <v>5370</v>
      </c>
      <c r="CX20" s="53">
        <v>6835</v>
      </c>
      <c r="CY20" s="68">
        <v>4440</v>
      </c>
      <c r="CZ20" s="53">
        <f t="shared" si="2"/>
        <v>47790</v>
      </c>
      <c r="DA20" s="53">
        <v>5485</v>
      </c>
      <c r="DB20" s="68">
        <v>3635</v>
      </c>
      <c r="DC20" s="68">
        <v>4820</v>
      </c>
      <c r="DD20" s="68">
        <v>4080</v>
      </c>
      <c r="DE20" s="68">
        <v>3420</v>
      </c>
      <c r="DF20" s="68">
        <v>2856</v>
      </c>
      <c r="DG20" s="68">
        <v>3340</v>
      </c>
      <c r="DH20" s="68">
        <v>3210</v>
      </c>
      <c r="DI20" s="53">
        <v>1910</v>
      </c>
      <c r="DJ20" s="53">
        <v>2055</v>
      </c>
      <c r="DK20" s="53">
        <v>1360</v>
      </c>
      <c r="DL20" s="53">
        <v>1930</v>
      </c>
      <c r="DM20" s="53">
        <f>SUM(DA20:DL20)</f>
        <v>38101</v>
      </c>
      <c r="DN20" s="53">
        <v>1560</v>
      </c>
      <c r="DO20" s="68">
        <v>1490</v>
      </c>
      <c r="DP20" s="68">
        <v>1310</v>
      </c>
      <c r="DQ20" s="68">
        <v>1360</v>
      </c>
      <c r="DR20" s="68">
        <v>1695</v>
      </c>
      <c r="DS20" s="68">
        <v>1285</v>
      </c>
      <c r="DT20" s="68">
        <v>1848</v>
      </c>
      <c r="DU20" s="68">
        <v>1160</v>
      </c>
      <c r="DV20" s="68">
        <v>1430</v>
      </c>
      <c r="DW20" s="68">
        <v>1900</v>
      </c>
      <c r="DX20" s="68">
        <v>1630</v>
      </c>
      <c r="DY20" s="68">
        <v>1480</v>
      </c>
      <c r="DZ20" s="68">
        <f>SUM(DN20:DY20)</f>
        <v>18148</v>
      </c>
      <c r="EA20" s="68">
        <v>1125</v>
      </c>
      <c r="EB20" s="68">
        <v>1125</v>
      </c>
      <c r="EC20" s="68">
        <v>1445</v>
      </c>
      <c r="ED20" s="68">
        <v>1430</v>
      </c>
      <c r="EE20" s="68">
        <v>1025</v>
      </c>
      <c r="EF20" s="68">
        <v>1860</v>
      </c>
      <c r="EG20" s="68">
        <v>2775</v>
      </c>
      <c r="EH20" s="68">
        <v>2520</v>
      </c>
      <c r="EI20" s="68">
        <v>2425</v>
      </c>
      <c r="EJ20" s="68">
        <v>2220</v>
      </c>
      <c r="EK20" s="68">
        <v>1275</v>
      </c>
      <c r="EL20" s="68">
        <v>2135</v>
      </c>
      <c r="EM20" s="68">
        <f>SUM(EA20:EL20)</f>
        <v>21360</v>
      </c>
      <c r="EN20" s="68">
        <v>1085</v>
      </c>
      <c r="EO20" s="68">
        <v>1750</v>
      </c>
      <c r="EP20" s="68">
        <v>1480</v>
      </c>
      <c r="EQ20" s="68">
        <v>1740</v>
      </c>
      <c r="ER20" s="68">
        <v>2470</v>
      </c>
      <c r="ES20" s="68">
        <v>3490</v>
      </c>
      <c r="ET20" s="68">
        <v>5230</v>
      </c>
      <c r="EU20" s="68">
        <v>6835</v>
      </c>
      <c r="EV20" s="68">
        <v>6335</v>
      </c>
      <c r="EW20" s="68">
        <v>4905</v>
      </c>
      <c r="EX20" s="68">
        <v>2705</v>
      </c>
      <c r="EY20" s="68">
        <v>3255</v>
      </c>
      <c r="EZ20" s="68">
        <f>SUM(EN20:EY20)</f>
        <v>41280</v>
      </c>
      <c r="FA20" s="68">
        <v>3490</v>
      </c>
      <c r="FB20" s="68">
        <v>2210</v>
      </c>
      <c r="FC20" s="68">
        <v>3990</v>
      </c>
      <c r="FD20" s="68">
        <v>2120</v>
      </c>
      <c r="FE20" s="68">
        <v>535</v>
      </c>
      <c r="FF20" s="68">
        <v>1795</v>
      </c>
      <c r="FG20" s="68">
        <v>0</v>
      </c>
      <c r="FH20" s="68">
        <v>355</v>
      </c>
      <c r="FI20" s="68">
        <v>705</v>
      </c>
      <c r="FJ20" s="68">
        <v>945</v>
      </c>
      <c r="FK20" s="68">
        <v>1450</v>
      </c>
      <c r="FL20" s="68">
        <v>1210</v>
      </c>
      <c r="FM20" s="68">
        <f>SUM(FA20:FL20)</f>
        <v>18805</v>
      </c>
      <c r="FN20" s="68">
        <v>1220</v>
      </c>
      <c r="FO20" s="68">
        <v>810</v>
      </c>
      <c r="FP20" s="68">
        <v>1010</v>
      </c>
      <c r="FQ20" s="68">
        <v>955</v>
      </c>
      <c r="FR20" s="68">
        <v>1250</v>
      </c>
      <c r="FS20" s="68">
        <v>1235</v>
      </c>
      <c r="FT20" s="68">
        <v>1725</v>
      </c>
      <c r="FU20" s="68">
        <v>1065</v>
      </c>
      <c r="FV20" s="68">
        <v>845</v>
      </c>
      <c r="FW20" s="68">
        <v>1760</v>
      </c>
      <c r="FX20" s="68">
        <v>1435</v>
      </c>
      <c r="FY20" s="68">
        <v>2375</v>
      </c>
      <c r="FZ20" s="68">
        <f>SUM(FN20:FY20)</f>
        <v>15685</v>
      </c>
      <c r="GA20" s="68">
        <v>1610</v>
      </c>
      <c r="GB20" s="68">
        <v>1485</v>
      </c>
      <c r="GC20" s="68">
        <v>2010</v>
      </c>
      <c r="GD20" s="68">
        <v>2535</v>
      </c>
      <c r="GE20" s="68">
        <v>2440</v>
      </c>
      <c r="GF20" s="68">
        <v>2130</v>
      </c>
      <c r="GG20" s="68">
        <v>1405</v>
      </c>
      <c r="GH20" s="68">
        <v>905</v>
      </c>
      <c r="GI20" s="68">
        <v>1180</v>
      </c>
      <c r="GJ20" s="68">
        <v>930</v>
      </c>
      <c r="GK20" s="68">
        <v>660</v>
      </c>
      <c r="GL20" s="68">
        <v>725</v>
      </c>
      <c r="GM20" s="68">
        <f>SUM(GA20:GL20)</f>
        <v>18015</v>
      </c>
      <c r="GN20" s="68">
        <v>655</v>
      </c>
      <c r="GO20" s="68">
        <v>890</v>
      </c>
      <c r="GP20" s="68">
        <v>865</v>
      </c>
      <c r="GQ20" s="68">
        <v>1785</v>
      </c>
      <c r="GR20" s="68">
        <v>1880</v>
      </c>
      <c r="GS20" s="68">
        <v>1740</v>
      </c>
      <c r="GT20" s="68">
        <v>1880</v>
      </c>
      <c r="GU20" s="68">
        <v>1320</v>
      </c>
      <c r="GV20" s="68">
        <v>1255</v>
      </c>
      <c r="GW20" s="68">
        <v>1545</v>
      </c>
      <c r="GX20" s="68">
        <v>1975</v>
      </c>
      <c r="GY20" s="68">
        <v>2020</v>
      </c>
      <c r="GZ20" s="68">
        <f>SUM(GN20:GY20)</f>
        <v>17810</v>
      </c>
      <c r="HA20" s="68">
        <v>1830</v>
      </c>
      <c r="HB20" s="68">
        <v>2010</v>
      </c>
      <c r="HC20" s="68">
        <v>2300</v>
      </c>
      <c r="HD20" s="68">
        <v>1675</v>
      </c>
      <c r="HE20" s="68">
        <v>950</v>
      </c>
      <c r="HF20" s="68">
        <v>1090</v>
      </c>
      <c r="HG20" s="68">
        <v>1660</v>
      </c>
      <c r="HH20" s="68">
        <v>5265</v>
      </c>
      <c r="HI20" s="68">
        <v>2450</v>
      </c>
      <c r="HJ20" s="68">
        <v>1460</v>
      </c>
      <c r="HK20" s="68">
        <v>1430</v>
      </c>
      <c r="HL20" s="68">
        <v>1695</v>
      </c>
      <c r="HM20" s="68">
        <f>SUM(HA20:HL20)</f>
        <v>23815</v>
      </c>
      <c r="HN20" s="68">
        <v>1275</v>
      </c>
      <c r="HO20" s="68">
        <v>1210</v>
      </c>
      <c r="HP20" s="68">
        <v>1810</v>
      </c>
      <c r="HQ20" s="68">
        <v>1255</v>
      </c>
      <c r="HR20" s="68">
        <v>1095</v>
      </c>
      <c r="HS20" s="68">
        <v>300</v>
      </c>
      <c r="HT20" s="68">
        <v>490</v>
      </c>
      <c r="HU20" s="68">
        <v>290</v>
      </c>
      <c r="HV20" s="68">
        <v>450</v>
      </c>
      <c r="HW20" s="68">
        <v>40</v>
      </c>
      <c r="HX20" s="68">
        <v>265</v>
      </c>
      <c r="HY20" s="68">
        <v>30</v>
      </c>
      <c r="HZ20" s="68">
        <f>SUM(HN20:HY20)</f>
        <v>8510</v>
      </c>
      <c r="IA20" s="186">
        <v>40</v>
      </c>
      <c r="IB20" s="129">
        <v>0</v>
      </c>
      <c r="IC20" s="134">
        <v>0</v>
      </c>
      <c r="ID20" s="134">
        <v>365</v>
      </c>
      <c r="IE20" s="134">
        <v>340</v>
      </c>
      <c r="IF20" s="134">
        <v>325</v>
      </c>
      <c r="IG20" s="134">
        <v>265</v>
      </c>
      <c r="IH20" s="134">
        <v>285</v>
      </c>
      <c r="II20" s="186">
        <v>220</v>
      </c>
      <c r="IJ20" s="186">
        <v>240</v>
      </c>
      <c r="IK20" s="186">
        <v>210</v>
      </c>
      <c r="IL20" s="186">
        <v>830</v>
      </c>
      <c r="IM20" s="186">
        <f>SUM(IA20:IB20)</f>
        <v>40</v>
      </c>
      <c r="IN20" s="186">
        <v>620</v>
      </c>
      <c r="IO20" s="186">
        <v>265</v>
      </c>
      <c r="IP20" s="186">
        <f>IN20+IO20</f>
        <v>885</v>
      </c>
    </row>
    <row r="21" spans="1:250" ht="15" hidden="1">
      <c r="A21" s="185" t="s">
        <v>36</v>
      </c>
      <c r="B21" s="89" t="s">
        <v>33</v>
      </c>
      <c r="C21" s="77" t="s">
        <v>33</v>
      </c>
      <c r="D21" s="77" t="s">
        <v>37</v>
      </c>
      <c r="E21" s="56">
        <v>2528</v>
      </c>
      <c r="F21" s="56">
        <v>2629</v>
      </c>
      <c r="G21" s="56">
        <v>3382</v>
      </c>
      <c r="H21" s="56">
        <v>2191</v>
      </c>
      <c r="I21" s="56">
        <v>2360</v>
      </c>
      <c r="J21" s="56">
        <v>3281</v>
      </c>
      <c r="K21" s="56">
        <v>2443</v>
      </c>
      <c r="L21" s="57">
        <v>1909</v>
      </c>
      <c r="M21" s="58">
        <v>2339</v>
      </c>
      <c r="N21" s="59">
        <v>1588.6</v>
      </c>
      <c r="O21" s="58">
        <v>956.64</v>
      </c>
      <c r="P21" s="59">
        <v>859</v>
      </c>
      <c r="Q21" s="59">
        <v>755</v>
      </c>
      <c r="R21" s="59">
        <v>144</v>
      </c>
      <c r="S21" s="79" t="s">
        <v>64</v>
      </c>
      <c r="T21" s="81" t="s">
        <v>64</v>
      </c>
      <c r="U21" s="81"/>
      <c r="V21" s="81"/>
      <c r="W21" s="81"/>
      <c r="X21" s="81"/>
      <c r="Y21" s="81"/>
      <c r="Z21" s="81">
        <v>0</v>
      </c>
      <c r="AA21" s="52">
        <v>0</v>
      </c>
      <c r="AB21" s="53">
        <v>0</v>
      </c>
      <c r="AC21" s="52">
        <v>0</v>
      </c>
      <c r="AD21" s="52">
        <v>0</v>
      </c>
      <c r="AE21" s="52">
        <v>0</v>
      </c>
      <c r="AF21" s="52">
        <v>0</v>
      </c>
      <c r="AG21" s="52"/>
      <c r="AH21" s="52"/>
      <c r="AI21" s="52">
        <v>0</v>
      </c>
      <c r="AJ21" s="52"/>
      <c r="AK21" s="52"/>
      <c r="AL21" s="52"/>
      <c r="AM21" s="52"/>
      <c r="AN21" s="52"/>
      <c r="AO21" s="78"/>
      <c r="AP21" s="81"/>
      <c r="AQ21" s="88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8"/>
      <c r="BD21" s="81"/>
      <c r="BE21" s="81"/>
      <c r="BF21" s="81"/>
      <c r="BG21" s="81"/>
      <c r="BH21" s="81"/>
      <c r="BI21" s="81"/>
      <c r="BJ21" s="81"/>
      <c r="BK21" s="81"/>
      <c r="BL21" s="81"/>
      <c r="BM21" s="64">
        <f t="shared" si="0"/>
        <v>0</v>
      </c>
      <c r="BN21" s="81"/>
      <c r="BO21" s="81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f t="shared" si="3"/>
        <v>0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>
        <f t="shared" si="1"/>
        <v>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>
        <f t="shared" si="2"/>
        <v>0</v>
      </c>
      <c r="DA21" s="53">
        <f>SUM(CM21:CX21)</f>
        <v>0</v>
      </c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>
        <f t="shared" si="4"/>
        <v>0</v>
      </c>
      <c r="DN21" s="53">
        <f>SUM(CZ21:DK21)</f>
        <v>0</v>
      </c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68">
        <f t="shared" si="5"/>
        <v>0</v>
      </c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>
        <f t="shared" si="6"/>
        <v>0</v>
      </c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</row>
    <row r="22" spans="1:250" ht="15" hidden="1">
      <c r="A22" s="185"/>
      <c r="B22" s="14"/>
      <c r="C22" s="77"/>
      <c r="D22" s="77"/>
      <c r="E22" s="56"/>
      <c r="F22" s="56"/>
      <c r="G22" s="56"/>
      <c r="H22" s="56"/>
      <c r="I22" s="56"/>
      <c r="J22" s="56"/>
      <c r="K22" s="56"/>
      <c r="L22" s="57"/>
      <c r="M22" s="58"/>
      <c r="N22" s="59"/>
      <c r="O22" s="58"/>
      <c r="P22" s="59"/>
      <c r="Q22" s="59"/>
      <c r="R22" s="59"/>
      <c r="S22" s="80"/>
      <c r="T22" s="80"/>
      <c r="U22" s="80"/>
      <c r="V22" s="80"/>
      <c r="W22" s="80"/>
      <c r="X22" s="80"/>
      <c r="Y22" s="81"/>
      <c r="Z22" s="81"/>
      <c r="AA22" s="52"/>
      <c r="AB22" s="53"/>
      <c r="AC22" s="52">
        <v>65875</v>
      </c>
      <c r="AD22" s="52">
        <v>131750</v>
      </c>
      <c r="AE22" s="52">
        <v>131750</v>
      </c>
      <c r="AF22" s="52">
        <v>0</v>
      </c>
      <c r="AG22" s="52"/>
      <c r="AH22" s="52"/>
      <c r="AI22" s="52">
        <v>0</v>
      </c>
      <c r="AJ22" s="52"/>
      <c r="AK22" s="52"/>
      <c r="AL22" s="52"/>
      <c r="AM22" s="52"/>
      <c r="AN22" s="52"/>
      <c r="AO22" s="78"/>
      <c r="AP22" s="81"/>
      <c r="AQ22" s="88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8"/>
      <c r="BD22" s="81"/>
      <c r="BE22" s="81"/>
      <c r="BF22" s="81"/>
      <c r="BG22" s="81"/>
      <c r="BH22" s="81"/>
      <c r="BI22" s="81"/>
      <c r="BJ22" s="81"/>
      <c r="BK22" s="81"/>
      <c r="BL22" s="81"/>
      <c r="BM22" s="64"/>
      <c r="BN22" s="81"/>
      <c r="BO22" s="81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>
        <f t="shared" si="1"/>
        <v>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>
        <v>65875</v>
      </c>
      <c r="CX22" s="53"/>
      <c r="CY22" s="53"/>
      <c r="CZ22" s="53">
        <f t="shared" si="2"/>
        <v>65875</v>
      </c>
      <c r="DA22" s="53">
        <f>SUM(CM22:CX22)</f>
        <v>65875</v>
      </c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>
        <f t="shared" si="4"/>
        <v>65875</v>
      </c>
      <c r="DN22" s="53">
        <f>SUM(CZ22:DK22)</f>
        <v>131750</v>
      </c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68">
        <f t="shared" si="5"/>
        <v>131750</v>
      </c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>
        <f t="shared" si="6"/>
        <v>0</v>
      </c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</row>
    <row r="23" spans="1:250" ht="15">
      <c r="A23" s="185" t="s">
        <v>38</v>
      </c>
      <c r="B23" s="14">
        <v>288195</v>
      </c>
      <c r="C23" s="56">
        <v>288340</v>
      </c>
      <c r="D23" s="56">
        <v>270569</v>
      </c>
      <c r="E23" s="56">
        <v>285090</v>
      </c>
      <c r="F23" s="56">
        <v>332605</v>
      </c>
      <c r="G23" s="56">
        <v>383815</v>
      </c>
      <c r="H23" s="56">
        <v>450015</v>
      </c>
      <c r="I23" s="56">
        <v>453450</v>
      </c>
      <c r="J23" s="56">
        <v>517485</v>
      </c>
      <c r="K23" s="56">
        <v>584580</v>
      </c>
      <c r="L23" s="57">
        <v>522484</v>
      </c>
      <c r="M23" s="58">
        <v>449860</v>
      </c>
      <c r="N23" s="59">
        <v>377145</v>
      </c>
      <c r="O23" s="58">
        <v>316820</v>
      </c>
      <c r="P23" s="59">
        <v>353230</v>
      </c>
      <c r="Q23" s="59">
        <v>286240</v>
      </c>
      <c r="R23" s="59">
        <v>293055</v>
      </c>
      <c r="S23" s="61">
        <v>312050</v>
      </c>
      <c r="T23" s="59">
        <v>354395</v>
      </c>
      <c r="U23" s="59">
        <v>376055</v>
      </c>
      <c r="V23" s="59">
        <v>419055</v>
      </c>
      <c r="W23" s="59">
        <v>409635</v>
      </c>
      <c r="X23" s="59">
        <v>472455</v>
      </c>
      <c r="Y23" s="59">
        <v>436065</v>
      </c>
      <c r="Z23" s="59">
        <v>514240</v>
      </c>
      <c r="AA23" s="52">
        <v>457825</v>
      </c>
      <c r="AB23" s="53">
        <v>510350</v>
      </c>
      <c r="AC23" s="52">
        <v>650350</v>
      </c>
      <c r="AD23" s="52">
        <v>603975</v>
      </c>
      <c r="AE23" s="52">
        <v>538965</v>
      </c>
      <c r="AF23" s="52">
        <v>815265</v>
      </c>
      <c r="AG23" s="52">
        <v>887475</v>
      </c>
      <c r="AH23" s="52">
        <v>799955</v>
      </c>
      <c r="AI23" s="52">
        <v>710060</v>
      </c>
      <c r="AJ23" s="52">
        <v>710060</v>
      </c>
      <c r="AK23" s="52">
        <v>980095</v>
      </c>
      <c r="AL23" s="52">
        <v>882565</v>
      </c>
      <c r="AM23" s="52">
        <v>1422370</v>
      </c>
      <c r="AN23" s="52">
        <v>1299550</v>
      </c>
      <c r="AO23" s="53">
        <v>29415</v>
      </c>
      <c r="AP23" s="61">
        <v>35185</v>
      </c>
      <c r="AQ23" s="62">
        <v>37035</v>
      </c>
      <c r="AR23" s="91">
        <v>38370</v>
      </c>
      <c r="AS23" s="64">
        <v>33415</v>
      </c>
      <c r="AT23" s="65">
        <v>29855</v>
      </c>
      <c r="AU23" s="65">
        <v>34890</v>
      </c>
      <c r="AV23" s="87">
        <v>40730</v>
      </c>
      <c r="AW23" s="63">
        <v>40770</v>
      </c>
      <c r="AX23" s="85">
        <v>38690</v>
      </c>
      <c r="AY23" s="53">
        <v>34910</v>
      </c>
      <c r="AZ23" s="53">
        <v>42800</v>
      </c>
      <c r="BA23" s="53">
        <v>32605</v>
      </c>
      <c r="BB23" s="61">
        <v>34745</v>
      </c>
      <c r="BC23" s="62">
        <v>40805</v>
      </c>
      <c r="BD23" s="91">
        <v>34935</v>
      </c>
      <c r="BE23" s="64">
        <v>37960</v>
      </c>
      <c r="BF23" s="65">
        <v>48635</v>
      </c>
      <c r="BG23" s="65">
        <v>51140</v>
      </c>
      <c r="BH23" s="87">
        <v>56680</v>
      </c>
      <c r="BI23" s="63">
        <v>39865</v>
      </c>
      <c r="BJ23" s="85">
        <v>46045</v>
      </c>
      <c r="BK23" s="53">
        <v>53160</v>
      </c>
      <c r="BL23" s="53">
        <v>37665</v>
      </c>
      <c r="BM23" s="64">
        <f t="shared" si="0"/>
        <v>514240</v>
      </c>
      <c r="BN23" s="53">
        <v>42385</v>
      </c>
      <c r="BO23" s="53">
        <v>48425</v>
      </c>
      <c r="BP23" s="52">
        <v>51660</v>
      </c>
      <c r="BQ23" s="52">
        <v>35740</v>
      </c>
      <c r="BR23" s="52">
        <v>29630</v>
      </c>
      <c r="BS23" s="52" t="s">
        <v>64</v>
      </c>
      <c r="BT23" s="52">
        <v>41110</v>
      </c>
      <c r="BU23" s="52">
        <v>43230</v>
      </c>
      <c r="BV23" s="52">
        <v>40160</v>
      </c>
      <c r="BW23" s="52">
        <v>40520</v>
      </c>
      <c r="BX23" s="52">
        <v>46870</v>
      </c>
      <c r="BY23" s="52">
        <v>38095</v>
      </c>
      <c r="BZ23" s="52">
        <f t="shared" si="3"/>
        <v>457825</v>
      </c>
      <c r="CA23" s="52">
        <v>32820</v>
      </c>
      <c r="CB23" s="52">
        <v>42765</v>
      </c>
      <c r="CC23" s="52">
        <v>36575</v>
      </c>
      <c r="CD23" s="52">
        <v>48035</v>
      </c>
      <c r="CE23" s="52">
        <v>48865</v>
      </c>
      <c r="CF23" s="52">
        <v>43175</v>
      </c>
      <c r="CG23" s="52">
        <v>45880</v>
      </c>
      <c r="CH23" s="52">
        <v>43590</v>
      </c>
      <c r="CI23" s="52">
        <v>47665</v>
      </c>
      <c r="CJ23" s="52">
        <v>44145</v>
      </c>
      <c r="CK23" s="52">
        <v>49490</v>
      </c>
      <c r="CL23" s="52">
        <v>27345</v>
      </c>
      <c r="CM23" s="52">
        <f t="shared" si="1"/>
        <v>510350</v>
      </c>
      <c r="CN23" s="53">
        <v>33960</v>
      </c>
      <c r="CO23" s="53">
        <v>55000</v>
      </c>
      <c r="CP23" s="53">
        <v>56695</v>
      </c>
      <c r="CQ23" s="53">
        <v>53505</v>
      </c>
      <c r="CR23" s="53">
        <v>59830</v>
      </c>
      <c r="CS23" s="53">
        <v>46690</v>
      </c>
      <c r="CT23" s="53">
        <v>60495</v>
      </c>
      <c r="CU23" s="53">
        <v>64155</v>
      </c>
      <c r="CV23" s="53">
        <v>63765</v>
      </c>
      <c r="CW23" s="53">
        <v>65875</v>
      </c>
      <c r="CX23" s="53">
        <v>71620</v>
      </c>
      <c r="CY23" s="53">
        <v>18760</v>
      </c>
      <c r="CZ23" s="53">
        <f t="shared" si="2"/>
        <v>650350</v>
      </c>
      <c r="DA23" s="53">
        <v>11965</v>
      </c>
      <c r="DB23" s="68">
        <v>42140</v>
      </c>
      <c r="DC23" s="53">
        <v>56850</v>
      </c>
      <c r="DD23" s="53">
        <v>29590</v>
      </c>
      <c r="DE23" s="53">
        <v>47135</v>
      </c>
      <c r="DF23" s="53">
        <v>62400</v>
      </c>
      <c r="DG23" s="53">
        <v>77310</v>
      </c>
      <c r="DH23" s="53">
        <v>64525</v>
      </c>
      <c r="DI23" s="68">
        <v>74395</v>
      </c>
      <c r="DJ23" s="68">
        <v>60505</v>
      </c>
      <c r="DK23" s="68">
        <v>44460</v>
      </c>
      <c r="DL23" s="68">
        <v>32700</v>
      </c>
      <c r="DM23" s="53">
        <f>SUM(DA23:DL23)</f>
        <v>603975</v>
      </c>
      <c r="DN23" s="53">
        <v>22365</v>
      </c>
      <c r="DO23" s="53">
        <v>33200</v>
      </c>
      <c r="DP23" s="53">
        <v>19045</v>
      </c>
      <c r="DQ23" s="53">
        <v>31530</v>
      </c>
      <c r="DR23" s="53">
        <v>61270</v>
      </c>
      <c r="DS23" s="68">
        <v>63900</v>
      </c>
      <c r="DT23" s="68">
        <v>62200</v>
      </c>
      <c r="DU23" s="68">
        <v>37660</v>
      </c>
      <c r="DV23" s="68">
        <v>49260</v>
      </c>
      <c r="DW23" s="68">
        <v>46430</v>
      </c>
      <c r="DX23" s="68">
        <v>49505</v>
      </c>
      <c r="DY23" s="68">
        <v>62600</v>
      </c>
      <c r="DZ23" s="68">
        <f>SUM(DN23:DY23)</f>
        <v>538965</v>
      </c>
      <c r="EA23" s="68">
        <v>65770</v>
      </c>
      <c r="EB23" s="68">
        <v>52480</v>
      </c>
      <c r="EC23" s="68">
        <v>76090</v>
      </c>
      <c r="ED23" s="68">
        <v>67160</v>
      </c>
      <c r="EE23" s="68">
        <v>49825</v>
      </c>
      <c r="EF23" s="68">
        <v>65250</v>
      </c>
      <c r="EG23" s="68">
        <v>76495</v>
      </c>
      <c r="EH23" s="68">
        <v>78495</v>
      </c>
      <c r="EI23" s="68">
        <v>80075</v>
      </c>
      <c r="EJ23" s="68">
        <v>63350</v>
      </c>
      <c r="EK23" s="68">
        <v>70690</v>
      </c>
      <c r="EL23" s="68">
        <v>69585</v>
      </c>
      <c r="EM23" s="68">
        <f>SUM(EA23:EL23)</f>
        <v>815265</v>
      </c>
      <c r="EN23" s="68">
        <v>69560</v>
      </c>
      <c r="EO23" s="68">
        <v>77940</v>
      </c>
      <c r="EP23" s="68">
        <v>98760</v>
      </c>
      <c r="EQ23" s="68">
        <v>85570</v>
      </c>
      <c r="ER23" s="68">
        <v>85570</v>
      </c>
      <c r="ES23" s="68">
        <v>82255</v>
      </c>
      <c r="ET23" s="68">
        <v>73245</v>
      </c>
      <c r="EU23" s="68">
        <v>81285</v>
      </c>
      <c r="EV23" s="68">
        <v>68805</v>
      </c>
      <c r="EW23" s="68">
        <v>62205</v>
      </c>
      <c r="EX23" s="68">
        <v>57855</v>
      </c>
      <c r="EY23" s="68">
        <v>44425</v>
      </c>
      <c r="EZ23" s="68">
        <f>SUM(EN23:EY23)</f>
        <v>887475</v>
      </c>
      <c r="FA23" s="68">
        <v>35065</v>
      </c>
      <c r="FB23" s="68">
        <v>60135</v>
      </c>
      <c r="FC23" s="68">
        <v>49680</v>
      </c>
      <c r="FD23" s="68">
        <v>58240</v>
      </c>
      <c r="FE23" s="68">
        <v>64475</v>
      </c>
      <c r="FF23" s="68">
        <v>70475</v>
      </c>
      <c r="FG23" s="68">
        <v>81985</v>
      </c>
      <c r="FH23" s="68">
        <v>73625</v>
      </c>
      <c r="FI23" s="68">
        <v>65790</v>
      </c>
      <c r="FJ23" s="68">
        <v>68880</v>
      </c>
      <c r="FK23" s="68">
        <v>88570</v>
      </c>
      <c r="FL23" s="68">
        <v>83035</v>
      </c>
      <c r="FM23" s="68">
        <f>SUM(FA23:FL23)</f>
        <v>799955</v>
      </c>
      <c r="FN23" s="68">
        <v>73605</v>
      </c>
      <c r="FO23" s="68">
        <v>82220</v>
      </c>
      <c r="FP23" s="68">
        <v>83235</v>
      </c>
      <c r="FQ23" s="68">
        <v>72625</v>
      </c>
      <c r="FR23" s="68">
        <v>53415</v>
      </c>
      <c r="FS23" s="68">
        <v>51525</v>
      </c>
      <c r="FT23" s="68">
        <v>53935</v>
      </c>
      <c r="FU23" s="68">
        <v>54060</v>
      </c>
      <c r="FV23" s="68">
        <v>51300</v>
      </c>
      <c r="FW23" s="68">
        <v>37210</v>
      </c>
      <c r="FX23" s="68">
        <v>47550</v>
      </c>
      <c r="FY23" s="68">
        <v>49380</v>
      </c>
      <c r="FZ23" s="68">
        <f>SUM(FN23:FY23)</f>
        <v>710060</v>
      </c>
      <c r="GA23" s="68">
        <v>38435</v>
      </c>
      <c r="GB23" s="68">
        <v>62275</v>
      </c>
      <c r="GC23" s="68">
        <v>47000</v>
      </c>
      <c r="GD23" s="68">
        <v>38965</v>
      </c>
      <c r="GE23" s="68">
        <v>51425</v>
      </c>
      <c r="GF23" s="68">
        <v>58005</v>
      </c>
      <c r="GG23" s="68">
        <v>53655</v>
      </c>
      <c r="GH23" s="68">
        <v>57600</v>
      </c>
      <c r="GI23" s="68">
        <v>57995</v>
      </c>
      <c r="GJ23" s="68">
        <v>64010</v>
      </c>
      <c r="GK23" s="68">
        <v>48230</v>
      </c>
      <c r="GL23" s="68">
        <v>58340</v>
      </c>
      <c r="GM23" s="68">
        <f>SUM(GA23:GL23)</f>
        <v>635935</v>
      </c>
      <c r="GN23" s="68">
        <v>69910</v>
      </c>
      <c r="GO23" s="68">
        <v>65135</v>
      </c>
      <c r="GP23" s="68">
        <v>78640</v>
      </c>
      <c r="GQ23" s="68">
        <v>61735</v>
      </c>
      <c r="GR23" s="68">
        <v>55100</v>
      </c>
      <c r="GS23" s="68">
        <v>59765</v>
      </c>
      <c r="GT23" s="68">
        <v>94875</v>
      </c>
      <c r="GU23" s="68">
        <v>98075</v>
      </c>
      <c r="GV23" s="68">
        <v>116020</v>
      </c>
      <c r="GW23" s="68">
        <v>107885</v>
      </c>
      <c r="GX23" s="68">
        <v>99150</v>
      </c>
      <c r="GY23" s="68">
        <v>73805</v>
      </c>
      <c r="GZ23" s="68">
        <f>SUM(GN23:GY23)</f>
        <v>980095</v>
      </c>
      <c r="HA23" s="68">
        <v>48730</v>
      </c>
      <c r="HB23" s="68">
        <v>62155</v>
      </c>
      <c r="HC23" s="68">
        <v>77460</v>
      </c>
      <c r="HD23" s="68">
        <v>90550</v>
      </c>
      <c r="HE23" s="68">
        <v>76850</v>
      </c>
      <c r="HF23" s="68">
        <v>75485</v>
      </c>
      <c r="HG23" s="68">
        <v>59985</v>
      </c>
      <c r="HH23" s="68">
        <v>65270</v>
      </c>
      <c r="HI23" s="68">
        <v>84110</v>
      </c>
      <c r="HJ23" s="68">
        <v>74750</v>
      </c>
      <c r="HK23" s="68">
        <v>91345</v>
      </c>
      <c r="HL23" s="68">
        <v>75875</v>
      </c>
      <c r="HM23" s="68">
        <f>SUM(HA23:HL23)</f>
        <v>882565</v>
      </c>
      <c r="HN23" s="68">
        <v>100575</v>
      </c>
      <c r="HO23" s="68">
        <v>96225</v>
      </c>
      <c r="HP23" s="68">
        <v>128845</v>
      </c>
      <c r="HQ23" s="68">
        <v>143180</v>
      </c>
      <c r="HR23" s="68">
        <v>117115</v>
      </c>
      <c r="HS23" s="68">
        <v>148140</v>
      </c>
      <c r="HT23" s="68">
        <v>123405</v>
      </c>
      <c r="HU23" s="68">
        <v>112055</v>
      </c>
      <c r="HV23" s="68">
        <v>117620</v>
      </c>
      <c r="HW23" s="68">
        <v>95580</v>
      </c>
      <c r="HX23" s="68">
        <v>126565</v>
      </c>
      <c r="HY23" s="68">
        <v>113065</v>
      </c>
      <c r="HZ23" s="68">
        <f>SUM(HN23:HY23)</f>
        <v>1422370</v>
      </c>
      <c r="IA23" s="186">
        <v>78315</v>
      </c>
      <c r="IB23" s="186">
        <v>91705</v>
      </c>
      <c r="IC23" s="186">
        <v>115860</v>
      </c>
      <c r="ID23" s="186">
        <v>108445</v>
      </c>
      <c r="IE23" s="186">
        <v>115105</v>
      </c>
      <c r="IF23" s="186">
        <v>112565</v>
      </c>
      <c r="IG23" s="186">
        <v>122895</v>
      </c>
      <c r="IH23" s="186">
        <v>114060</v>
      </c>
      <c r="II23" s="186">
        <v>113640</v>
      </c>
      <c r="IJ23" s="186">
        <v>107985</v>
      </c>
      <c r="IK23" s="186">
        <v>128200</v>
      </c>
      <c r="IL23" s="186">
        <v>90775</v>
      </c>
      <c r="IM23" s="186">
        <f>SUM(IA23:IB23)</f>
        <v>170020</v>
      </c>
      <c r="IN23" s="186">
        <v>65285</v>
      </c>
      <c r="IO23" s="186">
        <v>115365</v>
      </c>
      <c r="IP23" s="186">
        <f>IN23+IO23</f>
        <v>180650</v>
      </c>
    </row>
    <row r="24" spans="1:250" ht="15">
      <c r="A24" s="175"/>
      <c r="B24" s="7"/>
      <c r="C24" s="7"/>
      <c r="D24" s="7"/>
      <c r="E24" s="7"/>
      <c r="F24" s="7"/>
      <c r="G24" s="7"/>
      <c r="H24" s="7"/>
      <c r="I24" s="7"/>
      <c r="J24" s="7"/>
      <c r="K24" s="7"/>
      <c r="L24" s="57"/>
      <c r="M24" s="58"/>
      <c r="N24" s="59"/>
      <c r="O24" s="58"/>
      <c r="P24" s="59"/>
      <c r="Q24" s="59"/>
      <c r="R24" s="59"/>
      <c r="S24" s="61"/>
      <c r="T24" s="61"/>
      <c r="U24" s="61"/>
      <c r="V24" s="61"/>
      <c r="W24" s="61"/>
      <c r="X24" s="61"/>
      <c r="Y24" s="59"/>
      <c r="Z24" s="59"/>
      <c r="AA24" s="52"/>
      <c r="AB24" s="53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73"/>
      <c r="AQ24" s="53"/>
      <c r="AR24" s="53"/>
      <c r="AS24" s="64"/>
      <c r="AT24" s="53"/>
      <c r="AU24" s="53"/>
      <c r="AV24" s="53"/>
      <c r="AW24" s="53"/>
      <c r="AX24" s="53"/>
      <c r="AY24" s="53"/>
      <c r="AZ24" s="53"/>
      <c r="BA24" s="53"/>
      <c r="BB24" s="73"/>
      <c r="BC24" s="53"/>
      <c r="BD24" s="53"/>
      <c r="BE24" s="64"/>
      <c r="BF24" s="53"/>
      <c r="BG24" s="53"/>
      <c r="BH24" s="53"/>
      <c r="BI24" s="53"/>
      <c r="BJ24" s="53"/>
      <c r="BK24" s="53"/>
      <c r="BL24" s="53"/>
      <c r="BM24" s="64"/>
      <c r="BN24" s="53"/>
      <c r="BO24" s="53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68"/>
      <c r="FJ24" s="68"/>
      <c r="FK24" s="68"/>
      <c r="FL24" s="68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6"/>
      <c r="IO24" s="186"/>
      <c r="IP24" s="186"/>
    </row>
    <row r="25" spans="1:250" ht="15">
      <c r="A25" s="181" t="s">
        <v>39</v>
      </c>
      <c r="B25" s="11"/>
      <c r="C25" s="7"/>
      <c r="D25" s="7"/>
      <c r="E25" s="7"/>
      <c r="F25" s="7"/>
      <c r="G25" s="7"/>
      <c r="H25" s="7"/>
      <c r="I25" s="7"/>
      <c r="J25" s="7"/>
      <c r="K25" s="7"/>
      <c r="L25" s="57"/>
      <c r="M25" s="58"/>
      <c r="N25" s="59"/>
      <c r="O25" s="58"/>
      <c r="P25" s="59"/>
      <c r="Q25" s="59"/>
      <c r="R25" s="59"/>
      <c r="S25" s="61"/>
      <c r="T25" s="61"/>
      <c r="U25" s="61"/>
      <c r="V25" s="61"/>
      <c r="W25" s="61"/>
      <c r="X25" s="61"/>
      <c r="Y25" s="59"/>
      <c r="Z25" s="59"/>
      <c r="AA25" s="52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68"/>
      <c r="FJ25" s="68"/>
      <c r="FK25" s="68"/>
      <c r="FL25" s="68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6"/>
      <c r="IO25" s="186"/>
      <c r="IP25" s="186"/>
    </row>
    <row r="26" spans="1:250" ht="15">
      <c r="A26" s="175"/>
      <c r="B26" s="7"/>
      <c r="C26" s="7"/>
      <c r="D26" s="7"/>
      <c r="E26" s="7"/>
      <c r="F26" s="7"/>
      <c r="G26" s="7"/>
      <c r="H26" s="7"/>
      <c r="I26" s="7"/>
      <c r="J26" s="7"/>
      <c r="K26" s="7"/>
      <c r="L26" s="57"/>
      <c r="M26" s="58"/>
      <c r="N26" s="59"/>
      <c r="O26" s="58"/>
      <c r="P26" s="59"/>
      <c r="Q26" s="59"/>
      <c r="R26" s="59"/>
      <c r="S26" s="61"/>
      <c r="T26" s="61"/>
      <c r="U26" s="61"/>
      <c r="V26" s="61"/>
      <c r="W26" s="61"/>
      <c r="X26" s="61"/>
      <c r="Y26" s="59"/>
      <c r="Z26" s="59"/>
      <c r="AA26" s="52"/>
      <c r="AB26" s="53"/>
      <c r="AC26" s="52"/>
      <c r="AD26" s="52"/>
      <c r="AE26" s="52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73"/>
      <c r="AQ26" s="53"/>
      <c r="AR26" s="53"/>
      <c r="AS26" s="64"/>
      <c r="AT26" s="53"/>
      <c r="AU26" s="53"/>
      <c r="AV26" s="53"/>
      <c r="AW26" s="53"/>
      <c r="AX26" s="64"/>
      <c r="AY26" s="53"/>
      <c r="AZ26" s="53"/>
      <c r="BA26" s="53"/>
      <c r="BB26" s="73"/>
      <c r="BC26" s="53"/>
      <c r="BD26" s="53"/>
      <c r="BE26" s="64"/>
      <c r="BF26" s="53"/>
      <c r="BG26" s="53"/>
      <c r="BH26" s="53"/>
      <c r="BI26" s="53"/>
      <c r="BJ26" s="64"/>
      <c r="BK26" s="53"/>
      <c r="BL26" s="53"/>
      <c r="BM26" s="64"/>
      <c r="BN26" s="53"/>
      <c r="BO26" s="53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2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"/>
      <c r="EH26" s="5"/>
      <c r="EI26" s="3"/>
      <c r="EJ26" s="5"/>
      <c r="EK26" s="3"/>
      <c r="EL26" s="2"/>
      <c r="EM26" s="53"/>
      <c r="EN26" s="5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"/>
      <c r="FA26" s="5"/>
      <c r="FB26" s="5"/>
      <c r="FC26" s="5"/>
      <c r="FD26" s="5"/>
      <c r="FE26" s="5"/>
      <c r="FF26" s="5"/>
      <c r="FG26" s="5"/>
      <c r="FH26" s="5"/>
      <c r="FI26" s="145"/>
      <c r="FJ26" s="145"/>
      <c r="FK26" s="145"/>
      <c r="FL26" s="14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3"/>
      <c r="GV26" s="3"/>
      <c r="GW26" s="3"/>
      <c r="GX26" s="3"/>
      <c r="GY26" s="3"/>
      <c r="GZ26" s="5"/>
      <c r="HA26" s="32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212"/>
      <c r="IO26" s="212"/>
      <c r="IP26" s="212"/>
    </row>
    <row r="27" spans="1:250" ht="15.75">
      <c r="A27" s="185" t="s">
        <v>40</v>
      </c>
      <c r="B27" s="14">
        <v>645</v>
      </c>
      <c r="C27" s="56">
        <v>612</v>
      </c>
      <c r="D27" s="56">
        <v>683</v>
      </c>
      <c r="E27" s="56">
        <v>610</v>
      </c>
      <c r="F27" s="56">
        <v>670</v>
      </c>
      <c r="G27" s="56">
        <v>866</v>
      </c>
      <c r="H27" s="56">
        <v>958</v>
      </c>
      <c r="I27" s="56">
        <v>1010</v>
      </c>
      <c r="J27" s="56">
        <v>790</v>
      </c>
      <c r="K27" s="56">
        <v>591</v>
      </c>
      <c r="L27" s="57">
        <v>529.2962</v>
      </c>
      <c r="M27" s="58">
        <v>407.412158</v>
      </c>
      <c r="N27" s="59">
        <v>368.85211</v>
      </c>
      <c r="O27" s="58">
        <v>449.629</v>
      </c>
      <c r="P27" s="59">
        <v>429.376712</v>
      </c>
      <c r="Q27" s="59">
        <v>440</v>
      </c>
      <c r="R27" s="59">
        <v>478</v>
      </c>
      <c r="S27" s="61">
        <v>493</v>
      </c>
      <c r="T27" s="59">
        <v>477</v>
      </c>
      <c r="U27" s="59">
        <v>518</v>
      </c>
      <c r="V27" s="59">
        <v>544</v>
      </c>
      <c r="W27" s="59">
        <v>488</v>
      </c>
      <c r="X27" s="59">
        <v>498</v>
      </c>
      <c r="Y27" s="59">
        <v>505</v>
      </c>
      <c r="Z27" s="59">
        <v>450.38525000000004</v>
      </c>
      <c r="AA27" s="52">
        <v>542.503314</v>
      </c>
      <c r="AB27" s="53">
        <v>612.657559</v>
      </c>
      <c r="AC27" s="90">
        <v>680.9868769999999</v>
      </c>
      <c r="AD27" s="90">
        <v>715.806</v>
      </c>
      <c r="AE27" s="90">
        <v>821.7132344199999</v>
      </c>
      <c r="AF27" s="90">
        <v>672.7124620000001</v>
      </c>
      <c r="AG27" s="90">
        <v>696.637794</v>
      </c>
      <c r="AH27" s="90">
        <v>867.8529100000001</v>
      </c>
      <c r="AI27" s="90">
        <v>733.78</v>
      </c>
      <c r="AJ27" s="90">
        <v>733.78</v>
      </c>
      <c r="AK27" s="53">
        <v>973.4</v>
      </c>
      <c r="AL27" s="53">
        <v>1256.1000000000004</v>
      </c>
      <c r="AM27" s="53">
        <v>1367.527</v>
      </c>
      <c r="AN27" s="53">
        <v>1250</v>
      </c>
      <c r="AO27" s="53">
        <f>42.8+6.27131</f>
        <v>49.07131</v>
      </c>
      <c r="AP27" s="61">
        <f>29.02+3.9273</f>
        <v>32.9473</v>
      </c>
      <c r="AQ27" s="72">
        <f>38.5+1.1596</f>
        <v>39.6596</v>
      </c>
      <c r="AR27" s="64">
        <f>38.41+4.02381</f>
        <v>42.433809999999994</v>
      </c>
      <c r="AS27" s="64">
        <f>4.8546+49.3</f>
        <v>54.154599999999995</v>
      </c>
      <c r="AT27" s="64">
        <f>36.11+7.7703</f>
        <v>43.8803</v>
      </c>
      <c r="AU27" s="64">
        <f>42+10.39688</f>
        <v>52.396879999999996</v>
      </c>
      <c r="AV27" s="87">
        <f>30.4+4.117</f>
        <v>34.516999999999996</v>
      </c>
      <c r="AW27" s="65">
        <f>36.8+3.43801</f>
        <v>40.238009999999996</v>
      </c>
      <c r="AX27" s="64">
        <f>37.9+2.76933</f>
        <v>40.66933</v>
      </c>
      <c r="AY27" s="53">
        <f>30.9+5.3329</f>
        <v>36.2329</v>
      </c>
      <c r="AZ27" s="64">
        <f>SUM(Y27:AO27)</f>
        <v>12929.91371042</v>
      </c>
      <c r="BA27" s="53">
        <f>36.29+8.54792</f>
        <v>44.83792</v>
      </c>
      <c r="BB27" s="53">
        <f>36.29+2.97881</f>
        <v>39.26881</v>
      </c>
      <c r="BC27" s="53">
        <f>36.29+2.958</f>
        <v>39.248</v>
      </c>
      <c r="BD27" s="64">
        <v>36.29</v>
      </c>
      <c r="BE27" s="64">
        <v>36.29</v>
      </c>
      <c r="BF27" s="64">
        <v>36.29</v>
      </c>
      <c r="BG27" s="64">
        <v>36.29</v>
      </c>
      <c r="BH27" s="87">
        <f>36.29+0.42052</f>
        <v>36.71052</v>
      </c>
      <c r="BI27" s="64">
        <v>36.29</v>
      </c>
      <c r="BJ27" s="64">
        <v>36.29</v>
      </c>
      <c r="BK27" s="64">
        <v>36.29</v>
      </c>
      <c r="BL27" s="64">
        <v>36.29</v>
      </c>
      <c r="BM27" s="64">
        <f>SUM(BA27:BL27)</f>
        <v>450.38525000000004</v>
      </c>
      <c r="BN27" s="64">
        <v>36.29</v>
      </c>
      <c r="BO27" s="64">
        <v>36</v>
      </c>
      <c r="BP27" s="52">
        <v>36</v>
      </c>
      <c r="BQ27" s="52">
        <v>36</v>
      </c>
      <c r="BR27" s="52">
        <f>36+3.49971</f>
        <v>39.49971</v>
      </c>
      <c r="BS27" s="52">
        <f>2.707+56.4</f>
        <v>59.107</v>
      </c>
      <c r="BT27" s="52">
        <v>43.096</v>
      </c>
      <c r="BU27" s="52">
        <v>43.7</v>
      </c>
      <c r="BV27" s="52">
        <f>52.5741+0.403</f>
        <v>52.9771</v>
      </c>
      <c r="BW27" s="52">
        <f>56.007284+0.07</f>
        <v>56.077284</v>
      </c>
      <c r="BX27" s="52">
        <f>48.379221+0.16</f>
        <v>48.539221</v>
      </c>
      <c r="BY27" s="52">
        <f>54.830999+0.386</f>
        <v>55.216999</v>
      </c>
      <c r="BZ27" s="52">
        <f>SUM(BN27:BY27)</f>
        <v>542.503314</v>
      </c>
      <c r="CA27" s="52">
        <f>47.145866+0</f>
        <v>47.145866</v>
      </c>
      <c r="CB27" s="52">
        <v>51.359268</v>
      </c>
      <c r="CC27" s="52">
        <v>50.680458</v>
      </c>
      <c r="CD27" s="52">
        <v>50.106823</v>
      </c>
      <c r="CE27" s="52">
        <v>50.106823</v>
      </c>
      <c r="CF27" s="90">
        <v>48.797368</v>
      </c>
      <c r="CG27" s="90">
        <v>59.093482</v>
      </c>
      <c r="CH27" s="90">
        <v>47.245909</v>
      </c>
      <c r="CI27" s="90">
        <v>62.485959</v>
      </c>
      <c r="CJ27" s="90">
        <v>49.858161</v>
      </c>
      <c r="CK27" s="90">
        <v>47.232241</v>
      </c>
      <c r="CL27" s="90">
        <f>(CJ27+CK27)/2</f>
        <v>48.545201000000006</v>
      </c>
      <c r="CM27" s="52">
        <f aca="true" t="shared" si="7" ref="CM27:CM38">SUM(CA27:CL27)</f>
        <v>612.657559</v>
      </c>
      <c r="CN27" s="53">
        <v>53.385016</v>
      </c>
      <c r="CO27" s="68">
        <v>46</v>
      </c>
      <c r="CP27" s="68">
        <v>44.513456</v>
      </c>
      <c r="CQ27" s="68">
        <v>59.06239</v>
      </c>
      <c r="CR27" s="52">
        <v>73.030035</v>
      </c>
      <c r="CS27" s="52">
        <v>79.07118</v>
      </c>
      <c r="CT27" s="52">
        <v>63.62737</v>
      </c>
      <c r="CU27" s="52">
        <v>62.59662</v>
      </c>
      <c r="CV27" s="90">
        <v>42.05581</v>
      </c>
      <c r="CW27" s="90">
        <v>58.062</v>
      </c>
      <c r="CX27" s="90">
        <v>43.357</v>
      </c>
      <c r="CY27" s="90">
        <v>56.226</v>
      </c>
      <c r="CZ27" s="53">
        <f>SUM(CN27:CY28)</f>
        <v>680.9868769999999</v>
      </c>
      <c r="DA27" s="53">
        <v>53.037</v>
      </c>
      <c r="DB27" s="68">
        <v>45.996</v>
      </c>
      <c r="DC27" s="68">
        <v>49.157</v>
      </c>
      <c r="DD27" s="68">
        <v>57.741</v>
      </c>
      <c r="DE27" s="68">
        <v>55.999</v>
      </c>
      <c r="DF27" s="68">
        <v>47.674</v>
      </c>
      <c r="DG27" s="52">
        <v>66.798</v>
      </c>
      <c r="DH27" s="52">
        <v>68.204</v>
      </c>
      <c r="DI27" s="90">
        <v>66.1</v>
      </c>
      <c r="DJ27" s="90">
        <v>67.3</v>
      </c>
      <c r="DK27" s="90">
        <v>68.35</v>
      </c>
      <c r="DL27" s="90">
        <v>69.45</v>
      </c>
      <c r="DM27" s="53">
        <f>SUM(DA27:DL27)</f>
        <v>715.806</v>
      </c>
      <c r="DN27" s="53">
        <v>67.27777442</v>
      </c>
      <c r="DO27" s="53">
        <v>48.316843</v>
      </c>
      <c r="DP27" s="53">
        <v>62.6829</v>
      </c>
      <c r="DQ27" s="68">
        <v>71.8937</v>
      </c>
      <c r="DR27" s="68">
        <v>76.5965</v>
      </c>
      <c r="DS27" s="68">
        <v>72.4206</v>
      </c>
      <c r="DT27" s="68">
        <v>72.6287</v>
      </c>
      <c r="DU27" s="68">
        <v>69.7846</v>
      </c>
      <c r="DV27" s="68">
        <v>71.72502</v>
      </c>
      <c r="DW27" s="68">
        <v>67.5377</v>
      </c>
      <c r="DX27" s="68">
        <v>55.5814</v>
      </c>
      <c r="DY27" s="68">
        <v>85.267497</v>
      </c>
      <c r="DZ27" s="68">
        <f>SUM(DN27:DY27)</f>
        <v>821.7132344199999</v>
      </c>
      <c r="EA27" s="68">
        <v>63.2015</v>
      </c>
      <c r="EB27" s="68">
        <v>54.122757</v>
      </c>
      <c r="EC27" s="68">
        <v>65.7316</v>
      </c>
      <c r="ED27" s="68">
        <v>58.0677</v>
      </c>
      <c r="EE27" s="68">
        <v>34.35</v>
      </c>
      <c r="EF27" s="68">
        <v>47.109142</v>
      </c>
      <c r="EG27" s="68">
        <v>47.109142</v>
      </c>
      <c r="EH27" s="68">
        <v>54.102153</v>
      </c>
      <c r="EI27" s="68">
        <v>59.890498</v>
      </c>
      <c r="EJ27" s="68">
        <v>56.78456</v>
      </c>
      <c r="EK27" s="68">
        <v>62.6725</v>
      </c>
      <c r="EL27" s="68">
        <v>69.57091</v>
      </c>
      <c r="EM27" s="68">
        <f>SUM(EA27:EL27)</f>
        <v>672.7124620000001</v>
      </c>
      <c r="EN27" s="68">
        <v>57.88698</v>
      </c>
      <c r="EO27" s="68">
        <v>51.2309</v>
      </c>
      <c r="EP27" s="68">
        <v>52.0301</v>
      </c>
      <c r="EQ27" s="68">
        <v>54</v>
      </c>
      <c r="ER27" s="68">
        <v>81.993</v>
      </c>
      <c r="ES27" s="68">
        <v>66.543</v>
      </c>
      <c r="ET27" s="68">
        <v>61.826</v>
      </c>
      <c r="EU27" s="68">
        <v>62.241</v>
      </c>
      <c r="EV27" s="68">
        <v>47.427234</v>
      </c>
      <c r="EW27" s="68">
        <v>46.30116</v>
      </c>
      <c r="EX27" s="68">
        <v>46.30116</v>
      </c>
      <c r="EY27" s="68">
        <v>68.85726</v>
      </c>
      <c r="EZ27" s="68">
        <f>SUM(EN27:EY27)</f>
        <v>696.637794</v>
      </c>
      <c r="FA27" s="68">
        <v>62.76604</v>
      </c>
      <c r="FB27" s="68">
        <v>58.87687</v>
      </c>
      <c r="FC27" s="68">
        <v>52.98</v>
      </c>
      <c r="FD27" s="68">
        <v>84.75</v>
      </c>
      <c r="FE27" s="68">
        <v>66.05</v>
      </c>
      <c r="FF27" s="68">
        <v>66.34</v>
      </c>
      <c r="FG27" s="68">
        <v>76.87</v>
      </c>
      <c r="FH27" s="68">
        <v>76.87</v>
      </c>
      <c r="FI27" s="68">
        <v>82.47</v>
      </c>
      <c r="FJ27" s="68">
        <v>62.52</v>
      </c>
      <c r="FK27" s="68">
        <v>89.47</v>
      </c>
      <c r="FL27" s="68">
        <v>87.89</v>
      </c>
      <c r="FM27" s="68">
        <f>SUM(FA27:FL27)</f>
        <v>867.8529100000001</v>
      </c>
      <c r="FN27" s="68">
        <v>58.01</v>
      </c>
      <c r="FO27" s="68">
        <v>46.56</v>
      </c>
      <c r="FP27" s="68">
        <v>61.32</v>
      </c>
      <c r="FQ27" s="68">
        <v>49.41</v>
      </c>
      <c r="FR27" s="68">
        <v>66.29</v>
      </c>
      <c r="FS27" s="68">
        <v>66.29</v>
      </c>
      <c r="FT27" s="68">
        <v>59.29</v>
      </c>
      <c r="FU27" s="68">
        <v>63.85</v>
      </c>
      <c r="FV27" s="68">
        <v>64.31</v>
      </c>
      <c r="FW27" s="68">
        <v>58.77</v>
      </c>
      <c r="FX27" s="68">
        <v>63.89</v>
      </c>
      <c r="FY27" s="68">
        <v>75.79</v>
      </c>
      <c r="FZ27" s="68">
        <f>SUM(FN27:FY27)</f>
        <v>733.78</v>
      </c>
      <c r="GA27" s="68">
        <v>70.2</v>
      </c>
      <c r="GB27" s="68">
        <v>60.8</v>
      </c>
      <c r="GC27" s="68">
        <v>67.35</v>
      </c>
      <c r="GD27" s="68">
        <v>73.6</v>
      </c>
      <c r="GE27" s="68">
        <v>76.4</v>
      </c>
      <c r="GF27" s="68">
        <v>81.2</v>
      </c>
      <c r="GG27" s="68">
        <v>78</v>
      </c>
      <c r="GH27" s="68">
        <v>82.4</v>
      </c>
      <c r="GI27" s="68">
        <v>67.9</v>
      </c>
      <c r="GJ27" s="68">
        <v>76.8</v>
      </c>
      <c r="GK27" s="68">
        <v>77.5</v>
      </c>
      <c r="GL27" s="68">
        <v>87.7</v>
      </c>
      <c r="GM27" s="68">
        <f>SUM(GA27:GL27)</f>
        <v>899.85</v>
      </c>
      <c r="GN27" s="68">
        <v>81.4</v>
      </c>
      <c r="GO27" s="68">
        <v>81.4</v>
      </c>
      <c r="GP27" s="68">
        <v>91.4</v>
      </c>
      <c r="GQ27" s="68">
        <v>70.3</v>
      </c>
      <c r="GR27" s="68">
        <v>69.9</v>
      </c>
      <c r="GS27" s="68">
        <v>68.8</v>
      </c>
      <c r="GT27" s="68">
        <v>71</v>
      </c>
      <c r="GU27" s="133">
        <v>83.4</v>
      </c>
      <c r="GV27" s="133">
        <v>77.3</v>
      </c>
      <c r="GW27" s="133">
        <v>81.5</v>
      </c>
      <c r="GX27" s="133">
        <v>88</v>
      </c>
      <c r="GY27" s="133">
        <v>109</v>
      </c>
      <c r="GZ27" s="68">
        <f>SUM(GN27:GY27)</f>
        <v>973.4</v>
      </c>
      <c r="HA27" s="68">
        <v>87.4</v>
      </c>
      <c r="HB27" s="68">
        <v>79.9</v>
      </c>
      <c r="HC27" s="68">
        <v>98.9</v>
      </c>
      <c r="HD27" s="68">
        <v>93.8</v>
      </c>
      <c r="HE27" s="68">
        <v>94.3</v>
      </c>
      <c r="HF27" s="68">
        <v>112.2</v>
      </c>
      <c r="HG27" s="68">
        <v>142.9</v>
      </c>
      <c r="HH27" s="68">
        <v>137.1</v>
      </c>
      <c r="HI27" s="68">
        <v>107.1</v>
      </c>
      <c r="HJ27" s="68">
        <v>106.4</v>
      </c>
      <c r="HK27" s="68">
        <v>108.7</v>
      </c>
      <c r="HL27" s="68">
        <v>87.4</v>
      </c>
      <c r="HM27" s="68">
        <f>SUM(HA27:HL27)</f>
        <v>1256.1000000000004</v>
      </c>
      <c r="HN27" s="68">
        <v>102.4</v>
      </c>
      <c r="HO27" s="68">
        <v>91.3</v>
      </c>
      <c r="HP27" s="68">
        <v>96.6</v>
      </c>
      <c r="HQ27" s="68">
        <v>91.3</v>
      </c>
      <c r="HR27" s="68">
        <v>128.9</v>
      </c>
      <c r="HS27" s="68">
        <v>126.1</v>
      </c>
      <c r="HT27" s="68">
        <v>107.9</v>
      </c>
      <c r="HU27" s="68">
        <v>138.7</v>
      </c>
      <c r="HV27" s="68">
        <v>115.9</v>
      </c>
      <c r="HW27" s="68">
        <v>120.277</v>
      </c>
      <c r="HX27" s="68">
        <v>124.217</v>
      </c>
      <c r="HY27" s="68">
        <v>123.933</v>
      </c>
      <c r="HZ27" s="68">
        <f>SUM(HN27:HY27)</f>
        <v>1367.527</v>
      </c>
      <c r="IA27" s="186">
        <v>103.74</v>
      </c>
      <c r="IB27" s="186">
        <v>84.92</v>
      </c>
      <c r="IC27" s="186">
        <v>101.7</v>
      </c>
      <c r="ID27" s="186">
        <v>91.9</v>
      </c>
      <c r="IE27" s="186">
        <v>119.86</v>
      </c>
      <c r="IF27" s="186">
        <v>122.01</v>
      </c>
      <c r="IG27" s="186">
        <v>136.32</v>
      </c>
      <c r="IH27" s="186">
        <v>93.94</v>
      </c>
      <c r="II27" s="186">
        <v>90.2</v>
      </c>
      <c r="IJ27" s="186">
        <v>80.86</v>
      </c>
      <c r="IK27" s="207">
        <v>90.11</v>
      </c>
      <c r="IL27" s="207">
        <v>134.44</v>
      </c>
      <c r="IM27" s="186">
        <f>SUM(IA27:IB27)</f>
        <v>188.66</v>
      </c>
      <c r="IN27" s="186">
        <v>101.62</v>
      </c>
      <c r="IO27" s="186">
        <v>94.69</v>
      </c>
      <c r="IP27" s="186">
        <f>IN27+IO27</f>
        <v>196.31</v>
      </c>
    </row>
    <row r="28" spans="1:250" ht="15.75" customHeight="1" hidden="1">
      <c r="A28" s="185" t="s">
        <v>41</v>
      </c>
      <c r="B28" s="14">
        <v>2181</v>
      </c>
      <c r="C28" s="56">
        <v>2783</v>
      </c>
      <c r="D28" s="56">
        <v>2753</v>
      </c>
      <c r="E28" s="56">
        <v>3037</v>
      </c>
      <c r="F28" s="56">
        <v>2431</v>
      </c>
      <c r="G28" s="56">
        <v>3849</v>
      </c>
      <c r="H28" s="56">
        <v>3353</v>
      </c>
      <c r="I28" s="56">
        <v>2029</v>
      </c>
      <c r="J28" s="56">
        <v>2688</v>
      </c>
      <c r="K28" s="56">
        <v>3885</v>
      </c>
      <c r="L28" s="57">
        <v>2405.64</v>
      </c>
      <c r="M28" s="58">
        <v>2418</v>
      </c>
      <c r="N28" s="59">
        <v>2373.85</v>
      </c>
      <c r="O28" s="58">
        <v>1766</v>
      </c>
      <c r="P28" s="59">
        <v>1163.3</v>
      </c>
      <c r="Q28" s="59">
        <v>194</v>
      </c>
      <c r="R28" s="79" t="s">
        <v>64</v>
      </c>
      <c r="S28" s="79" t="s">
        <v>65</v>
      </c>
      <c r="T28" s="78" t="s">
        <v>65</v>
      </c>
      <c r="U28" s="78"/>
      <c r="V28" s="78"/>
      <c r="W28" s="78"/>
      <c r="X28" s="78"/>
      <c r="Y28" s="78"/>
      <c r="Z28" s="81">
        <v>0</v>
      </c>
      <c r="AA28" s="52">
        <v>33481</v>
      </c>
      <c r="AB28" s="53">
        <v>0</v>
      </c>
      <c r="AC28" s="52">
        <v>0</v>
      </c>
      <c r="AD28" s="52">
        <v>124725.5</v>
      </c>
      <c r="AE28" s="9">
        <v>124725.5</v>
      </c>
      <c r="AF28" s="9">
        <v>0</v>
      </c>
      <c r="AG28" s="9"/>
      <c r="AH28" s="9"/>
      <c r="AI28" s="9">
        <v>0</v>
      </c>
      <c r="AJ28" s="9"/>
      <c r="AK28" s="53"/>
      <c r="AL28" s="53"/>
      <c r="AM28" s="53"/>
      <c r="AN28" s="53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64">
        <f aca="true" t="shared" si="8" ref="BM28:BM38">SUM(BA28:BL28)</f>
        <v>0</v>
      </c>
      <c r="BN28" s="81"/>
      <c r="BO28" s="78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f aca="true" t="shared" si="9" ref="BZ28:BZ38">SUM(BN28:BY28)</f>
        <v>0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>
        <f t="shared" si="7"/>
        <v>0</v>
      </c>
      <c r="CN28" s="53" t="s">
        <v>64</v>
      </c>
      <c r="CO28" s="53" t="s">
        <v>64</v>
      </c>
      <c r="CP28" s="53" t="s">
        <v>64</v>
      </c>
      <c r="CQ28" s="53" t="s">
        <v>64</v>
      </c>
      <c r="CR28" s="53" t="s">
        <v>64</v>
      </c>
      <c r="CS28" s="53"/>
      <c r="CT28" s="53"/>
      <c r="CU28" s="53"/>
      <c r="CV28" s="53"/>
      <c r="CW28" s="53"/>
      <c r="CX28" s="53"/>
      <c r="CY28" s="53"/>
      <c r="CZ28" s="53">
        <f aca="true" t="shared" si="10" ref="CZ28:CZ37">SUM(CN28:CY29)</f>
        <v>47071</v>
      </c>
      <c r="DA28" s="53">
        <f>SUM(CM28:CX28)</f>
        <v>0</v>
      </c>
      <c r="DB28" s="53"/>
      <c r="DC28" s="53"/>
      <c r="DD28" s="53"/>
      <c r="DE28" s="53"/>
      <c r="DF28" s="53"/>
      <c r="DG28" s="53"/>
      <c r="DH28" s="53"/>
      <c r="DI28" s="97"/>
      <c r="DJ28" s="97"/>
      <c r="DK28" s="97"/>
      <c r="DL28" s="97"/>
      <c r="DM28" s="53">
        <f aca="true" t="shared" si="11" ref="DM28:DM37">SUM(CZ28:DK29)</f>
        <v>124725.5</v>
      </c>
      <c r="DN28" s="53">
        <f>SUM(CZ28:DK29)</f>
        <v>124725.5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68">
        <f aca="true" t="shared" si="12" ref="DZ28:DZ37">SUM(DN28:DQ28)</f>
        <v>124725.5</v>
      </c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>
        <f aca="true" t="shared" si="13" ref="EM28:EM37">SUM(EA28:ED28)</f>
        <v>0</v>
      </c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133"/>
      <c r="GV28" s="133"/>
      <c r="GW28" s="133"/>
      <c r="GX28" s="133"/>
      <c r="GY28" s="133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</row>
    <row r="29" spans="1:250" ht="18">
      <c r="A29" s="188" t="s">
        <v>82</v>
      </c>
      <c r="B29" s="14" t="s">
        <v>71</v>
      </c>
      <c r="C29" s="56">
        <v>31192.5</v>
      </c>
      <c r="D29" s="56">
        <v>39275.6</v>
      </c>
      <c r="E29" s="56">
        <v>40698.5</v>
      </c>
      <c r="F29" s="56">
        <v>49890</v>
      </c>
      <c r="G29" s="56">
        <v>47884</v>
      </c>
      <c r="H29" s="56">
        <v>28136</v>
      </c>
      <c r="I29" s="56">
        <v>28620</v>
      </c>
      <c r="J29" s="56">
        <v>20463</v>
      </c>
      <c r="K29" s="56">
        <v>33636</v>
      </c>
      <c r="L29" s="57">
        <v>29119</v>
      </c>
      <c r="M29" s="58">
        <v>26195</v>
      </c>
      <c r="N29" s="59">
        <v>30049</v>
      </c>
      <c r="O29" s="58">
        <v>31875.5</v>
      </c>
      <c r="P29" s="59">
        <v>10597.5</v>
      </c>
      <c r="Q29" s="59">
        <v>7334</v>
      </c>
      <c r="R29" s="59">
        <v>52906</v>
      </c>
      <c r="S29" s="61">
        <v>45177</v>
      </c>
      <c r="T29" s="59">
        <v>45883</v>
      </c>
      <c r="U29" s="59">
        <v>39099</v>
      </c>
      <c r="V29" s="59">
        <v>44627</v>
      </c>
      <c r="W29" s="59">
        <v>42934</v>
      </c>
      <c r="X29" s="59">
        <v>45278</v>
      </c>
      <c r="Y29" s="59">
        <v>18100</v>
      </c>
      <c r="Z29" s="59">
        <v>37103</v>
      </c>
      <c r="AA29" s="52">
        <v>33481</v>
      </c>
      <c r="AB29" s="53">
        <v>47878</v>
      </c>
      <c r="AC29" s="90">
        <v>47071</v>
      </c>
      <c r="AD29" s="90">
        <v>35106.5</v>
      </c>
      <c r="AE29" s="90">
        <v>25591</v>
      </c>
      <c r="AF29" s="90">
        <v>26660</v>
      </c>
      <c r="AG29" s="90">
        <v>20839.666666666668</v>
      </c>
      <c r="AH29" s="90">
        <v>17917</v>
      </c>
      <c r="AI29" s="90">
        <v>33214</v>
      </c>
      <c r="AJ29" s="90">
        <v>33214</v>
      </c>
      <c r="AK29" s="53">
        <v>59559</v>
      </c>
      <c r="AL29" s="53">
        <v>90221</v>
      </c>
      <c r="AM29" s="53">
        <v>48305</v>
      </c>
      <c r="AN29" s="53">
        <v>53548</v>
      </c>
      <c r="AO29" s="53">
        <v>3530</v>
      </c>
      <c r="AP29" s="87">
        <v>3280</v>
      </c>
      <c r="AQ29" s="85">
        <v>3120</v>
      </c>
      <c r="AR29" s="85">
        <v>2079</v>
      </c>
      <c r="AS29" s="85">
        <v>2874</v>
      </c>
      <c r="AT29" s="85">
        <v>3217</v>
      </c>
      <c r="AU29" s="80" t="s">
        <v>64</v>
      </c>
      <c r="AV29" s="80" t="s">
        <v>64</v>
      </c>
      <c r="AW29" s="80" t="s">
        <v>64</v>
      </c>
      <c r="AX29" s="80" t="s">
        <v>64</v>
      </c>
      <c r="AY29" s="80" t="s">
        <v>64</v>
      </c>
      <c r="AZ29" s="80" t="s">
        <v>64</v>
      </c>
      <c r="BA29" s="80" t="s">
        <v>64</v>
      </c>
      <c r="BB29" s="80" t="s">
        <v>64</v>
      </c>
      <c r="BC29" s="80" t="s">
        <v>64</v>
      </c>
      <c r="BD29" s="85">
        <v>4200</v>
      </c>
      <c r="BE29" s="85">
        <v>3310</v>
      </c>
      <c r="BF29" s="85">
        <v>4050</v>
      </c>
      <c r="BG29" s="87">
        <v>4300</v>
      </c>
      <c r="BH29" s="87">
        <v>4642</v>
      </c>
      <c r="BI29" s="87">
        <v>3822</v>
      </c>
      <c r="BJ29" s="88">
        <v>4176</v>
      </c>
      <c r="BK29" s="87">
        <v>4173</v>
      </c>
      <c r="BL29" s="87">
        <v>4430</v>
      </c>
      <c r="BM29" s="64">
        <f t="shared" si="8"/>
        <v>37103</v>
      </c>
      <c r="BN29" s="85">
        <v>4002</v>
      </c>
      <c r="BO29" s="85">
        <v>1460</v>
      </c>
      <c r="BP29" s="52">
        <v>3884</v>
      </c>
      <c r="BQ29" s="52">
        <v>3662</v>
      </c>
      <c r="BR29" s="52">
        <v>3648</v>
      </c>
      <c r="BS29" s="52">
        <v>2212</v>
      </c>
      <c r="BT29" s="52">
        <v>2530</v>
      </c>
      <c r="BU29" s="52">
        <v>2245</v>
      </c>
      <c r="BV29" s="52">
        <v>4453</v>
      </c>
      <c r="BW29" s="52">
        <v>1977</v>
      </c>
      <c r="BX29" s="52">
        <v>1780</v>
      </c>
      <c r="BY29" s="52">
        <v>1628</v>
      </c>
      <c r="BZ29" s="52">
        <f t="shared" si="9"/>
        <v>33481</v>
      </c>
      <c r="CA29" s="52">
        <v>2769</v>
      </c>
      <c r="CB29" s="52">
        <v>1875</v>
      </c>
      <c r="CC29" s="52">
        <v>5119</v>
      </c>
      <c r="CD29" s="52">
        <v>3274</v>
      </c>
      <c r="CE29" s="52">
        <v>4543</v>
      </c>
      <c r="CF29" s="52">
        <v>3296</v>
      </c>
      <c r="CG29" s="52">
        <v>4055</v>
      </c>
      <c r="CH29" s="52">
        <v>5745</v>
      </c>
      <c r="CI29" s="52">
        <v>4445</v>
      </c>
      <c r="CJ29" s="90">
        <v>3693</v>
      </c>
      <c r="CK29" s="90">
        <v>5352</v>
      </c>
      <c r="CL29" s="90">
        <v>3712</v>
      </c>
      <c r="CM29" s="52">
        <f t="shared" si="7"/>
        <v>47878</v>
      </c>
      <c r="CN29" s="53">
        <v>4488</v>
      </c>
      <c r="CO29" s="68">
        <v>4995</v>
      </c>
      <c r="CP29" s="53">
        <v>4864</v>
      </c>
      <c r="CQ29" s="53">
        <v>3472</v>
      </c>
      <c r="CR29" s="53">
        <v>5684</v>
      </c>
      <c r="CS29" s="53">
        <v>2949</v>
      </c>
      <c r="CT29" s="53">
        <v>4748</v>
      </c>
      <c r="CU29" s="53">
        <v>4435</v>
      </c>
      <c r="CV29" s="53">
        <v>4407</v>
      </c>
      <c r="CW29" s="53">
        <v>3321</v>
      </c>
      <c r="CX29" s="53">
        <v>3180</v>
      </c>
      <c r="CY29" s="53">
        <v>528</v>
      </c>
      <c r="CZ29" s="53">
        <f t="shared" si="10"/>
        <v>47071</v>
      </c>
      <c r="DA29" s="53">
        <v>4458</v>
      </c>
      <c r="DB29" s="53">
        <v>1701</v>
      </c>
      <c r="DC29" s="68">
        <v>3270</v>
      </c>
      <c r="DD29" s="68">
        <v>2548</v>
      </c>
      <c r="DE29" s="68">
        <v>2759</v>
      </c>
      <c r="DF29" s="68">
        <v>2759</v>
      </c>
      <c r="DG29" s="68">
        <v>2321</v>
      </c>
      <c r="DH29" s="68">
        <v>2240</v>
      </c>
      <c r="DI29" s="53">
        <v>2711</v>
      </c>
      <c r="DJ29" s="53">
        <v>2974</v>
      </c>
      <c r="DK29" s="53">
        <v>2842.5</v>
      </c>
      <c r="DL29" s="53">
        <v>4523</v>
      </c>
      <c r="DM29" s="53">
        <f>SUM(DA29:DL29)</f>
        <v>35106.5</v>
      </c>
      <c r="DN29" s="53">
        <v>2501</v>
      </c>
      <c r="DO29" s="68">
        <v>1630</v>
      </c>
      <c r="DP29" s="68">
        <v>2687</v>
      </c>
      <c r="DQ29" s="68">
        <v>1134</v>
      </c>
      <c r="DR29" s="68">
        <v>2518</v>
      </c>
      <c r="DS29" s="68">
        <v>1921</v>
      </c>
      <c r="DT29" s="68">
        <v>2352</v>
      </c>
      <c r="DU29" s="68">
        <v>2513</v>
      </c>
      <c r="DV29" s="68">
        <v>2501</v>
      </c>
      <c r="DW29" s="68">
        <v>2663</v>
      </c>
      <c r="DX29" s="68">
        <v>2726</v>
      </c>
      <c r="DY29" s="68">
        <v>445</v>
      </c>
      <c r="DZ29" s="68">
        <f>SUM(DN29:DY29)</f>
        <v>25591</v>
      </c>
      <c r="EA29" s="68">
        <v>4724</v>
      </c>
      <c r="EB29" s="68">
        <v>3199</v>
      </c>
      <c r="EC29" s="68">
        <v>2287</v>
      </c>
      <c r="ED29" s="68">
        <v>1965</v>
      </c>
      <c r="EE29" s="68">
        <v>1451</v>
      </c>
      <c r="EF29" s="68">
        <v>1373</v>
      </c>
      <c r="EG29" s="68">
        <v>3127</v>
      </c>
      <c r="EH29" s="68">
        <v>3460</v>
      </c>
      <c r="EI29" s="68">
        <v>1582</v>
      </c>
      <c r="EJ29" s="68">
        <v>1679</v>
      </c>
      <c r="EK29" s="68">
        <v>1123</v>
      </c>
      <c r="EL29" s="68">
        <v>690</v>
      </c>
      <c r="EM29" s="68">
        <f>SUM(EA29:EL29)</f>
        <v>26660</v>
      </c>
      <c r="EN29" s="68">
        <v>742</v>
      </c>
      <c r="EO29" s="68">
        <v>3538</v>
      </c>
      <c r="EP29" s="68">
        <v>1764</v>
      </c>
      <c r="EQ29" s="68">
        <v>2230</v>
      </c>
      <c r="ER29" s="68">
        <v>1878</v>
      </c>
      <c r="ES29" s="68">
        <v>2647</v>
      </c>
      <c r="ET29" s="68">
        <v>953</v>
      </c>
      <c r="EU29" s="68">
        <v>767</v>
      </c>
      <c r="EV29" s="68">
        <v>3634</v>
      </c>
      <c r="EW29" s="68">
        <v>1784.6666666666667</v>
      </c>
      <c r="EX29" s="68">
        <v>876</v>
      </c>
      <c r="EY29" s="68">
        <v>26</v>
      </c>
      <c r="EZ29" s="68">
        <f>SUM(EN29:EY29)</f>
        <v>20839.666666666668</v>
      </c>
      <c r="FA29" s="68">
        <v>0</v>
      </c>
      <c r="FB29" s="68">
        <v>0</v>
      </c>
      <c r="FC29" s="68">
        <v>0</v>
      </c>
      <c r="FD29" s="129">
        <v>0</v>
      </c>
      <c r="FE29" s="68">
        <v>2254</v>
      </c>
      <c r="FF29" s="68">
        <v>4340</v>
      </c>
      <c r="FG29" s="68">
        <v>2183</v>
      </c>
      <c r="FH29" s="68">
        <v>2158</v>
      </c>
      <c r="FI29" s="68">
        <v>1542</v>
      </c>
      <c r="FJ29" s="68">
        <v>1900</v>
      </c>
      <c r="FK29" s="68">
        <v>3018</v>
      </c>
      <c r="FL29" s="68">
        <v>522</v>
      </c>
      <c r="FM29" s="68">
        <f>SUM(FA29:FL29)</f>
        <v>17917</v>
      </c>
      <c r="FN29" s="68">
        <v>2374</v>
      </c>
      <c r="FO29" s="68">
        <v>2602</v>
      </c>
      <c r="FP29" s="68">
        <v>3199</v>
      </c>
      <c r="FQ29" s="68">
        <v>2686</v>
      </c>
      <c r="FR29" s="68">
        <v>3526</v>
      </c>
      <c r="FS29" s="68">
        <v>3850</v>
      </c>
      <c r="FT29" s="68">
        <v>1794</v>
      </c>
      <c r="FU29" s="68">
        <v>2382</v>
      </c>
      <c r="FV29" s="68">
        <v>2441</v>
      </c>
      <c r="FW29" s="68">
        <v>2893</v>
      </c>
      <c r="FX29" s="68">
        <v>2871</v>
      </c>
      <c r="FY29" s="68">
        <v>2596</v>
      </c>
      <c r="FZ29" s="68">
        <f>SUM(FN29:FY29)</f>
        <v>33214</v>
      </c>
      <c r="GA29" s="68">
        <v>2822</v>
      </c>
      <c r="GB29" s="68">
        <v>3050</v>
      </c>
      <c r="GC29" s="68">
        <v>4288</v>
      </c>
      <c r="GD29" s="68">
        <v>2280</v>
      </c>
      <c r="GE29" s="68">
        <v>3522</v>
      </c>
      <c r="GF29" s="68">
        <v>5935</v>
      </c>
      <c r="GG29" s="68">
        <v>5390</v>
      </c>
      <c r="GH29" s="68">
        <v>4284</v>
      </c>
      <c r="GI29" s="68">
        <v>5538</v>
      </c>
      <c r="GJ29" s="68">
        <v>4184</v>
      </c>
      <c r="GK29" s="68">
        <v>3905</v>
      </c>
      <c r="GL29" s="68">
        <v>6752</v>
      </c>
      <c r="GM29" s="68">
        <f>SUM(GA29:GL29)</f>
        <v>51950</v>
      </c>
      <c r="GN29" s="68">
        <v>5706</v>
      </c>
      <c r="GO29" s="68">
        <v>5963</v>
      </c>
      <c r="GP29" s="68">
        <v>5319</v>
      </c>
      <c r="GQ29" s="68">
        <v>5344</v>
      </c>
      <c r="GR29" s="68">
        <v>4468</v>
      </c>
      <c r="GS29" s="68">
        <v>4602</v>
      </c>
      <c r="GT29" s="68">
        <v>4346</v>
      </c>
      <c r="GU29" s="133">
        <v>4849</v>
      </c>
      <c r="GV29" s="133">
        <v>5614</v>
      </c>
      <c r="GW29" s="133">
        <v>4370</v>
      </c>
      <c r="GX29" s="133">
        <v>4960</v>
      </c>
      <c r="GY29" s="133">
        <v>4018</v>
      </c>
      <c r="GZ29" s="68">
        <f>SUM(GN29:GY29)</f>
        <v>59559</v>
      </c>
      <c r="HA29" s="68">
        <v>3790</v>
      </c>
      <c r="HB29" s="68">
        <v>5838</v>
      </c>
      <c r="HC29" s="68">
        <v>5965</v>
      </c>
      <c r="HD29" s="68">
        <v>6225</v>
      </c>
      <c r="HE29" s="68">
        <v>6874</v>
      </c>
      <c r="HF29" s="68">
        <v>7301</v>
      </c>
      <c r="HG29" s="68">
        <v>6228</v>
      </c>
      <c r="HH29" s="68">
        <v>8332</v>
      </c>
      <c r="HI29" s="68">
        <v>8712</v>
      </c>
      <c r="HJ29" s="68">
        <v>6980</v>
      </c>
      <c r="HK29" s="68">
        <v>7500</v>
      </c>
      <c r="HL29" s="68">
        <v>16476</v>
      </c>
      <c r="HM29" s="68">
        <f>SUM(HA29:HL29)</f>
        <v>90221</v>
      </c>
      <c r="HN29" s="68">
        <v>7476</v>
      </c>
      <c r="HO29" s="68">
        <v>4500</v>
      </c>
      <c r="HP29" s="68">
        <v>5398</v>
      </c>
      <c r="HQ29" s="68">
        <v>3722</v>
      </c>
      <c r="HR29" s="68">
        <v>4240</v>
      </c>
      <c r="HS29" s="68">
        <v>4492</v>
      </c>
      <c r="HT29" s="68">
        <v>2843</v>
      </c>
      <c r="HU29" s="68">
        <v>3595</v>
      </c>
      <c r="HV29" s="68">
        <v>2848</v>
      </c>
      <c r="HW29" s="68">
        <v>1858</v>
      </c>
      <c r="HX29" s="68">
        <v>3573</v>
      </c>
      <c r="HY29" s="68">
        <v>3760</v>
      </c>
      <c r="HZ29" s="68">
        <f>SUM(HN29:HY29)</f>
        <v>48305</v>
      </c>
      <c r="IA29" s="186">
        <v>3059</v>
      </c>
      <c r="IB29" s="186">
        <v>3869</v>
      </c>
      <c r="IC29" s="186">
        <v>3635</v>
      </c>
      <c r="ID29" s="186">
        <v>4416</v>
      </c>
      <c r="IE29" s="186">
        <v>4895</v>
      </c>
      <c r="IF29" s="186">
        <v>5350</v>
      </c>
      <c r="IG29" s="186">
        <v>4850</v>
      </c>
      <c r="IH29" s="186">
        <v>3950</v>
      </c>
      <c r="II29" s="186">
        <v>4250</v>
      </c>
      <c r="IJ29" s="186">
        <v>6617</v>
      </c>
      <c r="IK29" s="186">
        <v>4357</v>
      </c>
      <c r="IL29" s="186">
        <v>4300</v>
      </c>
      <c r="IM29" s="186">
        <f>SUM(IA29:IB29)</f>
        <v>6928</v>
      </c>
      <c r="IN29" s="186">
        <v>3950</v>
      </c>
      <c r="IO29" s="186">
        <v>1950</v>
      </c>
      <c r="IP29" s="186">
        <f>IN29+IO29</f>
        <v>5900</v>
      </c>
    </row>
    <row r="30" spans="1:250" ht="15.75" customHeight="1" hidden="1">
      <c r="A30" s="185" t="s">
        <v>42</v>
      </c>
      <c r="B30" s="14"/>
      <c r="C30" s="56">
        <v>5542.3</v>
      </c>
      <c r="D30" s="56">
        <v>4996.8</v>
      </c>
      <c r="E30" s="56">
        <v>6716.8</v>
      </c>
      <c r="F30" s="56">
        <v>6610</v>
      </c>
      <c r="G30" s="56">
        <v>6764</v>
      </c>
      <c r="H30" s="56">
        <v>6093</v>
      </c>
      <c r="I30" s="56">
        <v>6065</v>
      </c>
      <c r="J30" s="56">
        <v>4671</v>
      </c>
      <c r="K30" s="56">
        <v>4705</v>
      </c>
      <c r="L30" s="57">
        <v>3279</v>
      </c>
      <c r="M30" s="58">
        <v>1871</v>
      </c>
      <c r="N30" s="62" t="s">
        <v>64</v>
      </c>
      <c r="O30" s="62" t="s">
        <v>64</v>
      </c>
      <c r="P30" s="62" t="s">
        <v>64</v>
      </c>
      <c r="Q30" s="62" t="s">
        <v>64</v>
      </c>
      <c r="R30" s="79" t="s">
        <v>33</v>
      </c>
      <c r="S30" s="80"/>
      <c r="T30" s="80"/>
      <c r="U30" s="80"/>
      <c r="V30" s="80"/>
      <c r="W30" s="80"/>
      <c r="X30" s="80"/>
      <c r="Y30" s="78"/>
      <c r="Z30" s="78">
        <v>0</v>
      </c>
      <c r="AA30" s="52">
        <v>1588</v>
      </c>
      <c r="AB30" s="53">
        <v>0</v>
      </c>
      <c r="AC30" s="52">
        <v>0</v>
      </c>
      <c r="AD30" s="52">
        <v>2216.968</v>
      </c>
      <c r="AE30" s="52">
        <v>0</v>
      </c>
      <c r="AF30" s="52">
        <v>0</v>
      </c>
      <c r="AG30" s="52"/>
      <c r="AH30" s="52"/>
      <c r="AI30" s="52">
        <v>0</v>
      </c>
      <c r="AJ30" s="52"/>
      <c r="AK30" s="90"/>
      <c r="AL30" s="90"/>
      <c r="AM30" s="90"/>
      <c r="AN30" s="90"/>
      <c r="AO30" s="53"/>
      <c r="AP30" s="81"/>
      <c r="AQ30" s="78"/>
      <c r="AR30" s="78"/>
      <c r="AS30" s="78"/>
      <c r="AT30" s="62"/>
      <c r="AU30" s="62"/>
      <c r="AV30" s="78"/>
      <c r="AW30" s="78"/>
      <c r="AX30" s="78"/>
      <c r="AY30" s="62"/>
      <c r="AZ30" s="78"/>
      <c r="BA30" s="53"/>
      <c r="BB30" s="81"/>
      <c r="BC30" s="78"/>
      <c r="BD30" s="78"/>
      <c r="BE30" s="78"/>
      <c r="BF30" s="62"/>
      <c r="BG30" s="62"/>
      <c r="BH30" s="78"/>
      <c r="BI30" s="78"/>
      <c r="BJ30" s="78"/>
      <c r="BK30" s="62"/>
      <c r="BL30" s="78"/>
      <c r="BM30" s="64">
        <f t="shared" si="8"/>
        <v>0</v>
      </c>
      <c r="BN30" s="53"/>
      <c r="BO30" s="53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 t="shared" si="9"/>
        <v>0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>
        <f t="shared" si="7"/>
        <v>0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>
        <f t="shared" si="10"/>
        <v>1108.484</v>
      </c>
      <c r="DA30" s="53">
        <f>SUM(CM30:CX30)</f>
        <v>0</v>
      </c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>
        <f t="shared" si="11"/>
        <v>2216.968</v>
      </c>
      <c r="DN30" s="53">
        <f>SUM(CZ30:DK31)</f>
        <v>2216.968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68">
        <f t="shared" si="12"/>
        <v>2216.968</v>
      </c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68"/>
      <c r="EM30" s="68">
        <f t="shared" si="13"/>
        <v>0</v>
      </c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133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</row>
    <row r="31" spans="1:250" ht="15" hidden="1">
      <c r="A31" s="185" t="s">
        <v>43</v>
      </c>
      <c r="B31" s="14">
        <v>178536</v>
      </c>
      <c r="C31" s="56">
        <v>195906</v>
      </c>
      <c r="D31" s="56">
        <v>322373</v>
      </c>
      <c r="E31" s="56">
        <v>502109</v>
      </c>
      <c r="F31" s="56">
        <v>380700</v>
      </c>
      <c r="G31" s="56">
        <v>354724</v>
      </c>
      <c r="H31" s="56">
        <v>413161</v>
      </c>
      <c r="I31" s="56">
        <v>397093</v>
      </c>
      <c r="J31" s="56">
        <v>349109</v>
      </c>
      <c r="K31" s="56">
        <v>292847</v>
      </c>
      <c r="L31" s="57">
        <v>267246.9</v>
      </c>
      <c r="M31" s="58">
        <v>240204.6</v>
      </c>
      <c r="N31" s="59">
        <v>128967.3</v>
      </c>
      <c r="O31" s="58">
        <v>146770.7</v>
      </c>
      <c r="P31" s="59">
        <v>133386.989</v>
      </c>
      <c r="Q31" s="59">
        <v>216103</v>
      </c>
      <c r="R31" s="59">
        <v>179309</v>
      </c>
      <c r="S31" s="61">
        <v>204355</v>
      </c>
      <c r="T31" s="59">
        <v>158526</v>
      </c>
      <c r="U31" s="59">
        <v>122364</v>
      </c>
      <c r="V31" s="59">
        <v>103852</v>
      </c>
      <c r="W31" s="59">
        <v>80824</v>
      </c>
      <c r="X31" s="59">
        <v>53482</v>
      </c>
      <c r="Y31" s="59">
        <v>23778</v>
      </c>
      <c r="Z31" s="59">
        <v>17545.695</v>
      </c>
      <c r="AA31" s="52">
        <v>1588</v>
      </c>
      <c r="AB31" s="129">
        <v>0</v>
      </c>
      <c r="AC31" s="52">
        <v>1108.484</v>
      </c>
      <c r="AD31" s="129">
        <v>0</v>
      </c>
      <c r="AE31" s="129">
        <v>0</v>
      </c>
      <c r="AF31" s="129">
        <v>0</v>
      </c>
      <c r="AG31" s="129"/>
      <c r="AH31" s="129"/>
      <c r="AI31" s="129">
        <v>0</v>
      </c>
      <c r="AJ31" s="129"/>
      <c r="AK31" s="129"/>
      <c r="AL31" s="129"/>
      <c r="AM31" s="129"/>
      <c r="AN31" s="129"/>
      <c r="AO31" s="53">
        <v>2162.2</v>
      </c>
      <c r="AP31" s="61">
        <v>2226</v>
      </c>
      <c r="AQ31" s="64">
        <v>1098</v>
      </c>
      <c r="AR31" s="64">
        <v>1943</v>
      </c>
      <c r="AS31" s="64">
        <v>6159</v>
      </c>
      <c r="AT31" s="64">
        <v>2427</v>
      </c>
      <c r="AU31" s="64">
        <v>2048</v>
      </c>
      <c r="AV31" s="64">
        <v>749</v>
      </c>
      <c r="AW31" s="87">
        <v>789</v>
      </c>
      <c r="AX31" s="64">
        <v>2364</v>
      </c>
      <c r="AY31" s="53">
        <v>822</v>
      </c>
      <c r="AZ31" s="53">
        <v>991</v>
      </c>
      <c r="BA31" s="53">
        <v>1965</v>
      </c>
      <c r="BB31" s="61">
        <v>1850</v>
      </c>
      <c r="BC31" s="64">
        <v>1288</v>
      </c>
      <c r="BD31" s="64">
        <v>1499.08</v>
      </c>
      <c r="BE31" s="64">
        <v>2384.151</v>
      </c>
      <c r="BF31" s="64">
        <v>2224.298</v>
      </c>
      <c r="BG31" s="64">
        <v>422.415</v>
      </c>
      <c r="BH31" s="64">
        <v>1304</v>
      </c>
      <c r="BI31" s="87">
        <v>614.117</v>
      </c>
      <c r="BJ31" s="64">
        <v>754.108</v>
      </c>
      <c r="BK31" s="92">
        <v>1652.311</v>
      </c>
      <c r="BL31" s="53">
        <v>1588.215</v>
      </c>
      <c r="BM31" s="64">
        <f t="shared" si="8"/>
        <v>17545.695</v>
      </c>
      <c r="BN31" s="53">
        <v>1588</v>
      </c>
      <c r="BO31" s="93" t="s">
        <v>33</v>
      </c>
      <c r="BP31" s="52" t="s">
        <v>33</v>
      </c>
      <c r="BQ31" s="52" t="s">
        <v>33</v>
      </c>
      <c r="BR31" s="52" t="s">
        <v>64</v>
      </c>
      <c r="BS31" s="52"/>
      <c r="BT31" s="52" t="s">
        <v>33</v>
      </c>
      <c r="BU31" s="52" t="s">
        <v>33</v>
      </c>
      <c r="BV31" s="52" t="s">
        <v>33</v>
      </c>
      <c r="BW31" s="52" t="s">
        <v>33</v>
      </c>
      <c r="BX31" s="94" t="s">
        <v>76</v>
      </c>
      <c r="BY31" s="52" t="s">
        <v>33</v>
      </c>
      <c r="BZ31" s="52">
        <f t="shared" si="9"/>
        <v>1588</v>
      </c>
      <c r="CA31" s="52" t="s">
        <v>64</v>
      </c>
      <c r="CB31" s="52" t="s">
        <v>64</v>
      </c>
      <c r="CC31" s="52" t="s">
        <v>64</v>
      </c>
      <c r="CD31" s="52" t="s">
        <v>64</v>
      </c>
      <c r="CE31" s="52" t="s">
        <v>64</v>
      </c>
      <c r="CF31" s="52" t="s">
        <v>64</v>
      </c>
      <c r="CG31" s="52" t="s">
        <v>64</v>
      </c>
      <c r="CH31" s="52" t="s">
        <v>64</v>
      </c>
      <c r="CI31" s="52" t="s">
        <v>64</v>
      </c>
      <c r="CJ31" s="52" t="s">
        <v>64</v>
      </c>
      <c r="CK31" s="52" t="s">
        <v>64</v>
      </c>
      <c r="CL31" s="52" t="s">
        <v>64</v>
      </c>
      <c r="CM31" s="52">
        <f t="shared" si="7"/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52">
        <v>1108.484</v>
      </c>
      <c r="CX31" s="129">
        <v>0</v>
      </c>
      <c r="CY31" s="129">
        <v>0</v>
      </c>
      <c r="CZ31" s="53">
        <f>SUM(CN31:CY31)</f>
        <v>1108.484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129">
        <v>0</v>
      </c>
      <c r="DG31" s="129">
        <v>0</v>
      </c>
      <c r="DH31" s="129">
        <v>0</v>
      </c>
      <c r="DI31" s="129">
        <v>0</v>
      </c>
      <c r="DJ31" s="129">
        <v>0</v>
      </c>
      <c r="DK31" s="129">
        <v>0</v>
      </c>
      <c r="DL31" s="129">
        <v>0</v>
      </c>
      <c r="DM31" s="129">
        <v>0</v>
      </c>
      <c r="DN31" s="129">
        <v>0</v>
      </c>
      <c r="DO31" s="129">
        <v>0</v>
      </c>
      <c r="DP31" s="129">
        <v>0</v>
      </c>
      <c r="DQ31" s="129">
        <v>0</v>
      </c>
      <c r="DR31" s="129">
        <v>0</v>
      </c>
      <c r="DS31" s="129">
        <v>0</v>
      </c>
      <c r="DT31" s="129">
        <v>0</v>
      </c>
      <c r="DU31" s="129">
        <v>0</v>
      </c>
      <c r="DV31" s="129">
        <v>0</v>
      </c>
      <c r="DW31" s="129"/>
      <c r="DX31" s="129"/>
      <c r="DY31" s="129">
        <v>0</v>
      </c>
      <c r="DZ31" s="68">
        <f t="shared" si="12"/>
        <v>0</v>
      </c>
      <c r="EA31" s="129">
        <v>0</v>
      </c>
      <c r="EB31" s="129">
        <v>0</v>
      </c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68">
        <f t="shared" si="13"/>
        <v>0</v>
      </c>
      <c r="EN31" s="129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36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</row>
    <row r="32" spans="1:250" ht="18" customHeight="1">
      <c r="A32" s="185" t="s">
        <v>44</v>
      </c>
      <c r="B32" s="14">
        <v>272370</v>
      </c>
      <c r="C32" s="56">
        <v>278417</v>
      </c>
      <c r="D32" s="56">
        <v>295596</v>
      </c>
      <c r="E32" s="56">
        <v>220854</v>
      </c>
      <c r="F32" s="56">
        <v>274723</v>
      </c>
      <c r="G32" s="56">
        <v>288493</v>
      </c>
      <c r="H32" s="56">
        <v>323457</v>
      </c>
      <c r="I32" s="56">
        <v>417158</v>
      </c>
      <c r="J32" s="56">
        <v>387948</v>
      </c>
      <c r="K32" s="56">
        <v>408844</v>
      </c>
      <c r="L32" s="57">
        <v>305909</v>
      </c>
      <c r="M32" s="58">
        <v>259036</v>
      </c>
      <c r="N32" s="59">
        <v>332968</v>
      </c>
      <c r="O32" s="58">
        <v>247166</v>
      </c>
      <c r="P32" s="59">
        <v>209459</v>
      </c>
      <c r="Q32" s="59">
        <v>175895</v>
      </c>
      <c r="R32" s="59">
        <v>133292</v>
      </c>
      <c r="S32" s="61">
        <v>129086</v>
      </c>
      <c r="T32" s="59">
        <v>138046</v>
      </c>
      <c r="U32" s="59">
        <v>148959</v>
      </c>
      <c r="V32" s="59">
        <v>155809</v>
      </c>
      <c r="W32" s="59">
        <v>159320</v>
      </c>
      <c r="X32" s="59">
        <v>144923</v>
      </c>
      <c r="Y32" s="59">
        <v>202128</v>
      </c>
      <c r="Z32" s="59">
        <v>195495</v>
      </c>
      <c r="AA32" s="68">
        <v>217921</v>
      </c>
      <c r="AB32" s="53">
        <v>236314</v>
      </c>
      <c r="AC32" s="90">
        <v>274153</v>
      </c>
      <c r="AD32" s="90">
        <v>269777.5</v>
      </c>
      <c r="AE32" s="90">
        <v>1335869</v>
      </c>
      <c r="AF32" s="90">
        <v>304751.82</v>
      </c>
      <c r="AG32" s="90">
        <v>559875</v>
      </c>
      <c r="AH32" s="90">
        <v>582287</v>
      </c>
      <c r="AI32" s="90">
        <v>425438</v>
      </c>
      <c r="AJ32" s="90">
        <v>425438</v>
      </c>
      <c r="AK32" s="90">
        <v>836135</v>
      </c>
      <c r="AL32" s="90">
        <v>843846</v>
      </c>
      <c r="AM32" s="90">
        <v>687742</v>
      </c>
      <c r="AN32" s="90">
        <v>895805</v>
      </c>
      <c r="AO32" s="53">
        <v>11852</v>
      </c>
      <c r="AP32" s="61">
        <v>15861</v>
      </c>
      <c r="AQ32" s="59">
        <v>6989</v>
      </c>
      <c r="AR32" s="91">
        <v>16226</v>
      </c>
      <c r="AS32" s="64">
        <v>21307</v>
      </c>
      <c r="AT32" s="65">
        <v>14315</v>
      </c>
      <c r="AU32" s="65">
        <v>17880</v>
      </c>
      <c r="AV32" s="65">
        <v>14230</v>
      </c>
      <c r="AW32" s="65">
        <v>15489</v>
      </c>
      <c r="AX32" s="64">
        <v>28458</v>
      </c>
      <c r="AY32" s="53">
        <v>21507</v>
      </c>
      <c r="AZ32" s="53">
        <v>18014</v>
      </c>
      <c r="BA32" s="53">
        <v>13460</v>
      </c>
      <c r="BB32" s="53">
        <v>16330</v>
      </c>
      <c r="BC32" s="53">
        <v>19370</v>
      </c>
      <c r="BD32" s="91">
        <v>13595</v>
      </c>
      <c r="BE32" s="64">
        <v>12713</v>
      </c>
      <c r="BF32" s="65">
        <v>2461</v>
      </c>
      <c r="BG32" s="65">
        <v>14756</v>
      </c>
      <c r="BH32" s="65">
        <v>22844</v>
      </c>
      <c r="BI32" s="65">
        <v>18241</v>
      </c>
      <c r="BJ32" s="64">
        <v>24580</v>
      </c>
      <c r="BK32" s="53">
        <v>14739</v>
      </c>
      <c r="BL32" s="53">
        <v>22406</v>
      </c>
      <c r="BM32" s="64">
        <f t="shared" si="8"/>
        <v>195495</v>
      </c>
      <c r="BN32" s="53">
        <v>18474</v>
      </c>
      <c r="BO32" s="53">
        <v>10236</v>
      </c>
      <c r="BP32" s="52">
        <v>25621</v>
      </c>
      <c r="BQ32" s="52">
        <v>18060</v>
      </c>
      <c r="BR32" s="53">
        <v>9105</v>
      </c>
      <c r="BS32" s="53">
        <v>16122</v>
      </c>
      <c r="BT32" s="52">
        <v>25645</v>
      </c>
      <c r="BU32" s="52">
        <v>27967</v>
      </c>
      <c r="BV32" s="52">
        <v>22787</v>
      </c>
      <c r="BW32" s="52">
        <v>12972</v>
      </c>
      <c r="BX32" s="52">
        <v>13917</v>
      </c>
      <c r="BY32" s="52">
        <v>17015</v>
      </c>
      <c r="BZ32" s="52">
        <f t="shared" si="9"/>
        <v>217921</v>
      </c>
      <c r="CA32" s="52">
        <v>24353</v>
      </c>
      <c r="CB32" s="52">
        <v>17616</v>
      </c>
      <c r="CC32" s="52">
        <v>17616</v>
      </c>
      <c r="CD32" s="52">
        <v>7981</v>
      </c>
      <c r="CE32" s="52">
        <v>18418</v>
      </c>
      <c r="CF32" s="90">
        <v>30102</v>
      </c>
      <c r="CG32" s="90">
        <v>19950</v>
      </c>
      <c r="CH32" s="90">
        <v>19066</v>
      </c>
      <c r="CI32" s="90">
        <v>19791</v>
      </c>
      <c r="CJ32" s="90">
        <v>18542</v>
      </c>
      <c r="CK32" s="90">
        <v>23477</v>
      </c>
      <c r="CL32" s="90">
        <v>19402</v>
      </c>
      <c r="CM32" s="52">
        <f t="shared" si="7"/>
        <v>236314</v>
      </c>
      <c r="CN32" s="53">
        <v>10609</v>
      </c>
      <c r="CO32" s="68">
        <v>29076</v>
      </c>
      <c r="CP32" s="68">
        <v>32403</v>
      </c>
      <c r="CQ32" s="68">
        <v>31939</v>
      </c>
      <c r="CR32" s="68">
        <v>28734</v>
      </c>
      <c r="CS32" s="68">
        <v>29459</v>
      </c>
      <c r="CT32" s="68">
        <v>19814</v>
      </c>
      <c r="CU32" s="68">
        <v>18904</v>
      </c>
      <c r="CV32" s="68">
        <v>18904</v>
      </c>
      <c r="CW32" s="90">
        <v>20289</v>
      </c>
      <c r="CX32" s="90">
        <v>20982</v>
      </c>
      <c r="CY32" s="90">
        <v>13040</v>
      </c>
      <c r="CZ32" s="53">
        <f>SUM(CN32:CY32)</f>
        <v>274153</v>
      </c>
      <c r="DA32" s="68">
        <v>30638</v>
      </c>
      <c r="DB32" s="68">
        <v>10617</v>
      </c>
      <c r="DC32" s="68">
        <v>28572</v>
      </c>
      <c r="DD32" s="68">
        <v>17297</v>
      </c>
      <c r="DE32" s="68">
        <v>18185</v>
      </c>
      <c r="DF32" s="68">
        <v>34183</v>
      </c>
      <c r="DG32" s="68">
        <v>8628</v>
      </c>
      <c r="DH32" s="68">
        <v>27089</v>
      </c>
      <c r="DI32" s="68">
        <v>27866</v>
      </c>
      <c r="DJ32" s="68">
        <v>20143</v>
      </c>
      <c r="DK32" s="68">
        <v>25924</v>
      </c>
      <c r="DL32" s="68">
        <v>21432</v>
      </c>
      <c r="DM32" s="53">
        <f>SUM(DA32:DL32)</f>
        <v>270574</v>
      </c>
      <c r="DN32" s="68">
        <v>22714</v>
      </c>
      <c r="DO32" s="68">
        <v>15181</v>
      </c>
      <c r="DP32" s="68">
        <v>21728</v>
      </c>
      <c r="DQ32" s="129">
        <v>29950</v>
      </c>
      <c r="DR32" s="68">
        <v>35790</v>
      </c>
      <c r="DS32" s="68">
        <v>42672</v>
      </c>
      <c r="DT32" s="68">
        <v>26659</v>
      </c>
      <c r="DU32" s="68">
        <v>19789</v>
      </c>
      <c r="DV32" s="68">
        <v>27543</v>
      </c>
      <c r="DW32" s="68">
        <v>22706</v>
      </c>
      <c r="DX32" s="68">
        <v>25634</v>
      </c>
      <c r="DY32" s="68">
        <v>24661</v>
      </c>
      <c r="DZ32" s="68">
        <f>SUM(DN32:DY32)</f>
        <v>315027</v>
      </c>
      <c r="EA32" s="68">
        <v>23485</v>
      </c>
      <c r="EB32" s="68">
        <v>47428</v>
      </c>
      <c r="EC32" s="68">
        <v>27307</v>
      </c>
      <c r="ED32" s="68">
        <v>26481.82</v>
      </c>
      <c r="EE32" s="68">
        <v>20487</v>
      </c>
      <c r="EF32" s="68">
        <v>27684</v>
      </c>
      <c r="EG32" s="68">
        <v>12171</v>
      </c>
      <c r="EH32" s="68">
        <v>28426</v>
      </c>
      <c r="EI32" s="68">
        <v>21472</v>
      </c>
      <c r="EJ32" s="68">
        <v>33276</v>
      </c>
      <c r="EK32" s="68">
        <v>19445</v>
      </c>
      <c r="EL32" s="68">
        <v>17089</v>
      </c>
      <c r="EM32" s="68">
        <f>SUM(EA32:EL32)</f>
        <v>304751.82</v>
      </c>
      <c r="EN32" s="68">
        <v>48967</v>
      </c>
      <c r="EO32" s="68">
        <v>30828</v>
      </c>
      <c r="EP32" s="68">
        <v>39905</v>
      </c>
      <c r="EQ32" s="68">
        <v>22998</v>
      </c>
      <c r="ER32" s="68">
        <v>59212</v>
      </c>
      <c r="ES32" s="68">
        <v>75999</v>
      </c>
      <c r="ET32" s="68">
        <v>33964</v>
      </c>
      <c r="EU32" s="68">
        <v>68150</v>
      </c>
      <c r="EV32" s="68">
        <v>70263</v>
      </c>
      <c r="EW32" s="68">
        <v>40831</v>
      </c>
      <c r="EX32" s="68">
        <v>27564</v>
      </c>
      <c r="EY32" s="68">
        <v>41194</v>
      </c>
      <c r="EZ32" s="68">
        <f>SUM(EN32:EY32)</f>
        <v>559875</v>
      </c>
      <c r="FA32" s="68">
        <v>56786</v>
      </c>
      <c r="FB32" s="68">
        <v>38128</v>
      </c>
      <c r="FC32" s="68">
        <v>47422</v>
      </c>
      <c r="FD32" s="68">
        <v>24564</v>
      </c>
      <c r="FE32" s="68">
        <v>29560</v>
      </c>
      <c r="FF32" s="68">
        <v>37515</v>
      </c>
      <c r="FG32" s="68">
        <v>30742</v>
      </c>
      <c r="FH32" s="68">
        <v>59850</v>
      </c>
      <c r="FI32" s="68">
        <v>60551</v>
      </c>
      <c r="FJ32" s="68">
        <v>63231</v>
      </c>
      <c r="FK32" s="68">
        <v>99756</v>
      </c>
      <c r="FL32" s="68">
        <v>34182</v>
      </c>
      <c r="FM32" s="68">
        <f>SUM(FA32:FL32)</f>
        <v>582287</v>
      </c>
      <c r="FN32" s="68">
        <v>79665</v>
      </c>
      <c r="FO32" s="68">
        <v>55854</v>
      </c>
      <c r="FP32" s="68">
        <v>16928</v>
      </c>
      <c r="FQ32" s="68">
        <v>21385</v>
      </c>
      <c r="FR32" s="68">
        <v>16505</v>
      </c>
      <c r="FS32" s="68">
        <v>16505</v>
      </c>
      <c r="FT32" s="68">
        <v>23125</v>
      </c>
      <c r="FU32" s="68">
        <v>42960</v>
      </c>
      <c r="FV32" s="68">
        <v>23733</v>
      </c>
      <c r="FW32" s="68">
        <v>49354</v>
      </c>
      <c r="FX32" s="68">
        <v>38813</v>
      </c>
      <c r="FY32" s="68">
        <v>40611</v>
      </c>
      <c r="FZ32" s="68">
        <f>SUM(FN32:FY32)</f>
        <v>425438</v>
      </c>
      <c r="GA32" s="68">
        <v>35093</v>
      </c>
      <c r="GB32" s="68">
        <v>54205</v>
      </c>
      <c r="GC32" s="68">
        <v>90607</v>
      </c>
      <c r="GD32" s="68">
        <v>21385</v>
      </c>
      <c r="GE32" s="68">
        <v>21385</v>
      </c>
      <c r="GF32" s="68">
        <v>42645</v>
      </c>
      <c r="GG32" s="68">
        <v>72347</v>
      </c>
      <c r="GH32" s="68">
        <v>70154</v>
      </c>
      <c r="GI32" s="68">
        <v>26334</v>
      </c>
      <c r="GJ32" s="68">
        <v>42358</v>
      </c>
      <c r="GK32" s="68">
        <v>96606</v>
      </c>
      <c r="GL32" s="68">
        <v>57295</v>
      </c>
      <c r="GM32" s="68">
        <f>SUM(GA32:GL32)</f>
        <v>630414</v>
      </c>
      <c r="GN32" s="68">
        <v>55283</v>
      </c>
      <c r="GO32" s="68">
        <v>55283</v>
      </c>
      <c r="GP32" s="68">
        <v>71731</v>
      </c>
      <c r="GQ32" s="68">
        <v>234722</v>
      </c>
      <c r="GR32" s="68">
        <v>48664</v>
      </c>
      <c r="GS32" s="68">
        <v>63737</v>
      </c>
      <c r="GT32" s="68">
        <v>63737</v>
      </c>
      <c r="GU32" s="133">
        <v>0</v>
      </c>
      <c r="GV32" s="68">
        <v>91364</v>
      </c>
      <c r="GW32" s="68">
        <v>93207</v>
      </c>
      <c r="GX32" s="68">
        <v>22469</v>
      </c>
      <c r="GY32" s="68">
        <v>35938</v>
      </c>
      <c r="GZ32" s="68">
        <f>SUM(GN32:GY32)</f>
        <v>836135</v>
      </c>
      <c r="HA32" s="68">
        <v>90235</v>
      </c>
      <c r="HB32" s="68">
        <v>46194</v>
      </c>
      <c r="HC32" s="68">
        <v>52155</v>
      </c>
      <c r="HD32" s="68">
        <v>48407</v>
      </c>
      <c r="HE32" s="68">
        <v>81576</v>
      </c>
      <c r="HF32" s="68">
        <v>129776</v>
      </c>
      <c r="HG32" s="68">
        <v>62436</v>
      </c>
      <c r="HH32" s="68">
        <v>25648</v>
      </c>
      <c r="HI32" s="68">
        <v>76817</v>
      </c>
      <c r="HJ32" s="68">
        <v>96782</v>
      </c>
      <c r="HK32" s="68">
        <v>49272</v>
      </c>
      <c r="HL32" s="68">
        <v>84548</v>
      </c>
      <c r="HM32" s="68">
        <f>SUM(HA32:HL32)</f>
        <v>843846</v>
      </c>
      <c r="HN32" s="68">
        <v>52889</v>
      </c>
      <c r="HO32" s="68">
        <v>37163</v>
      </c>
      <c r="HP32" s="68">
        <v>122691</v>
      </c>
      <c r="HQ32" s="68">
        <v>44635</v>
      </c>
      <c r="HR32" s="68">
        <v>42362</v>
      </c>
      <c r="HS32" s="68">
        <v>107438</v>
      </c>
      <c r="HT32" s="68">
        <v>61249</v>
      </c>
      <c r="HU32" s="68">
        <v>60966</v>
      </c>
      <c r="HV32" s="68">
        <v>14881</v>
      </c>
      <c r="HW32" s="68">
        <v>7470</v>
      </c>
      <c r="HX32" s="68">
        <v>52576</v>
      </c>
      <c r="HY32" s="68">
        <v>83422</v>
      </c>
      <c r="HZ32" s="68">
        <f>SUM(HN32:HY32)</f>
        <v>687742</v>
      </c>
      <c r="IA32" s="186">
        <v>82046</v>
      </c>
      <c r="IB32" s="186">
        <v>38383</v>
      </c>
      <c r="IC32" s="186">
        <v>42787</v>
      </c>
      <c r="ID32" s="186">
        <v>72199</v>
      </c>
      <c r="IE32" s="186">
        <v>75400</v>
      </c>
      <c r="IF32" s="186">
        <v>92900</v>
      </c>
      <c r="IG32" s="186">
        <v>111162</v>
      </c>
      <c r="IH32" s="186">
        <v>93273</v>
      </c>
      <c r="II32" s="186">
        <v>104382</v>
      </c>
      <c r="IJ32" s="186">
        <v>54858</v>
      </c>
      <c r="IK32" s="186">
        <v>127314</v>
      </c>
      <c r="IL32" s="186">
        <v>1101</v>
      </c>
      <c r="IM32" s="186">
        <f>SUM(IA32:IB32)</f>
        <v>120429</v>
      </c>
      <c r="IN32" s="186">
        <v>39457</v>
      </c>
      <c r="IO32" s="186">
        <v>43114</v>
      </c>
      <c r="IP32" s="186">
        <f>IN32+IO32</f>
        <v>82571</v>
      </c>
    </row>
    <row r="33" spans="1:250" ht="15">
      <c r="A33" s="185" t="s">
        <v>45</v>
      </c>
      <c r="B33" s="14">
        <v>2556959</v>
      </c>
      <c r="C33" s="56">
        <v>2779910</v>
      </c>
      <c r="D33" s="56">
        <v>2523895</v>
      </c>
      <c r="E33" s="56">
        <v>2395086</v>
      </c>
      <c r="F33" s="56">
        <v>2885374</v>
      </c>
      <c r="G33" s="56">
        <v>2340055</v>
      </c>
      <c r="H33" s="56">
        <v>3135694</v>
      </c>
      <c r="I33" s="56">
        <v>2568510</v>
      </c>
      <c r="J33" s="56">
        <v>4841397</v>
      </c>
      <c r="K33" s="56">
        <v>5292349</v>
      </c>
      <c r="L33" s="57">
        <v>5261757</v>
      </c>
      <c r="M33" s="58">
        <v>3111381</v>
      </c>
      <c r="N33" s="59">
        <v>2431595</v>
      </c>
      <c r="O33" s="58">
        <v>3415145</v>
      </c>
      <c r="P33" s="59">
        <v>2696091</v>
      </c>
      <c r="Q33" s="59">
        <v>3038759</v>
      </c>
      <c r="R33" s="59">
        <v>2985057</v>
      </c>
      <c r="S33" s="61">
        <v>3009037</v>
      </c>
      <c r="T33" s="59">
        <v>2823988</v>
      </c>
      <c r="U33" s="59">
        <v>3086026</v>
      </c>
      <c r="V33" s="59">
        <v>2974593</v>
      </c>
      <c r="W33" s="59">
        <v>2796885</v>
      </c>
      <c r="X33" s="59">
        <v>2668590</v>
      </c>
      <c r="Y33" s="59">
        <v>5469222</v>
      </c>
      <c r="Z33" s="59">
        <v>5805326</v>
      </c>
      <c r="AA33" s="52">
        <v>5200956</v>
      </c>
      <c r="AB33" s="53">
        <v>8531600</v>
      </c>
      <c r="AC33" s="90">
        <v>9387923</v>
      </c>
      <c r="AD33" s="90">
        <v>13475849.5</v>
      </c>
      <c r="AE33" s="90">
        <v>14106049</v>
      </c>
      <c r="AF33" s="90">
        <v>16315190.18</v>
      </c>
      <c r="AG33" s="90">
        <v>16683636</v>
      </c>
      <c r="AH33" s="90">
        <v>12615122</v>
      </c>
      <c r="AI33" s="90">
        <v>14467960</v>
      </c>
      <c r="AJ33" s="90">
        <v>14683499</v>
      </c>
      <c r="AK33" s="90">
        <v>15501994</v>
      </c>
      <c r="AL33" s="90">
        <v>16810569</v>
      </c>
      <c r="AM33" s="90">
        <v>19580769</v>
      </c>
      <c r="AN33" s="90">
        <v>19684710</v>
      </c>
      <c r="AO33" s="53">
        <f>235025+53191</f>
        <v>288216</v>
      </c>
      <c r="AP33" s="61">
        <f>278488+53244</f>
        <v>331732</v>
      </c>
      <c r="AQ33" s="64">
        <f>314965+53244</f>
        <v>368209</v>
      </c>
      <c r="AR33" s="64">
        <v>570512</v>
      </c>
      <c r="AS33" s="64">
        <v>490875</v>
      </c>
      <c r="AT33" s="64">
        <v>551035</v>
      </c>
      <c r="AU33" s="64">
        <v>533357</v>
      </c>
      <c r="AV33" s="64">
        <v>487921</v>
      </c>
      <c r="AW33" s="64">
        <v>577949</v>
      </c>
      <c r="AX33" s="64">
        <v>430056</v>
      </c>
      <c r="AY33" s="53">
        <v>417508</v>
      </c>
      <c r="AZ33" s="53">
        <v>421852</v>
      </c>
      <c r="BA33" s="53">
        <v>434769</v>
      </c>
      <c r="BB33" s="53">
        <v>305712</v>
      </c>
      <c r="BC33" s="53">
        <v>524954</v>
      </c>
      <c r="BD33" s="64">
        <v>439092</v>
      </c>
      <c r="BE33" s="64">
        <v>417081</v>
      </c>
      <c r="BF33" s="64">
        <v>439544</v>
      </c>
      <c r="BG33" s="64">
        <v>576698</v>
      </c>
      <c r="BH33" s="64">
        <v>437012</v>
      </c>
      <c r="BI33" s="64">
        <v>521902</v>
      </c>
      <c r="BJ33" s="64">
        <v>619549</v>
      </c>
      <c r="BK33" s="53">
        <v>677208</v>
      </c>
      <c r="BL33" s="53">
        <v>411805</v>
      </c>
      <c r="BM33" s="64">
        <f t="shared" si="8"/>
        <v>5805326</v>
      </c>
      <c r="BN33" s="53">
        <v>316092</v>
      </c>
      <c r="BO33" s="53">
        <v>392957</v>
      </c>
      <c r="BP33" s="52">
        <v>381825</v>
      </c>
      <c r="BQ33" s="52">
        <v>386837</v>
      </c>
      <c r="BR33" s="53">
        <v>324851</v>
      </c>
      <c r="BS33" s="53">
        <v>391878</v>
      </c>
      <c r="BT33" s="52">
        <v>462444</v>
      </c>
      <c r="BU33" s="52">
        <v>564847</v>
      </c>
      <c r="BV33" s="52">
        <v>375275</v>
      </c>
      <c r="BW33" s="52">
        <v>431949</v>
      </c>
      <c r="BX33" s="52">
        <v>550986</v>
      </c>
      <c r="BY33" s="52">
        <v>621015</v>
      </c>
      <c r="BZ33" s="52">
        <f t="shared" si="9"/>
        <v>5200956</v>
      </c>
      <c r="CA33" s="52">
        <v>683995</v>
      </c>
      <c r="CB33" s="52">
        <v>715853</v>
      </c>
      <c r="CC33" s="52">
        <v>715853</v>
      </c>
      <c r="CD33" s="52">
        <v>790387</v>
      </c>
      <c r="CE33" s="52">
        <v>512595</v>
      </c>
      <c r="CF33" s="90">
        <v>816284</v>
      </c>
      <c r="CG33" s="90">
        <v>535920</v>
      </c>
      <c r="CH33" s="90">
        <v>966608</v>
      </c>
      <c r="CI33" s="90">
        <v>650210</v>
      </c>
      <c r="CJ33" s="90">
        <v>705568</v>
      </c>
      <c r="CK33" s="90">
        <v>813943</v>
      </c>
      <c r="CL33" s="90">
        <v>624384</v>
      </c>
      <c r="CM33" s="52">
        <f t="shared" si="7"/>
        <v>8531600</v>
      </c>
      <c r="CN33" s="53">
        <v>772340</v>
      </c>
      <c r="CO33" s="68">
        <v>611057</v>
      </c>
      <c r="CP33" s="68">
        <v>781280</v>
      </c>
      <c r="CQ33" s="52">
        <v>581195</v>
      </c>
      <c r="CR33" s="52">
        <v>643184</v>
      </c>
      <c r="CS33" s="90">
        <v>612922</v>
      </c>
      <c r="CT33" s="90">
        <v>897283</v>
      </c>
      <c r="CU33" s="90">
        <v>913621</v>
      </c>
      <c r="CV33" s="90">
        <v>942006</v>
      </c>
      <c r="CW33" s="68">
        <v>1088195</v>
      </c>
      <c r="CX33" s="68">
        <v>914774</v>
      </c>
      <c r="CY33" s="68">
        <v>630066</v>
      </c>
      <c r="CZ33" s="53">
        <f>SUM(CN33:CY34)</f>
        <v>9387923</v>
      </c>
      <c r="DA33" s="68">
        <v>1108130</v>
      </c>
      <c r="DB33" s="68">
        <v>842911</v>
      </c>
      <c r="DC33" s="68">
        <v>776116</v>
      </c>
      <c r="DD33" s="68">
        <v>1000911</v>
      </c>
      <c r="DE33" s="68">
        <v>1032287</v>
      </c>
      <c r="DF33" s="68">
        <v>930126</v>
      </c>
      <c r="DG33" s="68">
        <v>1536054</v>
      </c>
      <c r="DH33" s="68">
        <v>1268255</v>
      </c>
      <c r="DI33" s="68">
        <v>1253485</v>
      </c>
      <c r="DJ33" s="68">
        <v>1401906</v>
      </c>
      <c r="DK33" s="68">
        <v>1324184</v>
      </c>
      <c r="DL33" s="68">
        <v>1120405</v>
      </c>
      <c r="DM33" s="53">
        <f>SUM(DA33:DL33)</f>
        <v>13594770</v>
      </c>
      <c r="DN33" s="68">
        <v>1588382</v>
      </c>
      <c r="DO33" s="68">
        <v>1102185</v>
      </c>
      <c r="DP33" s="68">
        <v>1476924</v>
      </c>
      <c r="DQ33" s="68">
        <v>1350621</v>
      </c>
      <c r="DR33" s="68">
        <v>1394585</v>
      </c>
      <c r="DS33" s="68">
        <v>1124573</v>
      </c>
      <c r="DT33" s="68">
        <v>1047501</v>
      </c>
      <c r="DU33" s="68">
        <v>1427018</v>
      </c>
      <c r="DV33" s="68">
        <v>1362926</v>
      </c>
      <c r="DW33" s="68">
        <v>1205847</v>
      </c>
      <c r="DX33" s="68">
        <v>1028690</v>
      </c>
      <c r="DY33" s="68">
        <v>1017639</v>
      </c>
      <c r="DZ33" s="68">
        <f>SUM(DN33:DY33)</f>
        <v>15126891</v>
      </c>
      <c r="EA33" s="68">
        <v>1112058</v>
      </c>
      <c r="EB33" s="68">
        <v>1280573</v>
      </c>
      <c r="EC33" s="68">
        <v>1389432</v>
      </c>
      <c r="ED33" s="68">
        <v>1297609.18</v>
      </c>
      <c r="EE33" s="68">
        <v>1443631</v>
      </c>
      <c r="EF33" s="68">
        <v>1339438</v>
      </c>
      <c r="EG33" s="68">
        <v>1272699</v>
      </c>
      <c r="EH33" s="68">
        <v>1540755</v>
      </c>
      <c r="EI33" s="68">
        <v>1656876</v>
      </c>
      <c r="EJ33" s="68">
        <v>1517347</v>
      </c>
      <c r="EK33" s="68">
        <v>1109297</v>
      </c>
      <c r="EL33" s="68">
        <v>1355475</v>
      </c>
      <c r="EM33" s="68">
        <f>SUM(EA33:EL33)</f>
        <v>16315190.18</v>
      </c>
      <c r="EN33" s="68">
        <v>1474494</v>
      </c>
      <c r="EO33" s="68">
        <v>1196781</v>
      </c>
      <c r="EP33" s="68">
        <v>1435482</v>
      </c>
      <c r="EQ33" s="68">
        <v>1439042</v>
      </c>
      <c r="ER33" s="68">
        <v>1460072</v>
      </c>
      <c r="ES33" s="68">
        <v>1403398</v>
      </c>
      <c r="ET33" s="68">
        <v>1469518</v>
      </c>
      <c r="EU33" s="68">
        <v>1646301</v>
      </c>
      <c r="EV33" s="68">
        <v>1388699</v>
      </c>
      <c r="EW33" s="68">
        <v>1280657</v>
      </c>
      <c r="EX33" s="68">
        <v>1232357</v>
      </c>
      <c r="EY33" s="68">
        <v>1256835</v>
      </c>
      <c r="EZ33" s="68">
        <f>SUM(EN33:EY33)</f>
        <v>16683636</v>
      </c>
      <c r="FA33" s="68">
        <v>1018850</v>
      </c>
      <c r="FB33" s="68">
        <v>900157</v>
      </c>
      <c r="FC33" s="68">
        <v>1008841</v>
      </c>
      <c r="FD33" s="68">
        <v>714051</v>
      </c>
      <c r="FE33" s="68">
        <v>1002063</v>
      </c>
      <c r="FF33" s="68">
        <v>1236063</v>
      </c>
      <c r="FG33" s="68">
        <v>1068792</v>
      </c>
      <c r="FH33" s="68">
        <v>711347</v>
      </c>
      <c r="FI33" s="68">
        <v>1064607</v>
      </c>
      <c r="FJ33" s="68">
        <v>1628170</v>
      </c>
      <c r="FK33" s="68">
        <v>1148195</v>
      </c>
      <c r="FL33" s="68">
        <v>1113986</v>
      </c>
      <c r="FM33" s="68">
        <f>SUM(FA33:FL33)</f>
        <v>12615122</v>
      </c>
      <c r="FN33" s="68">
        <v>1273750</v>
      </c>
      <c r="FO33" s="68">
        <v>885534</v>
      </c>
      <c r="FP33" s="68">
        <v>827777</v>
      </c>
      <c r="FQ33" s="68">
        <v>781593</v>
      </c>
      <c r="FR33" s="68">
        <v>960495</v>
      </c>
      <c r="FS33" s="68">
        <v>960495</v>
      </c>
      <c r="FT33" s="68">
        <v>1360839</v>
      </c>
      <c r="FU33" s="68">
        <v>1423314</v>
      </c>
      <c r="FV33" s="68">
        <v>1407896</v>
      </c>
      <c r="FW33" s="68">
        <v>1937249</v>
      </c>
      <c r="FX33" s="68">
        <v>1721710</v>
      </c>
      <c r="FY33" s="68">
        <v>1142847</v>
      </c>
      <c r="FZ33" s="68">
        <f>SUM(FN33:FY33)</f>
        <v>14683499</v>
      </c>
      <c r="GA33" s="68">
        <v>1565509</v>
      </c>
      <c r="GB33" s="68">
        <v>1473030</v>
      </c>
      <c r="GC33" s="68">
        <v>1643894</v>
      </c>
      <c r="GD33" s="68">
        <v>781593</v>
      </c>
      <c r="GE33" s="68">
        <v>781593</v>
      </c>
      <c r="GF33" s="68">
        <v>1274411</v>
      </c>
      <c r="GG33" s="68">
        <v>1620143</v>
      </c>
      <c r="GH33" s="68">
        <v>1253657</v>
      </c>
      <c r="GI33" s="68">
        <v>936093</v>
      </c>
      <c r="GJ33" s="68">
        <v>1139838</v>
      </c>
      <c r="GK33" s="68">
        <v>920780</v>
      </c>
      <c r="GL33" s="68">
        <v>993365</v>
      </c>
      <c r="GM33" s="68">
        <f>SUM(GA33:GL33)</f>
        <v>14383906</v>
      </c>
      <c r="GN33" s="68">
        <v>1128817</v>
      </c>
      <c r="GO33" s="68">
        <v>1128817</v>
      </c>
      <c r="GP33" s="68">
        <v>1157315</v>
      </c>
      <c r="GQ33" s="68">
        <v>1150397</v>
      </c>
      <c r="GR33" s="68">
        <v>795330</v>
      </c>
      <c r="GS33" s="68">
        <v>1699865</v>
      </c>
      <c r="GT33" s="68">
        <v>1699865</v>
      </c>
      <c r="GU33" s="68">
        <v>1628552</v>
      </c>
      <c r="GV33" s="68">
        <v>1853933</v>
      </c>
      <c r="GW33" s="68">
        <v>1562478</v>
      </c>
      <c r="GX33" s="68">
        <v>826996</v>
      </c>
      <c r="GY33" s="68">
        <v>869629</v>
      </c>
      <c r="GZ33" s="68">
        <f>SUM(GN33:GY33)</f>
        <v>15501994</v>
      </c>
      <c r="HA33" s="68">
        <v>1367842</v>
      </c>
      <c r="HB33" s="68">
        <v>1579159</v>
      </c>
      <c r="HC33" s="68">
        <v>1920399</v>
      </c>
      <c r="HD33" s="68">
        <v>1529339</v>
      </c>
      <c r="HE33" s="68">
        <v>1539682</v>
      </c>
      <c r="HF33" s="68">
        <v>1181965</v>
      </c>
      <c r="HG33" s="68">
        <v>1032678</v>
      </c>
      <c r="HH33" s="68">
        <v>1526184</v>
      </c>
      <c r="HI33" s="68">
        <v>1421236</v>
      </c>
      <c r="HJ33" s="68">
        <v>1205478</v>
      </c>
      <c r="HK33" s="68">
        <v>1651042</v>
      </c>
      <c r="HL33" s="68">
        <v>855565</v>
      </c>
      <c r="HM33" s="68">
        <f>SUM(HA33:HL33)</f>
        <v>16810569</v>
      </c>
      <c r="HN33" s="68">
        <v>1808287</v>
      </c>
      <c r="HO33" s="68">
        <v>2002196</v>
      </c>
      <c r="HP33" s="68">
        <v>2605746</v>
      </c>
      <c r="HQ33" s="68">
        <v>2329620</v>
      </c>
      <c r="HR33" s="68">
        <v>1525574</v>
      </c>
      <c r="HS33" s="68">
        <v>1475881</v>
      </c>
      <c r="HT33" s="68">
        <v>1289762</v>
      </c>
      <c r="HU33" s="68">
        <v>1243445</v>
      </c>
      <c r="HV33" s="68">
        <v>1634306</v>
      </c>
      <c r="HW33" s="68">
        <v>1500387</v>
      </c>
      <c r="HX33" s="68">
        <v>1561840</v>
      </c>
      <c r="HY33" s="68">
        <v>603725</v>
      </c>
      <c r="HZ33" s="68">
        <f>SUM(HN33:HY33)</f>
        <v>19580769</v>
      </c>
      <c r="IA33" s="186">
        <v>2334010</v>
      </c>
      <c r="IB33" s="186">
        <v>1545074</v>
      </c>
      <c r="IC33" s="186">
        <v>2765863</v>
      </c>
      <c r="ID33" s="186">
        <v>1203949</v>
      </c>
      <c r="IE33" s="186">
        <v>1216309</v>
      </c>
      <c r="IF33" s="186">
        <v>1372286</v>
      </c>
      <c r="IG33" s="186">
        <v>1784776</v>
      </c>
      <c r="IH33" s="186">
        <v>1803452</v>
      </c>
      <c r="II33" s="186">
        <v>1480726</v>
      </c>
      <c r="IJ33" s="186">
        <v>2162943</v>
      </c>
      <c r="IK33" s="186">
        <v>1473044</v>
      </c>
      <c r="IL33" s="186">
        <v>542278</v>
      </c>
      <c r="IM33" s="186">
        <f>SUM(IA33:IB33)</f>
        <v>3879084</v>
      </c>
      <c r="IN33" s="186">
        <v>1567851</v>
      </c>
      <c r="IO33" s="186">
        <v>1382605</v>
      </c>
      <c r="IP33" s="186">
        <f>IN33+IO33</f>
        <v>2950456</v>
      </c>
    </row>
    <row r="34" spans="1:250" ht="15.75" customHeight="1" hidden="1">
      <c r="A34" s="185" t="s">
        <v>46</v>
      </c>
      <c r="B34" s="14">
        <v>4741</v>
      </c>
      <c r="C34" s="56">
        <v>2223</v>
      </c>
      <c r="D34" s="56">
        <v>5797</v>
      </c>
      <c r="E34" s="56">
        <v>6419</v>
      </c>
      <c r="F34" s="56">
        <v>2266</v>
      </c>
      <c r="G34" s="56">
        <v>4784</v>
      </c>
      <c r="H34" s="56">
        <v>5011</v>
      </c>
      <c r="I34" s="56">
        <v>5270</v>
      </c>
      <c r="J34" s="56">
        <v>3487</v>
      </c>
      <c r="K34" s="56">
        <v>5106</v>
      </c>
      <c r="L34" s="57">
        <v>3704</v>
      </c>
      <c r="M34" s="58">
        <v>2463</v>
      </c>
      <c r="N34" s="59">
        <v>1791</v>
      </c>
      <c r="O34" s="58">
        <v>3249</v>
      </c>
      <c r="P34" s="59">
        <v>3013</v>
      </c>
      <c r="Q34" s="79" t="s">
        <v>64</v>
      </c>
      <c r="R34" s="79" t="s">
        <v>64</v>
      </c>
      <c r="S34" s="79" t="s">
        <v>64</v>
      </c>
      <c r="T34" s="78" t="s">
        <v>64</v>
      </c>
      <c r="U34" s="78"/>
      <c r="V34" s="78"/>
      <c r="W34" s="78"/>
      <c r="X34" s="78"/>
      <c r="Y34" s="78"/>
      <c r="Z34" s="81">
        <v>0</v>
      </c>
      <c r="AA34" s="52">
        <v>16974</v>
      </c>
      <c r="AB34" s="53" t="e">
        <v>#DIV/0!</v>
      </c>
      <c r="AC34" s="95">
        <v>0</v>
      </c>
      <c r="AD34" s="95" t="e">
        <v>#DIV/0!</v>
      </c>
      <c r="AE34" s="132" t="e">
        <v>#DIV/0!</v>
      </c>
      <c r="AF34" s="132">
        <v>0</v>
      </c>
      <c r="AG34" s="132"/>
      <c r="AH34" s="132"/>
      <c r="AI34" s="132">
        <v>0</v>
      </c>
      <c r="AJ34" s="132"/>
      <c r="AK34" s="132"/>
      <c r="AL34" s="132"/>
      <c r="AM34" s="132"/>
      <c r="AN34" s="132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64">
        <f t="shared" si="8"/>
        <v>0</v>
      </c>
      <c r="BN34" s="81"/>
      <c r="BO34" s="96"/>
      <c r="BP34" s="52"/>
      <c r="BQ34" s="52"/>
      <c r="BR34" s="53"/>
      <c r="BS34" s="53"/>
      <c r="BT34" s="52"/>
      <c r="BU34" s="52"/>
      <c r="BV34" s="52"/>
      <c r="BW34" s="52"/>
      <c r="BX34" s="52"/>
      <c r="BY34" s="52"/>
      <c r="BZ34" s="52">
        <f t="shared" si="9"/>
        <v>0</v>
      </c>
      <c r="CA34" s="52"/>
      <c r="CB34" s="52"/>
      <c r="CC34" s="52"/>
      <c r="CD34" s="52"/>
      <c r="CE34" s="52"/>
      <c r="CF34" s="95"/>
      <c r="CG34" s="95"/>
      <c r="CH34" s="95"/>
      <c r="CI34" s="95" t="e">
        <f>AVERAGE(CG34:CH34)</f>
        <v>#DIV/0!</v>
      </c>
      <c r="CJ34" s="95"/>
      <c r="CK34" s="95"/>
      <c r="CL34" s="95"/>
      <c r="CM34" s="52" t="e">
        <f t="shared" si="7"/>
        <v>#DIV/0!</v>
      </c>
      <c r="CN34" s="53"/>
      <c r="CO34" s="53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53">
        <f t="shared" si="10"/>
        <v>16612</v>
      </c>
      <c r="DA34" s="53" t="e">
        <f>SUM(CM34:CX34)</f>
        <v>#DIV/0!</v>
      </c>
      <c r="DB34" s="53"/>
      <c r="DC34" s="53"/>
      <c r="DD34" s="53"/>
      <c r="DE34" s="53"/>
      <c r="DF34" s="53"/>
      <c r="DG34" s="53"/>
      <c r="DH34" s="53"/>
      <c r="DI34" s="53"/>
      <c r="DJ34" s="97"/>
      <c r="DK34" s="97"/>
      <c r="DL34" s="97"/>
      <c r="DM34" s="53" t="e">
        <f t="shared" si="11"/>
        <v>#DIV/0!</v>
      </c>
      <c r="DN34" s="53" t="e">
        <f>SUM(CZ34:DK35)</f>
        <v>#DIV/0!</v>
      </c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68" t="e">
        <f t="shared" si="12"/>
        <v>#DIV/0!</v>
      </c>
      <c r="EA34" s="68"/>
      <c r="EB34" s="68"/>
      <c r="EC34" s="68"/>
      <c r="ED34" s="68"/>
      <c r="EE34" s="97" t="e">
        <f>AVERAGE(EB34:ED34)</f>
        <v>#DIV/0!</v>
      </c>
      <c r="EF34" s="97"/>
      <c r="EG34" s="97"/>
      <c r="EH34" s="97"/>
      <c r="EI34" s="97"/>
      <c r="EJ34" s="97"/>
      <c r="EK34" s="97"/>
      <c r="EL34" s="97"/>
      <c r="EM34" s="68">
        <f t="shared" si="13"/>
        <v>0</v>
      </c>
      <c r="EN34" s="97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97"/>
      <c r="FA34" s="97"/>
      <c r="FB34" s="97"/>
      <c r="FC34" s="97"/>
      <c r="FD34" s="97"/>
      <c r="FE34" s="97"/>
      <c r="FF34" s="97" t="e">
        <f>AVERAGE(FC34:FE34)</f>
        <v>#DIV/0!</v>
      </c>
      <c r="FG34" s="97"/>
      <c r="FH34" s="97"/>
      <c r="FI34" s="68"/>
      <c r="FJ34" s="68"/>
      <c r="FK34" s="68"/>
      <c r="FL34" s="68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  <c r="IL34" s="189"/>
      <c r="IM34" s="189"/>
      <c r="IN34" s="186"/>
      <c r="IO34" s="186"/>
      <c r="IP34" s="186"/>
    </row>
    <row r="35" spans="1:250" ht="15">
      <c r="A35" s="185" t="s">
        <v>85</v>
      </c>
      <c r="B35" s="14">
        <v>22239</v>
      </c>
      <c r="C35" s="56">
        <v>52780</v>
      </c>
      <c r="D35" s="56">
        <v>147531</v>
      </c>
      <c r="E35" s="56">
        <v>37644</v>
      </c>
      <c r="F35" s="56">
        <v>32490</v>
      </c>
      <c r="G35" s="56">
        <v>41167</v>
      </c>
      <c r="H35" s="56">
        <v>20191</v>
      </c>
      <c r="I35" s="56">
        <v>28135</v>
      </c>
      <c r="J35" s="56">
        <v>26642</v>
      </c>
      <c r="K35" s="56">
        <v>50225</v>
      </c>
      <c r="L35" s="57">
        <v>29505</v>
      </c>
      <c r="M35" s="58">
        <v>29587</v>
      </c>
      <c r="N35" s="59">
        <v>23984</v>
      </c>
      <c r="O35" s="58">
        <v>22257</v>
      </c>
      <c r="P35" s="59">
        <v>14241</v>
      </c>
      <c r="Q35" s="59">
        <v>12257</v>
      </c>
      <c r="R35" s="59">
        <v>25265</v>
      </c>
      <c r="S35" s="61">
        <v>19192</v>
      </c>
      <c r="T35" s="59">
        <v>19264</v>
      </c>
      <c r="U35" s="59">
        <v>21139</v>
      </c>
      <c r="V35" s="59">
        <v>18799</v>
      </c>
      <c r="W35" s="59">
        <v>41125</v>
      </c>
      <c r="X35" s="59">
        <v>25284</v>
      </c>
      <c r="Y35" s="59">
        <v>16820</v>
      </c>
      <c r="Z35" s="59">
        <v>20070</v>
      </c>
      <c r="AA35" s="52">
        <v>16974</v>
      </c>
      <c r="AB35" s="53">
        <v>32646</v>
      </c>
      <c r="AC35" s="90">
        <v>16612</v>
      </c>
      <c r="AD35" s="90">
        <v>15600</v>
      </c>
      <c r="AE35" s="90">
        <v>13522</v>
      </c>
      <c r="AF35" s="90">
        <v>11354</v>
      </c>
      <c r="AG35" s="90">
        <v>12440</v>
      </c>
      <c r="AH35" s="90">
        <v>9259.333333333334</v>
      </c>
      <c r="AI35" s="90">
        <v>5997</v>
      </c>
      <c r="AJ35" s="90">
        <v>5997</v>
      </c>
      <c r="AK35" s="90">
        <v>0</v>
      </c>
      <c r="AL35" s="90">
        <v>0</v>
      </c>
      <c r="AM35" s="90">
        <v>0</v>
      </c>
      <c r="AN35" s="90">
        <v>0</v>
      </c>
      <c r="AO35" s="53">
        <v>515</v>
      </c>
      <c r="AP35" s="61">
        <v>1024</v>
      </c>
      <c r="AQ35" s="85">
        <v>1151</v>
      </c>
      <c r="AR35" s="91">
        <v>317</v>
      </c>
      <c r="AS35" s="64">
        <v>493</v>
      </c>
      <c r="AT35" s="65">
        <v>1020</v>
      </c>
      <c r="AU35" s="65">
        <v>3710</v>
      </c>
      <c r="AV35" s="65">
        <v>2913</v>
      </c>
      <c r="AW35" s="65">
        <v>1131</v>
      </c>
      <c r="AX35" s="64">
        <v>812</v>
      </c>
      <c r="AY35" s="53">
        <v>531</v>
      </c>
      <c r="AZ35" s="98">
        <v>3203</v>
      </c>
      <c r="BA35" s="53">
        <v>775</v>
      </c>
      <c r="BB35" s="61">
        <v>1351</v>
      </c>
      <c r="BC35" s="61">
        <v>1375</v>
      </c>
      <c r="BD35" s="91">
        <v>1823</v>
      </c>
      <c r="BE35" s="64">
        <v>4018</v>
      </c>
      <c r="BF35" s="65">
        <v>1216</v>
      </c>
      <c r="BG35" s="65">
        <v>2259</v>
      </c>
      <c r="BH35" s="65">
        <v>1299</v>
      </c>
      <c r="BI35" s="65">
        <v>1771</v>
      </c>
      <c r="BJ35" s="65">
        <v>604</v>
      </c>
      <c r="BK35" s="53">
        <v>606</v>
      </c>
      <c r="BL35" s="98">
        <v>2973</v>
      </c>
      <c r="BM35" s="64">
        <f t="shared" si="8"/>
        <v>20070</v>
      </c>
      <c r="BN35" s="53">
        <v>949</v>
      </c>
      <c r="BO35" s="53">
        <v>1141</v>
      </c>
      <c r="BP35" s="52">
        <v>1205</v>
      </c>
      <c r="BQ35" s="52">
        <v>743</v>
      </c>
      <c r="BR35" s="53">
        <v>397</v>
      </c>
      <c r="BS35" s="53">
        <v>1040</v>
      </c>
      <c r="BT35" s="52">
        <v>1705</v>
      </c>
      <c r="BU35" s="52">
        <v>1645</v>
      </c>
      <c r="BV35" s="52">
        <v>1552</v>
      </c>
      <c r="BW35" s="52">
        <v>2949</v>
      </c>
      <c r="BX35" s="52">
        <v>621</v>
      </c>
      <c r="BY35" s="52">
        <v>3027</v>
      </c>
      <c r="BZ35" s="52">
        <f t="shared" si="9"/>
        <v>16974</v>
      </c>
      <c r="CA35" s="52">
        <v>1618</v>
      </c>
      <c r="CB35" s="52">
        <v>1080</v>
      </c>
      <c r="CC35" s="52">
        <f>AVERAGE(CA35:CB35)</f>
        <v>1349</v>
      </c>
      <c r="CD35" s="52">
        <v>867</v>
      </c>
      <c r="CE35" s="90">
        <v>2633</v>
      </c>
      <c r="CF35" s="90">
        <v>1245</v>
      </c>
      <c r="CG35" s="90">
        <v>1489</v>
      </c>
      <c r="CH35" s="90">
        <v>1408</v>
      </c>
      <c r="CI35" s="99">
        <v>2032</v>
      </c>
      <c r="CJ35" s="99">
        <v>1129</v>
      </c>
      <c r="CK35" s="90">
        <v>2475</v>
      </c>
      <c r="CL35" s="90">
        <v>15321</v>
      </c>
      <c r="CM35" s="52">
        <f t="shared" si="7"/>
        <v>32646</v>
      </c>
      <c r="CN35" s="53">
        <v>781</v>
      </c>
      <c r="CO35" s="53">
        <v>1002</v>
      </c>
      <c r="CP35" s="68">
        <v>939</v>
      </c>
      <c r="CQ35" s="68">
        <v>1326</v>
      </c>
      <c r="CR35" s="68">
        <v>1384</v>
      </c>
      <c r="CS35" s="68">
        <v>1974</v>
      </c>
      <c r="CT35" s="68">
        <v>1907</v>
      </c>
      <c r="CU35" s="68">
        <v>2042</v>
      </c>
      <c r="CV35" s="68">
        <v>1174</v>
      </c>
      <c r="CW35" s="68">
        <v>1740</v>
      </c>
      <c r="CX35" s="68">
        <v>952</v>
      </c>
      <c r="CY35" s="68">
        <v>1391</v>
      </c>
      <c r="CZ35" s="53">
        <f>SUM(CN35:CY36)</f>
        <v>16612</v>
      </c>
      <c r="DA35" s="68">
        <v>1075</v>
      </c>
      <c r="DB35" s="68">
        <v>979</v>
      </c>
      <c r="DC35" s="68">
        <v>878</v>
      </c>
      <c r="DD35" s="68">
        <v>1980</v>
      </c>
      <c r="DE35" s="68">
        <v>1391</v>
      </c>
      <c r="DF35" s="68">
        <v>1366</v>
      </c>
      <c r="DG35" s="68">
        <v>819</v>
      </c>
      <c r="DH35" s="68">
        <v>1501</v>
      </c>
      <c r="DI35" s="68">
        <v>1187</v>
      </c>
      <c r="DJ35" s="68">
        <v>1280</v>
      </c>
      <c r="DK35" s="68">
        <v>1232</v>
      </c>
      <c r="DL35" s="68">
        <v>1912</v>
      </c>
      <c r="DM35" s="53">
        <f>SUM(DA35:DL35)</f>
        <v>15600</v>
      </c>
      <c r="DN35" s="53">
        <v>1704</v>
      </c>
      <c r="DO35" s="53">
        <v>561</v>
      </c>
      <c r="DP35" s="53">
        <v>1390</v>
      </c>
      <c r="DQ35" s="68">
        <v>1190</v>
      </c>
      <c r="DR35" s="68">
        <v>1174</v>
      </c>
      <c r="DS35" s="68">
        <v>831</v>
      </c>
      <c r="DT35" s="68">
        <v>831</v>
      </c>
      <c r="DU35" s="68">
        <v>1164</v>
      </c>
      <c r="DV35" s="68">
        <v>870</v>
      </c>
      <c r="DW35" s="68">
        <v>1359</v>
      </c>
      <c r="DX35" s="68">
        <v>760</v>
      </c>
      <c r="DY35" s="68">
        <v>1688</v>
      </c>
      <c r="DZ35" s="68">
        <f>SUM(DN35:DY35)</f>
        <v>13522</v>
      </c>
      <c r="EA35" s="68">
        <v>371</v>
      </c>
      <c r="EB35" s="68">
        <v>482</v>
      </c>
      <c r="EC35" s="68">
        <v>486</v>
      </c>
      <c r="ED35" s="68">
        <v>358</v>
      </c>
      <c r="EE35" s="68">
        <v>260</v>
      </c>
      <c r="EF35" s="68">
        <v>980</v>
      </c>
      <c r="EG35" s="68">
        <v>1515</v>
      </c>
      <c r="EH35" s="68">
        <v>1073</v>
      </c>
      <c r="EI35" s="68">
        <v>1392</v>
      </c>
      <c r="EJ35" s="68">
        <v>353</v>
      </c>
      <c r="EK35" s="68">
        <v>1169</v>
      </c>
      <c r="EL35" s="68">
        <v>2915</v>
      </c>
      <c r="EM35" s="68">
        <f>SUM(EA35:EL35)</f>
        <v>11354</v>
      </c>
      <c r="EN35" s="68">
        <v>1056</v>
      </c>
      <c r="EO35" s="68">
        <v>1108</v>
      </c>
      <c r="EP35" s="68">
        <v>766</v>
      </c>
      <c r="EQ35" s="68">
        <v>621</v>
      </c>
      <c r="ER35" s="68">
        <v>688</v>
      </c>
      <c r="ES35" s="68">
        <v>893</v>
      </c>
      <c r="ET35" s="68">
        <v>1391</v>
      </c>
      <c r="EU35" s="68">
        <v>1181</v>
      </c>
      <c r="EV35" s="68">
        <v>1231</v>
      </c>
      <c r="EW35" s="68">
        <v>987</v>
      </c>
      <c r="EX35" s="68">
        <v>1431</v>
      </c>
      <c r="EY35" s="68">
        <v>1087</v>
      </c>
      <c r="EZ35" s="68">
        <f>SUM(EN35:EY35)</f>
        <v>12440</v>
      </c>
      <c r="FA35" s="68">
        <v>1265</v>
      </c>
      <c r="FB35" s="68">
        <v>987</v>
      </c>
      <c r="FC35" s="68">
        <v>731</v>
      </c>
      <c r="FD35" s="68">
        <v>814</v>
      </c>
      <c r="FE35" s="68">
        <v>477</v>
      </c>
      <c r="FF35" s="68">
        <v>651</v>
      </c>
      <c r="FG35" s="68">
        <v>327</v>
      </c>
      <c r="FH35" s="68">
        <v>666</v>
      </c>
      <c r="FI35" s="68">
        <v>863</v>
      </c>
      <c r="FJ35" s="68">
        <v>486</v>
      </c>
      <c r="FK35" s="68">
        <v>1157</v>
      </c>
      <c r="FL35" s="68">
        <v>672</v>
      </c>
      <c r="FM35" s="68">
        <f>SUM(FA35:FL35)</f>
        <v>9096</v>
      </c>
      <c r="FN35" s="68">
        <v>312</v>
      </c>
      <c r="FO35" s="68">
        <v>427</v>
      </c>
      <c r="FP35" s="68">
        <v>248</v>
      </c>
      <c r="FQ35" s="68">
        <v>51</v>
      </c>
      <c r="FR35" s="68">
        <v>622</v>
      </c>
      <c r="FS35" s="68">
        <v>501</v>
      </c>
      <c r="FT35" s="68">
        <v>768</v>
      </c>
      <c r="FU35" s="68">
        <v>634</v>
      </c>
      <c r="FV35" s="68">
        <v>487</v>
      </c>
      <c r="FW35" s="68">
        <v>563</v>
      </c>
      <c r="FX35" s="68">
        <v>630</v>
      </c>
      <c r="FY35" s="68">
        <v>754</v>
      </c>
      <c r="FZ35" s="68">
        <f>SUM(FN35:FY35)</f>
        <v>5997</v>
      </c>
      <c r="GA35" s="68">
        <v>0</v>
      </c>
      <c r="GB35" s="129">
        <v>0</v>
      </c>
      <c r="GC35" s="129">
        <v>0</v>
      </c>
      <c r="GD35" s="129">
        <v>0</v>
      </c>
      <c r="GE35" s="129">
        <v>0</v>
      </c>
      <c r="GF35" s="129">
        <v>0</v>
      </c>
      <c r="GG35" s="129">
        <v>0</v>
      </c>
      <c r="GH35" s="129">
        <v>0</v>
      </c>
      <c r="GI35" s="129">
        <v>0</v>
      </c>
      <c r="GJ35" s="129">
        <v>0</v>
      </c>
      <c r="GK35" s="129">
        <v>0</v>
      </c>
      <c r="GL35" s="129">
        <v>0</v>
      </c>
      <c r="GM35" s="68">
        <f>SUM(GA35:GL35)</f>
        <v>0</v>
      </c>
      <c r="GN35" s="68">
        <v>0</v>
      </c>
      <c r="GO35" s="68">
        <v>0</v>
      </c>
      <c r="GP35" s="68">
        <v>0</v>
      </c>
      <c r="GQ35" s="68">
        <v>0</v>
      </c>
      <c r="GR35" s="68">
        <v>0</v>
      </c>
      <c r="GS35" s="68">
        <v>0</v>
      </c>
      <c r="GT35" s="129">
        <v>0</v>
      </c>
      <c r="GU35" s="129">
        <v>0</v>
      </c>
      <c r="GV35" s="129">
        <v>0</v>
      </c>
      <c r="GW35" s="129">
        <v>0</v>
      </c>
      <c r="GX35" s="129">
        <v>0</v>
      </c>
      <c r="GY35" s="129"/>
      <c r="GZ35" s="68">
        <f>SUM(GN35:GY35)</f>
        <v>0</v>
      </c>
      <c r="HA35" s="68">
        <f aca="true" t="shared" si="14" ref="HA35:HF35">SUM(GO35:GT35)</f>
        <v>0</v>
      </c>
      <c r="HB35" s="68">
        <f t="shared" si="14"/>
        <v>0</v>
      </c>
      <c r="HC35" s="68">
        <f t="shared" si="14"/>
        <v>0</v>
      </c>
      <c r="HD35" s="68">
        <f t="shared" si="14"/>
        <v>0</v>
      </c>
      <c r="HE35" s="68">
        <f t="shared" si="14"/>
        <v>0</v>
      </c>
      <c r="HF35" s="68">
        <f t="shared" si="14"/>
        <v>0</v>
      </c>
      <c r="HG35" s="129">
        <v>0</v>
      </c>
      <c r="HH35" s="129">
        <v>0</v>
      </c>
      <c r="HI35" s="129">
        <v>0</v>
      </c>
      <c r="HJ35" s="129">
        <v>0</v>
      </c>
      <c r="HK35" s="129">
        <v>0</v>
      </c>
      <c r="HL35" s="129">
        <v>0</v>
      </c>
      <c r="HM35" s="68">
        <f>SUM(HA35:HL35)</f>
        <v>0</v>
      </c>
      <c r="HN35" s="129">
        <v>0</v>
      </c>
      <c r="HO35" s="68">
        <v>0</v>
      </c>
      <c r="HP35" s="68"/>
      <c r="HQ35" s="68"/>
      <c r="HR35" s="68">
        <v>0</v>
      </c>
      <c r="HS35" s="68">
        <v>0</v>
      </c>
      <c r="HT35" s="68">
        <v>0</v>
      </c>
      <c r="HU35" s="68">
        <v>0</v>
      </c>
      <c r="HV35" s="68">
        <v>0</v>
      </c>
      <c r="HW35" s="68"/>
      <c r="HX35" s="68">
        <v>0</v>
      </c>
      <c r="HY35" s="68">
        <v>0</v>
      </c>
      <c r="HZ35" s="68">
        <f>SUM(HN35:HY35)</f>
        <v>0</v>
      </c>
      <c r="IA35" s="187">
        <v>0</v>
      </c>
      <c r="IB35" s="187">
        <v>0</v>
      </c>
      <c r="IC35" s="187">
        <v>0</v>
      </c>
      <c r="ID35" s="187">
        <v>0</v>
      </c>
      <c r="IE35" s="187">
        <v>0</v>
      </c>
      <c r="IF35" s="187">
        <v>0</v>
      </c>
      <c r="IG35" s="187">
        <v>0</v>
      </c>
      <c r="IH35" s="68">
        <v>0</v>
      </c>
      <c r="II35" s="90">
        <v>0</v>
      </c>
      <c r="IJ35" s="90">
        <v>0</v>
      </c>
      <c r="IK35" s="90">
        <v>0</v>
      </c>
      <c r="IL35" s="90">
        <v>0</v>
      </c>
      <c r="IM35" s="186">
        <f>SUM(IA35:IB35)</f>
        <v>0</v>
      </c>
      <c r="IN35" s="187">
        <v>0</v>
      </c>
      <c r="IO35" s="187">
        <v>0</v>
      </c>
      <c r="IP35" s="186">
        <f>IN35+IO35</f>
        <v>0</v>
      </c>
    </row>
    <row r="36" spans="1:250" ht="15" hidden="1">
      <c r="A36" s="185" t="s">
        <v>47</v>
      </c>
      <c r="B36" s="14">
        <v>17948</v>
      </c>
      <c r="C36" s="56">
        <v>31423</v>
      </c>
      <c r="D36" s="56">
        <v>31436</v>
      </c>
      <c r="E36" s="56">
        <v>40329</v>
      </c>
      <c r="F36" s="56">
        <v>28712</v>
      </c>
      <c r="G36" s="56">
        <v>31102</v>
      </c>
      <c r="H36" s="56">
        <v>27406</v>
      </c>
      <c r="I36" s="56">
        <v>42045</v>
      </c>
      <c r="J36" s="56">
        <v>24870</v>
      </c>
      <c r="K36" s="56">
        <v>13374</v>
      </c>
      <c r="L36" s="57">
        <v>11544</v>
      </c>
      <c r="M36" s="58">
        <v>256</v>
      </c>
      <c r="N36" s="79" t="s">
        <v>64</v>
      </c>
      <c r="O36" s="58">
        <v>3662</v>
      </c>
      <c r="P36" s="59">
        <v>13276</v>
      </c>
      <c r="Q36" s="59">
        <v>12074</v>
      </c>
      <c r="R36" s="59">
        <v>12768</v>
      </c>
      <c r="S36" s="61">
        <v>11670</v>
      </c>
      <c r="T36" s="78" t="s">
        <v>64</v>
      </c>
      <c r="U36" s="78"/>
      <c r="V36" s="78"/>
      <c r="W36" s="78"/>
      <c r="X36" s="78"/>
      <c r="Y36" s="78"/>
      <c r="Z36" s="81"/>
      <c r="AA36" s="52"/>
      <c r="AB36" s="53"/>
      <c r="AC36" s="52">
        <v>0</v>
      </c>
      <c r="AD36" s="52">
        <v>592829</v>
      </c>
      <c r="AE36" s="9">
        <v>592829</v>
      </c>
      <c r="AF36" s="9">
        <v>0</v>
      </c>
      <c r="AG36" s="9"/>
      <c r="AH36" s="9"/>
      <c r="AI36" s="9">
        <v>0</v>
      </c>
      <c r="AJ36" s="9"/>
      <c r="AK36" s="9"/>
      <c r="AL36" s="9"/>
      <c r="AM36" s="9"/>
      <c r="AN36" s="9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64"/>
      <c r="BN36" s="81"/>
      <c r="BO36" s="78"/>
      <c r="BP36" s="52"/>
      <c r="BQ36" s="52"/>
      <c r="BR36" s="53"/>
      <c r="BS36" s="53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>
        <f t="shared" si="7"/>
        <v>0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>
        <f t="shared" si="10"/>
        <v>0</v>
      </c>
      <c r="DA36" s="53">
        <f>SUM(CM36:CX36)</f>
        <v>0</v>
      </c>
      <c r="DB36" s="53"/>
      <c r="DC36" s="53"/>
      <c r="DD36" s="97"/>
      <c r="DE36" s="97"/>
      <c r="DF36" s="97"/>
      <c r="DG36" s="97"/>
      <c r="DH36" s="97"/>
      <c r="DI36" s="97"/>
      <c r="DJ36" s="97"/>
      <c r="DK36" s="97"/>
      <c r="DL36" s="97"/>
      <c r="DM36" s="53">
        <f t="shared" si="11"/>
        <v>592829</v>
      </c>
      <c r="DN36" s="53">
        <f>SUM(CZ36:DK37)</f>
        <v>592829</v>
      </c>
      <c r="DO36" s="53"/>
      <c r="DP36" s="53"/>
      <c r="DQ36" s="53"/>
      <c r="DR36" s="53"/>
      <c r="DS36" s="53"/>
      <c r="DT36" s="53"/>
      <c r="DU36" s="53"/>
      <c r="DV36" s="97"/>
      <c r="DW36" s="97"/>
      <c r="DX36" s="97"/>
      <c r="DY36" s="97"/>
      <c r="DZ36" s="68">
        <f t="shared" si="12"/>
        <v>592829</v>
      </c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>
        <f t="shared" si="13"/>
        <v>0</v>
      </c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97"/>
      <c r="FG36" s="97"/>
      <c r="FH36" s="97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</row>
    <row r="37" spans="1:250" ht="15" hidden="1">
      <c r="A37" s="185" t="s">
        <v>48</v>
      </c>
      <c r="B37" s="14">
        <v>84.2</v>
      </c>
      <c r="C37" s="100">
        <v>132.2</v>
      </c>
      <c r="D37" s="100">
        <v>150.1</v>
      </c>
      <c r="E37" s="100">
        <v>99.8</v>
      </c>
      <c r="F37" s="100">
        <v>139.4</v>
      </c>
      <c r="G37" s="100">
        <v>203.4</v>
      </c>
      <c r="H37" s="100">
        <v>201.3</v>
      </c>
      <c r="I37" s="100">
        <v>248.6</v>
      </c>
      <c r="J37" s="100">
        <v>284.3</v>
      </c>
      <c r="K37" s="100">
        <v>272.3</v>
      </c>
      <c r="L37" s="101">
        <v>243.2</v>
      </c>
      <c r="M37" s="58">
        <v>294.2</v>
      </c>
      <c r="N37" s="59">
        <v>327.869</v>
      </c>
      <c r="O37" s="58">
        <v>475.1</v>
      </c>
      <c r="P37" s="59">
        <v>594.551841</v>
      </c>
      <c r="Q37" s="59">
        <v>731</v>
      </c>
      <c r="R37" s="59">
        <v>950</v>
      </c>
      <c r="S37" s="61">
        <v>590</v>
      </c>
      <c r="T37" s="59">
        <v>855</v>
      </c>
      <c r="U37" s="59">
        <v>677</v>
      </c>
      <c r="V37" s="59">
        <v>494</v>
      </c>
      <c r="W37" s="81" t="s">
        <v>64</v>
      </c>
      <c r="X37" s="81" t="s">
        <v>64</v>
      </c>
      <c r="Y37" s="87">
        <v>142</v>
      </c>
      <c r="Z37" s="87" t="s">
        <v>64</v>
      </c>
      <c r="AA37" s="84" t="s">
        <v>64</v>
      </c>
      <c r="AB37" s="53" t="s">
        <v>64</v>
      </c>
      <c r="AC37" s="53">
        <v>0</v>
      </c>
      <c r="AD37" s="53">
        <v>1493693.5</v>
      </c>
      <c r="AE37" s="73">
        <v>1493693.5</v>
      </c>
      <c r="AF37" s="73">
        <v>0</v>
      </c>
      <c r="AG37" s="73"/>
      <c r="AH37" s="73"/>
      <c r="AI37" s="73">
        <v>0</v>
      </c>
      <c r="AJ37" s="73"/>
      <c r="AK37" s="73"/>
      <c r="AL37" s="73"/>
      <c r="AM37" s="73"/>
      <c r="AN37" s="73"/>
      <c r="AO37" s="87">
        <v>17.04018629</v>
      </c>
      <c r="AP37" s="87">
        <v>32.583416</v>
      </c>
      <c r="AQ37" s="87">
        <v>6.641171</v>
      </c>
      <c r="AR37" s="87">
        <v>7.686401</v>
      </c>
      <c r="AS37" s="87">
        <v>16.738602</v>
      </c>
      <c r="AT37" s="87">
        <v>4.763388</v>
      </c>
      <c r="AU37" s="87">
        <v>21.34944</v>
      </c>
      <c r="AV37" s="87">
        <v>12.101248</v>
      </c>
      <c r="AW37" s="87">
        <v>5.726273</v>
      </c>
      <c r="AX37" s="87">
        <v>5.726273</v>
      </c>
      <c r="AY37" s="87">
        <v>5.726273</v>
      </c>
      <c r="AZ37" s="87">
        <v>6</v>
      </c>
      <c r="BA37" s="80" t="s">
        <v>64</v>
      </c>
      <c r="BB37" s="80" t="s">
        <v>64</v>
      </c>
      <c r="BC37" s="80" t="s">
        <v>64</v>
      </c>
      <c r="BD37" s="80" t="s">
        <v>64</v>
      </c>
      <c r="BE37" s="80" t="s">
        <v>64</v>
      </c>
      <c r="BF37" s="79" t="s">
        <v>64</v>
      </c>
      <c r="BG37" s="80" t="s">
        <v>64</v>
      </c>
      <c r="BH37" s="80" t="s">
        <v>64</v>
      </c>
      <c r="BI37" s="80" t="s">
        <v>64</v>
      </c>
      <c r="BJ37" s="80" t="s">
        <v>64</v>
      </c>
      <c r="BK37" s="80" t="s">
        <v>64</v>
      </c>
      <c r="BL37" s="80" t="s">
        <v>64</v>
      </c>
      <c r="BM37" s="80" t="s">
        <v>64</v>
      </c>
      <c r="BN37" s="79" t="s">
        <v>64</v>
      </c>
      <c r="BO37" s="79" t="s">
        <v>64</v>
      </c>
      <c r="BP37" s="52" t="s">
        <v>64</v>
      </c>
      <c r="BQ37" s="52" t="s">
        <v>64</v>
      </c>
      <c r="BR37" s="53" t="s">
        <v>64</v>
      </c>
      <c r="BS37" s="53" t="s">
        <v>64</v>
      </c>
      <c r="BT37" s="53" t="s">
        <v>64</v>
      </c>
      <c r="BU37" s="53" t="s">
        <v>64</v>
      </c>
      <c r="BV37" s="53" t="s">
        <v>64</v>
      </c>
      <c r="BW37" s="53" t="s">
        <v>64</v>
      </c>
      <c r="BX37" s="53" t="s">
        <v>64</v>
      </c>
      <c r="BY37" s="53" t="s">
        <v>64</v>
      </c>
      <c r="BZ37" s="53" t="s">
        <v>64</v>
      </c>
      <c r="CA37" s="53" t="s">
        <v>64</v>
      </c>
      <c r="CB37" s="53" t="s">
        <v>64</v>
      </c>
      <c r="CC37" s="53" t="s">
        <v>64</v>
      </c>
      <c r="CD37" s="53" t="s">
        <v>64</v>
      </c>
      <c r="CE37" s="53" t="s">
        <v>64</v>
      </c>
      <c r="CF37" s="53" t="s">
        <v>64</v>
      </c>
      <c r="CG37" s="53" t="s">
        <v>64</v>
      </c>
      <c r="CH37" s="53" t="s">
        <v>64</v>
      </c>
      <c r="CI37" s="53" t="s">
        <v>64</v>
      </c>
      <c r="CJ37" s="53" t="s">
        <v>64</v>
      </c>
      <c r="CK37" s="53" t="s">
        <v>64</v>
      </c>
      <c r="CL37" s="53" t="s">
        <v>64</v>
      </c>
      <c r="CM37" s="52">
        <f t="shared" si="7"/>
        <v>0</v>
      </c>
      <c r="CN37" s="53" t="s">
        <v>64</v>
      </c>
      <c r="CO37" s="53" t="s">
        <v>64</v>
      </c>
      <c r="CP37" s="53" t="s">
        <v>64</v>
      </c>
      <c r="CQ37" s="53" t="s">
        <v>64</v>
      </c>
      <c r="CR37" s="53" t="s">
        <v>64</v>
      </c>
      <c r="CS37" s="53"/>
      <c r="CT37" s="53"/>
      <c r="CU37" s="53"/>
      <c r="CV37" s="53"/>
      <c r="CW37" s="53"/>
      <c r="CX37" s="53"/>
      <c r="CY37" s="53"/>
      <c r="CZ37" s="53">
        <f t="shared" si="10"/>
        <v>592829</v>
      </c>
      <c r="DA37" s="53">
        <f>SUM(CM37:CX37)</f>
        <v>0</v>
      </c>
      <c r="DB37" s="53"/>
      <c r="DC37" s="53"/>
      <c r="DD37" s="97"/>
      <c r="DE37" s="97"/>
      <c r="DF37" s="97"/>
      <c r="DG37" s="97"/>
      <c r="DH37" s="97"/>
      <c r="DI37" s="97"/>
      <c r="DJ37" s="97"/>
      <c r="DK37" s="97"/>
      <c r="DL37" s="97"/>
      <c r="DM37" s="53">
        <f t="shared" si="11"/>
        <v>1493693.5</v>
      </c>
      <c r="DN37" s="53">
        <f>SUM(CZ37:DK38)</f>
        <v>1493693.5</v>
      </c>
      <c r="DO37" s="53"/>
      <c r="DP37" s="53"/>
      <c r="DQ37" s="53"/>
      <c r="DR37" s="53"/>
      <c r="DS37" s="53"/>
      <c r="DT37" s="53"/>
      <c r="DU37" s="53"/>
      <c r="DV37" s="97"/>
      <c r="DW37" s="97"/>
      <c r="DX37" s="97"/>
      <c r="DY37" s="97"/>
      <c r="DZ37" s="68">
        <f t="shared" si="12"/>
        <v>1493693.5</v>
      </c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>
        <f t="shared" si="13"/>
        <v>0</v>
      </c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97"/>
      <c r="FG37" s="97"/>
      <c r="FH37" s="97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186"/>
      <c r="IB37" s="186"/>
      <c r="IC37" s="186"/>
      <c r="ID37" s="186"/>
      <c r="IE37" s="186"/>
      <c r="IF37" s="186"/>
      <c r="IG37" s="186"/>
      <c r="IH37" s="186"/>
      <c r="II37" s="186"/>
      <c r="IJ37" s="186"/>
      <c r="IK37" s="186"/>
      <c r="IL37" s="186"/>
      <c r="IM37" s="186"/>
      <c r="IN37" s="186"/>
      <c r="IO37" s="186"/>
      <c r="IP37" s="186"/>
    </row>
    <row r="38" spans="1:250" ht="15">
      <c r="A38" s="185" t="s">
        <v>67</v>
      </c>
      <c r="B38" s="14">
        <v>235765</v>
      </c>
      <c r="C38" s="56">
        <v>192696</v>
      </c>
      <c r="D38" s="56">
        <v>122656</v>
      </c>
      <c r="E38" s="56">
        <v>78023</v>
      </c>
      <c r="F38" s="56">
        <v>154362</v>
      </c>
      <c r="G38" s="56">
        <v>38232</v>
      </c>
      <c r="H38" s="56">
        <v>84391</v>
      </c>
      <c r="I38" s="56">
        <v>22021</v>
      </c>
      <c r="J38" s="77" t="s">
        <v>33</v>
      </c>
      <c r="K38" s="56">
        <v>48904</v>
      </c>
      <c r="L38" s="57">
        <v>62980</v>
      </c>
      <c r="M38" s="58">
        <v>49093</v>
      </c>
      <c r="N38" s="59">
        <v>21271</v>
      </c>
      <c r="O38" s="58">
        <v>78121</v>
      </c>
      <c r="P38" s="59">
        <v>45483</v>
      </c>
      <c r="Q38" s="59">
        <v>106502</v>
      </c>
      <c r="R38" s="59">
        <v>147429</v>
      </c>
      <c r="S38" s="61">
        <v>221201</v>
      </c>
      <c r="T38" s="85">
        <v>180154</v>
      </c>
      <c r="U38" s="85">
        <v>233007</v>
      </c>
      <c r="V38" s="85">
        <v>112018</v>
      </c>
      <c r="W38" s="85">
        <v>234892</v>
      </c>
      <c r="X38" s="85">
        <v>184348</v>
      </c>
      <c r="Y38" s="85">
        <v>367649</v>
      </c>
      <c r="Z38" s="85">
        <v>361107</v>
      </c>
      <c r="AA38" s="52">
        <v>393235</v>
      </c>
      <c r="AB38" s="53">
        <v>322447</v>
      </c>
      <c r="AC38" s="52">
        <v>592829</v>
      </c>
      <c r="AD38" s="52">
        <v>322915.5</v>
      </c>
      <c r="AE38" s="52">
        <v>877060</v>
      </c>
      <c r="AF38" s="52">
        <v>586045</v>
      </c>
      <c r="AG38" s="52">
        <v>413834</v>
      </c>
      <c r="AH38" s="52">
        <v>152691</v>
      </c>
      <c r="AI38" s="52">
        <v>268735</v>
      </c>
      <c r="AJ38" s="52">
        <v>268735</v>
      </c>
      <c r="AK38" s="52">
        <v>130166</v>
      </c>
      <c r="AL38" s="52">
        <v>193307</v>
      </c>
      <c r="AM38" s="52">
        <v>167405</v>
      </c>
      <c r="AN38" s="52">
        <v>244907</v>
      </c>
      <c r="AO38" s="69">
        <v>20110</v>
      </c>
      <c r="AP38" s="87">
        <v>29097</v>
      </c>
      <c r="AQ38" s="64">
        <v>24287</v>
      </c>
      <c r="AR38" s="64">
        <v>26250</v>
      </c>
      <c r="AS38" s="72">
        <v>15127</v>
      </c>
      <c r="AT38" s="66">
        <v>24501</v>
      </c>
      <c r="AU38" s="65">
        <v>21020</v>
      </c>
      <c r="AV38" s="87">
        <v>23576</v>
      </c>
      <c r="AW38" s="65">
        <v>32979</v>
      </c>
      <c r="AX38" s="85">
        <v>50414</v>
      </c>
      <c r="AY38" s="53">
        <v>54062</v>
      </c>
      <c r="AZ38" s="53">
        <v>46226</v>
      </c>
      <c r="BA38" s="69">
        <v>41128</v>
      </c>
      <c r="BB38" s="87">
        <v>35273</v>
      </c>
      <c r="BC38" s="87">
        <v>38457</v>
      </c>
      <c r="BD38" s="64">
        <v>32499</v>
      </c>
      <c r="BE38" s="72">
        <v>26195</v>
      </c>
      <c r="BF38" s="66">
        <v>28601</v>
      </c>
      <c r="BG38" s="65">
        <v>28601</v>
      </c>
      <c r="BH38" s="87">
        <v>23586</v>
      </c>
      <c r="BI38" s="65">
        <v>23938</v>
      </c>
      <c r="BJ38" s="85">
        <v>33241</v>
      </c>
      <c r="BK38" s="53">
        <v>26822</v>
      </c>
      <c r="BL38" s="53">
        <v>22766</v>
      </c>
      <c r="BM38" s="64">
        <f t="shared" si="8"/>
        <v>361107</v>
      </c>
      <c r="BN38" s="69">
        <v>21386</v>
      </c>
      <c r="BO38" s="69">
        <v>36673</v>
      </c>
      <c r="BP38" s="52">
        <v>40197</v>
      </c>
      <c r="BQ38" s="52">
        <v>23746</v>
      </c>
      <c r="BR38" s="53">
        <v>37807</v>
      </c>
      <c r="BS38" s="53">
        <v>54360</v>
      </c>
      <c r="BT38" s="52">
        <v>39815</v>
      </c>
      <c r="BU38" s="52">
        <v>40338</v>
      </c>
      <c r="BV38" s="52">
        <v>48007</v>
      </c>
      <c r="BW38" s="52">
        <v>26085</v>
      </c>
      <c r="BX38" s="52">
        <v>13278</v>
      </c>
      <c r="BY38" s="52">
        <v>11543</v>
      </c>
      <c r="BZ38" s="52">
        <f t="shared" si="9"/>
        <v>393235</v>
      </c>
      <c r="CA38" s="52">
        <v>13056</v>
      </c>
      <c r="CB38" s="52">
        <v>10102</v>
      </c>
      <c r="CC38" s="52">
        <v>10102</v>
      </c>
      <c r="CD38" s="52">
        <v>17287</v>
      </c>
      <c r="CE38" s="52">
        <v>45396</v>
      </c>
      <c r="CF38" s="52">
        <v>14948</v>
      </c>
      <c r="CG38" s="52">
        <v>28039</v>
      </c>
      <c r="CH38" s="52">
        <v>16136</v>
      </c>
      <c r="CI38" s="52">
        <v>40630</v>
      </c>
      <c r="CJ38" s="52">
        <v>53057</v>
      </c>
      <c r="CK38" s="52">
        <v>40630</v>
      </c>
      <c r="CL38" s="52">
        <v>33064</v>
      </c>
      <c r="CM38" s="52">
        <f t="shared" si="7"/>
        <v>322447</v>
      </c>
      <c r="CN38" s="53">
        <v>48826</v>
      </c>
      <c r="CO38" s="53">
        <v>42798</v>
      </c>
      <c r="CP38" s="53">
        <v>59523</v>
      </c>
      <c r="CQ38" s="53">
        <v>72994</v>
      </c>
      <c r="CR38" s="68">
        <v>77874</v>
      </c>
      <c r="CS38" s="68">
        <v>74755</v>
      </c>
      <c r="CT38" s="68">
        <v>48506</v>
      </c>
      <c r="CU38" s="68">
        <v>33388</v>
      </c>
      <c r="CV38" s="68">
        <v>46654</v>
      </c>
      <c r="CW38" s="68">
        <v>35657</v>
      </c>
      <c r="CX38" s="68">
        <v>21405</v>
      </c>
      <c r="CY38" s="68">
        <v>30449</v>
      </c>
      <c r="CZ38" s="53">
        <f>SUM(CN38:CY39)</f>
        <v>592829</v>
      </c>
      <c r="DA38" s="53">
        <v>30782</v>
      </c>
      <c r="DB38" s="53">
        <v>30241</v>
      </c>
      <c r="DC38" s="53">
        <v>29250</v>
      </c>
      <c r="DD38" s="68">
        <v>38394</v>
      </c>
      <c r="DE38" s="68">
        <v>43585</v>
      </c>
      <c r="DF38" s="68">
        <v>39463</v>
      </c>
      <c r="DG38" s="68">
        <v>23016</v>
      </c>
      <c r="DH38" s="68">
        <v>1888</v>
      </c>
      <c r="DI38" s="68">
        <v>22927</v>
      </c>
      <c r="DJ38" s="68">
        <v>24684</v>
      </c>
      <c r="DK38" s="68">
        <v>23805.5</v>
      </c>
      <c r="DL38" s="68">
        <v>14880</v>
      </c>
      <c r="DM38" s="53">
        <f>SUM(DA38:DL38)</f>
        <v>322915.5</v>
      </c>
      <c r="DN38" s="68">
        <v>44786</v>
      </c>
      <c r="DO38" s="68">
        <v>39960</v>
      </c>
      <c r="DP38" s="68">
        <v>48111</v>
      </c>
      <c r="DQ38" s="68">
        <v>114029</v>
      </c>
      <c r="DR38" s="68">
        <v>101552</v>
      </c>
      <c r="DS38" s="68">
        <v>116128</v>
      </c>
      <c r="DT38" s="68">
        <v>98477</v>
      </c>
      <c r="DU38" s="68">
        <v>102549</v>
      </c>
      <c r="DV38" s="68">
        <v>99287</v>
      </c>
      <c r="DW38" s="68">
        <v>37651</v>
      </c>
      <c r="DX38" s="68">
        <v>53853</v>
      </c>
      <c r="DY38" s="68">
        <v>20677</v>
      </c>
      <c r="DZ38" s="68">
        <f>SUM(DN38:DY38)</f>
        <v>877060</v>
      </c>
      <c r="EA38" s="68">
        <v>55817</v>
      </c>
      <c r="EB38" s="68">
        <v>70559</v>
      </c>
      <c r="EC38" s="68">
        <v>94262</v>
      </c>
      <c r="ED38" s="68">
        <v>69984</v>
      </c>
      <c r="EE38" s="68">
        <v>41204</v>
      </c>
      <c r="EF38" s="68">
        <v>41204</v>
      </c>
      <c r="EG38" s="68">
        <v>49172</v>
      </c>
      <c r="EH38" s="68">
        <v>37877</v>
      </c>
      <c r="EI38" s="68">
        <v>41513</v>
      </c>
      <c r="EJ38" s="68">
        <v>11577</v>
      </c>
      <c r="EK38" s="68">
        <v>46351</v>
      </c>
      <c r="EL38" s="68">
        <v>26525</v>
      </c>
      <c r="EM38" s="68">
        <f>SUM(EA38:EL38)</f>
        <v>586045</v>
      </c>
      <c r="EN38" s="68">
        <v>42871</v>
      </c>
      <c r="EO38" s="68">
        <v>53996</v>
      </c>
      <c r="EP38" s="68">
        <v>48951</v>
      </c>
      <c r="EQ38" s="68">
        <v>20491</v>
      </c>
      <c r="ER38" s="68">
        <v>19209</v>
      </c>
      <c r="ES38" s="68">
        <v>68763</v>
      </c>
      <c r="ET38" s="68">
        <v>41058</v>
      </c>
      <c r="EU38" s="68">
        <v>41058</v>
      </c>
      <c r="EV38" s="68">
        <v>18948</v>
      </c>
      <c r="EW38" s="68">
        <v>8681</v>
      </c>
      <c r="EX38" s="68">
        <v>19085</v>
      </c>
      <c r="EY38" s="68">
        <v>30723</v>
      </c>
      <c r="EZ38" s="68">
        <f>SUM(EN38:EY38)</f>
        <v>413834</v>
      </c>
      <c r="FA38" s="68">
        <v>7117</v>
      </c>
      <c r="FB38" s="68">
        <v>3680</v>
      </c>
      <c r="FC38" s="68">
        <v>5162</v>
      </c>
      <c r="FD38" s="68">
        <v>18443</v>
      </c>
      <c r="FE38" s="68">
        <v>13426</v>
      </c>
      <c r="FF38" s="68">
        <v>0</v>
      </c>
      <c r="FG38" s="68">
        <v>8721</v>
      </c>
      <c r="FH38" s="68">
        <v>13316</v>
      </c>
      <c r="FI38" s="68">
        <v>25627</v>
      </c>
      <c r="FJ38" s="68">
        <v>25467</v>
      </c>
      <c r="FK38" s="68">
        <v>5643</v>
      </c>
      <c r="FL38" s="68">
        <v>26089</v>
      </c>
      <c r="FM38" s="68">
        <f>SUM(FA38:FL38)</f>
        <v>152691</v>
      </c>
      <c r="FN38" s="68">
        <v>7527</v>
      </c>
      <c r="FO38" s="68">
        <v>24128</v>
      </c>
      <c r="FP38" s="68">
        <v>9616</v>
      </c>
      <c r="FQ38" s="68">
        <v>19125</v>
      </c>
      <c r="FR38" s="68">
        <v>14469</v>
      </c>
      <c r="FS38" s="68">
        <v>16740</v>
      </c>
      <c r="FT38" s="68">
        <v>10620</v>
      </c>
      <c r="FU38" s="68">
        <v>8000</v>
      </c>
      <c r="FV38" s="68">
        <v>2347</v>
      </c>
      <c r="FW38" s="68">
        <v>35875</v>
      </c>
      <c r="FX38" s="68">
        <v>83109</v>
      </c>
      <c r="FY38" s="68">
        <v>37179</v>
      </c>
      <c r="FZ38" s="68">
        <f>SUM(FN38:FY38)</f>
        <v>268735</v>
      </c>
      <c r="GA38" s="68">
        <v>76894</v>
      </c>
      <c r="GB38" s="68">
        <v>26246</v>
      </c>
      <c r="GC38" s="68">
        <v>7221</v>
      </c>
      <c r="GD38" s="68">
        <v>3224</v>
      </c>
      <c r="GE38" s="68">
        <v>25590</v>
      </c>
      <c r="GF38" s="68">
        <v>5520</v>
      </c>
      <c r="GG38" s="68">
        <v>1050</v>
      </c>
      <c r="GH38" s="129">
        <v>0</v>
      </c>
      <c r="GI38" s="129">
        <v>0</v>
      </c>
      <c r="GJ38" s="129">
        <v>0</v>
      </c>
      <c r="GK38" s="68">
        <v>2491</v>
      </c>
      <c r="GL38" s="68">
        <v>45949</v>
      </c>
      <c r="GM38" s="68">
        <f>SUM(GA38:GL38)</f>
        <v>194185</v>
      </c>
      <c r="GN38" s="68">
        <v>7651</v>
      </c>
      <c r="GO38" s="68">
        <v>0</v>
      </c>
      <c r="GP38" s="68">
        <v>0</v>
      </c>
      <c r="GQ38" s="68">
        <v>12509</v>
      </c>
      <c r="GR38" s="68">
        <v>49196</v>
      </c>
      <c r="GS38" s="68">
        <v>17279</v>
      </c>
      <c r="GT38" s="68">
        <v>1159</v>
      </c>
      <c r="GU38" s="68">
        <v>2299</v>
      </c>
      <c r="GV38" s="129">
        <v>0</v>
      </c>
      <c r="GW38" s="129">
        <v>0</v>
      </c>
      <c r="GX38" s="129">
        <v>5347</v>
      </c>
      <c r="GY38" s="68">
        <v>34726</v>
      </c>
      <c r="GZ38" s="68">
        <f>SUM(GN38:GY38)</f>
        <v>130166</v>
      </c>
      <c r="HA38" s="68">
        <v>1800</v>
      </c>
      <c r="HB38" s="68">
        <v>0</v>
      </c>
      <c r="HC38" s="68">
        <v>13510</v>
      </c>
      <c r="HD38" s="68">
        <v>26468</v>
      </c>
      <c r="HE38" s="68">
        <v>26438</v>
      </c>
      <c r="HF38" s="68">
        <v>10554</v>
      </c>
      <c r="HG38" s="129">
        <v>0</v>
      </c>
      <c r="HH38" s="129">
        <v>0</v>
      </c>
      <c r="HI38" s="129">
        <v>0</v>
      </c>
      <c r="HJ38" s="68">
        <v>37436</v>
      </c>
      <c r="HK38" s="68">
        <v>39378</v>
      </c>
      <c r="HL38" s="68">
        <v>37723</v>
      </c>
      <c r="HM38" s="68">
        <f>SUM(HA38:HL38)</f>
        <v>193307</v>
      </c>
      <c r="HN38" s="68">
        <v>7251</v>
      </c>
      <c r="HO38" s="68">
        <v>16506</v>
      </c>
      <c r="HP38" s="68">
        <v>24183</v>
      </c>
      <c r="HQ38" s="68">
        <v>17287</v>
      </c>
      <c r="HR38" s="129">
        <v>0</v>
      </c>
      <c r="HS38" s="129">
        <v>0</v>
      </c>
      <c r="HT38" s="68">
        <v>14078</v>
      </c>
      <c r="HU38" s="68">
        <v>20000</v>
      </c>
      <c r="HV38" s="68">
        <v>17885</v>
      </c>
      <c r="HW38" s="68">
        <v>20947</v>
      </c>
      <c r="HX38" s="68">
        <v>18888</v>
      </c>
      <c r="HY38" s="68">
        <v>10380</v>
      </c>
      <c r="HZ38" s="68">
        <f>SUM(HN38:HY38)</f>
        <v>167405</v>
      </c>
      <c r="IA38" s="186">
        <v>13060</v>
      </c>
      <c r="IB38" s="186">
        <v>18829</v>
      </c>
      <c r="IC38" s="186">
        <v>7731</v>
      </c>
      <c r="ID38" s="186">
        <v>18944</v>
      </c>
      <c r="IE38" s="186">
        <v>1691</v>
      </c>
      <c r="IF38" s="186">
        <v>4847</v>
      </c>
      <c r="IG38" s="186">
        <v>35118</v>
      </c>
      <c r="IH38" s="186">
        <v>35118</v>
      </c>
      <c r="II38" s="186">
        <v>26239</v>
      </c>
      <c r="IJ38" s="186">
        <v>39602</v>
      </c>
      <c r="IK38" s="186">
        <v>19408</v>
      </c>
      <c r="IL38" s="186">
        <v>24320</v>
      </c>
      <c r="IM38" s="186">
        <f>SUM(IA38:IB38)</f>
        <v>31889</v>
      </c>
      <c r="IN38" s="186">
        <v>18737</v>
      </c>
      <c r="IO38" s="186">
        <v>3372</v>
      </c>
      <c r="IP38" s="186">
        <f>IN38+IO38</f>
        <v>22109</v>
      </c>
    </row>
    <row r="39" spans="1:250" ht="15" hidden="1">
      <c r="A39" s="175"/>
      <c r="B39" s="7"/>
      <c r="C39" s="7"/>
      <c r="D39" s="7"/>
      <c r="E39" s="7"/>
      <c r="F39" s="7"/>
      <c r="G39" s="7"/>
      <c r="H39" s="7"/>
      <c r="I39" s="7"/>
      <c r="J39" s="7"/>
      <c r="K39" s="7"/>
      <c r="L39" s="57"/>
      <c r="M39" s="58"/>
      <c r="N39" s="59"/>
      <c r="O39" s="58"/>
      <c r="P39" s="59"/>
      <c r="Q39" s="59"/>
      <c r="R39" s="59"/>
      <c r="S39" s="61"/>
      <c r="T39" s="61"/>
      <c r="U39" s="61"/>
      <c r="V39" s="61"/>
      <c r="W39" s="61"/>
      <c r="X39" s="61"/>
      <c r="Y39" s="59"/>
      <c r="Z39" s="59"/>
      <c r="AA39" s="52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102"/>
      <c r="AP39" s="73"/>
      <c r="AQ39" s="53"/>
      <c r="AR39" s="53"/>
      <c r="AS39" s="64"/>
      <c r="AT39" s="53"/>
      <c r="AU39" s="53"/>
      <c r="AV39" s="65"/>
      <c r="AW39" s="65"/>
      <c r="AX39" s="64"/>
      <c r="AY39" s="53"/>
      <c r="AZ39" s="53"/>
      <c r="BA39" s="102"/>
      <c r="BB39" s="73"/>
      <c r="BC39" s="53"/>
      <c r="BD39" s="53"/>
      <c r="BE39" s="64"/>
      <c r="BF39" s="53"/>
      <c r="BG39" s="53"/>
      <c r="BH39" s="65"/>
      <c r="BI39" s="65"/>
      <c r="BJ39" s="64"/>
      <c r="BK39" s="53"/>
      <c r="BL39" s="53"/>
      <c r="BM39" s="64"/>
      <c r="BN39" s="102"/>
      <c r="BO39" s="102"/>
      <c r="BP39" s="102"/>
      <c r="BQ39" s="53"/>
      <c r="BR39" s="53"/>
      <c r="BS39" s="103"/>
      <c r="BT39" s="103"/>
      <c r="BU39" s="104"/>
      <c r="BV39" s="65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68"/>
      <c r="EY39" s="68"/>
      <c r="EZ39" s="53"/>
      <c r="FA39" s="53"/>
      <c r="FB39" s="53"/>
      <c r="FC39" s="53"/>
      <c r="FD39" s="53"/>
      <c r="FE39" s="53"/>
      <c r="FF39" s="53"/>
      <c r="FG39" s="53"/>
      <c r="FH39" s="53"/>
      <c r="FI39" s="68"/>
      <c r="FJ39" s="68"/>
      <c r="FK39" s="68"/>
      <c r="FL39" s="68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6"/>
      <c r="IO39" s="186"/>
      <c r="IP39" s="186"/>
    </row>
    <row r="40" spans="1:250" ht="15" hidden="1">
      <c r="A40" s="185" t="s">
        <v>49</v>
      </c>
      <c r="B40" s="11"/>
      <c r="C40" s="7"/>
      <c r="D40" s="7"/>
      <c r="E40" s="7"/>
      <c r="F40" s="7"/>
      <c r="G40" s="7"/>
      <c r="H40" s="7"/>
      <c r="I40" s="7"/>
      <c r="J40" s="7"/>
      <c r="K40" s="7"/>
      <c r="L40" s="57"/>
      <c r="M40" s="58"/>
      <c r="N40" s="59"/>
      <c r="O40" s="58"/>
      <c r="P40" s="59"/>
      <c r="Q40" s="59"/>
      <c r="R40" s="59"/>
      <c r="S40" s="61"/>
      <c r="T40" s="61"/>
      <c r="U40" s="61"/>
      <c r="V40" s="61"/>
      <c r="W40" s="61"/>
      <c r="X40" s="61"/>
      <c r="Y40" s="59"/>
      <c r="Z40" s="59"/>
      <c r="AA40" s="52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102"/>
      <c r="AP40" s="73"/>
      <c r="AQ40" s="53"/>
      <c r="AR40" s="53"/>
      <c r="AS40" s="64"/>
      <c r="AT40" s="53"/>
      <c r="AU40" s="53"/>
      <c r="AV40" s="53"/>
      <c r="AW40" s="53"/>
      <c r="AX40" s="64"/>
      <c r="AY40" s="53"/>
      <c r="AZ40" s="53"/>
      <c r="BA40" s="102"/>
      <c r="BB40" s="73"/>
      <c r="BC40" s="53"/>
      <c r="BD40" s="53"/>
      <c r="BE40" s="64"/>
      <c r="BF40" s="53"/>
      <c r="BG40" s="53"/>
      <c r="BH40" s="53"/>
      <c r="BI40" s="53"/>
      <c r="BJ40" s="64"/>
      <c r="BK40" s="53"/>
      <c r="BL40" s="53"/>
      <c r="BM40" s="64"/>
      <c r="BN40" s="102"/>
      <c r="BO40" s="102"/>
      <c r="BP40" s="102"/>
      <c r="BQ40" s="53"/>
      <c r="BR40" s="53"/>
      <c r="BS40" s="103"/>
      <c r="BT40" s="103"/>
      <c r="BU40" s="7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68"/>
      <c r="EY40" s="68"/>
      <c r="EZ40" s="53"/>
      <c r="FA40" s="53"/>
      <c r="FB40" s="53"/>
      <c r="FC40" s="53"/>
      <c r="FD40" s="53"/>
      <c r="FE40" s="53"/>
      <c r="FF40" s="53"/>
      <c r="FG40" s="53"/>
      <c r="FH40" s="53"/>
      <c r="FI40" s="68"/>
      <c r="FJ40" s="68"/>
      <c r="FK40" s="68"/>
      <c r="FL40" s="68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6"/>
      <c r="IO40" s="186"/>
      <c r="IP40" s="186"/>
    </row>
    <row r="41" spans="1:250" ht="15" hidden="1">
      <c r="A41" s="185" t="s">
        <v>50</v>
      </c>
      <c r="B41" s="11"/>
      <c r="C41" s="7"/>
      <c r="D41" s="7"/>
      <c r="E41" s="7"/>
      <c r="F41" s="7"/>
      <c r="G41" s="7"/>
      <c r="H41" s="7"/>
      <c r="I41" s="7"/>
      <c r="J41" s="7"/>
      <c r="K41" s="7"/>
      <c r="L41" s="57"/>
      <c r="M41" s="58"/>
      <c r="N41" s="59"/>
      <c r="O41" s="58"/>
      <c r="P41" s="59"/>
      <c r="Q41" s="59"/>
      <c r="R41" s="59"/>
      <c r="S41" s="61"/>
      <c r="T41" s="61"/>
      <c r="U41" s="61"/>
      <c r="V41" s="61"/>
      <c r="W41" s="61"/>
      <c r="X41" s="61"/>
      <c r="Y41" s="105"/>
      <c r="Z41" s="105"/>
      <c r="AA41" s="5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102"/>
      <c r="AP41" s="73"/>
      <c r="AQ41" s="53"/>
      <c r="AR41" s="53"/>
      <c r="AS41" s="64"/>
      <c r="AT41" s="53"/>
      <c r="AU41" s="53"/>
      <c r="AV41" s="53"/>
      <c r="AW41" s="53"/>
      <c r="AX41" s="64"/>
      <c r="AY41" s="53"/>
      <c r="AZ41" s="53"/>
      <c r="BA41" s="102"/>
      <c r="BB41" s="73"/>
      <c r="BC41" s="53"/>
      <c r="BD41" s="53"/>
      <c r="BE41" s="64"/>
      <c r="BF41" s="53"/>
      <c r="BG41" s="53"/>
      <c r="BH41" s="53"/>
      <c r="BI41" s="53"/>
      <c r="BJ41" s="64"/>
      <c r="BK41" s="53"/>
      <c r="BL41" s="53"/>
      <c r="BM41" s="64"/>
      <c r="BN41" s="102"/>
      <c r="BO41" s="102"/>
      <c r="BP41" s="102"/>
      <c r="BQ41" s="53"/>
      <c r="BR41" s="53"/>
      <c r="BS41" s="103"/>
      <c r="BT41" s="103"/>
      <c r="BU41" s="7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68"/>
      <c r="EY41" s="68"/>
      <c r="EZ41" s="53"/>
      <c r="FA41" s="53"/>
      <c r="FB41" s="53"/>
      <c r="FC41" s="53"/>
      <c r="FD41" s="53"/>
      <c r="FE41" s="53"/>
      <c r="FF41" s="53"/>
      <c r="FG41" s="53"/>
      <c r="FH41" s="53"/>
      <c r="FI41" s="68"/>
      <c r="FJ41" s="68"/>
      <c r="FK41" s="68"/>
      <c r="FL41" s="68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6"/>
      <c r="IO41" s="186"/>
      <c r="IP41" s="186"/>
    </row>
    <row r="42" spans="1:250" ht="15" hidden="1">
      <c r="A42" s="175"/>
      <c r="B42" s="7"/>
      <c r="C42" s="7"/>
      <c r="D42" s="7"/>
      <c r="E42" s="7"/>
      <c r="F42" s="7"/>
      <c r="G42" s="7"/>
      <c r="H42" s="7"/>
      <c r="I42" s="7"/>
      <c r="J42" s="7"/>
      <c r="K42" s="7"/>
      <c r="L42" s="57"/>
      <c r="M42" s="58"/>
      <c r="N42" s="59"/>
      <c r="O42" s="58"/>
      <c r="P42" s="59"/>
      <c r="Q42" s="59"/>
      <c r="R42" s="59"/>
      <c r="S42" s="61"/>
      <c r="T42" s="61"/>
      <c r="U42" s="61"/>
      <c r="V42" s="61"/>
      <c r="W42" s="61"/>
      <c r="X42" s="61"/>
      <c r="Y42" s="59"/>
      <c r="Z42" s="59"/>
      <c r="AA42" s="52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102"/>
      <c r="AP42" s="73"/>
      <c r="AQ42" s="53"/>
      <c r="AR42" s="53"/>
      <c r="AS42" s="64"/>
      <c r="AT42" s="53"/>
      <c r="AU42" s="53"/>
      <c r="AV42" s="53"/>
      <c r="AW42" s="53"/>
      <c r="AX42" s="64"/>
      <c r="AY42" s="53"/>
      <c r="AZ42" s="53"/>
      <c r="BA42" s="102"/>
      <c r="BB42" s="73"/>
      <c r="BC42" s="53"/>
      <c r="BD42" s="53"/>
      <c r="BE42" s="64"/>
      <c r="BF42" s="53"/>
      <c r="BG42" s="53"/>
      <c r="BH42" s="53"/>
      <c r="BI42" s="53"/>
      <c r="BJ42" s="64"/>
      <c r="BK42" s="53"/>
      <c r="BL42" s="53"/>
      <c r="BM42" s="64"/>
      <c r="BN42" s="102"/>
      <c r="BO42" s="102"/>
      <c r="BP42" s="102"/>
      <c r="BQ42" s="53"/>
      <c r="BR42" s="53"/>
      <c r="BS42" s="103"/>
      <c r="BT42" s="103"/>
      <c r="BU42" s="7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68"/>
      <c r="EY42" s="68"/>
      <c r="EZ42" s="53"/>
      <c r="FA42" s="53"/>
      <c r="FB42" s="53"/>
      <c r="FC42" s="53"/>
      <c r="FD42" s="53"/>
      <c r="FE42" s="53"/>
      <c r="FF42" s="53"/>
      <c r="FG42" s="53"/>
      <c r="FH42" s="53"/>
      <c r="FI42" s="68"/>
      <c r="FJ42" s="68"/>
      <c r="FK42" s="68"/>
      <c r="FL42" s="68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6"/>
      <c r="IO42" s="186"/>
      <c r="IP42" s="186"/>
    </row>
    <row r="43" spans="1:250" ht="15" hidden="1">
      <c r="A43" s="185" t="s">
        <v>68</v>
      </c>
      <c r="B43" s="153">
        <v>364195</v>
      </c>
      <c r="C43" s="56">
        <v>402404</v>
      </c>
      <c r="D43" s="56">
        <v>341622</v>
      </c>
      <c r="E43" s="56">
        <v>305365</v>
      </c>
      <c r="F43" s="56">
        <v>280124</v>
      </c>
      <c r="G43" s="56">
        <v>325909</v>
      </c>
      <c r="H43" s="56">
        <v>275969</v>
      </c>
      <c r="I43" s="56">
        <v>196212</v>
      </c>
      <c r="J43" s="56">
        <v>242669</v>
      </c>
      <c r="K43" s="56">
        <v>248438</v>
      </c>
      <c r="L43" s="57">
        <v>137708</v>
      </c>
      <c r="M43" s="58">
        <v>116245</v>
      </c>
      <c r="N43" s="59">
        <v>217268</v>
      </c>
      <c r="O43" s="58">
        <v>174407</v>
      </c>
      <c r="P43" s="59">
        <v>136028</v>
      </c>
      <c r="Q43" s="59">
        <v>141854</v>
      </c>
      <c r="R43" s="59">
        <v>121598</v>
      </c>
      <c r="S43" s="61">
        <v>103576</v>
      </c>
      <c r="T43" s="59">
        <v>123217</v>
      </c>
      <c r="U43" s="59">
        <v>106756</v>
      </c>
      <c r="V43" s="59">
        <v>43253</v>
      </c>
      <c r="W43" s="81" t="s">
        <v>64</v>
      </c>
      <c r="X43" s="81" t="s">
        <v>64</v>
      </c>
      <c r="Y43" s="81" t="s">
        <v>64</v>
      </c>
      <c r="Z43" s="81" t="s">
        <v>64</v>
      </c>
      <c r="AA43" s="106" t="s">
        <v>64</v>
      </c>
      <c r="AB43" s="78" t="s">
        <v>64</v>
      </c>
      <c r="AC43" s="78" t="s">
        <v>64</v>
      </c>
      <c r="AD43" s="78" t="s">
        <v>64</v>
      </c>
      <c r="AE43" s="81" t="s">
        <v>64</v>
      </c>
      <c r="AF43" s="81"/>
      <c r="AG43" s="81"/>
      <c r="AH43" s="81"/>
      <c r="AI43" s="81"/>
      <c r="AJ43" s="81"/>
      <c r="AK43" s="81"/>
      <c r="AL43" s="81"/>
      <c r="AM43" s="81"/>
      <c r="AN43" s="81"/>
      <c r="AO43" s="81" t="s">
        <v>64</v>
      </c>
      <c r="AP43" s="81" t="s">
        <v>64</v>
      </c>
      <c r="AQ43" s="81" t="s">
        <v>64</v>
      </c>
      <c r="AR43" s="81" t="s">
        <v>64</v>
      </c>
      <c r="AS43" s="81" t="s">
        <v>64</v>
      </c>
      <c r="AT43" s="81" t="s">
        <v>64</v>
      </c>
      <c r="AU43" s="81" t="s">
        <v>64</v>
      </c>
      <c r="AV43" s="81" t="s">
        <v>64</v>
      </c>
      <c r="AW43" s="81" t="s">
        <v>64</v>
      </c>
      <c r="AX43" s="81" t="s">
        <v>64</v>
      </c>
      <c r="AY43" s="81" t="s">
        <v>64</v>
      </c>
      <c r="AZ43" s="81" t="s">
        <v>64</v>
      </c>
      <c r="BA43" s="81" t="s">
        <v>64</v>
      </c>
      <c r="BB43" s="81" t="s">
        <v>64</v>
      </c>
      <c r="BC43" s="81" t="s">
        <v>64</v>
      </c>
      <c r="BD43" s="81" t="s">
        <v>64</v>
      </c>
      <c r="BE43" s="81" t="s">
        <v>64</v>
      </c>
      <c r="BF43" s="78" t="s">
        <v>64</v>
      </c>
      <c r="BG43" s="81" t="s">
        <v>64</v>
      </c>
      <c r="BH43" s="81" t="s">
        <v>64</v>
      </c>
      <c r="BI43" s="81" t="s">
        <v>64</v>
      </c>
      <c r="BJ43" s="81" t="s">
        <v>64</v>
      </c>
      <c r="BK43" s="81" t="s">
        <v>64</v>
      </c>
      <c r="BL43" s="81" t="s">
        <v>64</v>
      </c>
      <c r="BM43" s="81" t="s">
        <v>64</v>
      </c>
      <c r="BN43" s="78" t="s">
        <v>64</v>
      </c>
      <c r="BO43" s="78" t="s">
        <v>64</v>
      </c>
      <c r="BP43" s="78" t="s">
        <v>64</v>
      </c>
      <c r="BQ43" s="78" t="s">
        <v>64</v>
      </c>
      <c r="BR43" s="78" t="s">
        <v>64</v>
      </c>
      <c r="BS43" s="78" t="s">
        <v>64</v>
      </c>
      <c r="BT43" s="78" t="s">
        <v>64</v>
      </c>
      <c r="BU43" s="78" t="s">
        <v>64</v>
      </c>
      <c r="BV43" s="78" t="s">
        <v>64</v>
      </c>
      <c r="BW43" s="78" t="s">
        <v>64</v>
      </c>
      <c r="BX43" s="78" t="s">
        <v>64</v>
      </c>
      <c r="BY43" s="78" t="s">
        <v>64</v>
      </c>
      <c r="BZ43" s="78" t="s">
        <v>64</v>
      </c>
      <c r="CA43" s="78" t="s">
        <v>64</v>
      </c>
      <c r="CB43" s="78" t="s">
        <v>64</v>
      </c>
      <c r="CC43" s="78" t="s">
        <v>64</v>
      </c>
      <c r="CD43" s="78" t="s">
        <v>64</v>
      </c>
      <c r="CE43" s="78" t="s">
        <v>64</v>
      </c>
      <c r="CF43" s="78" t="s">
        <v>64</v>
      </c>
      <c r="CG43" s="78" t="s">
        <v>64</v>
      </c>
      <c r="CH43" s="78" t="s">
        <v>64</v>
      </c>
      <c r="CI43" s="78" t="s">
        <v>64</v>
      </c>
      <c r="CJ43" s="78" t="s">
        <v>64</v>
      </c>
      <c r="CK43" s="78" t="s">
        <v>64</v>
      </c>
      <c r="CL43" s="78" t="s">
        <v>64</v>
      </c>
      <c r="CM43" s="78" t="s">
        <v>64</v>
      </c>
      <c r="CN43" s="78" t="s">
        <v>64</v>
      </c>
      <c r="CO43" s="78" t="s">
        <v>64</v>
      </c>
      <c r="CP43" s="78" t="s">
        <v>64</v>
      </c>
      <c r="CQ43" s="78" t="s">
        <v>64</v>
      </c>
      <c r="CR43" s="78"/>
      <c r="CS43" s="78"/>
      <c r="CT43" s="78"/>
      <c r="CU43" s="78"/>
      <c r="CV43" s="78"/>
      <c r="CW43" s="78"/>
      <c r="CX43" s="78"/>
      <c r="CY43" s="78"/>
      <c r="CZ43" s="78" t="s">
        <v>64</v>
      </c>
      <c r="DA43" s="78" t="s">
        <v>64</v>
      </c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 t="s">
        <v>64</v>
      </c>
      <c r="DN43" s="78" t="s">
        <v>64</v>
      </c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 t="s">
        <v>64</v>
      </c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139"/>
      <c r="EY43" s="139"/>
      <c r="EZ43" s="78"/>
      <c r="FA43" s="78"/>
      <c r="FB43" s="78"/>
      <c r="FC43" s="78"/>
      <c r="FD43" s="78"/>
      <c r="FE43" s="78"/>
      <c r="FF43" s="78"/>
      <c r="FG43" s="78"/>
      <c r="FH43" s="78"/>
      <c r="FI43" s="139"/>
      <c r="FJ43" s="139"/>
      <c r="FK43" s="139"/>
      <c r="FL43" s="139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190"/>
      <c r="IB43" s="190"/>
      <c r="IC43" s="190"/>
      <c r="ID43" s="190"/>
      <c r="IE43" s="190"/>
      <c r="IF43" s="190"/>
      <c r="IG43" s="190"/>
      <c r="IH43" s="190"/>
      <c r="II43" s="190"/>
      <c r="IJ43" s="190"/>
      <c r="IK43" s="190"/>
      <c r="IL43" s="190"/>
      <c r="IM43" s="190"/>
      <c r="IN43" s="213"/>
      <c r="IO43" s="213"/>
      <c r="IP43" s="213"/>
    </row>
    <row r="44" spans="1:250" ht="15" hidden="1">
      <c r="A44" s="185" t="s">
        <v>51</v>
      </c>
      <c r="B44" s="153">
        <v>9965762</v>
      </c>
      <c r="C44" s="56">
        <v>10260145</v>
      </c>
      <c r="D44" s="56">
        <v>10977485</v>
      </c>
      <c r="E44" s="56">
        <v>12461371</v>
      </c>
      <c r="F44" s="56">
        <v>14386899</v>
      </c>
      <c r="G44" s="56">
        <v>12588559</v>
      </c>
      <c r="H44" s="56">
        <v>11288531</v>
      </c>
      <c r="I44" s="56">
        <v>8683316</v>
      </c>
      <c r="J44" s="56">
        <v>4901301</v>
      </c>
      <c r="K44" s="56">
        <v>4596402</v>
      </c>
      <c r="L44" s="57">
        <v>3999937</v>
      </c>
      <c r="M44" s="58">
        <v>4478415</v>
      </c>
      <c r="N44" s="59">
        <v>4974182</v>
      </c>
      <c r="O44" s="58">
        <v>7080204</v>
      </c>
      <c r="P44" s="59">
        <v>8187438.6</v>
      </c>
      <c r="Q44" s="59">
        <v>4128505</v>
      </c>
      <c r="R44" s="59">
        <v>6041378</v>
      </c>
      <c r="S44" s="61">
        <v>6535825</v>
      </c>
      <c r="T44" s="59">
        <v>7158943</v>
      </c>
      <c r="U44" s="59">
        <v>5544464</v>
      </c>
      <c r="V44" s="59">
        <v>4811254</v>
      </c>
      <c r="W44" s="59">
        <v>2865621</v>
      </c>
      <c r="X44" s="81" t="s">
        <v>64</v>
      </c>
      <c r="Y44" s="81" t="s">
        <v>64</v>
      </c>
      <c r="Z44" s="81" t="s">
        <v>64</v>
      </c>
      <c r="AA44" s="106" t="s">
        <v>64</v>
      </c>
      <c r="AB44" s="78" t="s">
        <v>64</v>
      </c>
      <c r="AC44" s="78" t="s">
        <v>64</v>
      </c>
      <c r="AD44" s="78" t="s">
        <v>64</v>
      </c>
      <c r="AE44" s="81" t="s">
        <v>64</v>
      </c>
      <c r="AF44" s="81"/>
      <c r="AG44" s="81"/>
      <c r="AH44" s="81"/>
      <c r="AI44" s="81"/>
      <c r="AJ44" s="81"/>
      <c r="AK44" s="81"/>
      <c r="AL44" s="81"/>
      <c r="AM44" s="81"/>
      <c r="AN44" s="81"/>
      <c r="AO44" s="81" t="s">
        <v>64</v>
      </c>
      <c r="AP44" s="81" t="s">
        <v>64</v>
      </c>
      <c r="AQ44" s="81" t="s">
        <v>64</v>
      </c>
      <c r="AR44" s="81" t="s">
        <v>64</v>
      </c>
      <c r="AS44" s="81" t="s">
        <v>64</v>
      </c>
      <c r="AT44" s="81" t="s">
        <v>64</v>
      </c>
      <c r="AU44" s="81" t="s">
        <v>64</v>
      </c>
      <c r="AV44" s="81" t="s">
        <v>64</v>
      </c>
      <c r="AW44" s="81" t="s">
        <v>64</v>
      </c>
      <c r="AX44" s="81" t="s">
        <v>64</v>
      </c>
      <c r="AY44" s="81" t="s">
        <v>64</v>
      </c>
      <c r="AZ44" s="81" t="s">
        <v>64</v>
      </c>
      <c r="BA44" s="81" t="s">
        <v>64</v>
      </c>
      <c r="BB44" s="81" t="s">
        <v>64</v>
      </c>
      <c r="BC44" s="81" t="s">
        <v>64</v>
      </c>
      <c r="BD44" s="81" t="s">
        <v>64</v>
      </c>
      <c r="BE44" s="81" t="s">
        <v>64</v>
      </c>
      <c r="BF44" s="78" t="s">
        <v>64</v>
      </c>
      <c r="BG44" s="81" t="s">
        <v>64</v>
      </c>
      <c r="BH44" s="81" t="s">
        <v>64</v>
      </c>
      <c r="BI44" s="81" t="s">
        <v>64</v>
      </c>
      <c r="BJ44" s="81" t="s">
        <v>64</v>
      </c>
      <c r="BK44" s="81" t="s">
        <v>64</v>
      </c>
      <c r="BL44" s="81" t="s">
        <v>64</v>
      </c>
      <c r="BM44" s="81" t="s">
        <v>64</v>
      </c>
      <c r="BN44" s="78" t="s">
        <v>64</v>
      </c>
      <c r="BO44" s="78" t="s">
        <v>64</v>
      </c>
      <c r="BP44" s="78" t="s">
        <v>64</v>
      </c>
      <c r="BQ44" s="78" t="s">
        <v>64</v>
      </c>
      <c r="BR44" s="78" t="s">
        <v>64</v>
      </c>
      <c r="BS44" s="78" t="s">
        <v>64</v>
      </c>
      <c r="BT44" s="78" t="s">
        <v>64</v>
      </c>
      <c r="BU44" s="78" t="s">
        <v>64</v>
      </c>
      <c r="BV44" s="78" t="s">
        <v>64</v>
      </c>
      <c r="BW44" s="78" t="s">
        <v>64</v>
      </c>
      <c r="BX44" s="78" t="s">
        <v>64</v>
      </c>
      <c r="BY44" s="78" t="s">
        <v>64</v>
      </c>
      <c r="BZ44" s="78" t="s">
        <v>64</v>
      </c>
      <c r="CA44" s="78" t="s">
        <v>64</v>
      </c>
      <c r="CB44" s="78" t="s">
        <v>64</v>
      </c>
      <c r="CC44" s="78" t="s">
        <v>64</v>
      </c>
      <c r="CD44" s="78" t="s">
        <v>64</v>
      </c>
      <c r="CE44" s="78" t="s">
        <v>64</v>
      </c>
      <c r="CF44" s="78" t="s">
        <v>64</v>
      </c>
      <c r="CG44" s="78" t="s">
        <v>64</v>
      </c>
      <c r="CH44" s="78" t="s">
        <v>64</v>
      </c>
      <c r="CI44" s="78" t="s">
        <v>64</v>
      </c>
      <c r="CJ44" s="78" t="s">
        <v>64</v>
      </c>
      <c r="CK44" s="78" t="s">
        <v>64</v>
      </c>
      <c r="CL44" s="78" t="s">
        <v>64</v>
      </c>
      <c r="CM44" s="78" t="s">
        <v>64</v>
      </c>
      <c r="CN44" s="78" t="s">
        <v>64</v>
      </c>
      <c r="CO44" s="78" t="s">
        <v>64</v>
      </c>
      <c r="CP44" s="78" t="s">
        <v>64</v>
      </c>
      <c r="CQ44" s="78" t="s">
        <v>64</v>
      </c>
      <c r="CR44" s="78"/>
      <c r="CS44" s="78"/>
      <c r="CT44" s="78"/>
      <c r="CU44" s="78"/>
      <c r="CV44" s="78"/>
      <c r="CW44" s="78"/>
      <c r="CX44" s="78"/>
      <c r="CY44" s="78"/>
      <c r="CZ44" s="78" t="s">
        <v>64</v>
      </c>
      <c r="DA44" s="78" t="s">
        <v>64</v>
      </c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 t="s">
        <v>64</v>
      </c>
      <c r="DN44" s="78" t="s">
        <v>64</v>
      </c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 t="s">
        <v>64</v>
      </c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139"/>
      <c r="EY44" s="139"/>
      <c r="EZ44" s="78"/>
      <c r="FA44" s="78"/>
      <c r="FB44" s="78"/>
      <c r="FC44" s="78"/>
      <c r="FD44" s="78"/>
      <c r="FE44" s="78"/>
      <c r="FF44" s="78"/>
      <c r="FG44" s="78"/>
      <c r="FH44" s="78"/>
      <c r="FI44" s="139"/>
      <c r="FJ44" s="139"/>
      <c r="FK44" s="139"/>
      <c r="FL44" s="139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190"/>
      <c r="IB44" s="190"/>
      <c r="IC44" s="190"/>
      <c r="ID44" s="190"/>
      <c r="IE44" s="190"/>
      <c r="IF44" s="190"/>
      <c r="IG44" s="190"/>
      <c r="IH44" s="190"/>
      <c r="II44" s="190"/>
      <c r="IJ44" s="190"/>
      <c r="IK44" s="190"/>
      <c r="IL44" s="190"/>
      <c r="IM44" s="190"/>
      <c r="IN44" s="213"/>
      <c r="IO44" s="213"/>
      <c r="IP44" s="213"/>
    </row>
    <row r="45" spans="1:250" ht="15" hidden="1">
      <c r="A45" s="185" t="s">
        <v>52</v>
      </c>
      <c r="B45" s="11"/>
      <c r="C45" s="56">
        <v>367840</v>
      </c>
      <c r="D45" s="56">
        <v>398331</v>
      </c>
      <c r="E45" s="56">
        <v>148976</v>
      </c>
      <c r="F45" s="56">
        <v>288794</v>
      </c>
      <c r="G45" s="56">
        <v>191929</v>
      </c>
      <c r="H45" s="56">
        <v>296168</v>
      </c>
      <c r="I45" s="56">
        <v>450567</v>
      </c>
      <c r="J45" s="56">
        <v>405248</v>
      </c>
      <c r="K45" s="56">
        <v>74890</v>
      </c>
      <c r="L45" s="57">
        <v>10000</v>
      </c>
      <c r="M45" s="84" t="s">
        <v>33</v>
      </c>
      <c r="N45" s="79" t="s">
        <v>33</v>
      </c>
      <c r="O45" s="84" t="s">
        <v>33</v>
      </c>
      <c r="P45" s="79" t="s">
        <v>33</v>
      </c>
      <c r="Q45" s="79"/>
      <c r="R45" s="79"/>
      <c r="S45" s="80"/>
      <c r="T45" s="80"/>
      <c r="U45" s="80"/>
      <c r="V45" s="80"/>
      <c r="W45" s="80"/>
      <c r="X45" s="80"/>
      <c r="Y45" s="79">
        <v>0</v>
      </c>
      <c r="Z45" s="79"/>
      <c r="AA45" s="52"/>
      <c r="AB45" s="53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53"/>
      <c r="AP45" s="73"/>
      <c r="AQ45" s="53"/>
      <c r="AR45" s="53"/>
      <c r="AS45" s="64"/>
      <c r="AT45" s="53"/>
      <c r="AU45" s="53"/>
      <c r="AV45" s="53"/>
      <c r="AW45" s="53"/>
      <c r="AX45" s="64"/>
      <c r="AY45" s="53"/>
      <c r="AZ45" s="53"/>
      <c r="BA45" s="53"/>
      <c r="BB45" s="73"/>
      <c r="BC45" s="53"/>
      <c r="BD45" s="53"/>
      <c r="BE45" s="64"/>
      <c r="BF45" s="53"/>
      <c r="BG45" s="53"/>
      <c r="BH45" s="53"/>
      <c r="BI45" s="53"/>
      <c r="BJ45" s="64"/>
      <c r="BK45" s="53"/>
      <c r="BL45" s="53"/>
      <c r="BM45" s="64"/>
      <c r="BN45" s="53"/>
      <c r="BO45" s="53"/>
      <c r="BP45" s="53"/>
      <c r="BQ45" s="73"/>
      <c r="BR45" s="53"/>
      <c r="BS45" s="103"/>
      <c r="BT45" s="103"/>
      <c r="BU45" s="7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62" t="s">
        <v>64</v>
      </c>
      <c r="CI45" s="62" t="s">
        <v>64</v>
      </c>
      <c r="CJ45" s="62" t="s">
        <v>64</v>
      </c>
      <c r="CK45" s="62"/>
      <c r="CL45" s="62"/>
      <c r="CM45" s="62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68"/>
      <c r="EY45" s="68"/>
      <c r="EZ45" s="53"/>
      <c r="FA45" s="53"/>
      <c r="FB45" s="53"/>
      <c r="FC45" s="53"/>
      <c r="FD45" s="53"/>
      <c r="FE45" s="53"/>
      <c r="FF45" s="53"/>
      <c r="FG45" s="53"/>
      <c r="FH45" s="53"/>
      <c r="FI45" s="68"/>
      <c r="FJ45" s="68"/>
      <c r="FK45" s="68"/>
      <c r="FL45" s="68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6"/>
      <c r="IO45" s="186"/>
      <c r="IP45" s="186"/>
    </row>
    <row r="46" spans="1:250" ht="15">
      <c r="A46" s="175"/>
      <c r="B46" s="7"/>
      <c r="C46" s="7"/>
      <c r="D46" s="7"/>
      <c r="E46" s="7"/>
      <c r="F46" s="7"/>
      <c r="G46" s="7"/>
      <c r="H46" s="7"/>
      <c r="I46" s="7"/>
      <c r="J46" s="7"/>
      <c r="K46" s="7"/>
      <c r="L46" s="57"/>
      <c r="M46" s="58"/>
      <c r="N46" s="59"/>
      <c r="O46" s="58"/>
      <c r="P46" s="59"/>
      <c r="Q46" s="59"/>
      <c r="R46" s="59"/>
      <c r="S46" s="61"/>
      <c r="T46" s="61"/>
      <c r="U46" s="61"/>
      <c r="V46" s="61"/>
      <c r="W46" s="61"/>
      <c r="X46" s="61"/>
      <c r="Y46" s="59"/>
      <c r="Z46" s="59"/>
      <c r="AA46" s="52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73"/>
      <c r="AQ46" s="53"/>
      <c r="AR46" s="53"/>
      <c r="AS46" s="64"/>
      <c r="AT46" s="53"/>
      <c r="AU46" s="53"/>
      <c r="AV46" s="53"/>
      <c r="AW46" s="53"/>
      <c r="AX46" s="64"/>
      <c r="AY46" s="53"/>
      <c r="AZ46" s="53"/>
      <c r="BA46" s="53"/>
      <c r="BB46" s="73"/>
      <c r="BC46" s="53"/>
      <c r="BD46" s="53"/>
      <c r="BE46" s="64"/>
      <c r="BF46" s="53"/>
      <c r="BG46" s="53"/>
      <c r="BH46" s="53"/>
      <c r="BI46" s="53"/>
      <c r="BJ46" s="64"/>
      <c r="BK46" s="53"/>
      <c r="BL46" s="53"/>
      <c r="BM46" s="64"/>
      <c r="BN46" s="53"/>
      <c r="BO46" s="53"/>
      <c r="BP46" s="53"/>
      <c r="BQ46" s="53"/>
      <c r="BR46" s="53"/>
      <c r="BS46" s="103"/>
      <c r="BT46" s="103"/>
      <c r="BU46" s="7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68"/>
      <c r="EN46" s="53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53"/>
      <c r="FA46" s="53"/>
      <c r="FB46" s="53"/>
      <c r="FC46" s="53"/>
      <c r="FD46" s="53"/>
      <c r="FE46" s="53"/>
      <c r="FF46" s="53"/>
      <c r="FG46" s="53"/>
      <c r="FH46" s="53"/>
      <c r="FI46" s="68"/>
      <c r="FJ46" s="68"/>
      <c r="FK46" s="68"/>
      <c r="FL46" s="68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68"/>
      <c r="HA46" s="53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6"/>
      <c r="IO46" s="186"/>
      <c r="IP46" s="186"/>
    </row>
    <row r="47" spans="1:250" ht="15">
      <c r="A47" s="181" t="s">
        <v>53</v>
      </c>
      <c r="B47" s="11"/>
      <c r="C47" s="7"/>
      <c r="D47" s="7"/>
      <c r="E47" s="7"/>
      <c r="F47" s="7"/>
      <c r="G47" s="7"/>
      <c r="H47" s="7"/>
      <c r="I47" s="7"/>
      <c r="J47" s="7"/>
      <c r="K47" s="7"/>
      <c r="L47" s="57"/>
      <c r="M47" s="58"/>
      <c r="N47" s="59"/>
      <c r="O47" s="58"/>
      <c r="P47" s="59"/>
      <c r="Q47" s="59"/>
      <c r="R47" s="59"/>
      <c r="S47" s="61"/>
      <c r="T47" s="61"/>
      <c r="U47" s="61"/>
      <c r="V47" s="61"/>
      <c r="W47" s="61"/>
      <c r="X47" s="61"/>
      <c r="Y47" s="59"/>
      <c r="Z47" s="59"/>
      <c r="AA47" s="52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73"/>
      <c r="AQ47" s="53"/>
      <c r="AR47" s="53"/>
      <c r="AS47" s="64"/>
      <c r="AT47" s="53"/>
      <c r="AU47" s="53"/>
      <c r="AV47" s="53"/>
      <c r="AW47" s="53"/>
      <c r="AX47" s="64"/>
      <c r="AY47" s="53"/>
      <c r="AZ47" s="53"/>
      <c r="BA47" s="53"/>
      <c r="BB47" s="73"/>
      <c r="BC47" s="53"/>
      <c r="BD47" s="53"/>
      <c r="BE47" s="64"/>
      <c r="BF47" s="53"/>
      <c r="BG47" s="53"/>
      <c r="BH47" s="53"/>
      <c r="BI47" s="53"/>
      <c r="BJ47" s="64"/>
      <c r="BK47" s="53"/>
      <c r="BL47" s="53"/>
      <c r="BM47" s="64"/>
      <c r="BN47" s="53"/>
      <c r="BO47" s="53"/>
      <c r="BP47" s="53"/>
      <c r="BQ47" s="53"/>
      <c r="BR47" s="53"/>
      <c r="BS47" s="103"/>
      <c r="BT47" s="103"/>
      <c r="BU47" s="7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68"/>
      <c r="EY47" s="68"/>
      <c r="EZ47" s="53"/>
      <c r="FA47" s="53"/>
      <c r="FB47" s="53"/>
      <c r="FC47" s="53"/>
      <c r="FD47" s="53"/>
      <c r="FE47" s="53"/>
      <c r="FF47" s="53"/>
      <c r="FG47" s="53"/>
      <c r="FH47" s="53"/>
      <c r="FI47" s="68"/>
      <c r="FJ47" s="68"/>
      <c r="FK47" s="68"/>
      <c r="FL47" s="68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  <c r="IL47" s="184"/>
      <c r="IM47" s="184"/>
      <c r="IN47" s="186"/>
      <c r="IO47" s="186"/>
      <c r="IP47" s="186"/>
    </row>
    <row r="48" spans="1:250" ht="15">
      <c r="A48" s="175"/>
      <c r="B48" s="7"/>
      <c r="C48" s="7"/>
      <c r="D48" s="7"/>
      <c r="E48" s="7"/>
      <c r="F48" s="7"/>
      <c r="G48" s="7"/>
      <c r="H48" s="7"/>
      <c r="I48" s="7"/>
      <c r="J48" s="7"/>
      <c r="K48" s="7"/>
      <c r="L48" s="57"/>
      <c r="M48" s="58"/>
      <c r="N48" s="59"/>
      <c r="O48" s="58"/>
      <c r="P48" s="59"/>
      <c r="Q48" s="59"/>
      <c r="R48" s="59"/>
      <c r="S48" s="61"/>
      <c r="T48" s="61"/>
      <c r="U48" s="61"/>
      <c r="V48" s="61"/>
      <c r="W48" s="61"/>
      <c r="X48" s="61"/>
      <c r="Y48" s="59"/>
      <c r="Z48" s="59"/>
      <c r="AA48" s="52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73"/>
      <c r="AQ48" s="53"/>
      <c r="AR48" s="53"/>
      <c r="AS48" s="64"/>
      <c r="AT48" s="53"/>
      <c r="AU48" s="53"/>
      <c r="AV48" s="53"/>
      <c r="AW48" s="53"/>
      <c r="AX48" s="64"/>
      <c r="AY48" s="53"/>
      <c r="AZ48" s="53"/>
      <c r="BA48" s="53"/>
      <c r="BB48" s="73"/>
      <c r="BC48" s="53"/>
      <c r="BD48" s="53"/>
      <c r="BE48" s="64"/>
      <c r="BF48" s="53"/>
      <c r="BG48" s="53"/>
      <c r="BH48" s="53"/>
      <c r="BI48" s="53"/>
      <c r="BJ48" s="64"/>
      <c r="BK48" s="53"/>
      <c r="BL48" s="53"/>
      <c r="BM48" s="64"/>
      <c r="BN48" s="53"/>
      <c r="BO48" s="53"/>
      <c r="BP48" s="53"/>
      <c r="BQ48" s="53"/>
      <c r="BR48" s="53"/>
      <c r="BS48" s="103"/>
      <c r="BT48" s="103"/>
      <c r="BU48" s="7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</row>
    <row r="49" spans="1:250" ht="15">
      <c r="A49" s="185" t="s">
        <v>54</v>
      </c>
      <c r="B49" s="14">
        <v>161299</v>
      </c>
      <c r="C49" s="56">
        <v>155620</v>
      </c>
      <c r="D49" s="56">
        <v>206099</v>
      </c>
      <c r="E49" s="56">
        <v>201761</v>
      </c>
      <c r="F49" s="56">
        <v>267716</v>
      </c>
      <c r="G49" s="56">
        <v>177557</v>
      </c>
      <c r="H49" s="56">
        <v>129515</v>
      </c>
      <c r="I49" s="56">
        <v>257010</v>
      </c>
      <c r="J49" s="56">
        <v>228448</v>
      </c>
      <c r="K49" s="56">
        <v>188269</v>
      </c>
      <c r="L49" s="57">
        <v>213544</v>
      </c>
      <c r="M49" s="58">
        <v>113054</v>
      </c>
      <c r="N49" s="59">
        <v>68124</v>
      </c>
      <c r="O49" s="58">
        <v>55573</v>
      </c>
      <c r="P49" s="59">
        <v>51821</v>
      </c>
      <c r="Q49" s="59">
        <v>54562</v>
      </c>
      <c r="R49" s="59">
        <v>93561</v>
      </c>
      <c r="S49" s="61">
        <v>96025</v>
      </c>
      <c r="T49" s="59">
        <v>68348</v>
      </c>
      <c r="U49" s="59">
        <v>91867</v>
      </c>
      <c r="V49" s="59">
        <v>114929</v>
      </c>
      <c r="W49" s="59">
        <v>137099</v>
      </c>
      <c r="X49" s="59">
        <v>176541</v>
      </c>
      <c r="Y49" s="59">
        <v>104418.8</v>
      </c>
      <c r="Z49" s="61">
        <v>139945.05</v>
      </c>
      <c r="AA49" s="52">
        <v>143152</v>
      </c>
      <c r="AB49" s="53">
        <v>174179.34</v>
      </c>
      <c r="AC49" s="68">
        <v>65096</v>
      </c>
      <c r="AD49" s="68">
        <v>100630</v>
      </c>
      <c r="AE49" s="133">
        <v>95681.03</v>
      </c>
      <c r="AF49" s="133">
        <v>180765.34</v>
      </c>
      <c r="AG49" s="133">
        <v>140824</v>
      </c>
      <c r="AH49" s="133">
        <v>55099.21333333333</v>
      </c>
      <c r="AI49" s="133">
        <v>47835</v>
      </c>
      <c r="AJ49" s="133">
        <v>47835</v>
      </c>
      <c r="AK49" s="133">
        <v>38714</v>
      </c>
      <c r="AL49" s="133">
        <v>17574.67</v>
      </c>
      <c r="AM49" s="133">
        <v>11326.43</v>
      </c>
      <c r="AN49" s="133">
        <v>6691</v>
      </c>
      <c r="AO49" s="61">
        <v>8992</v>
      </c>
      <c r="AP49" s="61">
        <v>5610</v>
      </c>
      <c r="AQ49" s="87">
        <v>6375</v>
      </c>
      <c r="AR49" s="91">
        <v>26556</v>
      </c>
      <c r="AS49" s="87">
        <v>15420</v>
      </c>
      <c r="AT49" s="65">
        <v>14099</v>
      </c>
      <c r="AU49" s="65">
        <v>9307.24</v>
      </c>
      <c r="AV49" s="65">
        <v>12760</v>
      </c>
      <c r="AW49" s="80" t="s">
        <v>64</v>
      </c>
      <c r="AX49" s="87">
        <v>2649.78</v>
      </c>
      <c r="AY49" s="87">
        <v>2649.78</v>
      </c>
      <c r="AZ49" s="80" t="s">
        <v>64</v>
      </c>
      <c r="BA49" s="53">
        <v>4818</v>
      </c>
      <c r="BB49" s="61">
        <v>6306.05</v>
      </c>
      <c r="BC49" s="61">
        <v>5102</v>
      </c>
      <c r="BD49" s="91">
        <v>10271</v>
      </c>
      <c r="BE49" s="87">
        <v>5335</v>
      </c>
      <c r="BF49" s="65">
        <v>15687</v>
      </c>
      <c r="BG49" s="65">
        <v>42181</v>
      </c>
      <c r="BH49" s="65">
        <v>8516</v>
      </c>
      <c r="BI49" s="87">
        <v>6866</v>
      </c>
      <c r="BJ49" s="87">
        <v>11621</v>
      </c>
      <c r="BK49" s="87">
        <v>11621</v>
      </c>
      <c r="BL49" s="87">
        <v>11621</v>
      </c>
      <c r="BM49" s="64">
        <f>SUM(BA49:BL49)</f>
        <v>139945.05</v>
      </c>
      <c r="BN49" s="85">
        <v>714</v>
      </c>
      <c r="BO49" s="85">
        <v>3614</v>
      </c>
      <c r="BP49" s="85">
        <v>1112</v>
      </c>
      <c r="BQ49" s="59">
        <v>1732</v>
      </c>
      <c r="BR49" s="59">
        <v>5501</v>
      </c>
      <c r="BS49" s="53">
        <v>17187.72</v>
      </c>
      <c r="BT49" s="103">
        <v>24255</v>
      </c>
      <c r="BU49" s="103">
        <v>19031</v>
      </c>
      <c r="BV49" s="103">
        <v>14556</v>
      </c>
      <c r="BW49" s="103">
        <v>24404</v>
      </c>
      <c r="BX49" s="103">
        <v>7093</v>
      </c>
      <c r="BY49" s="103">
        <v>23952</v>
      </c>
      <c r="BZ49" s="52">
        <f>SUM(BN49:BY49)</f>
        <v>143151.72</v>
      </c>
      <c r="CA49" s="85">
        <v>17765.78</v>
      </c>
      <c r="CB49" s="85">
        <v>11814.04</v>
      </c>
      <c r="CC49" s="85">
        <v>12876.53</v>
      </c>
      <c r="CD49" s="85">
        <v>2099.99</v>
      </c>
      <c r="CE49" s="79" t="s">
        <v>80</v>
      </c>
      <c r="CF49" s="85">
        <v>28747</v>
      </c>
      <c r="CG49" s="85">
        <v>11881</v>
      </c>
      <c r="CH49" s="85">
        <v>5082</v>
      </c>
      <c r="CI49" s="107">
        <v>10056</v>
      </c>
      <c r="CJ49" s="107">
        <v>33788</v>
      </c>
      <c r="CK49" s="90">
        <v>28672</v>
      </c>
      <c r="CL49" s="90">
        <v>11397</v>
      </c>
      <c r="CM49" s="52">
        <f>SUM(CA49:CL49)</f>
        <v>174179.34</v>
      </c>
      <c r="CN49" s="53">
        <v>8874</v>
      </c>
      <c r="CO49" s="68">
        <v>18278</v>
      </c>
      <c r="CP49" s="68">
        <v>2467</v>
      </c>
      <c r="CQ49" s="68">
        <v>2920</v>
      </c>
      <c r="CR49" s="108">
        <v>1366</v>
      </c>
      <c r="CS49" s="130">
        <v>2537</v>
      </c>
      <c r="CT49" s="85">
        <v>9914</v>
      </c>
      <c r="CU49" s="85">
        <v>8911</v>
      </c>
      <c r="CV49" s="68">
        <v>1324</v>
      </c>
      <c r="CW49" s="68">
        <v>2728</v>
      </c>
      <c r="CX49" s="68">
        <v>2942</v>
      </c>
      <c r="CY49" s="68">
        <v>2835</v>
      </c>
      <c r="CZ49" s="53">
        <f>SUM(CN49:CY49)</f>
        <v>65096</v>
      </c>
      <c r="DA49" s="68">
        <v>657</v>
      </c>
      <c r="DB49" s="68">
        <v>3984</v>
      </c>
      <c r="DC49" s="68">
        <v>20011</v>
      </c>
      <c r="DD49" s="68">
        <v>9854</v>
      </c>
      <c r="DE49" s="68">
        <v>1462</v>
      </c>
      <c r="DF49" s="68">
        <v>12900</v>
      </c>
      <c r="DG49" s="85">
        <v>3095</v>
      </c>
      <c r="DH49" s="107">
        <v>4743</v>
      </c>
      <c r="DI49" s="107">
        <v>5172</v>
      </c>
      <c r="DJ49" s="68">
        <v>1579</v>
      </c>
      <c r="DK49" s="68">
        <v>10917</v>
      </c>
      <c r="DL49" s="68">
        <v>26256</v>
      </c>
      <c r="DM49" s="53">
        <f>SUM(DA49:DL49)</f>
        <v>100630</v>
      </c>
      <c r="DN49" s="68">
        <v>10967</v>
      </c>
      <c r="DO49" s="68">
        <v>6467</v>
      </c>
      <c r="DP49" s="68">
        <v>13456</v>
      </c>
      <c r="DQ49" s="129">
        <v>0</v>
      </c>
      <c r="DR49" s="68">
        <v>26476</v>
      </c>
      <c r="DS49" s="68">
        <v>20721</v>
      </c>
      <c r="DT49" s="68">
        <v>2643</v>
      </c>
      <c r="DU49" s="68">
        <v>4784.2</v>
      </c>
      <c r="DV49" s="68">
        <v>4442.37</v>
      </c>
      <c r="DW49" s="68">
        <v>519.1</v>
      </c>
      <c r="DX49" s="68">
        <v>991.36</v>
      </c>
      <c r="DY49" s="68">
        <v>4214</v>
      </c>
      <c r="DZ49" s="68">
        <f>SUM(DN49:DY49)</f>
        <v>95681.03</v>
      </c>
      <c r="EA49" s="68">
        <v>853</v>
      </c>
      <c r="EB49" s="68">
        <v>1208</v>
      </c>
      <c r="EC49" s="68">
        <v>1911</v>
      </c>
      <c r="ED49" s="68">
        <v>2222.34</v>
      </c>
      <c r="EE49" s="68">
        <v>39006</v>
      </c>
      <c r="EF49" s="68">
        <v>20979</v>
      </c>
      <c r="EG49" s="68">
        <v>20606</v>
      </c>
      <c r="EH49" s="68">
        <v>8030</v>
      </c>
      <c r="EI49" s="68">
        <v>54028</v>
      </c>
      <c r="EJ49" s="68">
        <v>7367</v>
      </c>
      <c r="EK49" s="68">
        <v>14325</v>
      </c>
      <c r="EL49" s="68">
        <v>10230</v>
      </c>
      <c r="EM49" s="68">
        <f>SUM(EA49:EL49)</f>
        <v>180765.34</v>
      </c>
      <c r="EN49" s="68">
        <v>631</v>
      </c>
      <c r="EO49" s="68">
        <v>1542</v>
      </c>
      <c r="EP49" s="68">
        <v>2250</v>
      </c>
      <c r="EQ49" s="68">
        <v>3558</v>
      </c>
      <c r="ER49" s="68">
        <v>24916</v>
      </c>
      <c r="ES49" s="68">
        <v>47503</v>
      </c>
      <c r="ET49" s="68">
        <v>1588</v>
      </c>
      <c r="EU49" s="68">
        <v>834</v>
      </c>
      <c r="EV49" s="68">
        <v>22377</v>
      </c>
      <c r="EW49" s="68">
        <v>3386</v>
      </c>
      <c r="EX49" s="68">
        <v>0</v>
      </c>
      <c r="EY49" s="68">
        <v>32239</v>
      </c>
      <c r="EZ49" s="68">
        <f>SUM(EN49:EY49)</f>
        <v>140824</v>
      </c>
      <c r="FA49" s="68">
        <v>9396</v>
      </c>
      <c r="FB49" s="129">
        <v>0</v>
      </c>
      <c r="FC49" s="68">
        <v>1528</v>
      </c>
      <c r="FD49" s="68">
        <v>17499</v>
      </c>
      <c r="FE49" s="68">
        <v>6342.333333333333</v>
      </c>
      <c r="FF49" s="68">
        <v>1814.88</v>
      </c>
      <c r="FG49" s="68">
        <v>514</v>
      </c>
      <c r="FH49" s="68">
        <v>4358</v>
      </c>
      <c r="FI49" s="68">
        <v>6337</v>
      </c>
      <c r="FJ49" s="68">
        <v>3100</v>
      </c>
      <c r="FK49" s="68">
        <v>344</v>
      </c>
      <c r="FL49" s="68">
        <v>3866</v>
      </c>
      <c r="FM49" s="68">
        <f>SUM(FA49:FL49)</f>
        <v>55099.21333333333</v>
      </c>
      <c r="FN49" s="68">
        <v>612</v>
      </c>
      <c r="FO49" s="129">
        <v>0</v>
      </c>
      <c r="FP49" s="68">
        <v>198</v>
      </c>
      <c r="FQ49" s="68">
        <v>628</v>
      </c>
      <c r="FR49" s="68">
        <v>408</v>
      </c>
      <c r="FS49" s="68">
        <v>22535</v>
      </c>
      <c r="FT49" s="68">
        <v>8311</v>
      </c>
      <c r="FU49" s="68">
        <v>4303</v>
      </c>
      <c r="FV49" s="68">
        <v>1159</v>
      </c>
      <c r="FW49" s="68">
        <v>1657</v>
      </c>
      <c r="FX49" s="68">
        <v>1610</v>
      </c>
      <c r="FY49" s="68">
        <v>6414</v>
      </c>
      <c r="FZ49" s="68">
        <f>SUM(FN49:FY49)</f>
        <v>47835</v>
      </c>
      <c r="GA49" s="68">
        <v>8140</v>
      </c>
      <c r="GB49" s="68">
        <v>16887</v>
      </c>
      <c r="GC49" s="68">
        <v>20190</v>
      </c>
      <c r="GD49" s="68">
        <v>1685</v>
      </c>
      <c r="GE49" s="129">
        <v>0</v>
      </c>
      <c r="GF49" s="68">
        <v>10672</v>
      </c>
      <c r="GG49" s="68">
        <v>170</v>
      </c>
      <c r="GH49" s="68">
        <v>891</v>
      </c>
      <c r="GI49" s="68">
        <v>1362</v>
      </c>
      <c r="GJ49" s="68">
        <v>8951</v>
      </c>
      <c r="GK49" s="68">
        <v>520</v>
      </c>
      <c r="GL49" s="68">
        <v>1456</v>
      </c>
      <c r="GM49" s="68">
        <f>SUM(GA49:GL49)</f>
        <v>70924</v>
      </c>
      <c r="GN49" s="68">
        <v>6656</v>
      </c>
      <c r="GO49" s="68">
        <v>3203</v>
      </c>
      <c r="GP49" s="68">
        <v>6675</v>
      </c>
      <c r="GQ49" s="68">
        <v>2981</v>
      </c>
      <c r="GR49" s="68">
        <v>247</v>
      </c>
      <c r="GS49" s="68">
        <v>0</v>
      </c>
      <c r="GT49" s="68">
        <v>3802</v>
      </c>
      <c r="GU49" s="68">
        <v>1846</v>
      </c>
      <c r="GV49" s="68">
        <v>4279</v>
      </c>
      <c r="GW49" s="68">
        <v>1544</v>
      </c>
      <c r="GX49" s="68">
        <v>2521</v>
      </c>
      <c r="GY49" s="68">
        <v>4960</v>
      </c>
      <c r="GZ49" s="68">
        <f>SUM(GN49:GY49)</f>
        <v>38714</v>
      </c>
      <c r="HA49" s="68">
        <v>2080</v>
      </c>
      <c r="HB49" s="68">
        <v>2100</v>
      </c>
      <c r="HC49" s="68">
        <v>1557</v>
      </c>
      <c r="HD49" s="68">
        <v>2997.67</v>
      </c>
      <c r="HE49" s="68">
        <v>1177</v>
      </c>
      <c r="HF49" s="68">
        <v>2482</v>
      </c>
      <c r="HG49" s="68">
        <v>3419</v>
      </c>
      <c r="HH49" s="68">
        <v>1762</v>
      </c>
      <c r="HI49" s="129">
        <v>0</v>
      </c>
      <c r="HJ49" s="129">
        <v>0</v>
      </c>
      <c r="HK49" s="129">
        <v>0</v>
      </c>
      <c r="HL49" s="129">
        <v>0</v>
      </c>
      <c r="HM49" s="68">
        <f>SUM(HA49:HL49)</f>
        <v>17574.67</v>
      </c>
      <c r="HN49" s="129">
        <v>0</v>
      </c>
      <c r="HO49" s="129">
        <v>0</v>
      </c>
      <c r="HP49" s="129">
        <v>0</v>
      </c>
      <c r="HQ49" s="129">
        <v>0</v>
      </c>
      <c r="HR49" s="129">
        <v>0</v>
      </c>
      <c r="HS49" s="129">
        <v>0</v>
      </c>
      <c r="HT49" s="68">
        <v>3570.43</v>
      </c>
      <c r="HU49" s="129">
        <v>2346</v>
      </c>
      <c r="HV49" s="129">
        <v>0</v>
      </c>
      <c r="HW49" s="129">
        <v>0</v>
      </c>
      <c r="HX49" s="68">
        <v>4005</v>
      </c>
      <c r="HY49" s="68">
        <v>1405</v>
      </c>
      <c r="HZ49" s="68">
        <f>SUM(HN49:HY49)</f>
        <v>11326.43</v>
      </c>
      <c r="IA49" s="68">
        <v>1429</v>
      </c>
      <c r="IB49" s="68">
        <v>99</v>
      </c>
      <c r="IC49" s="186">
        <v>0</v>
      </c>
      <c r="ID49" s="186">
        <v>451</v>
      </c>
      <c r="IE49" s="186">
        <v>771</v>
      </c>
      <c r="IF49" s="186">
        <v>1261</v>
      </c>
      <c r="IG49" s="186">
        <v>1261</v>
      </c>
      <c r="IH49" s="186">
        <v>0</v>
      </c>
      <c r="II49" s="186">
        <v>1419</v>
      </c>
      <c r="IJ49" s="186">
        <v>0</v>
      </c>
      <c r="IK49" s="186">
        <v>0</v>
      </c>
      <c r="IL49" s="186">
        <v>0</v>
      </c>
      <c r="IM49" s="186">
        <f>SUM(IA49:IB49)</f>
        <v>1528</v>
      </c>
      <c r="IN49" s="186">
        <v>0</v>
      </c>
      <c r="IO49" s="68">
        <v>0</v>
      </c>
      <c r="IP49" s="186">
        <f>IN49+IO49</f>
        <v>0</v>
      </c>
    </row>
    <row r="50" spans="1:250" ht="15" hidden="1">
      <c r="A50" s="185" t="s">
        <v>55</v>
      </c>
      <c r="B50" s="14">
        <v>3137</v>
      </c>
      <c r="C50" s="56">
        <v>3960</v>
      </c>
      <c r="D50" s="56">
        <v>3766</v>
      </c>
      <c r="E50" s="56">
        <v>2873</v>
      </c>
      <c r="F50" s="56">
        <v>2802</v>
      </c>
      <c r="G50" s="56">
        <v>2981</v>
      </c>
      <c r="H50" s="56">
        <v>3399</v>
      </c>
      <c r="I50" s="56">
        <v>3275</v>
      </c>
      <c r="J50" s="56">
        <v>1942</v>
      </c>
      <c r="K50" s="56">
        <v>799</v>
      </c>
      <c r="L50" s="57">
        <v>566</v>
      </c>
      <c r="M50" s="58">
        <v>249</v>
      </c>
      <c r="N50" s="59">
        <v>484.78</v>
      </c>
      <c r="O50" s="58">
        <v>1568.258</v>
      </c>
      <c r="P50" s="59">
        <v>879</v>
      </c>
      <c r="Q50" s="59">
        <v>1643</v>
      </c>
      <c r="R50" s="59">
        <v>2510</v>
      </c>
      <c r="S50" s="61">
        <v>1397</v>
      </c>
      <c r="T50" s="59">
        <v>758</v>
      </c>
      <c r="U50" s="59">
        <v>390</v>
      </c>
      <c r="V50" s="59">
        <v>397</v>
      </c>
      <c r="W50" s="59">
        <v>27</v>
      </c>
      <c r="X50" s="59">
        <v>79</v>
      </c>
      <c r="Y50" s="129">
        <v>0</v>
      </c>
      <c r="Z50" s="129">
        <v>0</v>
      </c>
      <c r="AA50" s="129">
        <v>0</v>
      </c>
      <c r="AB50" s="129">
        <v>0</v>
      </c>
      <c r="AC50" s="129">
        <v>0</v>
      </c>
      <c r="AD50" s="129">
        <v>0</v>
      </c>
      <c r="AE50" s="134">
        <v>0</v>
      </c>
      <c r="AF50" s="134">
        <v>0</v>
      </c>
      <c r="AG50" s="134"/>
      <c r="AH50" s="134"/>
      <c r="AI50" s="134">
        <v>27</v>
      </c>
      <c r="AJ50" s="134"/>
      <c r="AK50" s="134"/>
      <c r="AL50" s="134"/>
      <c r="AM50" s="134"/>
      <c r="AN50" s="134"/>
      <c r="AO50" s="110" t="s">
        <v>64</v>
      </c>
      <c r="AP50" s="110" t="s">
        <v>64</v>
      </c>
      <c r="AQ50" s="110" t="s">
        <v>64</v>
      </c>
      <c r="AR50" s="110" t="s">
        <v>64</v>
      </c>
      <c r="AS50" s="110" t="s">
        <v>64</v>
      </c>
      <c r="AT50" s="110" t="s">
        <v>64</v>
      </c>
      <c r="AU50" s="110" t="s">
        <v>64</v>
      </c>
      <c r="AV50" s="110" t="s">
        <v>64</v>
      </c>
      <c r="AW50" s="110" t="s">
        <v>64</v>
      </c>
      <c r="AX50" s="110" t="s">
        <v>64</v>
      </c>
      <c r="AY50" s="110" t="s">
        <v>64</v>
      </c>
      <c r="AZ50" s="110" t="s">
        <v>64</v>
      </c>
      <c r="BA50" s="110" t="s">
        <v>64</v>
      </c>
      <c r="BB50" s="110" t="s">
        <v>64</v>
      </c>
      <c r="BC50" s="110" t="s">
        <v>64</v>
      </c>
      <c r="BD50" s="110" t="s">
        <v>64</v>
      </c>
      <c r="BE50" s="110" t="s">
        <v>64</v>
      </c>
      <c r="BF50" s="110" t="s">
        <v>64</v>
      </c>
      <c r="BG50" s="110" t="s">
        <v>64</v>
      </c>
      <c r="BH50" s="110" t="s">
        <v>64</v>
      </c>
      <c r="BI50" s="110" t="s">
        <v>64</v>
      </c>
      <c r="BJ50" s="110" t="s">
        <v>64</v>
      </c>
      <c r="BK50" s="110" t="s">
        <v>64</v>
      </c>
      <c r="BL50" s="110" t="s">
        <v>64</v>
      </c>
      <c r="BM50" s="110" t="s">
        <v>64</v>
      </c>
      <c r="BN50" s="110" t="s">
        <v>64</v>
      </c>
      <c r="BO50" s="110" t="s">
        <v>64</v>
      </c>
      <c r="BP50" s="110" t="s">
        <v>64</v>
      </c>
      <c r="BQ50" s="110" t="s">
        <v>64</v>
      </c>
      <c r="BR50" s="110" t="s">
        <v>64</v>
      </c>
      <c r="BS50" s="110" t="s">
        <v>64</v>
      </c>
      <c r="BT50" s="110" t="s">
        <v>64</v>
      </c>
      <c r="BU50" s="110" t="s">
        <v>64</v>
      </c>
      <c r="BV50" s="110" t="s">
        <v>64</v>
      </c>
      <c r="BW50" s="110" t="s">
        <v>64</v>
      </c>
      <c r="BX50" s="110" t="s">
        <v>64</v>
      </c>
      <c r="BY50" s="110" t="s">
        <v>64</v>
      </c>
      <c r="BZ50" s="110" t="s">
        <v>64</v>
      </c>
      <c r="CA50" s="110" t="s">
        <v>64</v>
      </c>
      <c r="CB50" s="110" t="s">
        <v>64</v>
      </c>
      <c r="CC50" s="110" t="s">
        <v>64</v>
      </c>
      <c r="CD50" s="110" t="s">
        <v>64</v>
      </c>
      <c r="CE50" s="79" t="s">
        <v>79</v>
      </c>
      <c r="CF50" s="110" t="s">
        <v>64</v>
      </c>
      <c r="CG50" s="110" t="s">
        <v>64</v>
      </c>
      <c r="CH50" s="110" t="s">
        <v>64</v>
      </c>
      <c r="CI50" s="110" t="s">
        <v>64</v>
      </c>
      <c r="CJ50" s="110" t="s">
        <v>64</v>
      </c>
      <c r="CK50" s="110" t="s">
        <v>64</v>
      </c>
      <c r="CL50" s="110" t="s">
        <v>64</v>
      </c>
      <c r="CM50" s="110" t="s">
        <v>64</v>
      </c>
      <c r="CN50" s="110" t="s">
        <v>64</v>
      </c>
      <c r="CO50" s="110" t="s">
        <v>64</v>
      </c>
      <c r="CP50" s="110" t="s">
        <v>64</v>
      </c>
      <c r="CQ50" s="110" t="s">
        <v>64</v>
      </c>
      <c r="CR50" s="110" t="s">
        <v>64</v>
      </c>
      <c r="CS50" s="110" t="s">
        <v>64</v>
      </c>
      <c r="CT50" s="110" t="s">
        <v>64</v>
      </c>
      <c r="CU50" s="79" t="s">
        <v>64</v>
      </c>
      <c r="CV50" s="79" t="s">
        <v>64</v>
      </c>
      <c r="CW50" s="129">
        <v>0</v>
      </c>
      <c r="CX50" s="79" t="s">
        <v>64</v>
      </c>
      <c r="CY50" s="79" t="s">
        <v>64</v>
      </c>
      <c r="CZ50" s="79" t="s">
        <v>64</v>
      </c>
      <c r="DA50" s="79" t="s">
        <v>64</v>
      </c>
      <c r="DB50" s="79" t="s">
        <v>64</v>
      </c>
      <c r="DC50" s="129">
        <v>0</v>
      </c>
      <c r="DD50" s="79" t="s">
        <v>64</v>
      </c>
      <c r="DE50" s="79" t="s">
        <v>64</v>
      </c>
      <c r="DF50" s="79" t="s">
        <v>64</v>
      </c>
      <c r="DG50" s="79" t="s">
        <v>64</v>
      </c>
      <c r="DH50" s="111" t="s">
        <v>64</v>
      </c>
      <c r="DI50" s="111" t="s">
        <v>64</v>
      </c>
      <c r="DJ50" s="129">
        <v>0</v>
      </c>
      <c r="DK50" s="129"/>
      <c r="DL50" s="129"/>
      <c r="DM50" s="129">
        <v>0</v>
      </c>
      <c r="DN50" s="129">
        <v>0</v>
      </c>
      <c r="DO50" s="129">
        <v>0</v>
      </c>
      <c r="DP50" s="129">
        <v>0</v>
      </c>
      <c r="DQ50" s="129">
        <v>0</v>
      </c>
      <c r="DR50" s="129">
        <v>0</v>
      </c>
      <c r="DS50" s="129">
        <v>0</v>
      </c>
      <c r="DT50" s="129">
        <v>0</v>
      </c>
      <c r="DU50" s="129">
        <v>0</v>
      </c>
      <c r="DV50" s="129">
        <v>0</v>
      </c>
      <c r="DW50" s="129">
        <v>0</v>
      </c>
      <c r="DX50" s="129">
        <v>0</v>
      </c>
      <c r="DY50" s="129"/>
      <c r="DZ50" s="129">
        <v>0</v>
      </c>
      <c r="EA50" s="129">
        <v>0</v>
      </c>
      <c r="EB50" s="129">
        <v>0</v>
      </c>
      <c r="EC50" s="129">
        <v>0</v>
      </c>
      <c r="ED50" s="129">
        <v>0</v>
      </c>
      <c r="EE50" s="129">
        <v>0</v>
      </c>
      <c r="EF50" s="129">
        <v>0</v>
      </c>
      <c r="EG50" s="129">
        <v>0</v>
      </c>
      <c r="EH50" s="129">
        <v>0</v>
      </c>
      <c r="EI50" s="129">
        <v>0</v>
      </c>
      <c r="EJ50" s="129">
        <v>0</v>
      </c>
      <c r="EK50" s="129"/>
      <c r="EL50" s="129"/>
      <c r="EM50" s="129">
        <v>0</v>
      </c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40"/>
      <c r="FB50" s="140"/>
      <c r="FC50" s="129"/>
      <c r="FD50" s="129"/>
      <c r="FE50" s="129"/>
      <c r="FF50" s="129"/>
      <c r="FG50" s="129"/>
      <c r="FH50" s="129"/>
      <c r="FI50" s="129"/>
      <c r="FJ50" s="129"/>
      <c r="FK50" s="129">
        <v>1063.03</v>
      </c>
      <c r="FL50" s="129"/>
      <c r="FM50" s="140"/>
      <c r="FN50" s="129"/>
      <c r="FO50" s="129"/>
      <c r="FP50" s="129"/>
      <c r="FQ50" s="129"/>
      <c r="FR50" s="68"/>
      <c r="FS50" s="68"/>
      <c r="FT50" s="68"/>
      <c r="FU50" s="68"/>
      <c r="FV50" s="68">
        <v>27</v>
      </c>
      <c r="FW50" s="68"/>
      <c r="FX50" s="68"/>
      <c r="FY50" s="68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68"/>
      <c r="IB50" s="68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7"/>
      <c r="IN50" s="186"/>
      <c r="IO50" s="68"/>
      <c r="IP50" s="68"/>
    </row>
    <row r="51" spans="1:250" ht="15" hidden="1">
      <c r="A51" s="185" t="s">
        <v>56</v>
      </c>
      <c r="B51" s="14">
        <v>1800</v>
      </c>
      <c r="C51" s="56">
        <v>1290</v>
      </c>
      <c r="D51" s="56">
        <v>2308</v>
      </c>
      <c r="E51" s="56">
        <v>2441</v>
      </c>
      <c r="F51" s="56">
        <v>2475</v>
      </c>
      <c r="G51" s="56">
        <v>2026</v>
      </c>
      <c r="H51" s="56">
        <v>2045</v>
      </c>
      <c r="I51" s="56">
        <v>1942</v>
      </c>
      <c r="J51" s="56">
        <v>1247</v>
      </c>
      <c r="K51" s="56">
        <v>565</v>
      </c>
      <c r="L51" s="57">
        <v>86</v>
      </c>
      <c r="M51" s="84" t="s">
        <v>33</v>
      </c>
      <c r="N51" s="79" t="s">
        <v>33</v>
      </c>
      <c r="O51" s="84" t="s">
        <v>33</v>
      </c>
      <c r="P51" s="79" t="s">
        <v>33</v>
      </c>
      <c r="Q51" s="79"/>
      <c r="R51" s="79"/>
      <c r="S51" s="80"/>
      <c r="T51" s="80"/>
      <c r="U51" s="80"/>
      <c r="V51" s="80"/>
      <c r="W51" s="80"/>
      <c r="X51" s="80"/>
      <c r="Y51" s="79"/>
      <c r="Z51" s="80"/>
      <c r="AA51" s="52"/>
      <c r="AB51" s="53"/>
      <c r="AC51" s="95">
        <v>0</v>
      </c>
      <c r="AD51" s="95">
        <v>0</v>
      </c>
      <c r="AE51" s="132">
        <v>0</v>
      </c>
      <c r="AF51" s="132">
        <v>0</v>
      </c>
      <c r="AG51" s="132"/>
      <c r="AH51" s="132"/>
      <c r="AI51" s="132">
        <v>0</v>
      </c>
      <c r="AJ51" s="132"/>
      <c r="AK51" s="132"/>
      <c r="AL51" s="132"/>
      <c r="AM51" s="132"/>
      <c r="AN51" s="132"/>
      <c r="AO51" s="88"/>
      <c r="AP51" s="73"/>
      <c r="AQ51" s="81"/>
      <c r="AR51" s="79"/>
      <c r="AS51" s="64"/>
      <c r="AT51" s="88"/>
      <c r="AU51" s="53"/>
      <c r="AV51" s="53"/>
      <c r="AW51" s="53"/>
      <c r="AX51" s="64"/>
      <c r="AY51" s="53"/>
      <c r="AZ51" s="81"/>
      <c r="BA51" s="53"/>
      <c r="BB51" s="73"/>
      <c r="BC51" s="81"/>
      <c r="BD51" s="79"/>
      <c r="BE51" s="64"/>
      <c r="BF51" s="62"/>
      <c r="BG51" s="53"/>
      <c r="BH51" s="53"/>
      <c r="BI51" s="53"/>
      <c r="BJ51" s="64"/>
      <c r="BK51" s="53"/>
      <c r="BL51" s="112"/>
      <c r="BM51" s="64"/>
      <c r="BN51" s="113"/>
      <c r="BO51" s="112"/>
      <c r="BP51" s="112"/>
      <c r="BQ51" s="73"/>
      <c r="BR51" s="79"/>
      <c r="BS51" s="52"/>
      <c r="BT51" s="103"/>
      <c r="BU51" s="103"/>
      <c r="BV51" s="103"/>
      <c r="BW51" s="53"/>
      <c r="BX51" s="68"/>
      <c r="BY51" s="68"/>
      <c r="BZ51" s="52"/>
      <c r="CA51" s="85"/>
      <c r="CB51" s="85"/>
      <c r="CC51" s="85"/>
      <c r="CD51" s="85"/>
      <c r="CE51" s="85"/>
      <c r="CF51" s="85"/>
      <c r="CG51" s="85"/>
      <c r="CH51" s="85"/>
      <c r="CI51" s="114"/>
      <c r="CJ51" s="114"/>
      <c r="CK51" s="95"/>
      <c r="CL51" s="95"/>
      <c r="CM51" s="52"/>
      <c r="CN51" s="53"/>
      <c r="CO51" s="68"/>
      <c r="CP51" s="68"/>
      <c r="CQ51" s="68"/>
      <c r="CR51" s="68"/>
      <c r="CS51" s="68"/>
      <c r="CT51" s="97"/>
      <c r="CU51" s="97"/>
      <c r="CV51" s="97"/>
      <c r="CW51" s="97"/>
      <c r="CX51" s="97"/>
      <c r="CY51" s="68"/>
      <c r="CZ51" s="53">
        <f aca="true" t="shared" si="15" ref="CZ51:CZ57">SUM(CN51:CY51)</f>
        <v>0</v>
      </c>
      <c r="DA51" s="53">
        <f>SUM(CM51:CV51)</f>
        <v>0</v>
      </c>
      <c r="DB51" s="53"/>
      <c r="DC51" s="53"/>
      <c r="DD51" s="53"/>
      <c r="DE51" s="97"/>
      <c r="DF51" s="97"/>
      <c r="DG51" s="97"/>
      <c r="DH51" s="68"/>
      <c r="DI51" s="68"/>
      <c r="DJ51" s="68"/>
      <c r="DK51" s="68"/>
      <c r="DL51" s="68"/>
      <c r="DM51" s="53">
        <f aca="true" t="shared" si="16" ref="DM51:DM57">SUM(CZ51:DK51)</f>
        <v>0</v>
      </c>
      <c r="DN51" s="53">
        <f>SUM(CZ51:DK51)</f>
        <v>0</v>
      </c>
      <c r="DO51" s="53"/>
      <c r="DP51" s="53"/>
      <c r="DQ51" s="53"/>
      <c r="DR51" s="68"/>
      <c r="DS51" s="68"/>
      <c r="DT51" s="68"/>
      <c r="DU51" s="68"/>
      <c r="DV51" s="68"/>
      <c r="DW51" s="68"/>
      <c r="DX51" s="68"/>
      <c r="DY51" s="68"/>
      <c r="DZ51" s="68">
        <f aca="true" t="shared" si="17" ref="DZ51:DZ57">SUM(DN51:DQ51)</f>
        <v>0</v>
      </c>
      <c r="EA51" s="53"/>
      <c r="EB51" s="53"/>
      <c r="EC51" s="53"/>
      <c r="ED51" s="53"/>
      <c r="EE51" s="53"/>
      <c r="EF51" s="53"/>
      <c r="EG51" s="68"/>
      <c r="EH51" s="68"/>
      <c r="EI51" s="68"/>
      <c r="EJ51" s="68"/>
      <c r="EK51" s="68"/>
      <c r="EL51" s="68"/>
      <c r="EM51" s="68">
        <f aca="true" t="shared" si="18" ref="EM51:EM57">SUM(EA51:ED51)</f>
        <v>0</v>
      </c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97"/>
      <c r="FB51" s="97"/>
      <c r="FC51" s="68"/>
      <c r="FD51" s="68"/>
      <c r="FE51" s="68"/>
      <c r="FF51" s="68"/>
      <c r="FG51" s="68"/>
      <c r="FH51" s="68"/>
      <c r="FI51" s="68"/>
      <c r="FJ51" s="68"/>
      <c r="FK51" s="97"/>
      <c r="FL51" s="68"/>
      <c r="FM51" s="97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68"/>
      <c r="IP51" s="68"/>
    </row>
    <row r="52" spans="1:250" ht="15">
      <c r="A52" s="185" t="s">
        <v>74</v>
      </c>
      <c r="B52" s="115" t="s">
        <v>33</v>
      </c>
      <c r="C52" s="56">
        <v>355439</v>
      </c>
      <c r="D52" s="56">
        <v>618456</v>
      </c>
      <c r="E52" s="56">
        <v>346157</v>
      </c>
      <c r="F52" s="56">
        <v>408217</v>
      </c>
      <c r="G52" s="56">
        <v>407030</v>
      </c>
      <c r="H52" s="56">
        <v>430483</v>
      </c>
      <c r="I52" s="56">
        <v>225283</v>
      </c>
      <c r="J52" s="56">
        <v>379088</v>
      </c>
      <c r="K52" s="56">
        <v>307286</v>
      </c>
      <c r="L52" s="57">
        <v>285376</v>
      </c>
      <c r="M52" s="58">
        <v>117773</v>
      </c>
      <c r="N52" s="59">
        <v>110899</v>
      </c>
      <c r="O52" s="58">
        <v>108266</v>
      </c>
      <c r="P52" s="59">
        <v>49084</v>
      </c>
      <c r="Q52" s="59">
        <v>24480</v>
      </c>
      <c r="R52" s="59">
        <v>17303</v>
      </c>
      <c r="S52" s="61">
        <v>58707</v>
      </c>
      <c r="T52" s="85">
        <v>43863</v>
      </c>
      <c r="U52" s="85">
        <v>23198</v>
      </c>
      <c r="V52" s="85">
        <v>18182</v>
      </c>
      <c r="W52" s="85">
        <v>20921</v>
      </c>
      <c r="X52" s="85">
        <v>8508</v>
      </c>
      <c r="Y52" s="85">
        <v>26044.25</v>
      </c>
      <c r="Z52" s="87">
        <v>26741.11</v>
      </c>
      <c r="AA52" s="52">
        <v>39119.71</v>
      </c>
      <c r="AB52" s="53">
        <v>27697.12</v>
      </c>
      <c r="AC52" s="90">
        <v>22004</v>
      </c>
      <c r="AD52" s="68">
        <v>24477</v>
      </c>
      <c r="AE52" s="68">
        <v>20524.61</v>
      </c>
      <c r="AF52" s="68">
        <v>11137.4</v>
      </c>
      <c r="AG52" s="68">
        <v>15429.78</v>
      </c>
      <c r="AH52" s="68">
        <v>10572.050000000001</v>
      </c>
      <c r="AI52" s="68">
        <v>19144.510000000002</v>
      </c>
      <c r="AJ52" s="68">
        <v>19144.510000000002</v>
      </c>
      <c r="AK52" s="68">
        <v>30947.78</v>
      </c>
      <c r="AL52" s="135">
        <v>40294.149999999994</v>
      </c>
      <c r="AM52" s="135">
        <v>33136.79</v>
      </c>
      <c r="AN52" s="135">
        <v>34268.39</v>
      </c>
      <c r="AO52" s="88">
        <f>3286+225.06</f>
        <v>3511.06</v>
      </c>
      <c r="AP52" s="88">
        <f>1843+852+1671.12</f>
        <v>4366.12</v>
      </c>
      <c r="AQ52" s="88">
        <f>515+714+2620.12</f>
        <v>3849.12</v>
      </c>
      <c r="AR52" s="88">
        <f>1892+85</f>
        <v>1977</v>
      </c>
      <c r="AS52" s="88">
        <v>1505</v>
      </c>
      <c r="AT52" s="88">
        <f>300+1041</f>
        <v>1341</v>
      </c>
      <c r="AU52" s="64">
        <f>336+1315.54</f>
        <v>1651.54</v>
      </c>
      <c r="AV52" s="87">
        <f>1020+745+321</f>
        <v>2086</v>
      </c>
      <c r="AW52" s="64">
        <f>661.52+515.82+510</f>
        <v>1687.3400000000001</v>
      </c>
      <c r="AX52" s="64">
        <f>174.69+1102.96+79.04</f>
        <v>1356.69</v>
      </c>
      <c r="AY52" s="64">
        <f>174.69+1102.96+79.04</f>
        <v>1356.69</v>
      </c>
      <c r="AZ52" s="64">
        <f>174.69+1102.96+79.04</f>
        <v>1356.69</v>
      </c>
      <c r="BA52" s="88">
        <v>1768</v>
      </c>
      <c r="BB52" s="88">
        <f>1060.63+216+29.07</f>
        <v>1305.7</v>
      </c>
      <c r="BC52" s="88">
        <v>1709</v>
      </c>
      <c r="BD52" s="88">
        <f>4479+1543</f>
        <v>6022</v>
      </c>
      <c r="BE52" s="88">
        <f>1262+1944</f>
        <v>3206</v>
      </c>
      <c r="BF52" s="62">
        <f>437.71+648</f>
        <v>1085.71</v>
      </c>
      <c r="BG52" s="64">
        <f>1287+143</f>
        <v>1430</v>
      </c>
      <c r="BH52" s="87">
        <f>1171+150+81</f>
        <v>1402</v>
      </c>
      <c r="BI52" s="64">
        <f>2064+50+8.7</f>
        <v>2122.7</v>
      </c>
      <c r="BJ52" s="64">
        <f>1920+300+10</f>
        <v>2230</v>
      </c>
      <c r="BK52" s="64">
        <f>1920+300+10</f>
        <v>2230</v>
      </c>
      <c r="BL52" s="64">
        <f>1920+300+10</f>
        <v>2230</v>
      </c>
      <c r="BM52" s="64">
        <f>SUM(BA52:BL52)</f>
        <v>26741.11</v>
      </c>
      <c r="BN52" s="64">
        <v>4306</v>
      </c>
      <c r="BO52" s="64">
        <f>2665.85+120</f>
        <v>2785.85</v>
      </c>
      <c r="BP52" s="64">
        <v>3731</v>
      </c>
      <c r="BQ52" s="62">
        <v>456</v>
      </c>
      <c r="BR52" s="62">
        <v>618</v>
      </c>
      <c r="BS52" s="52">
        <f>3186.68+120+811.57</f>
        <v>4118.25</v>
      </c>
      <c r="BT52" s="103">
        <f>(739.28+576+220.72)</f>
        <v>1536</v>
      </c>
      <c r="BU52" s="103">
        <f>1338.87+0+4229.24</f>
        <v>5568.11</v>
      </c>
      <c r="BV52" s="64">
        <f>2311+72+7387</f>
        <v>9770</v>
      </c>
      <c r="BW52" s="64">
        <f>1529+0+87.5</f>
        <v>1616.5</v>
      </c>
      <c r="BX52" s="65">
        <f>1500+594+1001</f>
        <v>3095</v>
      </c>
      <c r="BY52" s="65">
        <f>1306+213</f>
        <v>1519</v>
      </c>
      <c r="BZ52" s="52">
        <f>SUM(BN52:BY52)</f>
        <v>39119.71</v>
      </c>
      <c r="CA52" s="85">
        <v>4636.27</v>
      </c>
      <c r="CB52" s="85">
        <f>1586.4+1087.5+684.34</f>
        <v>3358.2400000000002</v>
      </c>
      <c r="CC52" s="85">
        <f>730.05+403.76</f>
        <v>1133.81</v>
      </c>
      <c r="CD52" s="85">
        <f>115.8+1224+128</f>
        <v>1467.8</v>
      </c>
      <c r="CE52" s="85">
        <f>2754+420</f>
        <v>3174</v>
      </c>
      <c r="CF52" s="85">
        <f>777+18</f>
        <v>795</v>
      </c>
      <c r="CG52" s="85">
        <v>1392</v>
      </c>
      <c r="CH52" s="85">
        <f>2026+42+806</f>
        <v>2874</v>
      </c>
      <c r="CI52" s="107">
        <f>1058+776</f>
        <v>1834</v>
      </c>
      <c r="CJ52" s="107">
        <f>606+12+432</f>
        <v>1050</v>
      </c>
      <c r="CK52" s="90">
        <v>3522</v>
      </c>
      <c r="CL52" s="90">
        <f>1686+328+446</f>
        <v>2460</v>
      </c>
      <c r="CM52" s="52">
        <f>SUM(CA52:CL52)</f>
        <v>27697.12</v>
      </c>
      <c r="CN52" s="53">
        <f>549+43+18</f>
        <v>610</v>
      </c>
      <c r="CO52" s="68">
        <v>2614</v>
      </c>
      <c r="CP52" s="68">
        <v>2740</v>
      </c>
      <c r="CQ52" s="68">
        <v>2832</v>
      </c>
      <c r="CR52" s="68">
        <v>1329</v>
      </c>
      <c r="CS52" s="68">
        <v>1876</v>
      </c>
      <c r="CT52" s="68">
        <v>1799</v>
      </c>
      <c r="CU52" s="68">
        <v>3754</v>
      </c>
      <c r="CV52" s="68">
        <v>1346</v>
      </c>
      <c r="CW52" s="68">
        <v>469</v>
      </c>
      <c r="CX52" s="68">
        <v>1600</v>
      </c>
      <c r="CY52" s="68">
        <v>1035</v>
      </c>
      <c r="CZ52" s="53">
        <f>SUM(CN52:CY52)</f>
        <v>22004</v>
      </c>
      <c r="DA52" s="68">
        <v>1545</v>
      </c>
      <c r="DB52" s="68">
        <v>1526</v>
      </c>
      <c r="DC52" s="68">
        <v>2167</v>
      </c>
      <c r="DD52" s="68">
        <f>2015+61</f>
        <v>2076</v>
      </c>
      <c r="DE52" s="68">
        <f>2461+254</f>
        <v>2715</v>
      </c>
      <c r="DF52" s="68">
        <v>1544</v>
      </c>
      <c r="DG52" s="68">
        <v>1561</v>
      </c>
      <c r="DH52" s="68">
        <v>4525</v>
      </c>
      <c r="DI52" s="68">
        <f>3924+1128+60</f>
        <v>5112</v>
      </c>
      <c r="DJ52" s="68">
        <v>1419</v>
      </c>
      <c r="DK52" s="68">
        <v>209</v>
      </c>
      <c r="DL52" s="68">
        <v>78</v>
      </c>
      <c r="DM52" s="53">
        <f>SUM(DA52:DL52)</f>
        <v>24477</v>
      </c>
      <c r="DN52" s="53">
        <v>551</v>
      </c>
      <c r="DO52" s="68">
        <v>264</v>
      </c>
      <c r="DP52" s="68">
        <v>2722</v>
      </c>
      <c r="DQ52" s="68">
        <f>2232+28</f>
        <v>2260</v>
      </c>
      <c r="DR52" s="68">
        <v>2462</v>
      </c>
      <c r="DS52" s="68">
        <v>1850</v>
      </c>
      <c r="DT52" s="68">
        <v>877</v>
      </c>
      <c r="DU52" s="68">
        <v>2876.54</v>
      </c>
      <c r="DV52" s="68">
        <f>1971.98+240</f>
        <v>2211.98</v>
      </c>
      <c r="DW52" s="68">
        <v>1536.61</v>
      </c>
      <c r="DX52" s="68">
        <f>1740.16+20.32</f>
        <v>1760.48</v>
      </c>
      <c r="DY52" s="68">
        <v>1153</v>
      </c>
      <c r="DZ52" s="68">
        <f>SUM(DN52:DY52)</f>
        <v>20524.61</v>
      </c>
      <c r="EA52" s="68">
        <v>1742</v>
      </c>
      <c r="EB52" s="68">
        <v>1639</v>
      </c>
      <c r="EC52" s="68">
        <v>702</v>
      </c>
      <c r="ED52" s="68">
        <v>909.4</v>
      </c>
      <c r="EE52" s="68">
        <v>450</v>
      </c>
      <c r="EF52" s="68">
        <v>834</v>
      </c>
      <c r="EG52" s="68">
        <v>870</v>
      </c>
      <c r="EH52" s="68">
        <v>414</v>
      </c>
      <c r="EI52" s="68">
        <v>1461</v>
      </c>
      <c r="EJ52" s="68">
        <v>1248</v>
      </c>
      <c r="EK52" s="68">
        <v>433</v>
      </c>
      <c r="EL52" s="68">
        <v>435</v>
      </c>
      <c r="EM52" s="68">
        <f>SUM(EA52:EL52)</f>
        <v>11137.4</v>
      </c>
      <c r="EN52" s="68">
        <v>1007</v>
      </c>
      <c r="EO52" s="68">
        <v>638</v>
      </c>
      <c r="EP52" s="68">
        <v>1392</v>
      </c>
      <c r="EQ52" s="68">
        <v>2752</v>
      </c>
      <c r="ER52" s="68">
        <v>370</v>
      </c>
      <c r="ES52" s="68">
        <v>921</v>
      </c>
      <c r="ET52" s="68">
        <v>60</v>
      </c>
      <c r="EU52" s="68">
        <v>738</v>
      </c>
      <c r="EV52" s="68">
        <v>1353.84</v>
      </c>
      <c r="EW52" s="68">
        <v>1317.36</v>
      </c>
      <c r="EX52" s="68">
        <v>3986.61</v>
      </c>
      <c r="EY52" s="68">
        <v>893.97</v>
      </c>
      <c r="EZ52" s="68">
        <f>SUM(EN52:EY52)</f>
        <v>15429.78</v>
      </c>
      <c r="FA52" s="68">
        <v>1128.14</v>
      </c>
      <c r="FB52" s="68">
        <v>982.85</v>
      </c>
      <c r="FC52" s="68">
        <v>519.68</v>
      </c>
      <c r="FD52" s="68">
        <v>595.37</v>
      </c>
      <c r="FE52" s="68">
        <v>699.3000000000001</v>
      </c>
      <c r="FF52" s="68">
        <v>896.64</v>
      </c>
      <c r="FG52" s="68">
        <v>1044.11</v>
      </c>
      <c r="FH52" s="68">
        <v>671.18</v>
      </c>
      <c r="FI52" s="68">
        <v>1317.15</v>
      </c>
      <c r="FJ52" s="68">
        <v>563.1</v>
      </c>
      <c r="FK52" s="68">
        <v>1063.03</v>
      </c>
      <c r="FL52" s="68">
        <v>1091.5</v>
      </c>
      <c r="FM52" s="68">
        <f>SUM(FA52:FL52)</f>
        <v>10572.050000000001</v>
      </c>
      <c r="FN52" s="68">
        <v>1020.53</v>
      </c>
      <c r="FO52" s="68">
        <v>780.7</v>
      </c>
      <c r="FP52" s="68">
        <v>1530.91</v>
      </c>
      <c r="FQ52" s="68">
        <v>1272.77</v>
      </c>
      <c r="FR52" s="68">
        <v>1488.1</v>
      </c>
      <c r="FS52" s="68">
        <v>3931.02</v>
      </c>
      <c r="FT52" s="68">
        <v>2163.86</v>
      </c>
      <c r="FU52" s="68">
        <v>92</v>
      </c>
      <c r="FV52" s="68">
        <v>27</v>
      </c>
      <c r="FW52" s="129">
        <v>0</v>
      </c>
      <c r="FX52" s="68">
        <v>3780</v>
      </c>
      <c r="FY52" s="68">
        <v>3057.62</v>
      </c>
      <c r="FZ52" s="68">
        <f>SUM(FN52:FY52)</f>
        <v>19144.510000000002</v>
      </c>
      <c r="GA52" s="68">
        <v>851.26</v>
      </c>
      <c r="GB52" s="68">
        <v>786.6</v>
      </c>
      <c r="GC52" s="68">
        <v>1111.17</v>
      </c>
      <c r="GD52" s="68">
        <v>1581</v>
      </c>
      <c r="GE52" s="68">
        <v>1923.7</v>
      </c>
      <c r="GF52" s="68">
        <v>595.91</v>
      </c>
      <c r="GG52" s="68">
        <v>1731.2399999999998</v>
      </c>
      <c r="GH52" s="68">
        <v>5790.9</v>
      </c>
      <c r="GI52" s="68">
        <f>1480.34+40</f>
        <v>1520.34</v>
      </c>
      <c r="GJ52" s="68">
        <f>1365+144</f>
        <v>1509</v>
      </c>
      <c r="GK52" s="68">
        <v>629.36</v>
      </c>
      <c r="GL52" s="68">
        <v>1790.67</v>
      </c>
      <c r="GM52" s="68">
        <f>SUM(GA52:GL52)</f>
        <v>19821.15</v>
      </c>
      <c r="GN52" s="68">
        <v>917</v>
      </c>
      <c r="GO52" s="68">
        <f>700+96+19.98</f>
        <v>815.98</v>
      </c>
      <c r="GP52" s="68">
        <f>947.3+384+41.4</f>
        <v>1372.7</v>
      </c>
      <c r="GQ52" s="68">
        <v>454.73</v>
      </c>
      <c r="GR52" s="68">
        <v>321.45</v>
      </c>
      <c r="GS52" s="68">
        <v>1076.06</v>
      </c>
      <c r="GT52" s="68">
        <v>3750.86</v>
      </c>
      <c r="GU52" s="68">
        <f>3524.26+8.5+25</f>
        <v>3557.76</v>
      </c>
      <c r="GV52" s="68">
        <f>1724.98+252+8956.62</f>
        <v>10933.6</v>
      </c>
      <c r="GW52" s="68">
        <v>2048.64</v>
      </c>
      <c r="GX52" s="68">
        <f>2597+182</f>
        <v>2779</v>
      </c>
      <c r="GY52" s="68">
        <f>2320+600</f>
        <v>2920</v>
      </c>
      <c r="GZ52" s="68">
        <f>SUM(GN52:GY52)</f>
        <v>30947.78</v>
      </c>
      <c r="HA52" s="68">
        <v>1498.9799999999998</v>
      </c>
      <c r="HB52" s="68">
        <v>3325.31</v>
      </c>
      <c r="HC52" s="68">
        <f>1492.82+935.02</f>
        <v>2427.84</v>
      </c>
      <c r="HD52" s="68">
        <v>4.63</v>
      </c>
      <c r="HE52" s="68">
        <f>2497.86+246+144</f>
        <v>2887.86</v>
      </c>
      <c r="HF52" s="68">
        <f>4895.05+129.4+125</f>
        <v>5149.45</v>
      </c>
      <c r="HG52" s="68">
        <f>1851.31+47+3476.33</f>
        <v>5374.639999999999</v>
      </c>
      <c r="HH52" s="68">
        <f>5591.44+42</f>
        <v>5633.44</v>
      </c>
      <c r="HI52" s="68">
        <f>3940.75+18+4048</f>
        <v>8006.75</v>
      </c>
      <c r="HJ52" s="68">
        <v>1251.51</v>
      </c>
      <c r="HK52" s="68">
        <f>1837.58+72</f>
        <v>1909.58</v>
      </c>
      <c r="HL52" s="68">
        <f>2816.56+7.6</f>
        <v>2824.16</v>
      </c>
      <c r="HM52" s="68">
        <f>SUM(HA52:HL52)</f>
        <v>40294.149999999994</v>
      </c>
      <c r="HN52" s="68">
        <v>4736.62</v>
      </c>
      <c r="HO52" s="68">
        <v>12574.68</v>
      </c>
      <c r="HP52" s="68">
        <v>3070.5699999999997</v>
      </c>
      <c r="HQ52" s="68">
        <v>6</v>
      </c>
      <c r="HR52" s="68">
        <v>631.4</v>
      </c>
      <c r="HS52" s="68">
        <v>2139.47</v>
      </c>
      <c r="HT52" s="68">
        <v>386.2</v>
      </c>
      <c r="HU52" s="68">
        <v>1614.39</v>
      </c>
      <c r="HV52" s="68">
        <v>4261.21</v>
      </c>
      <c r="HW52" s="68">
        <v>1680.22</v>
      </c>
      <c r="HX52" s="68">
        <v>913.62</v>
      </c>
      <c r="HY52" s="68">
        <v>1122.41</v>
      </c>
      <c r="HZ52" s="68">
        <f>SUM(HN52:HY52)</f>
        <v>33136.79</v>
      </c>
      <c r="IA52" s="68">
        <f>3531.53+30</f>
        <v>3561.53</v>
      </c>
      <c r="IB52" s="68">
        <v>1856.13</v>
      </c>
      <c r="IC52" s="186">
        <v>2011.06</v>
      </c>
      <c r="ID52" s="186">
        <v>2715.65</v>
      </c>
      <c r="IE52" s="186">
        <v>3258.42</v>
      </c>
      <c r="IF52" s="186">
        <v>1094.23</v>
      </c>
      <c r="IG52" s="186">
        <f>877.23+150+67</f>
        <v>1094.23</v>
      </c>
      <c r="IH52" s="186">
        <f>3036.5+1.26</f>
        <v>3037.76</v>
      </c>
      <c r="II52" s="186">
        <f>4227.74+18+222.15</f>
        <v>4467.889999999999</v>
      </c>
      <c r="IJ52" s="186">
        <v>2046.18</v>
      </c>
      <c r="IK52" s="186">
        <f>6818.57+15.7</f>
        <v>6834.2699999999995</v>
      </c>
      <c r="IL52" s="186">
        <f>2129.04+162</f>
        <v>2291.04</v>
      </c>
      <c r="IM52" s="186">
        <f>SUM(IA52:IB52)</f>
        <v>5417.66</v>
      </c>
      <c r="IN52" s="186">
        <f>(8962.57+396+86.4)</f>
        <v>9444.97</v>
      </c>
      <c r="IO52" s="68">
        <f>855.95+366+112</f>
        <v>1333.95</v>
      </c>
      <c r="IP52" s="186">
        <f>IN52+IO52</f>
        <v>10778.92</v>
      </c>
    </row>
    <row r="53" spans="1:250" ht="15">
      <c r="A53" s="185" t="s">
        <v>57</v>
      </c>
      <c r="B53" s="115" t="s">
        <v>33</v>
      </c>
      <c r="C53" s="77" t="s">
        <v>33</v>
      </c>
      <c r="D53" s="77" t="s">
        <v>33</v>
      </c>
      <c r="E53" s="77" t="s">
        <v>33</v>
      </c>
      <c r="F53" s="56">
        <v>563047</v>
      </c>
      <c r="G53" s="56">
        <v>1563730</v>
      </c>
      <c r="H53" s="56">
        <v>1072976</v>
      </c>
      <c r="I53" s="77" t="s">
        <v>33</v>
      </c>
      <c r="J53" s="77" t="s">
        <v>33</v>
      </c>
      <c r="K53" s="56">
        <v>313664</v>
      </c>
      <c r="L53" s="57">
        <v>104256</v>
      </c>
      <c r="M53" s="58">
        <v>71062</v>
      </c>
      <c r="N53" s="59">
        <v>68937.53</v>
      </c>
      <c r="O53" s="58">
        <v>277465.61</v>
      </c>
      <c r="P53" s="59">
        <v>301520</v>
      </c>
      <c r="Q53" s="59">
        <v>333540</v>
      </c>
      <c r="R53" s="59">
        <v>365500</v>
      </c>
      <c r="S53" s="61">
        <v>599001</v>
      </c>
      <c r="T53" s="59">
        <v>468154</v>
      </c>
      <c r="U53" s="59">
        <v>265940</v>
      </c>
      <c r="V53" s="59">
        <v>197358</v>
      </c>
      <c r="W53" s="59">
        <v>59400</v>
      </c>
      <c r="X53" s="59">
        <v>100223</v>
      </c>
      <c r="Y53" s="59">
        <v>68485</v>
      </c>
      <c r="Z53" s="129">
        <v>0</v>
      </c>
      <c r="AA53" s="129">
        <v>0</v>
      </c>
      <c r="AB53" s="129">
        <v>0</v>
      </c>
      <c r="AC53" s="129">
        <v>0</v>
      </c>
      <c r="AD53" s="129">
        <v>0</v>
      </c>
      <c r="AE53" s="136">
        <v>0</v>
      </c>
      <c r="AF53" s="136">
        <v>0</v>
      </c>
      <c r="AG53" s="136">
        <v>0</v>
      </c>
      <c r="AH53" s="136">
        <v>0</v>
      </c>
      <c r="AI53" s="136">
        <v>0</v>
      </c>
      <c r="AJ53" s="136">
        <v>0</v>
      </c>
      <c r="AK53" s="136">
        <v>0</v>
      </c>
      <c r="AL53" s="136">
        <v>0</v>
      </c>
      <c r="AM53" s="136">
        <v>0</v>
      </c>
      <c r="AN53" s="136">
        <v>0</v>
      </c>
      <c r="AO53" s="136">
        <v>0</v>
      </c>
      <c r="AP53" s="136">
        <v>0</v>
      </c>
      <c r="AQ53" s="136">
        <v>0</v>
      </c>
      <c r="AR53" s="136">
        <v>0</v>
      </c>
      <c r="AS53" s="136">
        <v>0</v>
      </c>
      <c r="AT53" s="136">
        <v>0</v>
      </c>
      <c r="AU53" s="136">
        <v>0</v>
      </c>
      <c r="AV53" s="136">
        <v>0</v>
      </c>
      <c r="AW53" s="136">
        <v>0</v>
      </c>
      <c r="AX53" s="136">
        <v>0</v>
      </c>
      <c r="AY53" s="136">
        <v>0</v>
      </c>
      <c r="AZ53" s="136">
        <v>0</v>
      </c>
      <c r="BA53" s="136">
        <v>0</v>
      </c>
      <c r="BB53" s="136">
        <v>0</v>
      </c>
      <c r="BC53" s="136">
        <v>0</v>
      </c>
      <c r="BD53" s="136">
        <v>0</v>
      </c>
      <c r="BE53" s="136">
        <v>0</v>
      </c>
      <c r="BF53" s="136">
        <v>0</v>
      </c>
      <c r="BG53" s="136">
        <v>0</v>
      </c>
      <c r="BH53" s="136">
        <v>0</v>
      </c>
      <c r="BI53" s="136">
        <v>0</v>
      </c>
      <c r="BJ53" s="136">
        <v>0</v>
      </c>
      <c r="BK53" s="136">
        <v>0</v>
      </c>
      <c r="BL53" s="136">
        <v>0</v>
      </c>
      <c r="BM53" s="136">
        <v>0</v>
      </c>
      <c r="BN53" s="136">
        <v>0</v>
      </c>
      <c r="BO53" s="136">
        <v>0</v>
      </c>
      <c r="BP53" s="136">
        <v>0</v>
      </c>
      <c r="BQ53" s="136">
        <v>0</v>
      </c>
      <c r="BR53" s="136">
        <v>0</v>
      </c>
      <c r="BS53" s="136">
        <v>0</v>
      </c>
      <c r="BT53" s="136">
        <v>0</v>
      </c>
      <c r="BU53" s="136">
        <v>0</v>
      </c>
      <c r="BV53" s="136">
        <v>0</v>
      </c>
      <c r="BW53" s="136">
        <v>0</v>
      </c>
      <c r="BX53" s="136">
        <v>0</v>
      </c>
      <c r="BY53" s="136">
        <v>0</v>
      </c>
      <c r="BZ53" s="136">
        <v>0</v>
      </c>
      <c r="CA53" s="136">
        <v>0</v>
      </c>
      <c r="CB53" s="136">
        <v>0</v>
      </c>
      <c r="CC53" s="136">
        <v>0</v>
      </c>
      <c r="CD53" s="136">
        <v>0</v>
      </c>
      <c r="CE53" s="136">
        <v>0</v>
      </c>
      <c r="CF53" s="136">
        <v>0</v>
      </c>
      <c r="CG53" s="136">
        <v>0</v>
      </c>
      <c r="CH53" s="136">
        <v>0</v>
      </c>
      <c r="CI53" s="136">
        <v>0</v>
      </c>
      <c r="CJ53" s="136">
        <v>0</v>
      </c>
      <c r="CK53" s="136">
        <v>0</v>
      </c>
      <c r="CL53" s="136">
        <v>0</v>
      </c>
      <c r="CM53" s="136">
        <v>0</v>
      </c>
      <c r="CN53" s="136">
        <v>0</v>
      </c>
      <c r="CO53" s="136">
        <v>0</v>
      </c>
      <c r="CP53" s="136">
        <v>0</v>
      </c>
      <c r="CQ53" s="136">
        <v>0</v>
      </c>
      <c r="CR53" s="136">
        <v>0</v>
      </c>
      <c r="CS53" s="136">
        <v>0</v>
      </c>
      <c r="CT53" s="136">
        <v>0</v>
      </c>
      <c r="CU53" s="136">
        <v>0</v>
      </c>
      <c r="CV53" s="136">
        <v>0</v>
      </c>
      <c r="CW53" s="136">
        <v>0</v>
      </c>
      <c r="CX53" s="136">
        <v>0</v>
      </c>
      <c r="CY53" s="136">
        <v>0</v>
      </c>
      <c r="CZ53" s="136">
        <v>0</v>
      </c>
      <c r="DA53" s="136">
        <v>0</v>
      </c>
      <c r="DB53" s="136">
        <v>0</v>
      </c>
      <c r="DC53" s="136">
        <v>0</v>
      </c>
      <c r="DD53" s="136">
        <v>0</v>
      </c>
      <c r="DE53" s="136">
        <v>0</v>
      </c>
      <c r="DF53" s="136">
        <v>0</v>
      </c>
      <c r="DG53" s="136">
        <v>0</v>
      </c>
      <c r="DH53" s="136">
        <v>0</v>
      </c>
      <c r="DI53" s="136">
        <v>0</v>
      </c>
      <c r="DJ53" s="136">
        <v>0</v>
      </c>
      <c r="DK53" s="136">
        <v>0</v>
      </c>
      <c r="DL53" s="136">
        <v>0</v>
      </c>
      <c r="DM53" s="136">
        <v>0</v>
      </c>
      <c r="DN53" s="136">
        <v>0</v>
      </c>
      <c r="DO53" s="136">
        <v>0</v>
      </c>
      <c r="DP53" s="136">
        <v>0</v>
      </c>
      <c r="DQ53" s="136">
        <v>0</v>
      </c>
      <c r="DR53" s="136">
        <v>0</v>
      </c>
      <c r="DS53" s="136">
        <v>0</v>
      </c>
      <c r="DT53" s="136">
        <v>0</v>
      </c>
      <c r="DU53" s="136">
        <v>0</v>
      </c>
      <c r="DV53" s="136">
        <v>0</v>
      </c>
      <c r="DW53" s="136">
        <v>0</v>
      </c>
      <c r="DX53" s="136">
        <v>0</v>
      </c>
      <c r="DY53" s="136">
        <v>0</v>
      </c>
      <c r="DZ53" s="129">
        <v>0</v>
      </c>
      <c r="EA53" s="129">
        <v>0</v>
      </c>
      <c r="EB53" s="129">
        <v>0</v>
      </c>
      <c r="EC53" s="129">
        <v>0</v>
      </c>
      <c r="ED53" s="129">
        <v>0</v>
      </c>
      <c r="EE53" s="129">
        <v>0</v>
      </c>
      <c r="EF53" s="129">
        <v>0</v>
      </c>
      <c r="EG53" s="129">
        <v>0</v>
      </c>
      <c r="EH53" s="129">
        <v>0</v>
      </c>
      <c r="EI53" s="129">
        <v>0</v>
      </c>
      <c r="EJ53" s="129">
        <v>0</v>
      </c>
      <c r="EK53" s="136">
        <v>0</v>
      </c>
      <c r="EL53" s="129"/>
      <c r="EM53" s="129">
        <v>0</v>
      </c>
      <c r="EN53" s="129">
        <v>0</v>
      </c>
      <c r="EO53" s="129"/>
      <c r="EP53" s="129">
        <v>0</v>
      </c>
      <c r="EQ53" s="129">
        <v>0</v>
      </c>
      <c r="ER53" s="129"/>
      <c r="ES53" s="129">
        <v>0</v>
      </c>
      <c r="ET53" s="129"/>
      <c r="EU53" s="129">
        <v>0</v>
      </c>
      <c r="EV53" s="129">
        <v>0</v>
      </c>
      <c r="EW53" s="136">
        <v>0</v>
      </c>
      <c r="EX53" s="136">
        <v>0</v>
      </c>
      <c r="EY53" s="136">
        <v>0</v>
      </c>
      <c r="EZ53" s="129">
        <v>0</v>
      </c>
      <c r="FA53" s="129">
        <v>0</v>
      </c>
      <c r="FB53" s="129">
        <v>0</v>
      </c>
      <c r="FC53" s="129">
        <v>0</v>
      </c>
      <c r="FD53" s="129">
        <v>0</v>
      </c>
      <c r="FE53" s="129">
        <v>0</v>
      </c>
      <c r="FF53" s="129">
        <v>0</v>
      </c>
      <c r="FG53" s="129">
        <v>0</v>
      </c>
      <c r="FH53" s="129">
        <v>0</v>
      </c>
      <c r="FI53" s="129">
        <v>0</v>
      </c>
      <c r="FJ53" s="129">
        <v>0</v>
      </c>
      <c r="FK53" s="129">
        <v>0</v>
      </c>
      <c r="FL53" s="129">
        <v>0</v>
      </c>
      <c r="FM53" s="129">
        <v>0</v>
      </c>
      <c r="FN53" s="129">
        <v>0</v>
      </c>
      <c r="FO53" s="129">
        <v>0</v>
      </c>
      <c r="FP53" s="129">
        <v>0</v>
      </c>
      <c r="FQ53" s="129">
        <v>0</v>
      </c>
      <c r="FR53" s="129">
        <v>0</v>
      </c>
      <c r="FS53" s="129">
        <v>0</v>
      </c>
      <c r="FT53" s="129">
        <v>0</v>
      </c>
      <c r="FU53" s="129">
        <v>0</v>
      </c>
      <c r="FV53" s="129">
        <v>0</v>
      </c>
      <c r="FW53" s="129">
        <v>0</v>
      </c>
      <c r="FX53" s="129">
        <v>0</v>
      </c>
      <c r="FY53" s="129">
        <v>0</v>
      </c>
      <c r="FZ53" s="129">
        <v>0</v>
      </c>
      <c r="GA53" s="129">
        <v>0</v>
      </c>
      <c r="GB53" s="129">
        <v>0</v>
      </c>
      <c r="GC53" s="129">
        <v>0</v>
      </c>
      <c r="GD53" s="129">
        <v>0</v>
      </c>
      <c r="GE53" s="129">
        <v>0</v>
      </c>
      <c r="GF53" s="129">
        <v>0</v>
      </c>
      <c r="GG53" s="129">
        <v>0</v>
      </c>
      <c r="GH53" s="129">
        <v>0</v>
      </c>
      <c r="GI53" s="129">
        <v>0</v>
      </c>
      <c r="GJ53" s="129">
        <v>0</v>
      </c>
      <c r="GK53" s="129">
        <v>0</v>
      </c>
      <c r="GL53" s="129">
        <v>0</v>
      </c>
      <c r="GM53" s="129">
        <v>0</v>
      </c>
      <c r="GN53" s="129">
        <v>0</v>
      </c>
      <c r="GO53" s="129">
        <v>0</v>
      </c>
      <c r="GP53" s="129">
        <v>0</v>
      </c>
      <c r="GQ53" s="129">
        <v>0</v>
      </c>
      <c r="GR53" s="129">
        <v>0</v>
      </c>
      <c r="GS53" s="129">
        <v>0</v>
      </c>
      <c r="GT53" s="129">
        <v>0</v>
      </c>
      <c r="GU53" s="129">
        <v>0</v>
      </c>
      <c r="GV53" s="129">
        <v>0</v>
      </c>
      <c r="GW53" s="129">
        <v>0</v>
      </c>
      <c r="GX53" s="129">
        <v>0</v>
      </c>
      <c r="GY53" s="129">
        <v>0</v>
      </c>
      <c r="GZ53" s="129">
        <v>0</v>
      </c>
      <c r="HA53" s="129">
        <v>0</v>
      </c>
      <c r="HB53" s="129">
        <v>0</v>
      </c>
      <c r="HC53" s="129">
        <v>0</v>
      </c>
      <c r="HD53" s="129">
        <v>0</v>
      </c>
      <c r="HE53" s="129">
        <v>0</v>
      </c>
      <c r="HF53" s="129">
        <v>0</v>
      </c>
      <c r="HG53" s="129">
        <v>0</v>
      </c>
      <c r="HH53" s="129">
        <v>0</v>
      </c>
      <c r="HI53" s="129">
        <v>0</v>
      </c>
      <c r="HJ53" s="129">
        <v>0</v>
      </c>
      <c r="HK53" s="129">
        <v>0</v>
      </c>
      <c r="HL53" s="129">
        <v>0</v>
      </c>
      <c r="HM53" s="129">
        <f>SUM(HA53:HJ53)</f>
        <v>0</v>
      </c>
      <c r="HN53" s="129">
        <v>0</v>
      </c>
      <c r="HO53" s="129">
        <v>0</v>
      </c>
      <c r="HP53" s="129">
        <v>0</v>
      </c>
      <c r="HQ53" s="129">
        <v>0</v>
      </c>
      <c r="HR53" s="129">
        <v>0</v>
      </c>
      <c r="HS53" s="129">
        <v>0</v>
      </c>
      <c r="HT53" s="129">
        <v>0</v>
      </c>
      <c r="HU53" s="129">
        <v>0</v>
      </c>
      <c r="HV53" s="129">
        <v>0</v>
      </c>
      <c r="HW53" s="129">
        <v>0</v>
      </c>
      <c r="HX53" s="129">
        <v>0</v>
      </c>
      <c r="HY53" s="129">
        <v>0</v>
      </c>
      <c r="HZ53" s="129">
        <f>SUM(HN53:HW53)</f>
        <v>0</v>
      </c>
      <c r="IA53" s="187">
        <v>0</v>
      </c>
      <c r="IB53" s="187">
        <v>0</v>
      </c>
      <c r="IC53" s="187">
        <v>0</v>
      </c>
      <c r="ID53" s="187">
        <v>0</v>
      </c>
      <c r="IE53" s="129">
        <v>0</v>
      </c>
      <c r="IF53" s="134">
        <v>0</v>
      </c>
      <c r="IG53" s="129">
        <v>0</v>
      </c>
      <c r="IH53" s="134">
        <v>0</v>
      </c>
      <c r="II53" s="129">
        <v>0</v>
      </c>
      <c r="IJ53" s="134"/>
      <c r="IK53" s="134">
        <v>0</v>
      </c>
      <c r="IL53" s="134">
        <v>0</v>
      </c>
      <c r="IM53" s="187">
        <v>0</v>
      </c>
      <c r="IN53" s="187">
        <v>0</v>
      </c>
      <c r="IO53" s="187">
        <v>0</v>
      </c>
      <c r="IP53" s="186">
        <f>IN53+IO53</f>
        <v>0</v>
      </c>
    </row>
    <row r="54" spans="1:250" ht="15">
      <c r="A54" s="175"/>
      <c r="B54" s="7"/>
      <c r="C54" s="7"/>
      <c r="D54" s="7"/>
      <c r="E54" s="7"/>
      <c r="F54" s="7"/>
      <c r="G54" s="7"/>
      <c r="H54" s="7"/>
      <c r="I54" s="7"/>
      <c r="J54" s="7"/>
      <c r="K54" s="7"/>
      <c r="L54" s="57"/>
      <c r="M54" s="58"/>
      <c r="N54" s="59"/>
      <c r="O54" s="58"/>
      <c r="P54" s="59"/>
      <c r="Q54" s="59"/>
      <c r="R54" s="59"/>
      <c r="S54" s="61"/>
      <c r="T54" s="61"/>
      <c r="U54" s="116"/>
      <c r="V54" s="117"/>
      <c r="W54" s="117"/>
      <c r="X54" s="59"/>
      <c r="Y54" s="59"/>
      <c r="Z54" s="59"/>
      <c r="AA54" s="52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73"/>
      <c r="AQ54" s="53"/>
      <c r="AR54" s="53"/>
      <c r="AS54" s="64"/>
      <c r="AT54" s="53"/>
      <c r="AU54" s="53"/>
      <c r="AV54" s="53"/>
      <c r="AW54" s="53"/>
      <c r="AX54" s="64"/>
      <c r="AY54" s="53"/>
      <c r="AZ54" s="53"/>
      <c r="BA54" s="53"/>
      <c r="BB54" s="53"/>
      <c r="BC54" s="53"/>
      <c r="BD54" s="53"/>
      <c r="BE54" s="64"/>
      <c r="BF54" s="53"/>
      <c r="BG54" s="53"/>
      <c r="BH54" s="53"/>
      <c r="BI54" s="53"/>
      <c r="BJ54" s="64"/>
      <c r="BK54" s="53"/>
      <c r="BL54" s="53"/>
      <c r="BM54" s="64"/>
      <c r="BN54" s="64"/>
      <c r="BO54" s="64"/>
      <c r="BP54" s="64"/>
      <c r="BQ54" s="53"/>
      <c r="BR54" s="53"/>
      <c r="BS54" s="53"/>
      <c r="BT54" s="53"/>
      <c r="BU54" s="7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>
        <f t="shared" si="15"/>
        <v>0</v>
      </c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>
        <f t="shared" si="16"/>
        <v>0</v>
      </c>
      <c r="DN54" s="53">
        <f>SUM(CZ54:DK54)</f>
        <v>0</v>
      </c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68">
        <f t="shared" si="17"/>
        <v>0</v>
      </c>
      <c r="EA54" s="53">
        <f>SUM(DA54:DL54)</f>
        <v>0</v>
      </c>
      <c r="EB54" s="53">
        <f>SUM(DA54:DL54)</f>
        <v>0</v>
      </c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68">
        <f t="shared" si="18"/>
        <v>0</v>
      </c>
      <c r="EN54" s="53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53"/>
      <c r="FA54" s="53"/>
      <c r="FB54" s="53"/>
      <c r="FC54" s="53"/>
      <c r="FD54" s="53"/>
      <c r="FE54" s="53"/>
      <c r="FF54" s="53"/>
      <c r="FG54" s="53"/>
      <c r="FH54" s="53"/>
      <c r="FI54" s="68"/>
      <c r="FJ54" s="68"/>
      <c r="FK54" s="68"/>
      <c r="FL54" s="68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6"/>
      <c r="IO54" s="186"/>
      <c r="IP54" s="186"/>
    </row>
    <row r="55" spans="1:250" ht="15" hidden="1">
      <c r="A55" s="185" t="s">
        <v>58</v>
      </c>
      <c r="B55" s="11"/>
      <c r="C55" s="7"/>
      <c r="D55" s="7"/>
      <c r="E55" s="7"/>
      <c r="F55" s="7"/>
      <c r="G55" s="7"/>
      <c r="H55" s="7"/>
      <c r="I55" s="7"/>
      <c r="J55" s="7"/>
      <c r="K55" s="7"/>
      <c r="L55" s="57"/>
      <c r="M55" s="58"/>
      <c r="N55" s="59"/>
      <c r="O55" s="58"/>
      <c r="P55" s="59"/>
      <c r="Q55" s="59"/>
      <c r="R55" s="59"/>
      <c r="S55" s="61"/>
      <c r="T55" s="61"/>
      <c r="U55" s="61"/>
      <c r="V55" s="61"/>
      <c r="W55" s="61"/>
      <c r="X55" s="61"/>
      <c r="Y55" s="59"/>
      <c r="Z55" s="59"/>
      <c r="AA55" s="59"/>
      <c r="AB55" s="59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73"/>
      <c r="AQ55" s="53"/>
      <c r="AR55" s="53"/>
      <c r="AS55" s="64"/>
      <c r="AT55" s="53"/>
      <c r="AU55" s="53"/>
      <c r="AV55" s="53"/>
      <c r="AW55" s="53"/>
      <c r="AX55" s="64"/>
      <c r="AY55" s="53"/>
      <c r="AZ55" s="53"/>
      <c r="BA55" s="53"/>
      <c r="BB55" s="73"/>
      <c r="BC55" s="53"/>
      <c r="BD55" s="53"/>
      <c r="BE55" s="53"/>
      <c r="BF55" s="53"/>
      <c r="BG55" s="53"/>
      <c r="BH55" s="53"/>
      <c r="BI55" s="53"/>
      <c r="BJ55" s="64"/>
      <c r="BK55" s="53"/>
      <c r="BL55" s="53"/>
      <c r="BM55" s="64">
        <f>SUM(BA55:BL55)</f>
        <v>0</v>
      </c>
      <c r="BN55" s="64"/>
      <c r="BO55" s="64"/>
      <c r="BP55" s="64"/>
      <c r="BQ55" s="73"/>
      <c r="BR55" s="53"/>
      <c r="BS55" s="73"/>
      <c r="BT55" s="53"/>
      <c r="BU55" s="53"/>
      <c r="BV55" s="53"/>
      <c r="BW55" s="53"/>
      <c r="BX55" s="53"/>
      <c r="BY55" s="53"/>
      <c r="BZ55" s="73"/>
      <c r="CA55" s="53">
        <f>SUM(BN55:BV55)</f>
        <v>0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>
        <f t="shared" si="15"/>
        <v>0</v>
      </c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>
        <f t="shared" si="16"/>
        <v>0</v>
      </c>
      <c r="DN55" s="53">
        <f>SUM(CZ55:DK55)</f>
        <v>0</v>
      </c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68">
        <f t="shared" si="17"/>
        <v>0</v>
      </c>
      <c r="EA55" s="53">
        <f>SUM(DA55:DL55)</f>
        <v>0</v>
      </c>
      <c r="EB55" s="53">
        <f>SUM(DA55:DL55)</f>
        <v>0</v>
      </c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68">
        <f t="shared" si="18"/>
        <v>0</v>
      </c>
      <c r="EN55" s="53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53"/>
      <c r="FA55" s="53"/>
      <c r="FB55" s="53"/>
      <c r="FC55" s="53"/>
      <c r="FD55" s="53"/>
      <c r="FE55" s="53"/>
      <c r="FF55" s="53"/>
      <c r="FG55" s="53"/>
      <c r="FH55" s="53"/>
      <c r="FI55" s="68"/>
      <c r="FJ55" s="68"/>
      <c r="FK55" s="68"/>
      <c r="FL55" s="68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6"/>
      <c r="IO55" s="186"/>
      <c r="IP55" s="186"/>
    </row>
    <row r="56" spans="1:250" ht="15" hidden="1">
      <c r="A56" s="175"/>
      <c r="B56" s="7"/>
      <c r="C56" s="7"/>
      <c r="D56" s="7"/>
      <c r="E56" s="7"/>
      <c r="F56" s="7"/>
      <c r="G56" s="7"/>
      <c r="H56" s="7"/>
      <c r="I56" s="7"/>
      <c r="J56" s="7"/>
      <c r="K56" s="7"/>
      <c r="L56" s="57"/>
      <c r="M56" s="58"/>
      <c r="N56" s="59"/>
      <c r="O56" s="58"/>
      <c r="P56" s="59"/>
      <c r="Q56" s="59"/>
      <c r="R56" s="59"/>
      <c r="S56" s="61"/>
      <c r="T56" s="61"/>
      <c r="U56" s="61"/>
      <c r="V56" s="61"/>
      <c r="W56" s="61"/>
      <c r="X56" s="61"/>
      <c r="Y56" s="59"/>
      <c r="Z56" s="59"/>
      <c r="AA56" s="59"/>
      <c r="AB56" s="59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73"/>
      <c r="AQ56" s="53"/>
      <c r="AR56" s="53"/>
      <c r="AS56" s="64"/>
      <c r="AT56" s="53"/>
      <c r="AU56" s="53"/>
      <c r="AV56" s="53"/>
      <c r="AW56" s="53"/>
      <c r="AX56" s="64"/>
      <c r="AY56" s="53"/>
      <c r="AZ56" s="53"/>
      <c r="BA56" s="53"/>
      <c r="BB56" s="73"/>
      <c r="BC56" s="53"/>
      <c r="BD56" s="53"/>
      <c r="BE56" s="53"/>
      <c r="BF56" s="53"/>
      <c r="BG56" s="53"/>
      <c r="BH56" s="53"/>
      <c r="BI56" s="53"/>
      <c r="BJ56" s="64"/>
      <c r="BK56" s="53"/>
      <c r="BL56" s="53"/>
      <c r="BM56" s="64">
        <f>SUM(BA56:BL56)</f>
        <v>0</v>
      </c>
      <c r="BN56" s="64"/>
      <c r="BO56" s="64"/>
      <c r="BP56" s="64"/>
      <c r="BQ56" s="73"/>
      <c r="BR56" s="53"/>
      <c r="BS56" s="73"/>
      <c r="BT56" s="53"/>
      <c r="BU56" s="53"/>
      <c r="BV56" s="53"/>
      <c r="BW56" s="53"/>
      <c r="BX56" s="53"/>
      <c r="BY56" s="53"/>
      <c r="BZ56" s="73"/>
      <c r="CA56" s="53">
        <f>SUM(BN56:BV56)</f>
        <v>0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>
        <f t="shared" si="15"/>
        <v>0</v>
      </c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>
        <f t="shared" si="16"/>
        <v>0</v>
      </c>
      <c r="DN56" s="53">
        <f>SUM(CZ56:DK56)</f>
        <v>0</v>
      </c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68">
        <f t="shared" si="17"/>
        <v>0</v>
      </c>
      <c r="EA56" s="53">
        <f>SUM(DA56:DL56)</f>
        <v>0</v>
      </c>
      <c r="EB56" s="53">
        <f>SUM(DA56:DL56)</f>
        <v>0</v>
      </c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68">
        <f t="shared" si="18"/>
        <v>0</v>
      </c>
      <c r="EN56" s="53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53"/>
      <c r="FA56" s="53"/>
      <c r="FB56" s="53"/>
      <c r="FC56" s="53"/>
      <c r="FD56" s="53"/>
      <c r="FE56" s="53"/>
      <c r="FF56" s="53"/>
      <c r="FG56" s="53"/>
      <c r="FH56" s="53"/>
      <c r="FI56" s="68"/>
      <c r="FJ56" s="68"/>
      <c r="FK56" s="68"/>
      <c r="FL56" s="68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6"/>
      <c r="IO56" s="186"/>
      <c r="IP56" s="186"/>
    </row>
    <row r="57" spans="1:250" ht="15" hidden="1">
      <c r="A57" s="185" t="s">
        <v>59</v>
      </c>
      <c r="B57" s="153">
        <v>181845</v>
      </c>
      <c r="C57" s="56">
        <v>268559</v>
      </c>
      <c r="D57" s="56">
        <v>237063</v>
      </c>
      <c r="E57" s="56">
        <v>246049</v>
      </c>
      <c r="F57" s="56">
        <v>236929</v>
      </c>
      <c r="G57" s="56">
        <v>174488</v>
      </c>
      <c r="H57" s="56">
        <v>243248</v>
      </c>
      <c r="I57" s="56">
        <v>256280</v>
      </c>
      <c r="J57" s="56">
        <v>257660</v>
      </c>
      <c r="K57" s="56">
        <v>282530</v>
      </c>
      <c r="L57" s="57">
        <v>274049</v>
      </c>
      <c r="M57" s="58">
        <v>272170</v>
      </c>
      <c r="N57" s="59">
        <v>141547</v>
      </c>
      <c r="O57" s="58">
        <v>232640</v>
      </c>
      <c r="P57" s="59">
        <v>190347</v>
      </c>
      <c r="Q57" s="59">
        <v>176540</v>
      </c>
      <c r="R57" s="59">
        <v>146583</v>
      </c>
      <c r="S57" s="61">
        <v>160183</v>
      </c>
      <c r="T57" s="59">
        <v>110078</v>
      </c>
      <c r="U57" s="81" t="s">
        <v>64</v>
      </c>
      <c r="V57" s="81" t="s">
        <v>64</v>
      </c>
      <c r="W57" s="81" t="s">
        <v>64</v>
      </c>
      <c r="X57" s="81" t="s">
        <v>64</v>
      </c>
      <c r="Y57" s="81" t="s">
        <v>64</v>
      </c>
      <c r="Z57" s="81"/>
      <c r="AA57" s="81"/>
      <c r="AB57" s="81"/>
      <c r="AC57" s="53"/>
      <c r="AD57" s="5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88" t="s">
        <v>64</v>
      </c>
      <c r="AP57" s="88" t="s">
        <v>64</v>
      </c>
      <c r="AQ57" s="81" t="s">
        <v>64</v>
      </c>
      <c r="AR57" s="81" t="s">
        <v>64</v>
      </c>
      <c r="AS57" s="81" t="s">
        <v>64</v>
      </c>
      <c r="AT57" s="81" t="s">
        <v>64</v>
      </c>
      <c r="AU57" s="81" t="s">
        <v>64</v>
      </c>
      <c r="AV57" s="81" t="s">
        <v>64</v>
      </c>
      <c r="AW57" s="81" t="s">
        <v>64</v>
      </c>
      <c r="AX57" s="81" t="s">
        <v>64</v>
      </c>
      <c r="AY57" s="80" t="s">
        <v>64</v>
      </c>
      <c r="AZ57" s="80" t="s">
        <v>64</v>
      </c>
      <c r="BA57" s="88" t="s">
        <v>64</v>
      </c>
      <c r="BB57" s="81"/>
      <c r="BC57" s="81"/>
      <c r="BD57" s="81"/>
      <c r="BE57" s="81"/>
      <c r="BF57" s="81"/>
      <c r="BG57" s="81"/>
      <c r="BH57" s="81"/>
      <c r="BI57" s="81"/>
      <c r="BJ57" s="81"/>
      <c r="BK57" s="80"/>
      <c r="BL57" s="80"/>
      <c r="BM57" s="64">
        <f>SUM(BA57:BL57)</f>
        <v>0</v>
      </c>
      <c r="BN57" s="70"/>
      <c r="BO57" s="70"/>
      <c r="BP57" s="70"/>
      <c r="BQ57" s="81"/>
      <c r="BR57" s="81"/>
      <c r="BS57" s="81"/>
      <c r="BT57" s="81"/>
      <c r="BU57" s="81"/>
      <c r="BV57" s="81"/>
      <c r="BW57" s="53"/>
      <c r="BX57" s="53"/>
      <c r="BY57" s="53"/>
      <c r="BZ57" s="81"/>
      <c r="CA57" s="53">
        <f>SUM(BN57:BV57)</f>
        <v>0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>
        <f t="shared" si="15"/>
        <v>0</v>
      </c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>
        <f t="shared" si="16"/>
        <v>0</v>
      </c>
      <c r="DN57" s="53">
        <f>SUM(CZ57:DK57)</f>
        <v>0</v>
      </c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68">
        <f t="shared" si="17"/>
        <v>0</v>
      </c>
      <c r="EA57" s="53">
        <f>SUM(DA57:DL57)</f>
        <v>0</v>
      </c>
      <c r="EB57" s="53">
        <f>SUM(DA57:DL57)</f>
        <v>0</v>
      </c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68">
        <f t="shared" si="18"/>
        <v>0</v>
      </c>
      <c r="EN57" s="53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53"/>
      <c r="FA57" s="53"/>
      <c r="FB57" s="53"/>
      <c r="FC57" s="53"/>
      <c r="FD57" s="53"/>
      <c r="FE57" s="53"/>
      <c r="FF57" s="53"/>
      <c r="FG57" s="53"/>
      <c r="FH57" s="53"/>
      <c r="FI57" s="68"/>
      <c r="FJ57" s="68"/>
      <c r="FK57" s="68"/>
      <c r="FL57" s="68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6"/>
      <c r="IO57" s="186"/>
      <c r="IP57" s="186"/>
    </row>
    <row r="58" spans="1:250" ht="15">
      <c r="A58" s="191"/>
      <c r="B58" s="12"/>
      <c r="C58" s="12"/>
      <c r="D58" s="12"/>
      <c r="E58" s="12"/>
      <c r="F58" s="12"/>
      <c r="G58" s="12"/>
      <c r="H58" s="118"/>
      <c r="I58" s="12"/>
      <c r="J58" s="12"/>
      <c r="K58" s="118"/>
      <c r="L58" s="118"/>
      <c r="M58" s="119"/>
      <c r="N58" s="120"/>
      <c r="O58" s="119"/>
      <c r="P58" s="121"/>
      <c r="Q58" s="121"/>
      <c r="R58" s="121"/>
      <c r="S58" s="122"/>
      <c r="T58" s="122"/>
      <c r="U58" s="122"/>
      <c r="V58" s="122"/>
      <c r="W58" s="122"/>
      <c r="X58" s="122"/>
      <c r="Y58" s="120"/>
      <c r="Z58" s="120"/>
      <c r="AA58" s="120"/>
      <c r="AB58" s="120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32"/>
      <c r="AP58" s="120"/>
      <c r="AQ58" s="121"/>
      <c r="AR58" s="121"/>
      <c r="AS58" s="121"/>
      <c r="AT58" s="121"/>
      <c r="AU58" s="121"/>
      <c r="AV58" s="120"/>
      <c r="AW58" s="120"/>
      <c r="AX58" s="123"/>
      <c r="AY58" s="121"/>
      <c r="AZ58" s="122"/>
      <c r="BA58" s="32"/>
      <c r="BB58" s="124"/>
      <c r="BC58" s="121"/>
      <c r="BD58" s="121"/>
      <c r="BE58" s="121"/>
      <c r="BF58" s="121"/>
      <c r="BG58" s="121"/>
      <c r="BH58" s="120"/>
      <c r="BI58" s="120"/>
      <c r="BJ58" s="123"/>
      <c r="BK58" s="121"/>
      <c r="BL58" s="122"/>
      <c r="BM58" s="64">
        <f>SUM(BA58:BL58)</f>
        <v>0</v>
      </c>
      <c r="BN58" s="64"/>
      <c r="BO58" s="64"/>
      <c r="BP58" s="64"/>
      <c r="BQ58" s="124"/>
      <c r="BR58" s="121"/>
      <c r="BS58" s="122"/>
      <c r="BT58" s="121"/>
      <c r="BU58" s="120"/>
      <c r="BV58" s="120"/>
      <c r="BW58" s="53"/>
      <c r="BX58" s="53"/>
      <c r="BY58" s="53"/>
      <c r="BZ58" s="122"/>
      <c r="CA58" s="53">
        <f>SUM(BN58:BV58)</f>
        <v>0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29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46"/>
      <c r="FJ58" s="146"/>
      <c r="FK58" s="146"/>
      <c r="FL58" s="146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214"/>
      <c r="IO58" s="214"/>
      <c r="IP58" s="214"/>
    </row>
    <row r="59" spans="1:250" ht="15">
      <c r="A59" s="19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25"/>
      <c r="Z59" s="125"/>
      <c r="AA59" s="125"/>
      <c r="AB59" s="125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25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25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26"/>
      <c r="BN59" s="126"/>
      <c r="BO59" s="126"/>
      <c r="BP59" s="126"/>
      <c r="BQ59" s="10"/>
      <c r="BR59" s="10"/>
      <c r="BS59" s="10"/>
      <c r="BT59" s="10"/>
      <c r="BU59" s="10"/>
      <c r="BV59" s="10"/>
      <c r="BW59" s="10"/>
      <c r="BX59" s="7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47"/>
      <c r="FJ59" s="147"/>
      <c r="FK59" s="147"/>
      <c r="FL59" s="147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37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0"/>
      <c r="IN59" s="173"/>
      <c r="IO59" s="173"/>
      <c r="IP59" s="173"/>
    </row>
    <row r="60" spans="1:250" ht="15">
      <c r="A60" s="194" t="s">
        <v>60</v>
      </c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56"/>
      <c r="Z60" s="56"/>
      <c r="AA60" s="56"/>
      <c r="AB60" s="5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56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56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56"/>
      <c r="BN60" s="56"/>
      <c r="BO60" s="56"/>
      <c r="BP60" s="56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130"/>
      <c r="FJ60" s="130"/>
      <c r="FK60" s="130"/>
      <c r="FL60" s="130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16"/>
      <c r="IA60" s="168"/>
      <c r="IB60" s="168"/>
      <c r="IC60" s="168"/>
      <c r="ID60" s="168"/>
      <c r="IE60" s="168"/>
      <c r="IF60" s="168"/>
      <c r="IG60" s="168"/>
      <c r="IH60" s="168"/>
      <c r="II60" s="168"/>
      <c r="IJ60" s="168"/>
      <c r="IK60" s="168"/>
      <c r="IL60" s="168"/>
      <c r="IM60" s="7"/>
      <c r="IN60" s="168"/>
      <c r="IO60" s="168"/>
      <c r="IP60" s="168"/>
    </row>
    <row r="61" spans="1:250" ht="15">
      <c r="A61" s="195" t="s">
        <v>61</v>
      </c>
      <c r="B61" s="1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56"/>
      <c r="Z61" s="56"/>
      <c r="AA61" s="56"/>
      <c r="AB61" s="5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56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56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56"/>
      <c r="BN61" s="56"/>
      <c r="BO61" s="56"/>
      <c r="BP61" s="56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130"/>
      <c r="FJ61" s="130"/>
      <c r="FK61" s="130"/>
      <c r="FL61" s="130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16"/>
      <c r="IA61" s="168"/>
      <c r="IB61" s="168"/>
      <c r="IC61" s="168"/>
      <c r="ID61" s="168"/>
      <c r="IE61" s="168"/>
      <c r="IF61" s="168"/>
      <c r="IG61" s="168"/>
      <c r="IH61" s="168"/>
      <c r="II61" s="168"/>
      <c r="IJ61" s="168"/>
      <c r="IK61" s="168"/>
      <c r="IL61" s="168"/>
      <c r="IM61" s="7"/>
      <c r="IN61" s="168"/>
      <c r="IO61" s="168"/>
      <c r="IP61" s="168"/>
    </row>
    <row r="62" spans="1:250" ht="15.75" thickBot="1">
      <c r="A62" s="196"/>
      <c r="B62" s="197"/>
      <c r="C62" s="197"/>
      <c r="D62" s="197"/>
      <c r="E62" s="197"/>
      <c r="F62" s="197"/>
      <c r="G62" s="197"/>
      <c r="H62" s="197"/>
      <c r="I62" s="197"/>
      <c r="J62" s="197"/>
      <c r="K62" s="198"/>
      <c r="L62" s="198"/>
      <c r="M62" s="198"/>
      <c r="N62" s="198"/>
      <c r="O62" s="198"/>
      <c r="P62" s="197"/>
      <c r="Q62" s="197"/>
      <c r="R62" s="197"/>
      <c r="S62" s="197"/>
      <c r="T62" s="197"/>
      <c r="U62" s="197"/>
      <c r="V62" s="197"/>
      <c r="W62" s="197"/>
      <c r="X62" s="197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7"/>
      <c r="AR62" s="197"/>
      <c r="AS62" s="197"/>
      <c r="AT62" s="197"/>
      <c r="AU62" s="197"/>
      <c r="AV62" s="198"/>
      <c r="AW62" s="198"/>
      <c r="AX62" s="197"/>
      <c r="AY62" s="197"/>
      <c r="AZ62" s="197"/>
      <c r="BA62" s="198"/>
      <c r="BB62" s="198"/>
      <c r="BC62" s="197"/>
      <c r="BD62" s="197"/>
      <c r="BE62" s="197"/>
      <c r="BF62" s="197"/>
      <c r="BG62" s="197"/>
      <c r="BH62" s="198"/>
      <c r="BI62" s="198"/>
      <c r="BJ62" s="197"/>
      <c r="BK62" s="197"/>
      <c r="BL62" s="197"/>
      <c r="BM62" s="198"/>
      <c r="BN62" s="198"/>
      <c r="BO62" s="198"/>
      <c r="BP62" s="198"/>
      <c r="BQ62" s="198"/>
      <c r="BR62" s="197"/>
      <c r="BS62" s="197"/>
      <c r="BT62" s="197"/>
      <c r="BU62" s="198"/>
      <c r="BV62" s="198"/>
      <c r="BW62" s="198"/>
      <c r="BX62" s="198"/>
      <c r="BY62" s="198"/>
      <c r="BZ62" s="197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9"/>
      <c r="FJ62" s="199"/>
      <c r="FK62" s="199"/>
      <c r="FL62" s="199"/>
      <c r="FM62" s="198"/>
      <c r="FN62" s="198"/>
      <c r="FO62" s="198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198"/>
      <c r="GC62" s="198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8"/>
      <c r="GP62" s="198"/>
      <c r="GQ62" s="198"/>
      <c r="GR62" s="198"/>
      <c r="GS62" s="198"/>
      <c r="GT62" s="198"/>
      <c r="GU62" s="198"/>
      <c r="GV62" s="198"/>
      <c r="GW62" s="198"/>
      <c r="GX62" s="198"/>
      <c r="GY62" s="198"/>
      <c r="GZ62" s="198"/>
      <c r="HA62" s="198"/>
      <c r="HB62" s="198"/>
      <c r="HC62" s="198"/>
      <c r="HD62" s="198"/>
      <c r="HE62" s="198"/>
      <c r="HF62" s="198"/>
      <c r="HG62" s="198"/>
      <c r="HH62" s="198"/>
      <c r="HI62" s="198"/>
      <c r="HJ62" s="198"/>
      <c r="HK62" s="198"/>
      <c r="HL62" s="198"/>
      <c r="HM62" s="198"/>
      <c r="HN62" s="198"/>
      <c r="HO62" s="198"/>
      <c r="HP62" s="198"/>
      <c r="HQ62" s="198"/>
      <c r="HR62" s="198"/>
      <c r="HS62" s="198"/>
      <c r="HT62" s="198"/>
      <c r="HU62" s="198"/>
      <c r="HV62" s="198"/>
      <c r="HW62" s="198"/>
      <c r="HX62" s="198"/>
      <c r="HY62" s="198"/>
      <c r="HZ62" s="200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198"/>
      <c r="IN62" s="201"/>
      <c r="IO62" s="201"/>
      <c r="IP62" s="201"/>
    </row>
    <row r="63" spans="1:220" ht="1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8"/>
      <c r="Z63" s="128"/>
      <c r="AA63" s="128"/>
      <c r="AB63" s="128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8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09"/>
      <c r="FJ63" s="109"/>
      <c r="FK63" s="109"/>
      <c r="FL63" s="109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</row>
    <row r="64" spans="1:220" ht="1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128"/>
      <c r="AA64" s="128"/>
      <c r="AB64" s="128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8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09"/>
      <c r="FJ64" s="109"/>
      <c r="FK64" s="109"/>
      <c r="FL64" s="109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</row>
    <row r="65" spans="1:220" ht="1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28"/>
      <c r="AA65" s="128"/>
      <c r="AB65" s="128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09"/>
      <c r="FJ65" s="109"/>
      <c r="FK65" s="109"/>
      <c r="FL65" s="109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</row>
    <row r="66" spans="1:220" ht="15">
      <c r="A66" s="11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28"/>
      <c r="AA66" s="128"/>
      <c r="AB66" s="56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09"/>
      <c r="FJ66" s="109"/>
      <c r="FK66" s="109"/>
      <c r="FL66" s="109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</row>
    <row r="67" spans="1:220" ht="1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28"/>
      <c r="AA67" s="128"/>
      <c r="AB67" s="128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09"/>
      <c r="FJ67" s="109"/>
      <c r="FK67" s="109"/>
      <c r="FL67" s="109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</row>
    <row r="68" spans="1:220" ht="1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28"/>
      <c r="AA68" s="128"/>
      <c r="AB68" s="128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>
        <f>CC32+CC33</f>
        <v>733469</v>
      </c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09"/>
      <c r="FJ68" s="109"/>
      <c r="FK68" s="109"/>
      <c r="FL68" s="109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</row>
    <row r="69" spans="1:220" ht="1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28"/>
      <c r="AA69" s="128"/>
      <c r="AB69" s="128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09"/>
      <c r="FJ69" s="109"/>
      <c r="FK69" s="109"/>
      <c r="FL69" s="109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</row>
    <row r="70" spans="1:220" ht="1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  <c r="Z70" s="128"/>
      <c r="AA70" s="128"/>
      <c r="AB70" s="128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>
        <v>157.1</v>
      </c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09"/>
      <c r="FJ70" s="109"/>
      <c r="FK70" s="109"/>
      <c r="FL70" s="109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</row>
    <row r="71" spans="1:220" ht="1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28"/>
      <c r="AA71" s="128"/>
      <c r="AB71" s="128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09"/>
      <c r="FJ71" s="109"/>
      <c r="FK71" s="109"/>
      <c r="FL71" s="109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</row>
    <row r="72" spans="1:220" ht="1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28"/>
      <c r="AA72" s="128"/>
      <c r="AB72" s="128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09"/>
      <c r="FJ72" s="109"/>
      <c r="FK72" s="109"/>
      <c r="FL72" s="109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  <c r="HL72" s="127"/>
    </row>
    <row r="73" spans="1:220" ht="1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128"/>
      <c r="AA73" s="128"/>
      <c r="AB73" s="128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09"/>
      <c r="FJ73" s="109"/>
      <c r="FK73" s="109"/>
      <c r="FL73" s="109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B73" s="127"/>
      <c r="HC73" s="127"/>
      <c r="HD73" s="127"/>
      <c r="HE73" s="127"/>
      <c r="HF73" s="127"/>
      <c r="HG73" s="127"/>
      <c r="HH73" s="127"/>
      <c r="HI73" s="127"/>
      <c r="HJ73" s="127"/>
      <c r="HK73" s="127"/>
      <c r="HL73" s="127"/>
    </row>
    <row r="74" spans="1:220" ht="1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128"/>
      <c r="AA74" s="128"/>
      <c r="AB74" s="128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09"/>
      <c r="FJ74" s="109"/>
      <c r="FK74" s="109"/>
      <c r="FL74" s="109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B74" s="127"/>
      <c r="HC74" s="127"/>
      <c r="HD74" s="127"/>
      <c r="HE74" s="127"/>
      <c r="HF74" s="127"/>
      <c r="HG74" s="127"/>
      <c r="HH74" s="127"/>
      <c r="HI74" s="127"/>
      <c r="HJ74" s="127"/>
      <c r="HK74" s="127"/>
      <c r="HL74" s="127"/>
    </row>
    <row r="75" spans="1:220" ht="1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128"/>
      <c r="AA75" s="128"/>
      <c r="AB75" s="128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09"/>
      <c r="FJ75" s="109"/>
      <c r="FK75" s="109"/>
      <c r="FL75" s="109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  <c r="HL75" s="127"/>
    </row>
    <row r="76" spans="1:220" ht="1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28"/>
      <c r="AA76" s="128"/>
      <c r="AB76" s="128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09"/>
      <c r="FJ76" s="109"/>
      <c r="FK76" s="109"/>
      <c r="FL76" s="109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</row>
    <row r="77" spans="25:28" ht="15">
      <c r="Y77" s="1"/>
      <c r="Z77" s="1"/>
      <c r="AA77" s="1"/>
      <c r="AB77" s="1"/>
    </row>
    <row r="78" spans="25:28" ht="15">
      <c r="Y78" s="1"/>
      <c r="Z78" s="1"/>
      <c r="AA78" s="1"/>
      <c r="AB78" s="1"/>
    </row>
    <row r="79" spans="25:28" ht="15">
      <c r="Y79" s="1"/>
      <c r="Z79" s="1"/>
      <c r="AA79" s="1"/>
      <c r="AB79" s="1"/>
    </row>
    <row r="80" spans="25:28" ht="15">
      <c r="Y80" s="1"/>
      <c r="Z80" s="1"/>
      <c r="AA80" s="1"/>
      <c r="AB80" s="1"/>
    </row>
    <row r="81" spans="25:28" ht="15">
      <c r="Y81" s="1"/>
      <c r="Z81" s="1"/>
      <c r="AA81" s="1"/>
      <c r="AB81" s="1"/>
    </row>
    <row r="82" spans="25:28" ht="15">
      <c r="Y82" s="1"/>
      <c r="Z82" s="1"/>
      <c r="AA82" s="1"/>
      <c r="AB82" s="1"/>
    </row>
    <row r="83" spans="25:28" ht="15">
      <c r="Y83" s="1"/>
      <c r="Z83" s="1"/>
      <c r="AA83" s="1"/>
      <c r="AB83" s="1"/>
    </row>
    <row r="84" spans="25:28" ht="15">
      <c r="Y84" s="1"/>
      <c r="Z84" s="1"/>
      <c r="AA84" s="1"/>
      <c r="AB84" s="1"/>
    </row>
    <row r="85" spans="25:28" ht="15">
      <c r="Y85" s="1"/>
      <c r="Z85" s="1"/>
      <c r="AA85" s="1"/>
      <c r="AB85" s="1"/>
    </row>
    <row r="86" spans="25:28" ht="15">
      <c r="Y86" s="1"/>
      <c r="Z86" s="1"/>
      <c r="AA86" s="1"/>
      <c r="AB86" s="1"/>
    </row>
    <row r="87" spans="25:28" ht="15">
      <c r="Y87" s="1"/>
      <c r="Z87" s="1"/>
      <c r="AA87" s="1"/>
      <c r="AB87" s="1"/>
    </row>
    <row r="88" spans="25:28" ht="15">
      <c r="Y88" s="1"/>
      <c r="Z88" s="1"/>
      <c r="AA88" s="1"/>
      <c r="AB88" s="1"/>
    </row>
    <row r="89" spans="25:28" ht="15">
      <c r="Y89" s="1"/>
      <c r="Z89" s="1"/>
      <c r="AA89" s="1"/>
      <c r="AB89" s="1"/>
    </row>
    <row r="90" spans="25:28" ht="15">
      <c r="Y90" s="1"/>
      <c r="Z90" s="1"/>
      <c r="AA90" s="1"/>
      <c r="AB90" s="1"/>
    </row>
    <row r="91" spans="25:28" ht="15">
      <c r="Y91" s="1"/>
      <c r="Z91" s="1"/>
      <c r="AA91" s="1"/>
      <c r="AB91" s="1"/>
    </row>
    <row r="92" spans="25:28" ht="15">
      <c r="Y92" s="1"/>
      <c r="Z92" s="1"/>
      <c r="AA92" s="1"/>
      <c r="AB92" s="1"/>
    </row>
    <row r="93" spans="25:28" ht="15">
      <c r="Y93" s="1"/>
      <c r="Z93" s="1"/>
      <c r="AA93" s="1"/>
      <c r="AB93" s="1"/>
    </row>
    <row r="94" spans="25:28" ht="15">
      <c r="Y94" s="1"/>
      <c r="Z94" s="1"/>
      <c r="AA94" s="1"/>
      <c r="AB94" s="1"/>
    </row>
    <row r="95" spans="25:28" ht="15">
      <c r="Y95" s="1"/>
      <c r="Z95" s="1"/>
      <c r="AA95" s="1"/>
      <c r="AB95" s="1"/>
    </row>
    <row r="96" spans="25:28" ht="15">
      <c r="Y96" s="1"/>
      <c r="Z96" s="1"/>
      <c r="AA96" s="1"/>
      <c r="AB96" s="1"/>
    </row>
    <row r="97" spans="25:28" ht="15">
      <c r="Y97" s="1"/>
      <c r="Z97" s="1"/>
      <c r="AA97" s="1"/>
      <c r="AB97" s="1"/>
    </row>
    <row r="98" spans="25:28" ht="15">
      <c r="Y98" s="1"/>
      <c r="Z98" s="1"/>
      <c r="AA98" s="1"/>
      <c r="AB98" s="1"/>
    </row>
  </sheetData>
  <sheetProtection/>
  <mergeCells count="15">
    <mergeCell ref="IN6:IP7"/>
    <mergeCell ref="GH6:GZ7"/>
    <mergeCell ref="FO6:FZ7"/>
    <mergeCell ref="FA6:FM7"/>
    <mergeCell ref="IA6:IM7"/>
    <mergeCell ref="EN6:EZ7"/>
    <mergeCell ref="EB6:EM7"/>
    <mergeCell ref="HA6:HM7"/>
    <mergeCell ref="HN6:HZ7"/>
    <mergeCell ref="BP6:BP7"/>
    <mergeCell ref="BX7:BZ7"/>
    <mergeCell ref="CL6:CM7"/>
    <mergeCell ref="CN6:CZ7"/>
    <mergeCell ref="DA6:DM7"/>
    <mergeCell ref="DO6:DZ7"/>
  </mergeCells>
  <printOptions horizontalCentered="1" verticalCentered="1"/>
  <pageMargins left="0.11811023622047245" right="0.11811023622047245" top="0.5118110236220472" bottom="0.5511811023622047" header="0.5118110236220472" footer="0.5118110236220472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2019-05-28T07:23:24Z</cp:lastPrinted>
  <dcterms:created xsi:type="dcterms:W3CDTF">2000-08-22T08:24:04Z</dcterms:created>
  <dcterms:modified xsi:type="dcterms:W3CDTF">2024-04-18T07:05:24Z</dcterms:modified>
  <cp:category/>
  <cp:version/>
  <cp:contentType/>
  <cp:contentStatus/>
</cp:coreProperties>
</file>