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596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<sst xmlns="http://schemas.openxmlformats.org/spreadsheetml/2006/main" count="183" uniqueCount="66">
  <si>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</si>
  <si>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</si>
  <si>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</si>
  <si>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</si>
  <si>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</si>
  <si>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</si>
  <si>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</si>
  <si>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</si>
  <si>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</si>
  <si>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</si>
  <si>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</si>
  <si>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</si>
  <si>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</si>
  <si>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</si>
  <si>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</si>
  <si>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</si>
  <si>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</si>
  <si>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</si>
  <si>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</si>
  <si>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</si>
  <si>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</si>
  <si>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</si>
  <si>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</si>
  <si>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</si>
  <si>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</si>
  <si>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</si>
  <si>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</si>
  <si>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</si>
  <si>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</si>
  <si>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</si>
  <si>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</si>
  <si>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</si>
  <si>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</si>
  <si>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</si>
  <si>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</si>
  <si>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</si>
  <si>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</si>
  <si>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</si>
  <si>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</si>
  <si>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</si>
  <si>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</si>
  <si>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</si>
  <si>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</si>
  <si>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</si>
  <si>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</si>
  <si>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</si>
  <si>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</si>
  <si>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</si>
  <si>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</si>
  <si>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</si>
  <si>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</si>
  <si>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</si>
  <si>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</si>
  <si>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</si>
  <si>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</si>
  <si>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</si>
  <si>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</si>
  <si>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</si>
  <si>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</si>
  <si>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</si>
  <si>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</si>
  <si>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</si>
  <si>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</si>
  <si>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</si>
  <si>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</si>
  <si>
    <t>Q4-2018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</si>
</sst>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#,##0.000_);\(#,##0.000\)"/>
    <numFmt numFmtId="178" formatCode="#,##0.0000_);\(#,##0.0000\)"/>
    <numFmt numFmtId="179" formatCode="_-* #,##0.000\ _F_-;\-* #,##0.000\ _F_-;_-* &quot;-&quot;??\ _F_-;_-@_-"/>
    <numFmt numFmtId="180" formatCode="#,##0_ ;\-#,##0\ "/>
    <numFmt numFmtId="181" formatCode="#,##0.000_ ;\-#,##0.000\ "/>
    <numFmt numFmtId="182" formatCode="#,##0.000\ _€;\-#,##0.000\ _€"/>
    <numFmt numFmtId="183" formatCode="[$-409]mmm\-yy;@"/>
    <numFmt numFmtId="184" formatCode="[$-409]dd\-mmm\-yy;@"/>
    <numFmt numFmtId="185" formatCode="0_)"/>
    <numFmt numFmtId="186" formatCode="[$-40C]mmm\-yy;@"/>
    <numFmt numFmtId="187" formatCode="#,##0.000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4"/>
      <color indexed="18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1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47" applyFont="1" applyAlignment="1">
      <alignment/>
    </xf>
    <xf numFmtId="175" fontId="0" fillId="0" borderId="0" xfId="47" applyFont="1" applyBorder="1" applyAlignment="1">
      <alignment/>
    </xf>
    <xf numFmtId="175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75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37" fontId="24" fillId="0" borderId="0" xfId="0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0" xfId="0" applyFont="1" applyFill="1" applyBorder="1" applyAlignment="1">
      <alignment/>
    </xf>
    <xf numFmtId="37" fontId="24" fillId="0" borderId="13" xfId="0" applyFont="1" applyFill="1" applyBorder="1" applyAlignment="1">
      <alignment/>
    </xf>
    <xf numFmtId="37" fontId="24" fillId="0" borderId="16" xfId="0" applyFont="1" applyFill="1" applyBorder="1" applyAlignment="1">
      <alignment/>
    </xf>
    <xf numFmtId="37" fontId="24" fillId="0" borderId="16" xfId="0" applyFont="1" applyBorder="1" applyAlignment="1">
      <alignment horizontal="left"/>
    </xf>
    <xf numFmtId="3" fontId="24" fillId="0" borderId="16" xfId="0" applyNumberFormat="1" applyFont="1" applyBorder="1" applyAlignment="1">
      <alignment/>
    </xf>
    <xf numFmtId="37" fontId="24" fillId="0" borderId="16" xfId="0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6" xfId="0" applyFont="1" applyFill="1" applyBorder="1" applyAlignment="1" quotePrefix="1">
      <alignment horizontal="right"/>
    </xf>
    <xf numFmtId="37" fontId="24" fillId="0" borderId="16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6" xfId="0" applyNumberFormat="1" applyFont="1" applyBorder="1" applyAlignment="1" quotePrefix="1">
      <alignment horizontal="right"/>
    </xf>
    <xf numFmtId="37" fontId="24" fillId="0" borderId="16" xfId="0" applyNumberFormat="1" applyFont="1" applyFill="1" applyBorder="1" applyAlignment="1">
      <alignment horizontal="center"/>
    </xf>
    <xf numFmtId="37" fontId="24" fillId="0" borderId="16" xfId="0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180" fontId="24" fillId="0" borderId="0" xfId="47" applyNumberFormat="1" applyFont="1" applyBorder="1" applyAlignment="1">
      <alignment/>
    </xf>
    <xf numFmtId="180" fontId="24" fillId="0" borderId="0" xfId="47" applyNumberFormat="1" applyFont="1" applyBorder="1" applyAlignment="1">
      <alignment horizontal="right"/>
    </xf>
    <xf numFmtId="180" fontId="24" fillId="0" borderId="16" xfId="47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center" vertical="top"/>
    </xf>
    <xf numFmtId="180" fontId="24" fillId="0" borderId="0" xfId="47" applyNumberFormat="1" applyFont="1" applyFill="1" applyBorder="1" applyAlignment="1">
      <alignment horizontal="right"/>
    </xf>
    <xf numFmtId="180" fontId="24" fillId="0" borderId="16" xfId="47" applyNumberFormat="1" applyFont="1" applyFill="1" applyBorder="1" applyAlignment="1">
      <alignment horizontal="right"/>
    </xf>
    <xf numFmtId="181" fontId="25" fillId="0" borderId="0" xfId="47" applyNumberFormat="1" applyFont="1" applyBorder="1" applyAlignment="1">
      <alignment/>
    </xf>
    <xf numFmtId="177" fontId="25" fillId="0" borderId="16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fill"/>
    </xf>
    <xf numFmtId="178" fontId="25" fillId="0" borderId="18" xfId="0" applyNumberFormat="1" applyFont="1" applyBorder="1" applyAlignment="1" applyProtection="1">
      <alignment horizontal="fill"/>
      <protection/>
    </xf>
    <xf numFmtId="177" fontId="25" fillId="0" borderId="18" xfId="0" applyNumberFormat="1" applyFont="1" applyBorder="1" applyAlignment="1">
      <alignment horizontal="fill"/>
    </xf>
    <xf numFmtId="178" fontId="25" fillId="0" borderId="18" xfId="0" applyNumberFormat="1" applyFont="1" applyBorder="1" applyAlignment="1">
      <alignment horizontal="fill"/>
    </xf>
    <xf numFmtId="37" fontId="24" fillId="0" borderId="18" xfId="0" applyNumberFormat="1" applyFont="1" applyBorder="1" applyAlignment="1" applyProtection="1">
      <alignment/>
      <protection/>
    </xf>
    <xf numFmtId="179" fontId="25" fillId="0" borderId="10" xfId="47" applyNumberFormat="1" applyFont="1" applyBorder="1" applyAlignment="1">
      <alignment/>
    </xf>
    <xf numFmtId="175" fontId="25" fillId="0" borderId="10" xfId="47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15" xfId="0" applyNumberFormat="1" applyFont="1" applyBorder="1" applyAlignment="1">
      <alignment horizontal="fill"/>
    </xf>
    <xf numFmtId="0" fontId="24" fillId="0" borderId="15" xfId="0" applyNumberFormat="1" applyFont="1" applyBorder="1" applyAlignment="1" applyProtection="1">
      <alignment horizontal="fill"/>
      <protection/>
    </xf>
    <xf numFmtId="0" fontId="24" fillId="0" borderId="19" xfId="0" applyNumberFormat="1" applyFont="1" applyBorder="1" applyAlignment="1">
      <alignment horizontal="fill"/>
    </xf>
    <xf numFmtId="41" fontId="24" fillId="0" borderId="16" xfId="0" applyNumberFormat="1" applyFont="1" applyFill="1" applyBorder="1" applyAlignment="1">
      <alignment horizontal="right"/>
    </xf>
    <xf numFmtId="37" fontId="24" fillId="0" borderId="11" xfId="0" applyNumberFormat="1" applyFon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37" fontId="51" fillId="0" borderId="0" xfId="0" applyFont="1" applyAlignment="1">
      <alignment/>
    </xf>
    <xf numFmtId="37" fontId="25" fillId="0" borderId="12" xfId="0" applyFont="1" applyBorder="1" applyAlignment="1">
      <alignment horizontal="center"/>
    </xf>
    <xf numFmtId="183" fontId="24" fillId="0" borderId="16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80" fontId="24" fillId="0" borderId="16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 quotePrefix="1">
      <alignment horizontal="left"/>
    </xf>
    <xf numFmtId="37" fontId="24" fillId="0" borderId="20" xfId="0" applyFont="1" applyBorder="1" applyAlignment="1">
      <alignment horizontal="left"/>
    </xf>
    <xf numFmtId="37" fontId="24" fillId="0" borderId="20" xfId="0" applyFont="1" applyBorder="1" applyAlignment="1">
      <alignment/>
    </xf>
    <xf numFmtId="37" fontId="24" fillId="0" borderId="20" xfId="0" applyNumberFormat="1" applyFont="1" applyBorder="1" applyAlignment="1" applyProtection="1">
      <alignment/>
      <protection/>
    </xf>
    <xf numFmtId="3" fontId="24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183" fontId="24" fillId="0" borderId="20" xfId="0" applyNumberFormat="1" applyFont="1" applyBorder="1" applyAlignment="1">
      <alignment horizontal="left"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0" borderId="0" xfId="0" applyFont="1" applyAlignment="1">
      <alignment/>
    </xf>
    <xf numFmtId="37" fontId="55" fillId="33" borderId="21" xfId="0" applyFont="1" applyFill="1" applyBorder="1" applyAlignment="1">
      <alignment/>
    </xf>
    <xf numFmtId="37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37" fontId="56" fillId="6" borderId="22" xfId="0" applyFont="1" applyFill="1" applyBorder="1" applyAlignment="1">
      <alignment/>
    </xf>
    <xf numFmtId="37" fontId="53" fillId="6" borderId="22" xfId="0" applyFont="1" applyFill="1" applyBorder="1" applyAlignment="1">
      <alignment/>
    </xf>
    <xf numFmtId="184" fontId="53" fillId="0" borderId="0" xfId="0" applyNumberFormat="1" applyFont="1" applyAlignment="1">
      <alignment horizontal="left"/>
    </xf>
    <xf numFmtId="185" fontId="6" fillId="0" borderId="0" xfId="45" applyNumberFormat="1" applyAlignment="1" applyProtection="1">
      <alignment/>
      <protection/>
    </xf>
    <xf numFmtId="37" fontId="32" fillId="16" borderId="20" xfId="0" applyFont="1" applyFill="1" applyBorder="1" applyAlignment="1" applyProtection="1">
      <alignment horizontal="center"/>
      <protection locked="0"/>
    </xf>
    <xf numFmtId="37" fontId="6" fillId="0" borderId="14" xfId="45" applyNumberFormat="1" applyBorder="1" applyAlignment="1" applyProtection="1">
      <alignment horizontal="right"/>
      <protection locked="0"/>
    </xf>
    <xf numFmtId="37" fontId="32" fillId="14" borderId="20" xfId="0" applyFont="1" applyFill="1" applyBorder="1" applyAlignment="1" applyProtection="1">
      <alignment horizontal="left"/>
      <protection locked="0"/>
    </xf>
    <xf numFmtId="37" fontId="33" fillId="14" borderId="20" xfId="0" applyFont="1" applyFill="1" applyBorder="1" applyAlignment="1" applyProtection="1">
      <alignment horizontal="right"/>
      <protection locked="0"/>
    </xf>
    <xf numFmtId="186" fontId="24" fillId="0" borderId="16" xfId="0" applyNumberFormat="1" applyFont="1" applyBorder="1" applyAlignment="1">
      <alignment horizontal="left"/>
    </xf>
    <xf numFmtId="37" fontId="24" fillId="0" borderId="12" xfId="0" applyFont="1" applyFill="1" applyBorder="1" applyAlignment="1">
      <alignment/>
    </xf>
    <xf numFmtId="37" fontId="0" fillId="0" borderId="0" xfId="0" applyFill="1" applyAlignment="1">
      <alignment/>
    </xf>
    <xf numFmtId="37" fontId="0" fillId="34" borderId="17" xfId="0" applyFill="1" applyBorder="1" applyAlignment="1">
      <alignment/>
    </xf>
    <xf numFmtId="37" fontId="0" fillId="34" borderId="10" xfId="0" applyFill="1" applyBorder="1" applyAlignment="1">
      <alignment/>
    </xf>
    <xf numFmtId="39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37" fontId="5" fillId="34" borderId="11" xfId="0" applyFont="1" applyFill="1" applyBorder="1" applyAlignment="1">
      <alignment horizontal="right"/>
    </xf>
    <xf numFmtId="37" fontId="0" fillId="0" borderId="0" xfId="47" applyNumberFormat="1" applyFont="1" applyAlignment="1">
      <alignment/>
    </xf>
    <xf numFmtId="186" fontId="53" fillId="6" borderId="0" xfId="0" applyNumberFormat="1" applyFont="1" applyFill="1" applyAlignment="1">
      <alignment horizontal="right"/>
    </xf>
    <xf numFmtId="37" fontId="6" fillId="6" borderId="0" xfId="45" applyNumberFormat="1" applyFill="1" applyAlignment="1" applyProtection="1">
      <alignment/>
      <protection/>
    </xf>
    <xf numFmtId="37" fontId="25" fillId="34" borderId="12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3" xfId="0" applyFont="1" applyFill="1" applyBorder="1" applyAlignment="1">
      <alignment horizontal="center"/>
    </xf>
    <xf numFmtId="37" fontId="25" fillId="34" borderId="14" xfId="0" applyFont="1" applyFill="1" applyBorder="1" applyAlignment="1">
      <alignment horizontal="center"/>
    </xf>
    <xf numFmtId="37" fontId="25" fillId="34" borderId="15" xfId="0" applyFont="1" applyFill="1" applyBorder="1" applyAlignment="1">
      <alignment horizontal="center"/>
    </xf>
    <xf numFmtId="37" fontId="25" fillId="34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8"/>
  <sheetViews>
    <sheetView tabSelected="1" zoomScalePageLayoutView="0" workbookViewId="0" topLeftCell="A1">
      <selection activeCell="H14" sqref="H14"/>
    </sheetView>
  </sheetViews>
  <sheetFormatPr defaultColWidth="8.88671875" defaultRowHeight="15.75"/>
  <cols>
    <col min="1" max="1" width="4.21484375" style="90" customWidth="1"/>
    <col min="2" max="2" width="81.10546875" style="90" bestFit="1" customWidth="1"/>
    <col min="3" max="3" width="46.10546875" style="90" bestFit="1" customWidth="1"/>
    <col min="4" max="4" width="17.10546875" style="90" bestFit="1" customWidth="1"/>
    <col min="5" max="5" width="15.88671875" style="90" customWidth="1"/>
    <col min="6" max="16384" width="8.88671875" style="90" customWidth="1"/>
  </cols>
  <sheetData>
    <row r="2" ht="18.75">
      <c r="B2" s="89" t="s">
        <v>59</v>
      </c>
    </row>
    <row r="3" ht="18.75">
      <c r="B3" s="91" t="s">
        <v>50</v>
      </c>
    </row>
    <row r="5" ht="15.75">
      <c r="B5" s="90" t="s">
        <v>64</v>
      </c>
    </row>
    <row r="6" spans="2:5" ht="16.5" thickBot="1">
      <c r="B6" s="92" t="s">
        <v>43</v>
      </c>
      <c r="C6" s="92" t="s">
        <v>44</v>
      </c>
      <c r="D6" s="92" t="s">
        <v>45</v>
      </c>
      <c r="E6" s="92" t="s">
        <v>46</v>
      </c>
    </row>
    <row r="7" spans="2:5" ht="15.75">
      <c r="B7" s="114" t="s">
        <v>47</v>
      </c>
      <c r="C7" s="93" t="s">
        <v>51</v>
      </c>
      <c r="D7" s="93" t="s">
        <v>47</v>
      </c>
      <c r="E7" s="113">
        <v>43435</v>
      </c>
    </row>
    <row r="8" spans="2:5" ht="15.75">
      <c r="B8" s="114" t="s">
        <v>48</v>
      </c>
      <c r="C8" s="93" t="s">
        <v>52</v>
      </c>
      <c r="D8" s="93" t="s">
        <v>48</v>
      </c>
      <c r="E8" s="94" t="s">
        <v>65</v>
      </c>
    </row>
    <row r="9" spans="2:5" ht="15.75">
      <c r="B9" s="114" t="s">
        <v>49</v>
      </c>
      <c r="C9" s="93" t="s">
        <v>53</v>
      </c>
      <c r="D9" s="93" t="s">
        <v>49</v>
      </c>
      <c r="E9" s="95" t="s">
        <v>33</v>
      </c>
    </row>
    <row r="10" spans="2:5" ht="16.5" thickBot="1">
      <c r="B10" s="96"/>
      <c r="C10" s="97"/>
      <c r="D10" s="97"/>
      <c r="E10" s="97"/>
    </row>
    <row r="12" spans="2:3" ht="15.75">
      <c r="B12" s="90" t="s">
        <v>56</v>
      </c>
      <c r="C12" s="98"/>
    </row>
    <row r="13" spans="2:3" ht="15.75">
      <c r="B13" s="90" t="s">
        <v>55</v>
      </c>
      <c r="C13" s="98"/>
    </row>
    <row r="15" spans="2:3" ht="15.75">
      <c r="B15" s="90" t="s">
        <v>39</v>
      </c>
      <c r="C15" s="90" t="s">
        <v>54</v>
      </c>
    </row>
    <row r="16" spans="2:3" ht="15.75">
      <c r="B16" s="90" t="s">
        <v>40</v>
      </c>
      <c r="C16" s="99" t="s">
        <v>41</v>
      </c>
    </row>
    <row r="19" ht="18.75">
      <c r="B19" s="91" t="s">
        <v>57</v>
      </c>
    </row>
    <row r="20" spans="2:3" ht="15.75">
      <c r="B20"/>
      <c r="C20"/>
    </row>
    <row r="21" spans="2:3" ht="15.75">
      <c r="B21"/>
      <c r="C21"/>
    </row>
    <row r="22" spans="2:3" ht="15.75">
      <c r="B22" s="100" t="s">
        <v>0</v>
      </c>
      <c r="C22"/>
    </row>
    <row r="23" spans="2:3" ht="15.75">
      <c r="B23" s="100" t="s">
        <v>1</v>
      </c>
      <c r="C23"/>
    </row>
    <row r="24" spans="2:3" ht="15.75">
      <c r="B24" s="100" t="s">
        <v>2</v>
      </c>
      <c r="C24"/>
    </row>
    <row r="25" spans="2:3" ht="15.75">
      <c r="B25" s="100" t="s">
        <v>3</v>
      </c>
      <c r="C25"/>
    </row>
    <row r="26" spans="2:3" ht="15.75">
      <c r="B26" s="100" t="s">
        <v>34</v>
      </c>
      <c r="C26"/>
    </row>
    <row r="27" spans="2:3" ht="15.75">
      <c r="B27" s="100" t="s">
        <v>4</v>
      </c>
      <c r="C27"/>
    </row>
    <row r="28" spans="2:3" ht="15.75">
      <c r="B28" s="100" t="s">
        <v>5</v>
      </c>
      <c r="C28"/>
    </row>
    <row r="29" spans="2:3" ht="15.75">
      <c r="B29" s="100" t="s">
        <v>37</v>
      </c>
      <c r="C29"/>
    </row>
    <row r="30" spans="2:3" ht="15.75">
      <c r="B30" s="100" t="s">
        <v>58</v>
      </c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</sheetData>
  <sheetProtection/>
  <hyperlinks>
    <hyperlink ref="C16" r:id="rId1" display="http://www.brb.bi/fr/content/secteur-r%C3%A9el"/>
    <hyperlink ref="B7" location="Monthly_Data!A1" display="Monthly"/>
    <hyperlink ref="B8" location="Qua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256"/>
  <sheetViews>
    <sheetView zoomScalePageLayoutView="0" workbookViewId="0" topLeftCell="A1">
      <pane xSplit="1" ySplit="6" topLeftCell="D2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42" sqref="M242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36</v>
      </c>
    </row>
    <row r="4" spans="1:12" ht="15.75">
      <c r="A4" s="115" t="s">
        <v>61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ht="15.7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2" ht="15.7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aca="true" t="shared" si="0" ref="L7:L24">B7+C7+D7+E7+F7+G7+H7</f>
        <v>8693</v>
      </c>
    </row>
    <row r="8" spans="1:12" ht="15.7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2" ht="15.7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2" ht="15.7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2" ht="15.7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2" ht="15.7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2" ht="15.7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2" ht="15.75">
      <c r="A14" s="78">
        <v>36739</v>
      </c>
      <c r="B14" s="35">
        <v>4494.3</v>
      </c>
      <c r="C14" s="28">
        <v>4494.3</v>
      </c>
      <c r="D14" s="24">
        <v>323.16</v>
      </c>
      <c r="E14" s="28">
        <v>109.5645</v>
      </c>
      <c r="F14" s="24">
        <f>15.525+7.52</f>
        <v>23.045</v>
      </c>
      <c r="G14" s="28">
        <v>238.074</v>
      </c>
      <c r="H14" s="28">
        <v>97.304</v>
      </c>
      <c r="I14" s="28"/>
      <c r="J14" s="28"/>
      <c r="K14" s="28"/>
      <c r="L14" s="30">
        <f t="shared" si="0"/>
        <v>9779.747500000001</v>
      </c>
    </row>
    <row r="15" spans="1:12" ht="15.75">
      <c r="A15" s="78">
        <v>36770</v>
      </c>
      <c r="B15" s="35">
        <v>4081.6</v>
      </c>
      <c r="C15" s="28">
        <v>4081.6</v>
      </c>
      <c r="D15" s="24">
        <v>192.48</v>
      </c>
      <c r="E15" s="28">
        <v>76.516</v>
      </c>
      <c r="F15" s="24">
        <f>24.442+7.83</f>
        <v>32.272</v>
      </c>
      <c r="G15" s="28">
        <v>386.122</v>
      </c>
      <c r="H15" s="28">
        <v>29.964</v>
      </c>
      <c r="I15" s="28"/>
      <c r="J15" s="28"/>
      <c r="K15" s="28"/>
      <c r="L15" s="30">
        <f t="shared" si="0"/>
        <v>8880.554</v>
      </c>
    </row>
    <row r="16" spans="1:12" ht="15.75">
      <c r="A16" s="78">
        <v>36800</v>
      </c>
      <c r="B16" s="37">
        <v>3621.4</v>
      </c>
      <c r="C16" s="36">
        <v>3621.4</v>
      </c>
      <c r="D16" s="38">
        <v>240</v>
      </c>
      <c r="E16" s="36">
        <v>71.623</v>
      </c>
      <c r="F16" s="38">
        <f>33.289+7.35</f>
        <v>40.639</v>
      </c>
      <c r="G16" s="36">
        <v>301.836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ht="15.7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453.828</v>
      </c>
      <c r="H17" s="36">
        <v>54.78</v>
      </c>
      <c r="I17" s="36"/>
      <c r="J17" s="36"/>
      <c r="K17" s="36"/>
      <c r="L17" s="30">
        <f t="shared" si="0"/>
        <v>8105.328</v>
      </c>
    </row>
    <row r="18" spans="1:12" ht="15.75">
      <c r="A18" s="78">
        <v>36861</v>
      </c>
      <c r="B18" s="37">
        <v>3006.9</v>
      </c>
      <c r="C18" s="36">
        <v>3006.9</v>
      </c>
      <c r="D18" s="38">
        <v>427.55</v>
      </c>
      <c r="E18" s="36">
        <v>128.394</v>
      </c>
      <c r="F18" s="38">
        <f>38.865+24.12</f>
        <v>62.985</v>
      </c>
      <c r="G18" s="36">
        <v>518.739</v>
      </c>
      <c r="H18" s="36">
        <v>62.148</v>
      </c>
      <c r="I18" s="36"/>
      <c r="J18" s="36"/>
      <c r="K18" s="36"/>
      <c r="L18" s="30">
        <f t="shared" si="0"/>
        <v>7213.616000000001</v>
      </c>
    </row>
    <row r="19" spans="1:12" ht="15.75">
      <c r="A19" s="78">
        <v>36892</v>
      </c>
      <c r="B19" s="39">
        <v>2975.952</v>
      </c>
      <c r="C19" s="36">
        <v>4030.9</v>
      </c>
      <c r="D19" s="38">
        <v>161.79</v>
      </c>
      <c r="E19" s="36">
        <v>190.408</v>
      </c>
      <c r="F19" s="40">
        <f>79.755+16.89</f>
        <v>96.645</v>
      </c>
      <c r="G19" s="36">
        <v>561</v>
      </c>
      <c r="H19" s="36">
        <v>83.904</v>
      </c>
      <c r="I19" s="36"/>
      <c r="J19" s="36"/>
      <c r="K19" s="36"/>
      <c r="L19" s="30">
        <f t="shared" si="0"/>
        <v>8100.599000000002</v>
      </c>
    </row>
    <row r="20" spans="1:12" ht="15.7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ht="15.75">
      <c r="A21" s="78">
        <v>36951</v>
      </c>
      <c r="B21" s="39">
        <v>3041.136</v>
      </c>
      <c r="C21" s="36">
        <v>3781.6</v>
      </c>
      <c r="D21" s="38">
        <v>478.155</v>
      </c>
      <c r="E21" s="36">
        <v>100.336</v>
      </c>
      <c r="F21" s="38">
        <f>93.9+7.94</f>
        <v>101.84</v>
      </c>
      <c r="G21" s="36">
        <v>361</v>
      </c>
      <c r="H21" s="36">
        <v>67.668</v>
      </c>
      <c r="I21" s="36"/>
      <c r="J21" s="36"/>
      <c r="K21" s="36"/>
      <c r="L21" s="30">
        <f t="shared" si="0"/>
        <v>7931.735</v>
      </c>
    </row>
    <row r="22" spans="1:12" ht="15.7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ht="15.7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ht="15.7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ht="15.7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aca="true" t="shared" si="1" ref="L25:L42">B25+C25+D25+E25+F25+G25+H25</f>
        <v>9005</v>
      </c>
    </row>
    <row r="26" spans="1:12" ht="15.75">
      <c r="A26" s="78">
        <v>37104</v>
      </c>
      <c r="B26" s="39">
        <v>3493.872</v>
      </c>
      <c r="C26" s="36">
        <v>4730.4</v>
      </c>
      <c r="D26" s="82"/>
      <c r="E26" s="36">
        <v>50.07</v>
      </c>
      <c r="F26" s="38">
        <f>68.88+24</f>
        <v>92.88</v>
      </c>
      <c r="G26" s="36">
        <v>445.864</v>
      </c>
      <c r="H26" s="36">
        <v>48.517</v>
      </c>
      <c r="I26" s="36"/>
      <c r="J26" s="36"/>
      <c r="K26" s="36"/>
      <c r="L26" s="30">
        <f t="shared" si="1"/>
        <v>8861.602999999997</v>
      </c>
    </row>
    <row r="27" spans="1:12" ht="15.75">
      <c r="A27" s="78">
        <v>37135</v>
      </c>
      <c r="B27" s="39">
        <v>3741.242</v>
      </c>
      <c r="C27" s="36">
        <v>4875</v>
      </c>
      <c r="D27" s="41">
        <v>128.25</v>
      </c>
      <c r="E27" s="36">
        <v>59.174</v>
      </c>
      <c r="F27" s="36">
        <f>45.27+24.35</f>
        <v>69.62</v>
      </c>
      <c r="G27" s="42">
        <v>462</v>
      </c>
      <c r="H27" s="36">
        <v>63.264</v>
      </c>
      <c r="I27" s="36"/>
      <c r="J27" s="36"/>
      <c r="K27" s="36"/>
      <c r="L27" s="30">
        <f t="shared" si="1"/>
        <v>9398.550000000001</v>
      </c>
    </row>
    <row r="28" spans="1:12" ht="15.75">
      <c r="A28" s="78">
        <v>37165</v>
      </c>
      <c r="B28" s="39">
        <v>3917.232</v>
      </c>
      <c r="C28" s="36">
        <v>5728.7</v>
      </c>
      <c r="D28" s="43">
        <v>262.425</v>
      </c>
      <c r="E28" s="44">
        <v>65</v>
      </c>
      <c r="F28" s="36">
        <v>64.68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ht="15.75">
      <c r="A29" s="78">
        <v>37196</v>
      </c>
      <c r="B29" s="39">
        <v>4292.028</v>
      </c>
      <c r="C29" s="36">
        <v>6126.6</v>
      </c>
      <c r="D29" s="45">
        <v>224.71</v>
      </c>
      <c r="E29" s="44">
        <v>75.6</v>
      </c>
      <c r="F29" s="36">
        <f>92.455+41.3</f>
        <v>133.755</v>
      </c>
      <c r="G29" s="42">
        <v>476.345</v>
      </c>
      <c r="H29" s="36">
        <v>51.816</v>
      </c>
      <c r="I29" s="36"/>
      <c r="J29" s="36"/>
      <c r="K29" s="36"/>
      <c r="L29" s="30">
        <f t="shared" si="1"/>
        <v>11380.854</v>
      </c>
    </row>
    <row r="30" spans="1:12" ht="15.75">
      <c r="A30" s="78">
        <v>37226</v>
      </c>
      <c r="B30" s="39">
        <v>4189.536</v>
      </c>
      <c r="C30" s="36">
        <v>6669.5</v>
      </c>
      <c r="D30" s="45">
        <v>134.07</v>
      </c>
      <c r="E30" s="44">
        <v>144.241</v>
      </c>
      <c r="F30" s="36">
        <f>131.01+42.3</f>
        <v>173.31</v>
      </c>
      <c r="G30" s="42">
        <v>477.886</v>
      </c>
      <c r="H30" s="36">
        <v>57.528</v>
      </c>
      <c r="I30" s="36"/>
      <c r="J30" s="36"/>
      <c r="K30" s="36"/>
      <c r="L30" s="30">
        <f t="shared" si="1"/>
        <v>11846.071</v>
      </c>
    </row>
    <row r="31" spans="1:12" ht="15.75">
      <c r="A31" s="78">
        <v>37257</v>
      </c>
      <c r="B31" s="39">
        <v>5504.94</v>
      </c>
      <c r="C31" s="48">
        <v>8451.9</v>
      </c>
      <c r="D31" s="45">
        <v>79.05</v>
      </c>
      <c r="E31" s="44">
        <v>144.379</v>
      </c>
      <c r="F31" s="36">
        <f>104.13+69.6</f>
        <v>173.73</v>
      </c>
      <c r="G31" s="42">
        <v>632.316</v>
      </c>
      <c r="H31" s="36">
        <v>63.88</v>
      </c>
      <c r="I31" s="36"/>
      <c r="J31" s="36"/>
      <c r="K31" s="47" t="s">
        <v>38</v>
      </c>
      <c r="L31" s="30">
        <f t="shared" si="1"/>
        <v>15050.195</v>
      </c>
    </row>
    <row r="32" spans="1:12" ht="15.75">
      <c r="A32" s="78">
        <v>37288</v>
      </c>
      <c r="B32" s="39">
        <v>4729.32</v>
      </c>
      <c r="C32" s="48">
        <v>6082.1</v>
      </c>
      <c r="D32" s="45">
        <v>322.86</v>
      </c>
      <c r="E32" s="44">
        <v>115.969</v>
      </c>
      <c r="F32" s="36">
        <v>153.84</v>
      </c>
      <c r="G32" s="42">
        <v>568.494</v>
      </c>
      <c r="H32" s="36">
        <v>70.516</v>
      </c>
      <c r="I32" s="36"/>
      <c r="J32" s="36"/>
      <c r="K32" s="47" t="s">
        <v>38</v>
      </c>
      <c r="L32" s="30">
        <f t="shared" si="1"/>
        <v>12043.099</v>
      </c>
    </row>
    <row r="33" spans="1:12" ht="15.75">
      <c r="A33" s="78">
        <v>37316</v>
      </c>
      <c r="B33" s="39">
        <v>5168</v>
      </c>
      <c r="C33" s="48">
        <v>4101.6</v>
      </c>
      <c r="D33" s="45">
        <v>322.86</v>
      </c>
      <c r="E33" s="44">
        <v>112.4</v>
      </c>
      <c r="F33" s="36">
        <v>110.8</v>
      </c>
      <c r="G33" s="42">
        <v>429.973</v>
      </c>
      <c r="H33" s="36">
        <v>68.1</v>
      </c>
      <c r="I33" s="36"/>
      <c r="J33" s="36"/>
      <c r="K33" s="47" t="s">
        <v>38</v>
      </c>
      <c r="L33" s="30">
        <f t="shared" si="1"/>
        <v>10313.733</v>
      </c>
    </row>
    <row r="34" spans="1:12" ht="15.75">
      <c r="A34" s="78">
        <v>37347</v>
      </c>
      <c r="B34" s="37">
        <v>4234.896</v>
      </c>
      <c r="C34" s="36">
        <v>7003.132</v>
      </c>
      <c r="D34" s="45">
        <v>311</v>
      </c>
      <c r="E34" s="44">
        <v>106.812</v>
      </c>
      <c r="F34" s="36">
        <v>141</v>
      </c>
      <c r="G34" s="42">
        <v>486.772</v>
      </c>
      <c r="H34" s="36">
        <v>48.96</v>
      </c>
      <c r="I34" s="36"/>
      <c r="J34" s="36"/>
      <c r="K34" s="47" t="s">
        <v>38</v>
      </c>
      <c r="L34" s="30">
        <f t="shared" si="1"/>
        <v>12332.571999999998</v>
      </c>
    </row>
    <row r="35" spans="1:12" ht="15.7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481.025</v>
      </c>
      <c r="H35" s="36">
        <v>112</v>
      </c>
      <c r="I35" s="36"/>
      <c r="J35" s="36"/>
      <c r="K35" s="47" t="s">
        <v>38</v>
      </c>
      <c r="L35" s="30">
        <f t="shared" si="1"/>
        <v>12864.439999999999</v>
      </c>
    </row>
    <row r="36" spans="1:12" ht="15.75">
      <c r="A36" s="78">
        <v>37408</v>
      </c>
      <c r="B36" s="39">
        <v>3199.392</v>
      </c>
      <c r="C36" s="36">
        <v>5827.8</v>
      </c>
      <c r="D36" s="45">
        <v>298.5</v>
      </c>
      <c r="E36" s="44">
        <v>97.125</v>
      </c>
      <c r="F36" s="36">
        <v>146.265</v>
      </c>
      <c r="G36" s="42">
        <v>313.362</v>
      </c>
      <c r="H36" s="36">
        <v>84.944</v>
      </c>
      <c r="I36" s="36"/>
      <c r="J36" s="36"/>
      <c r="K36" s="47" t="s">
        <v>38</v>
      </c>
      <c r="L36" s="30">
        <f t="shared" si="1"/>
        <v>9967.387999999997</v>
      </c>
    </row>
    <row r="37" spans="1:12" ht="15.75">
      <c r="A37" s="78">
        <v>37438</v>
      </c>
      <c r="B37" s="39">
        <v>3742.842</v>
      </c>
      <c r="C37" s="36">
        <v>5691.7</v>
      </c>
      <c r="D37" s="45">
        <v>276.15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38</v>
      </c>
      <c r="L37" s="30">
        <f t="shared" si="1"/>
        <v>10363.991999999998</v>
      </c>
    </row>
    <row r="38" spans="1:12" ht="15.7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38</v>
      </c>
      <c r="L38" s="30">
        <f t="shared" si="1"/>
        <v>9054</v>
      </c>
    </row>
    <row r="39" spans="1:12" ht="15.75">
      <c r="A39" s="78">
        <v>37500</v>
      </c>
      <c r="B39" s="39">
        <v>2914.164</v>
      </c>
      <c r="C39" s="36">
        <v>4692.8</v>
      </c>
      <c r="D39" s="45">
        <v>359.535</v>
      </c>
      <c r="E39" s="44">
        <v>117.032</v>
      </c>
      <c r="F39" s="36">
        <v>74.685</v>
      </c>
      <c r="G39" s="42">
        <v>412.345</v>
      </c>
      <c r="H39" s="36">
        <v>80.338</v>
      </c>
      <c r="I39" s="36"/>
      <c r="J39" s="36"/>
      <c r="K39" s="47" t="s">
        <v>38</v>
      </c>
      <c r="L39" s="30">
        <f t="shared" si="1"/>
        <v>8650.899</v>
      </c>
    </row>
    <row r="40" spans="1:12" ht="15.75">
      <c r="A40" s="78">
        <v>37530</v>
      </c>
      <c r="B40" s="39">
        <v>2972.304</v>
      </c>
      <c r="C40" s="36">
        <v>4511.9</v>
      </c>
      <c r="D40" s="45">
        <v>421.632</v>
      </c>
      <c r="E40" s="44">
        <v>128.556</v>
      </c>
      <c r="F40" s="36">
        <v>32.37</v>
      </c>
      <c r="G40" s="42">
        <v>465.231</v>
      </c>
      <c r="H40" s="36">
        <v>74.256</v>
      </c>
      <c r="I40" s="36"/>
      <c r="J40" s="36"/>
      <c r="K40" s="47" t="s">
        <v>38</v>
      </c>
      <c r="L40" s="30">
        <f t="shared" si="1"/>
        <v>8606.248999999998</v>
      </c>
    </row>
    <row r="41" spans="1:12" ht="15.75">
      <c r="A41" s="78">
        <v>37561</v>
      </c>
      <c r="B41" s="39">
        <v>3671.244</v>
      </c>
      <c r="C41" s="36">
        <v>4190.7</v>
      </c>
      <c r="D41" s="45">
        <v>290.58</v>
      </c>
      <c r="E41" s="44">
        <v>146.25</v>
      </c>
      <c r="F41" s="38">
        <v>39.915</v>
      </c>
      <c r="G41" s="44">
        <v>526.341</v>
      </c>
      <c r="H41" s="36">
        <v>83.244</v>
      </c>
      <c r="I41" s="36"/>
      <c r="J41" s="36"/>
      <c r="K41" s="47" t="s">
        <v>38</v>
      </c>
      <c r="L41" s="30">
        <f t="shared" si="1"/>
        <v>8948.274000000001</v>
      </c>
    </row>
    <row r="42" spans="1:12" ht="15.75">
      <c r="A42" s="78">
        <v>37591</v>
      </c>
      <c r="B42" s="39">
        <v>3823.884</v>
      </c>
      <c r="C42" s="36">
        <v>4345.4</v>
      </c>
      <c r="D42" s="45">
        <v>285.75</v>
      </c>
      <c r="E42" s="44">
        <v>100.927</v>
      </c>
      <c r="F42" s="38">
        <v>48.6</v>
      </c>
      <c r="G42" s="44">
        <v>447.472</v>
      </c>
      <c r="H42" s="36">
        <v>53.226</v>
      </c>
      <c r="I42" s="36"/>
      <c r="J42" s="36"/>
      <c r="K42" s="47" t="s">
        <v>38</v>
      </c>
      <c r="L42" s="30">
        <f t="shared" si="1"/>
        <v>9105.259</v>
      </c>
    </row>
    <row r="43" spans="1:12" ht="15.75">
      <c r="A43" s="78">
        <v>37622</v>
      </c>
      <c r="B43" s="51">
        <v>3824.86</v>
      </c>
      <c r="C43" s="48">
        <v>4328.9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</v>
      </c>
      <c r="I43" s="48"/>
      <c r="J43" s="48"/>
      <c r="K43" s="47" t="s">
        <v>38</v>
      </c>
      <c r="L43" s="30">
        <f aca="true" t="shared" si="2" ref="L43:L106">B43+C43+D43+E43+F43+G43+H43</f>
        <v>9282.842</v>
      </c>
    </row>
    <row r="44" spans="1:12" ht="15.7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</v>
      </c>
      <c r="H44" s="48">
        <v>94</v>
      </c>
      <c r="I44" s="48"/>
      <c r="J44" s="48"/>
      <c r="K44" s="47" t="s">
        <v>38</v>
      </c>
      <c r="L44" s="30">
        <f t="shared" si="2"/>
        <v>8704.541999999998</v>
      </c>
    </row>
    <row r="45" spans="1:12" ht="15.75">
      <c r="A45" s="78">
        <v>37681</v>
      </c>
      <c r="B45" s="51">
        <v>4986.756</v>
      </c>
      <c r="C45" s="48">
        <v>4441.1</v>
      </c>
      <c r="D45" s="52">
        <v>234.18</v>
      </c>
      <c r="E45" s="46">
        <v>150.6615</v>
      </c>
      <c r="F45" s="40">
        <f>111.965+42.2</f>
        <v>154.16500000000002</v>
      </c>
      <c r="G45" s="46">
        <v>302.248</v>
      </c>
      <c r="H45" s="48">
        <v>98.304</v>
      </c>
      <c r="I45" s="48"/>
      <c r="J45" s="48"/>
      <c r="K45" s="47" t="s">
        <v>38</v>
      </c>
      <c r="L45" s="30">
        <f t="shared" si="2"/>
        <v>10367.4145</v>
      </c>
    </row>
    <row r="46" spans="1:12" ht="15.7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38</v>
      </c>
      <c r="L46" s="30">
        <f t="shared" si="2"/>
        <v>9957</v>
      </c>
    </row>
    <row r="47" spans="1:14" ht="15.7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38</v>
      </c>
      <c r="L47" s="30">
        <f t="shared" si="2"/>
        <v>9665</v>
      </c>
      <c r="N47" s="11"/>
    </row>
    <row r="48" spans="1:14" ht="15.7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38</v>
      </c>
      <c r="L48" s="30">
        <f t="shared" si="2"/>
        <v>6279</v>
      </c>
      <c r="N48" s="11"/>
    </row>
    <row r="49" spans="1:14" ht="15.75">
      <c r="A49" s="78">
        <v>37803</v>
      </c>
      <c r="B49" s="53">
        <v>1152</v>
      </c>
      <c r="C49" s="48">
        <v>5185.8</v>
      </c>
      <c r="D49" s="52">
        <v>260.82</v>
      </c>
      <c r="E49" s="46">
        <v>72.43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38</v>
      </c>
      <c r="L49" s="30">
        <f t="shared" si="2"/>
        <v>7282.015</v>
      </c>
      <c r="N49" s="11"/>
    </row>
    <row r="50" spans="1:14" ht="15.7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</v>
      </c>
      <c r="G50" s="46">
        <v>241</v>
      </c>
      <c r="H50" s="48">
        <v>94</v>
      </c>
      <c r="I50" s="48"/>
      <c r="J50" s="48"/>
      <c r="K50" s="47" t="s">
        <v>38</v>
      </c>
      <c r="L50" s="30">
        <f t="shared" si="2"/>
        <v>8023.635</v>
      </c>
      <c r="N50" s="11"/>
    </row>
    <row r="51" spans="1:14" ht="15.7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38</v>
      </c>
      <c r="L51" s="30">
        <f t="shared" si="2"/>
        <v>7939</v>
      </c>
      <c r="N51" s="11"/>
    </row>
    <row r="52" spans="1:14" ht="15.7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38</v>
      </c>
      <c r="L52" s="30">
        <f t="shared" si="2"/>
        <v>8608</v>
      </c>
      <c r="N52" s="11"/>
    </row>
    <row r="53" spans="1:14" ht="15.7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38</v>
      </c>
      <c r="L53" s="30">
        <f t="shared" si="2"/>
        <v>7646</v>
      </c>
      <c r="N53" s="11"/>
    </row>
    <row r="54" spans="1:14" ht="15.7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38</v>
      </c>
      <c r="L54" s="30">
        <f t="shared" si="2"/>
        <v>7717</v>
      </c>
      <c r="N54" s="11"/>
    </row>
    <row r="55" spans="1:14" ht="15.75">
      <c r="A55" s="78">
        <v>37987</v>
      </c>
      <c r="B55" s="53">
        <v>3609.432</v>
      </c>
      <c r="C55" s="48">
        <v>3713.6</v>
      </c>
      <c r="D55" s="52">
        <v>226.635</v>
      </c>
      <c r="E55" s="46">
        <v>94.8105</v>
      </c>
      <c r="F55" s="40">
        <f>130.686+24.6</f>
        <v>155.286</v>
      </c>
      <c r="G55" s="46">
        <v>344.593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ht="15.75">
      <c r="A56" s="78">
        <v>38018</v>
      </c>
      <c r="B56" s="53">
        <v>3292.596</v>
      </c>
      <c r="C56" s="48">
        <v>3576.9</v>
      </c>
      <c r="D56" s="52">
        <v>1.82</v>
      </c>
      <c r="E56" s="46">
        <v>85.263</v>
      </c>
      <c r="F56" s="40">
        <f>77.235+24.8</f>
        <v>102.035</v>
      </c>
      <c r="G56" s="46">
        <v>369.127</v>
      </c>
      <c r="H56" s="48">
        <v>70.44</v>
      </c>
      <c r="I56" s="48"/>
      <c r="J56" s="48"/>
      <c r="K56" s="47"/>
      <c r="L56" s="30">
        <f t="shared" si="2"/>
        <v>7498.181</v>
      </c>
      <c r="N56" s="11"/>
    </row>
    <row r="57" spans="1:14" ht="15.7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ht="15.7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</v>
      </c>
      <c r="N58" s="11"/>
    </row>
    <row r="59" spans="1:14" ht="15.7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ht="15.75">
      <c r="A60" s="78">
        <v>38139</v>
      </c>
      <c r="B60" s="53">
        <v>2721.276</v>
      </c>
      <c r="C60" s="48">
        <v>3500.2</v>
      </c>
      <c r="D60" s="79"/>
      <c r="E60" s="46">
        <v>78.192</v>
      </c>
      <c r="F60" s="40">
        <f>106.275+37.5</f>
        <v>143.775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</v>
      </c>
      <c r="N60" s="11"/>
    </row>
    <row r="61" spans="1:14" ht="15.75">
      <c r="A61" s="78">
        <v>38169</v>
      </c>
      <c r="B61" s="53">
        <v>2340.792</v>
      </c>
      <c r="C61" s="48">
        <v>4269.1</v>
      </c>
      <c r="D61" s="79"/>
      <c r="E61" s="46">
        <v>56.877</v>
      </c>
      <c r="F61" s="40">
        <f>78.885+30.8</f>
        <v>109.685</v>
      </c>
      <c r="G61" s="46">
        <v>243.247</v>
      </c>
      <c r="H61" s="48">
        <v>81.288</v>
      </c>
      <c r="I61" s="48"/>
      <c r="J61" s="48"/>
      <c r="K61" s="47"/>
      <c r="L61" s="30">
        <f t="shared" si="2"/>
        <v>7100.9890000000005</v>
      </c>
      <c r="N61" s="11"/>
    </row>
    <row r="62" spans="1:14" ht="15.75">
      <c r="A62" s="78">
        <v>38200</v>
      </c>
      <c r="B62" s="53">
        <v>2114.496</v>
      </c>
      <c r="C62" s="48">
        <v>4292.6</v>
      </c>
      <c r="D62" s="50">
        <v>165.735</v>
      </c>
      <c r="E62" s="46">
        <v>82.041</v>
      </c>
      <c r="F62" s="40">
        <f>57.255+42</f>
        <v>99.255</v>
      </c>
      <c r="G62" s="46">
        <v>198.527</v>
      </c>
      <c r="H62" s="48">
        <v>85.848</v>
      </c>
      <c r="I62" s="48"/>
      <c r="J62" s="48"/>
      <c r="K62" s="47"/>
      <c r="L62" s="30">
        <f t="shared" si="2"/>
        <v>7038.502</v>
      </c>
      <c r="N62" s="11"/>
    </row>
    <row r="63" spans="1:14" ht="15.75">
      <c r="A63" s="78">
        <v>38231</v>
      </c>
      <c r="B63" s="53">
        <v>2878.272</v>
      </c>
      <c r="C63" s="48">
        <v>3689.9</v>
      </c>
      <c r="D63" s="50">
        <v>119.781</v>
      </c>
      <c r="E63" s="46">
        <v>79.3425</v>
      </c>
      <c r="F63" s="40">
        <v>97</v>
      </c>
      <c r="G63" s="46">
        <v>200.565</v>
      </c>
      <c r="H63" s="48">
        <v>60.252</v>
      </c>
      <c r="I63" s="48"/>
      <c r="J63" s="48"/>
      <c r="K63" s="47"/>
      <c r="L63" s="30">
        <f t="shared" si="2"/>
        <v>7125.1125</v>
      </c>
      <c r="N63" s="11"/>
    </row>
    <row r="64" spans="1:14" ht="15.75">
      <c r="A64" s="78">
        <v>38261</v>
      </c>
      <c r="B64" s="53">
        <v>2479.896</v>
      </c>
      <c r="C64" s="48">
        <v>3337.3</v>
      </c>
      <c r="D64" s="50">
        <v>241.662</v>
      </c>
      <c r="E64" s="46">
        <v>76.5975</v>
      </c>
      <c r="F64" s="40">
        <f>25.44+4</f>
        <v>29.44</v>
      </c>
      <c r="G64" s="46">
        <v>286.987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14" ht="15.75">
      <c r="A65" s="78">
        <v>38292</v>
      </c>
      <c r="B65" s="53">
        <v>3121.488</v>
      </c>
      <c r="C65" s="48">
        <v>3128.7</v>
      </c>
      <c r="D65" s="50">
        <v>193.594</v>
      </c>
      <c r="E65" s="46">
        <v>88.65</v>
      </c>
      <c r="F65" s="40">
        <f>21.285+0.992</f>
        <v>22.277</v>
      </c>
      <c r="G65" s="46">
        <v>349.019</v>
      </c>
      <c r="H65" s="48">
        <v>10.356</v>
      </c>
      <c r="I65" s="48"/>
      <c r="J65" s="48"/>
      <c r="K65" s="47"/>
      <c r="L65" s="30">
        <f t="shared" si="2"/>
        <v>6914.084</v>
      </c>
      <c r="N65" s="11"/>
    </row>
    <row r="66" spans="1:14" ht="15.75">
      <c r="A66" s="78">
        <v>38322</v>
      </c>
      <c r="B66" s="53">
        <v>4284.792</v>
      </c>
      <c r="C66" s="48">
        <v>3196</v>
      </c>
      <c r="D66" s="50">
        <v>255.63</v>
      </c>
      <c r="E66" s="46">
        <v>69.895</v>
      </c>
      <c r="F66" s="40">
        <f>26.4+20.016</f>
        <v>46.416</v>
      </c>
      <c r="G66" s="46">
        <v>333.227</v>
      </c>
      <c r="H66" s="48">
        <v>0.703</v>
      </c>
      <c r="I66" s="48"/>
      <c r="J66" s="48"/>
      <c r="K66" s="47"/>
      <c r="L66" s="30">
        <f t="shared" si="2"/>
        <v>8186.663000000001</v>
      </c>
      <c r="N66" s="11"/>
    </row>
    <row r="67" spans="1:14" ht="15.7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38</v>
      </c>
      <c r="L67" s="30">
        <f t="shared" si="2"/>
        <v>8755</v>
      </c>
      <c r="N67" s="11"/>
    </row>
    <row r="68" spans="1:14" ht="15.75">
      <c r="A68" s="78">
        <v>38384</v>
      </c>
      <c r="B68" s="53">
        <v>3930.552</v>
      </c>
      <c r="C68" s="48">
        <v>4070.9</v>
      </c>
      <c r="D68" s="50">
        <v>233.895</v>
      </c>
      <c r="E68" s="46">
        <v>107.3865</v>
      </c>
      <c r="F68" s="40">
        <f>50.835+53.91</f>
        <v>104.745</v>
      </c>
      <c r="G68" s="46">
        <v>303.203</v>
      </c>
      <c r="H68" s="48">
        <v>32.264</v>
      </c>
      <c r="I68" s="48"/>
      <c r="J68" s="48"/>
      <c r="K68" s="47" t="s">
        <v>38</v>
      </c>
      <c r="L68" s="30">
        <f t="shared" si="2"/>
        <v>8782.9455</v>
      </c>
      <c r="N68" s="11"/>
    </row>
    <row r="69" spans="1:14" ht="15.75">
      <c r="A69" s="78">
        <v>38412</v>
      </c>
      <c r="B69" s="53">
        <v>4528.44</v>
      </c>
      <c r="C69" s="48">
        <v>4266</v>
      </c>
      <c r="D69" s="50">
        <v>231.795</v>
      </c>
      <c r="E69" s="46">
        <v>90.0915</v>
      </c>
      <c r="F69" s="40">
        <f>33.415+67.1</f>
        <v>100.51499999999999</v>
      </c>
      <c r="G69" s="46">
        <v>253.66</v>
      </c>
      <c r="H69" s="48">
        <v>38.16</v>
      </c>
      <c r="I69" s="48"/>
      <c r="J69" s="48"/>
      <c r="K69" s="47" t="s">
        <v>38</v>
      </c>
      <c r="L69" s="30">
        <f t="shared" si="2"/>
        <v>9508.661499999998</v>
      </c>
      <c r="N69" s="11"/>
    </row>
    <row r="70" spans="1:14" ht="15.75">
      <c r="A70" s="78">
        <v>38443</v>
      </c>
      <c r="B70" s="53">
        <v>4202.928</v>
      </c>
      <c r="C70" s="48">
        <v>4022.9</v>
      </c>
      <c r="D70" s="50">
        <v>222.3</v>
      </c>
      <c r="E70" s="46">
        <v>113.9505</v>
      </c>
      <c r="F70" s="40">
        <f>50.46+68.2</f>
        <v>118.66</v>
      </c>
      <c r="G70" s="46">
        <v>295.393</v>
      </c>
      <c r="H70" s="48">
        <v>39.54</v>
      </c>
      <c r="I70" s="48"/>
      <c r="J70" s="48"/>
      <c r="K70" s="47" t="s">
        <v>38</v>
      </c>
      <c r="L70" s="30">
        <f t="shared" si="2"/>
        <v>9015.6715</v>
      </c>
      <c r="N70" s="11"/>
    </row>
    <row r="71" spans="1:14" ht="15.75">
      <c r="A71" s="78">
        <v>38473</v>
      </c>
      <c r="B71" s="53">
        <v>4244.724</v>
      </c>
      <c r="C71" s="48">
        <v>4252.9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</v>
      </c>
      <c r="I71" s="48"/>
      <c r="J71" s="48"/>
      <c r="K71" s="47" t="s">
        <v>38</v>
      </c>
      <c r="L71" s="30">
        <f t="shared" si="2"/>
        <v>9377.081999999999</v>
      </c>
      <c r="N71" s="11"/>
    </row>
    <row r="72" spans="1:38" ht="15.75">
      <c r="A72" s="78">
        <v>38504</v>
      </c>
      <c r="B72" s="53">
        <v>3356.532</v>
      </c>
      <c r="C72" s="48">
        <v>4796.9</v>
      </c>
      <c r="D72" s="50">
        <v>377.025</v>
      </c>
      <c r="E72" s="46">
        <v>81.3</v>
      </c>
      <c r="F72" s="40">
        <f>111.03+45.2</f>
        <v>156.23000000000002</v>
      </c>
      <c r="G72" s="46">
        <v>286.488</v>
      </c>
      <c r="H72" s="48">
        <v>59.868</v>
      </c>
      <c r="I72" s="48"/>
      <c r="J72" s="48"/>
      <c r="K72" s="47" t="s">
        <v>38</v>
      </c>
      <c r="L72" s="30">
        <f t="shared" si="2"/>
        <v>9114.342999999999</v>
      </c>
      <c r="N72" s="11"/>
      <c r="AL72" s="10">
        <f>9114*100/8688</f>
        <v>104.90331491712708</v>
      </c>
    </row>
    <row r="73" spans="1:14" ht="15.75">
      <c r="A73" s="78">
        <v>38534</v>
      </c>
      <c r="B73" s="53">
        <v>2771.028</v>
      </c>
      <c r="C73" s="48">
        <v>4750.1</v>
      </c>
      <c r="D73" s="50">
        <v>289.45</v>
      </c>
      <c r="E73" s="46">
        <v>56.727</v>
      </c>
      <c r="F73" s="40">
        <f>68.895+43.1</f>
        <v>111.995</v>
      </c>
      <c r="G73" s="46">
        <v>196.017</v>
      </c>
      <c r="H73" s="48">
        <v>82.968</v>
      </c>
      <c r="I73" s="48"/>
      <c r="J73" s="48"/>
      <c r="K73" s="47" t="s">
        <v>38</v>
      </c>
      <c r="L73" s="30">
        <f t="shared" si="2"/>
        <v>8258.285</v>
      </c>
      <c r="N73" s="11"/>
    </row>
    <row r="74" spans="1:14" ht="15.75">
      <c r="A74" s="78">
        <v>38565</v>
      </c>
      <c r="B74" s="53">
        <v>2777</v>
      </c>
      <c r="C74" s="48">
        <v>4391.9</v>
      </c>
      <c r="D74" s="50">
        <v>253.88</v>
      </c>
      <c r="E74" s="46">
        <v>75.5775</v>
      </c>
      <c r="F74" s="40">
        <f>44.82+43.2</f>
        <v>88.02000000000001</v>
      </c>
      <c r="G74" s="46">
        <v>298.182</v>
      </c>
      <c r="H74" s="48">
        <v>77.328</v>
      </c>
      <c r="I74" s="48"/>
      <c r="J74" s="48"/>
      <c r="K74" s="47" t="s">
        <v>38</v>
      </c>
      <c r="L74" s="30">
        <f t="shared" si="2"/>
        <v>7961.887500000001</v>
      </c>
      <c r="N74" s="11"/>
    </row>
    <row r="75" spans="1:14" ht="15.75">
      <c r="A75" s="78">
        <v>38596</v>
      </c>
      <c r="B75" s="53">
        <v>2007.324</v>
      </c>
      <c r="C75" s="48">
        <v>4128.7</v>
      </c>
      <c r="D75" s="80"/>
      <c r="E75" s="46">
        <v>87.473</v>
      </c>
      <c r="F75" s="40">
        <f>32.97+39.1</f>
        <v>72.07</v>
      </c>
      <c r="G75" s="46">
        <v>322.92</v>
      </c>
      <c r="H75" s="48">
        <v>5.658</v>
      </c>
      <c r="I75" s="48"/>
      <c r="J75" s="48"/>
      <c r="K75" s="47" t="s">
        <v>38</v>
      </c>
      <c r="L75" s="30">
        <f t="shared" si="2"/>
        <v>6624.1449999999995</v>
      </c>
      <c r="N75" s="11"/>
    </row>
    <row r="76" spans="1:14" ht="15.75">
      <c r="A76" s="78">
        <v>38626</v>
      </c>
      <c r="B76" s="53">
        <v>2939.652</v>
      </c>
      <c r="C76" s="48">
        <v>4223.4</v>
      </c>
      <c r="D76" s="50">
        <v>141.15</v>
      </c>
      <c r="E76" s="46">
        <v>62.8125</v>
      </c>
      <c r="F76" s="40">
        <f>11.925+43.9</f>
        <v>55.825</v>
      </c>
      <c r="G76" s="46">
        <v>344.068</v>
      </c>
      <c r="H76" s="48">
        <v>70.932</v>
      </c>
      <c r="I76" s="48"/>
      <c r="J76" s="48"/>
      <c r="K76" s="47" t="s">
        <v>38</v>
      </c>
      <c r="L76" s="30">
        <f t="shared" si="2"/>
        <v>7837.839499999999</v>
      </c>
      <c r="N76" s="11"/>
    </row>
    <row r="77" spans="1:14" ht="15.75">
      <c r="A77" s="78">
        <v>38657</v>
      </c>
      <c r="B77" s="53">
        <v>3062.016</v>
      </c>
      <c r="C77" s="48">
        <v>3971.6</v>
      </c>
      <c r="D77" s="50">
        <v>243.885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38</v>
      </c>
      <c r="L77" s="30">
        <f t="shared" si="2"/>
        <v>7685.562</v>
      </c>
      <c r="N77" s="11"/>
    </row>
    <row r="78" spans="1:14" ht="15.75">
      <c r="A78" s="78">
        <v>38687</v>
      </c>
      <c r="B78" s="53">
        <v>3183.048</v>
      </c>
      <c r="C78" s="48">
        <v>3542.8</v>
      </c>
      <c r="D78" s="50">
        <v>238.05</v>
      </c>
      <c r="E78" s="46">
        <v>15.867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38</v>
      </c>
      <c r="L78" s="30">
        <f t="shared" si="2"/>
        <v>7345.216</v>
      </c>
      <c r="N78" s="11"/>
    </row>
    <row r="79" spans="1:14" ht="15.7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</v>
      </c>
      <c r="G79" s="46">
        <v>235</v>
      </c>
      <c r="H79" s="48">
        <v>103</v>
      </c>
      <c r="I79" s="48"/>
      <c r="J79" s="48"/>
      <c r="K79" s="47" t="s">
        <v>38</v>
      </c>
      <c r="L79" s="30">
        <f t="shared" si="2"/>
        <v>6371.975</v>
      </c>
      <c r="N79" s="11"/>
    </row>
    <row r="80" spans="1:14" ht="15.7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38</v>
      </c>
      <c r="L80" s="30">
        <f t="shared" si="2"/>
        <v>6019</v>
      </c>
      <c r="N80" s="11"/>
    </row>
    <row r="81" spans="1:14" ht="15.7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65.434</v>
      </c>
      <c r="G81" s="46">
        <v>287.102</v>
      </c>
      <c r="H81" s="48">
        <v>59.112</v>
      </c>
      <c r="I81" s="48"/>
      <c r="J81" s="48"/>
      <c r="K81" s="47" t="s">
        <v>38</v>
      </c>
      <c r="L81" s="30">
        <f t="shared" si="2"/>
        <v>8247.88</v>
      </c>
      <c r="N81" s="11"/>
    </row>
    <row r="82" spans="1:14" ht="15.7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38</v>
      </c>
      <c r="L82" s="30">
        <f t="shared" si="2"/>
        <v>8254</v>
      </c>
      <c r="N82" s="11"/>
    </row>
    <row r="83" spans="1:14" ht="15.75">
      <c r="A83" s="78">
        <v>38838</v>
      </c>
      <c r="B83" s="53">
        <v>5941.914</v>
      </c>
      <c r="C83" s="48">
        <v>2453.3</v>
      </c>
      <c r="D83" s="81"/>
      <c r="E83" s="81"/>
      <c r="F83" s="40">
        <v>146.685</v>
      </c>
      <c r="G83" s="46">
        <v>354.26</v>
      </c>
      <c r="H83" s="48">
        <v>87.588</v>
      </c>
      <c r="I83" s="48"/>
      <c r="J83" s="48"/>
      <c r="K83" s="47" t="s">
        <v>38</v>
      </c>
      <c r="L83" s="30">
        <f t="shared" si="2"/>
        <v>8983.747</v>
      </c>
      <c r="N83" s="11"/>
    </row>
    <row r="84" spans="1:14" ht="15.75">
      <c r="A84" s="78">
        <v>38869</v>
      </c>
      <c r="B84" s="53">
        <v>4750.488</v>
      </c>
      <c r="C84" s="48">
        <v>2432.5</v>
      </c>
      <c r="D84" s="81"/>
      <c r="E84" s="81"/>
      <c r="F84" s="40">
        <v>135.24</v>
      </c>
      <c r="G84" s="46">
        <v>383.156</v>
      </c>
      <c r="H84" s="48">
        <v>96.912</v>
      </c>
      <c r="I84" s="48"/>
      <c r="J84" s="48"/>
      <c r="K84" s="47" t="s">
        <v>38</v>
      </c>
      <c r="L84" s="30">
        <f t="shared" si="2"/>
        <v>7798.296</v>
      </c>
      <c r="N84" s="11"/>
    </row>
    <row r="85" spans="1:14" ht="15.75">
      <c r="A85" s="78">
        <v>38899</v>
      </c>
      <c r="B85" s="53">
        <v>3962.908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</v>
      </c>
      <c r="I85" s="48"/>
      <c r="J85" s="48"/>
      <c r="K85" s="47" t="s">
        <v>38</v>
      </c>
      <c r="L85" s="30">
        <f t="shared" si="2"/>
        <v>7486.73</v>
      </c>
      <c r="N85" s="11"/>
    </row>
    <row r="86" spans="1:14" ht="15.7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</v>
      </c>
      <c r="H86" s="48">
        <v>89.1</v>
      </c>
      <c r="I86" s="48"/>
      <c r="J86" s="48"/>
      <c r="K86" s="47" t="s">
        <v>38</v>
      </c>
      <c r="L86" s="30">
        <f t="shared" si="2"/>
        <v>7205.799999999999</v>
      </c>
      <c r="N86" s="11"/>
    </row>
    <row r="87" spans="1:14" ht="15.75">
      <c r="A87" s="78">
        <v>38961</v>
      </c>
      <c r="B87" s="53">
        <v>2837.808</v>
      </c>
      <c r="C87" s="48">
        <v>3520</v>
      </c>
      <c r="D87" s="81"/>
      <c r="E87" s="81"/>
      <c r="F87" s="40">
        <v>23.175</v>
      </c>
      <c r="G87" s="46">
        <v>398.019</v>
      </c>
      <c r="H87" s="48">
        <v>75.72</v>
      </c>
      <c r="I87" s="48"/>
      <c r="J87" s="48"/>
      <c r="K87" s="47" t="s">
        <v>38</v>
      </c>
      <c r="L87" s="30">
        <f t="shared" si="2"/>
        <v>6854.722000000001</v>
      </c>
      <c r="N87" s="11"/>
    </row>
    <row r="88" spans="1:14" ht="15.75">
      <c r="A88" s="78">
        <v>38991</v>
      </c>
      <c r="B88" s="53">
        <v>3031.496</v>
      </c>
      <c r="C88" s="48">
        <v>3560.2</v>
      </c>
      <c r="D88" s="81"/>
      <c r="E88" s="81"/>
      <c r="F88" s="40">
        <v>7.605</v>
      </c>
      <c r="G88" s="46">
        <v>416.036</v>
      </c>
      <c r="H88" s="48">
        <v>77.016</v>
      </c>
      <c r="I88" s="48"/>
      <c r="J88" s="48"/>
      <c r="K88" s="47" t="s">
        <v>38</v>
      </c>
      <c r="L88" s="30">
        <f t="shared" si="2"/>
        <v>7092.352999999999</v>
      </c>
      <c r="N88" s="11"/>
    </row>
    <row r="89" spans="1:14" ht="15.7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</v>
      </c>
      <c r="G89" s="46">
        <v>530.161</v>
      </c>
      <c r="H89" s="48">
        <v>90.912</v>
      </c>
      <c r="I89" s="48"/>
      <c r="J89" s="48"/>
      <c r="K89" s="47" t="s">
        <v>38</v>
      </c>
      <c r="L89" s="30">
        <f t="shared" si="2"/>
        <v>8757.7094</v>
      </c>
      <c r="N89" s="11"/>
    </row>
    <row r="90" spans="1:14" ht="15.75">
      <c r="A90" s="78">
        <v>39052</v>
      </c>
      <c r="B90" s="53">
        <v>5666</v>
      </c>
      <c r="C90" s="48">
        <v>3920</v>
      </c>
      <c r="D90" s="81"/>
      <c r="E90" s="81"/>
      <c r="F90" s="40">
        <v>53.325</v>
      </c>
      <c r="G90" s="46">
        <v>535.77</v>
      </c>
      <c r="H90" s="48">
        <v>88.836</v>
      </c>
      <c r="I90" s="48"/>
      <c r="J90" s="48"/>
      <c r="K90" s="47" t="s">
        <v>38</v>
      </c>
      <c r="L90" s="30">
        <f t="shared" si="2"/>
        <v>10263.931</v>
      </c>
      <c r="N90" s="11"/>
    </row>
    <row r="91" spans="1:14" ht="15.75">
      <c r="A91" s="78">
        <v>39083</v>
      </c>
      <c r="B91" s="54">
        <v>4703.94</v>
      </c>
      <c r="C91" s="48">
        <v>6629.7</v>
      </c>
      <c r="D91" s="81"/>
      <c r="E91" s="81"/>
      <c r="F91" s="40">
        <v>143</v>
      </c>
      <c r="G91" s="46">
        <v>383.903</v>
      </c>
      <c r="H91" s="48">
        <v>92.172</v>
      </c>
      <c r="I91" s="48"/>
      <c r="J91" s="48"/>
      <c r="K91" s="47"/>
      <c r="L91" s="30">
        <f t="shared" si="2"/>
        <v>11952.715</v>
      </c>
      <c r="N91" s="11"/>
    </row>
    <row r="92" spans="1:14" ht="15.75">
      <c r="A92" s="78">
        <v>39114</v>
      </c>
      <c r="B92" s="54">
        <v>5280.696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</v>
      </c>
      <c r="I92" s="48"/>
      <c r="J92" s="48"/>
      <c r="K92" s="47"/>
      <c r="L92" s="30">
        <f t="shared" si="2"/>
        <v>12526.286999999998</v>
      </c>
      <c r="N92" s="11"/>
    </row>
    <row r="93" spans="1:14" ht="15.75">
      <c r="A93" s="78">
        <v>39142</v>
      </c>
      <c r="B93" s="54">
        <v>4847.832</v>
      </c>
      <c r="C93" s="48">
        <v>6606.1</v>
      </c>
      <c r="D93" s="81"/>
      <c r="E93" s="81"/>
      <c r="F93" s="40">
        <v>163.08</v>
      </c>
      <c r="G93" s="46">
        <v>268.068</v>
      </c>
      <c r="H93" s="48">
        <v>77.416</v>
      </c>
      <c r="I93" s="48"/>
      <c r="J93" s="48"/>
      <c r="K93" s="47"/>
      <c r="L93" s="30">
        <f t="shared" si="2"/>
        <v>11962.496</v>
      </c>
      <c r="N93" s="11"/>
    </row>
    <row r="94" spans="1:14" ht="15.75">
      <c r="A94" s="78">
        <v>39173</v>
      </c>
      <c r="B94" s="54">
        <v>4941.18</v>
      </c>
      <c r="C94" s="48">
        <v>4750.9</v>
      </c>
      <c r="D94" s="81"/>
      <c r="E94" s="81"/>
      <c r="F94" s="40">
        <v>114.12</v>
      </c>
      <c r="G94" s="46">
        <v>475.586</v>
      </c>
      <c r="H94" s="48">
        <v>82.428</v>
      </c>
      <c r="I94" s="48"/>
      <c r="J94" s="48"/>
      <c r="K94" s="47"/>
      <c r="L94" s="30">
        <f t="shared" si="2"/>
        <v>10364.214</v>
      </c>
      <c r="N94" s="11"/>
    </row>
    <row r="95" spans="1:14" ht="15.75">
      <c r="A95" s="78">
        <v>39203</v>
      </c>
      <c r="B95" s="54">
        <v>4524.876</v>
      </c>
      <c r="C95" s="48">
        <v>4918.7</v>
      </c>
      <c r="D95" s="81"/>
      <c r="E95" s="81"/>
      <c r="F95" s="40">
        <v>162.345</v>
      </c>
      <c r="G95" s="46">
        <v>491.795</v>
      </c>
      <c r="H95" s="48">
        <v>76.224</v>
      </c>
      <c r="I95" s="48"/>
      <c r="J95" s="48"/>
      <c r="K95" s="47"/>
      <c r="L95" s="30">
        <f t="shared" si="2"/>
        <v>10173.94</v>
      </c>
      <c r="N95" s="11"/>
    </row>
    <row r="96" spans="1:14" ht="15.75">
      <c r="A96" s="78">
        <v>39234</v>
      </c>
      <c r="B96" s="54">
        <v>4221.9</v>
      </c>
      <c r="C96" s="48">
        <v>4440.6</v>
      </c>
      <c r="D96" s="81"/>
      <c r="E96" s="81"/>
      <c r="F96" s="40">
        <v>139.4762</v>
      </c>
      <c r="G96" s="46">
        <v>513.784</v>
      </c>
      <c r="H96" s="48">
        <v>94.2</v>
      </c>
      <c r="I96" s="48"/>
      <c r="J96" s="48"/>
      <c r="K96" s="47"/>
      <c r="L96" s="30">
        <f t="shared" si="2"/>
        <v>9409.9602</v>
      </c>
      <c r="N96" s="11"/>
    </row>
    <row r="97" spans="1:14" ht="15.75">
      <c r="A97" s="78">
        <v>39264</v>
      </c>
      <c r="B97" s="54">
        <v>3570.228</v>
      </c>
      <c r="C97" s="48">
        <v>5599</v>
      </c>
      <c r="D97" s="81"/>
      <c r="E97" s="81"/>
      <c r="F97" s="40">
        <v>149.805</v>
      </c>
      <c r="G97" s="46">
        <v>497.081</v>
      </c>
      <c r="H97" s="48">
        <v>45.84</v>
      </c>
      <c r="I97" s="48"/>
      <c r="J97" s="48"/>
      <c r="K97" s="47"/>
      <c r="L97" s="30">
        <f t="shared" si="2"/>
        <v>9861.954</v>
      </c>
      <c r="N97" s="11"/>
    </row>
    <row r="98" spans="1:14" ht="15.75">
      <c r="A98" s="78">
        <v>39295</v>
      </c>
      <c r="B98" s="54">
        <v>3184.776</v>
      </c>
      <c r="C98" s="48">
        <v>5568.9</v>
      </c>
      <c r="D98" s="50">
        <v>620.32</v>
      </c>
      <c r="E98" s="49">
        <v>335.18</v>
      </c>
      <c r="F98" s="40">
        <v>21.885</v>
      </c>
      <c r="G98" s="46">
        <v>315.491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ht="15.75">
      <c r="A99" s="78">
        <v>39326</v>
      </c>
      <c r="B99" s="54">
        <v>2940.336</v>
      </c>
      <c r="C99" s="48">
        <v>4349.4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8431.841999999999</v>
      </c>
      <c r="N99" s="11"/>
    </row>
    <row r="100" spans="1:14" ht="15.75">
      <c r="A100" s="78">
        <v>39356</v>
      </c>
      <c r="B100" s="54">
        <v>2992.644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254.344</v>
      </c>
      <c r="H100" s="48">
        <v>6.78</v>
      </c>
      <c r="I100" s="48"/>
      <c r="J100" s="48"/>
      <c r="K100" s="47"/>
      <c r="L100" s="30">
        <f t="shared" si="2"/>
        <v>7782.218</v>
      </c>
      <c r="N100" s="11"/>
    </row>
    <row r="101" spans="1:14" ht="15.75">
      <c r="A101" s="78">
        <v>39387</v>
      </c>
      <c r="B101" s="54">
        <v>3127.392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ht="15.75">
      <c r="A102" s="78">
        <v>39417</v>
      </c>
      <c r="B102" s="54">
        <v>3016.296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ht="15.75">
      <c r="A103" s="78">
        <v>39448</v>
      </c>
      <c r="B103" s="54">
        <v>2982.924</v>
      </c>
      <c r="C103" s="48">
        <v>3122.924</v>
      </c>
      <c r="D103" s="50">
        <v>589.92</v>
      </c>
      <c r="E103" s="49">
        <v>370.95</v>
      </c>
      <c r="F103" s="40">
        <v>65.64</v>
      </c>
      <c r="G103" s="46">
        <v>258.219</v>
      </c>
      <c r="H103" s="49">
        <v>41.532</v>
      </c>
      <c r="I103" s="49"/>
      <c r="J103" s="49"/>
      <c r="K103" s="47" t="s">
        <v>38</v>
      </c>
      <c r="L103" s="30">
        <f t="shared" si="2"/>
        <v>7432.109</v>
      </c>
      <c r="N103" s="11"/>
    </row>
    <row r="104" spans="1:14" ht="15.75">
      <c r="A104" s="78">
        <v>39479</v>
      </c>
      <c r="B104" s="54">
        <v>4250.052</v>
      </c>
      <c r="C104" s="48">
        <v>2210.1</v>
      </c>
      <c r="D104" s="50">
        <v>477.366</v>
      </c>
      <c r="E104" s="49">
        <v>408.41</v>
      </c>
      <c r="F104" s="40">
        <v>157.68</v>
      </c>
      <c r="G104" s="46">
        <v>277.707</v>
      </c>
      <c r="H104" s="49">
        <v>48.72</v>
      </c>
      <c r="I104" s="49"/>
      <c r="J104" s="49"/>
      <c r="K104" s="47" t="s">
        <v>38</v>
      </c>
      <c r="L104" s="30">
        <f t="shared" si="2"/>
        <v>7830.035000000001</v>
      </c>
      <c r="N104" s="11"/>
    </row>
    <row r="105" spans="1:14" ht="15.75">
      <c r="A105" s="78">
        <v>39508</v>
      </c>
      <c r="B105" s="54">
        <v>5618.556</v>
      </c>
      <c r="C105" s="48">
        <v>2027.5</v>
      </c>
      <c r="D105" s="50">
        <v>320.37</v>
      </c>
      <c r="E105" s="49">
        <v>589.12</v>
      </c>
      <c r="F105" s="40">
        <v>153.383</v>
      </c>
      <c r="G105" s="46">
        <v>255.95</v>
      </c>
      <c r="H105" s="49">
        <v>35.416</v>
      </c>
      <c r="I105" s="49"/>
      <c r="J105" s="49"/>
      <c r="K105" s="47" t="s">
        <v>38</v>
      </c>
      <c r="L105" s="30">
        <f t="shared" si="2"/>
        <v>9000.295</v>
      </c>
      <c r="N105" s="11"/>
    </row>
    <row r="106" spans="1:14" ht="15.75">
      <c r="A106" s="78">
        <v>39539</v>
      </c>
      <c r="B106" s="54">
        <v>5046.58</v>
      </c>
      <c r="C106" s="48">
        <v>2904.8</v>
      </c>
      <c r="D106" s="50">
        <v>135.45</v>
      </c>
      <c r="E106" s="49">
        <v>557.36</v>
      </c>
      <c r="F106" s="40">
        <v>154.658</v>
      </c>
      <c r="G106" s="46">
        <v>302.862</v>
      </c>
      <c r="H106" s="49">
        <v>69.762</v>
      </c>
      <c r="I106" s="49"/>
      <c r="J106" s="49"/>
      <c r="K106" s="47" t="s">
        <v>38</v>
      </c>
      <c r="L106" s="30">
        <f t="shared" si="2"/>
        <v>9171.472</v>
      </c>
      <c r="N106" s="11"/>
    </row>
    <row r="107" spans="1:14" ht="15.75">
      <c r="A107" s="78">
        <v>39569</v>
      </c>
      <c r="B107" s="54">
        <v>3454.452</v>
      </c>
      <c r="C107" s="48">
        <v>4595.7</v>
      </c>
      <c r="D107" s="50">
        <v>259.9</v>
      </c>
      <c r="E107" s="49">
        <v>496.04</v>
      </c>
      <c r="F107" s="40">
        <v>155.506</v>
      </c>
      <c r="G107" s="46">
        <v>339.251</v>
      </c>
      <c r="H107" s="49">
        <v>77.76</v>
      </c>
      <c r="I107" s="49"/>
      <c r="J107" s="49"/>
      <c r="K107" s="47" t="s">
        <v>38</v>
      </c>
      <c r="L107" s="30">
        <f aca="true" t="shared" si="3" ref="L107:L121">B107+C107+D107+E107+F107+G107+H107</f>
        <v>9378.609</v>
      </c>
      <c r="N107" s="11"/>
    </row>
    <row r="108" spans="1:14" ht="15.75">
      <c r="A108" s="78">
        <v>39600</v>
      </c>
      <c r="B108" s="54">
        <v>3086.964</v>
      </c>
      <c r="C108" s="48">
        <v>5529.5</v>
      </c>
      <c r="D108" s="50">
        <v>308.34</v>
      </c>
      <c r="E108" s="81"/>
      <c r="F108" s="40">
        <v>52.245</v>
      </c>
      <c r="G108" s="46">
        <v>347.555</v>
      </c>
      <c r="H108" s="49">
        <v>112.488</v>
      </c>
      <c r="I108" s="49"/>
      <c r="J108" s="49"/>
      <c r="K108" s="47" t="s">
        <v>38</v>
      </c>
      <c r="L108" s="30">
        <f t="shared" si="3"/>
        <v>9437.092</v>
      </c>
      <c r="N108" s="11"/>
    </row>
    <row r="109" spans="1:14" ht="15.75">
      <c r="A109" s="78">
        <v>39630</v>
      </c>
      <c r="B109" s="54">
        <v>2705.94</v>
      </c>
      <c r="C109" s="48">
        <v>6063.1</v>
      </c>
      <c r="D109" s="50">
        <v>299.46</v>
      </c>
      <c r="E109" s="49">
        <v>323.14</v>
      </c>
      <c r="F109" s="40">
        <v>43.62</v>
      </c>
      <c r="G109" s="46">
        <v>342.326</v>
      </c>
      <c r="H109" s="49">
        <v>91.68</v>
      </c>
      <c r="I109" s="49"/>
      <c r="J109" s="49"/>
      <c r="K109" s="47" t="s">
        <v>38</v>
      </c>
      <c r="L109" s="30">
        <f t="shared" si="3"/>
        <v>9869.266</v>
      </c>
      <c r="N109" s="11"/>
    </row>
    <row r="110" spans="1:14" ht="15.7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</v>
      </c>
      <c r="H110" s="49">
        <v>101.772</v>
      </c>
      <c r="I110" s="49"/>
      <c r="J110" s="49"/>
      <c r="K110" s="47" t="s">
        <v>38</v>
      </c>
      <c r="L110" s="30">
        <f t="shared" si="3"/>
        <v>10414.636</v>
      </c>
      <c r="N110" s="11"/>
    </row>
    <row r="111" spans="1:14" ht="15.75">
      <c r="A111" s="78">
        <v>39692</v>
      </c>
      <c r="B111" s="54">
        <v>2494.476</v>
      </c>
      <c r="C111" s="48">
        <v>6448.4</v>
      </c>
      <c r="D111" s="50">
        <v>299.71</v>
      </c>
      <c r="E111" s="49">
        <v>250.28</v>
      </c>
      <c r="F111" s="40">
        <v>44.52</v>
      </c>
      <c r="G111" s="46">
        <v>268.755</v>
      </c>
      <c r="H111" s="49">
        <v>61.164</v>
      </c>
      <c r="I111" s="49"/>
      <c r="J111" s="49"/>
      <c r="K111" s="47" t="s">
        <v>38</v>
      </c>
      <c r="L111" s="30">
        <f t="shared" si="3"/>
        <v>9867.305</v>
      </c>
      <c r="N111" s="11"/>
    </row>
    <row r="112" spans="1:14" ht="15.75">
      <c r="A112" s="78">
        <v>39722</v>
      </c>
      <c r="B112" s="54">
        <v>3258</v>
      </c>
      <c r="C112" s="48">
        <v>5163.1</v>
      </c>
      <c r="D112" s="50">
        <v>346.03</v>
      </c>
      <c r="E112" s="49">
        <v>354</v>
      </c>
      <c r="F112" s="40">
        <v>46.185</v>
      </c>
      <c r="G112" s="46">
        <v>327.577</v>
      </c>
      <c r="H112" s="49">
        <v>111.108</v>
      </c>
      <c r="I112" s="49"/>
      <c r="J112" s="49"/>
      <c r="K112" s="47" t="s">
        <v>38</v>
      </c>
      <c r="L112" s="30">
        <f t="shared" si="3"/>
        <v>9606</v>
      </c>
      <c r="N112" s="11"/>
    </row>
    <row r="113" spans="1:14" ht="15.7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38</v>
      </c>
      <c r="L113" s="30">
        <f t="shared" si="3"/>
        <v>9487.547</v>
      </c>
      <c r="N113" s="11"/>
    </row>
    <row r="114" spans="1:14" ht="15.75">
      <c r="A114" s="78">
        <v>39783</v>
      </c>
      <c r="B114" s="54">
        <v>3448.332</v>
      </c>
      <c r="C114" s="48">
        <v>5547.7</v>
      </c>
      <c r="D114" s="50">
        <v>595.14</v>
      </c>
      <c r="E114" s="49">
        <v>314.97</v>
      </c>
      <c r="F114" s="40">
        <v>61.5</v>
      </c>
      <c r="G114" s="46">
        <v>312.44</v>
      </c>
      <c r="H114" s="49">
        <v>14.892</v>
      </c>
      <c r="I114" s="49"/>
      <c r="J114" s="49"/>
      <c r="K114" s="47" t="s">
        <v>38</v>
      </c>
      <c r="L114" s="30">
        <f t="shared" si="3"/>
        <v>10294.973999999998</v>
      </c>
      <c r="N114" s="11"/>
    </row>
    <row r="115" spans="1:14" ht="15.75">
      <c r="A115" s="78">
        <v>39814</v>
      </c>
      <c r="B115" s="54">
        <v>4835.412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</v>
      </c>
      <c r="H115" s="49">
        <v>52.32</v>
      </c>
      <c r="I115" s="49"/>
      <c r="J115" s="49"/>
      <c r="K115" s="47" t="s">
        <v>35</v>
      </c>
      <c r="L115" s="30">
        <f t="shared" si="3"/>
        <v>9677.956</v>
      </c>
      <c r="N115" s="11"/>
    </row>
    <row r="116" spans="1:14" ht="15.75">
      <c r="A116" s="78">
        <v>39845</v>
      </c>
      <c r="B116" s="54">
        <v>4580.532</v>
      </c>
      <c r="C116" s="48">
        <v>2625.8</v>
      </c>
      <c r="D116" s="50">
        <v>448.2</v>
      </c>
      <c r="E116" s="49">
        <v>460.31</v>
      </c>
      <c r="F116" s="40">
        <v>71.475</v>
      </c>
      <c r="G116" s="46">
        <v>288.455</v>
      </c>
      <c r="H116" s="49">
        <v>91.068</v>
      </c>
      <c r="I116" s="49"/>
      <c r="J116" s="49"/>
      <c r="K116" s="47" t="s">
        <v>35</v>
      </c>
      <c r="L116" s="30">
        <f t="shared" si="3"/>
        <v>8565.84</v>
      </c>
      <c r="N116" s="11"/>
    </row>
    <row r="117" spans="1:14" ht="15.75">
      <c r="A117" s="78">
        <v>39873</v>
      </c>
      <c r="B117" s="54">
        <v>5409.936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325.957</v>
      </c>
      <c r="H117" s="49">
        <v>97.548</v>
      </c>
      <c r="I117" s="49"/>
      <c r="J117" s="49"/>
      <c r="K117" s="47" t="s">
        <v>35</v>
      </c>
      <c r="L117" s="30">
        <f t="shared" si="3"/>
        <v>9883.161</v>
      </c>
      <c r="N117" s="11"/>
    </row>
    <row r="118" spans="1:14" ht="15.7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232.665</v>
      </c>
      <c r="G118" s="46">
        <v>302.76</v>
      </c>
      <c r="H118" s="49">
        <v>114.132</v>
      </c>
      <c r="I118" s="49"/>
      <c r="J118" s="49"/>
      <c r="K118" s="47" t="s">
        <v>35</v>
      </c>
      <c r="L118" s="30">
        <f t="shared" si="3"/>
        <v>9426.947</v>
      </c>
      <c r="N118" s="11"/>
    </row>
    <row r="119" spans="1:14" ht="15.75">
      <c r="A119" s="78">
        <v>39934</v>
      </c>
      <c r="B119" s="54">
        <v>4720.608</v>
      </c>
      <c r="C119" s="48">
        <v>3567.8</v>
      </c>
      <c r="D119" s="50">
        <v>541.54</v>
      </c>
      <c r="E119" s="49">
        <v>574.42</v>
      </c>
      <c r="F119" s="40">
        <v>253.5</v>
      </c>
      <c r="G119" s="46">
        <v>314.928</v>
      </c>
      <c r="H119" s="49">
        <v>158.412</v>
      </c>
      <c r="I119" s="49"/>
      <c r="J119" s="49"/>
      <c r="K119" s="47" t="s">
        <v>35</v>
      </c>
      <c r="L119" s="30">
        <f t="shared" si="3"/>
        <v>10131.208</v>
      </c>
      <c r="N119" s="11"/>
    </row>
    <row r="120" spans="1:14" ht="15.75">
      <c r="A120" s="78">
        <v>39965</v>
      </c>
      <c r="B120" s="54">
        <v>3609.36</v>
      </c>
      <c r="C120" s="48">
        <v>4927.9</v>
      </c>
      <c r="D120" s="50">
        <v>592.1</v>
      </c>
      <c r="E120" s="49">
        <v>399.58</v>
      </c>
      <c r="F120" s="40">
        <v>128.55</v>
      </c>
      <c r="G120" s="46">
        <v>231.295</v>
      </c>
      <c r="H120" s="49">
        <v>103.116</v>
      </c>
      <c r="I120" s="49"/>
      <c r="J120" s="49"/>
      <c r="K120" s="47" t="s">
        <v>35</v>
      </c>
      <c r="L120" s="30">
        <f t="shared" si="3"/>
        <v>9991.901</v>
      </c>
      <c r="N120" s="11"/>
    </row>
    <row r="121" spans="1:14" ht="15.75">
      <c r="A121" s="78">
        <v>39995</v>
      </c>
      <c r="B121" s="54">
        <v>2868.264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</v>
      </c>
      <c r="H121" s="49">
        <v>116.64</v>
      </c>
      <c r="I121" s="49"/>
      <c r="J121" s="49"/>
      <c r="K121" s="47" t="s">
        <v>35</v>
      </c>
      <c r="L121" s="30">
        <f t="shared" si="3"/>
        <v>10434.921999999997</v>
      </c>
      <c r="N121" s="11"/>
    </row>
    <row r="122" spans="1:14" ht="15.75">
      <c r="A122" s="78">
        <v>40026</v>
      </c>
      <c r="B122" s="54">
        <v>2808.108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327.145</v>
      </c>
      <c r="H122" s="49">
        <v>83.988</v>
      </c>
      <c r="I122" s="49"/>
      <c r="J122" s="49"/>
      <c r="K122" s="49">
        <v>697.8</v>
      </c>
      <c r="L122" s="30">
        <f aca="true" t="shared" si="4" ref="L122:L127">B122+C122+D122+E122+F122+G122+H122+K122</f>
        <v>10759.830999999998</v>
      </c>
      <c r="N122" s="11"/>
    </row>
    <row r="123" spans="1:14" ht="15.75">
      <c r="A123" s="78">
        <v>40057</v>
      </c>
      <c r="B123" s="54">
        <v>2964.816</v>
      </c>
      <c r="C123" s="48">
        <v>5012.4</v>
      </c>
      <c r="D123" s="50">
        <v>346.54</v>
      </c>
      <c r="E123" s="49">
        <v>277.49</v>
      </c>
      <c r="F123" s="40">
        <v>62.085</v>
      </c>
      <c r="G123" s="46">
        <v>703.437</v>
      </c>
      <c r="H123" s="49">
        <v>68.148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ht="15.75">
      <c r="A124" s="78">
        <v>40087</v>
      </c>
      <c r="B124" s="54">
        <v>3119.112</v>
      </c>
      <c r="C124" s="48">
        <v>4063.2</v>
      </c>
      <c r="D124" s="50">
        <v>363.57</v>
      </c>
      <c r="E124" s="49">
        <v>297.97</v>
      </c>
      <c r="F124" s="40">
        <v>28.38</v>
      </c>
      <c r="G124" s="46">
        <v>1053.187</v>
      </c>
      <c r="H124" s="49">
        <v>93.708</v>
      </c>
      <c r="I124" s="49"/>
      <c r="J124" s="49"/>
      <c r="K124" s="49">
        <v>908.55</v>
      </c>
      <c r="L124" s="30">
        <f t="shared" si="4"/>
        <v>9927.677</v>
      </c>
      <c r="N124" s="11"/>
    </row>
    <row r="125" spans="1:14" ht="15.75">
      <c r="A125" s="78">
        <v>40118</v>
      </c>
      <c r="B125" s="54">
        <v>4251.564</v>
      </c>
      <c r="C125" s="48">
        <v>3746.2</v>
      </c>
      <c r="D125" s="50">
        <v>435.14</v>
      </c>
      <c r="E125" s="49">
        <v>445.54</v>
      </c>
      <c r="F125" s="40">
        <v>52.005</v>
      </c>
      <c r="G125" s="46">
        <v>804.041</v>
      </c>
      <c r="H125" s="49">
        <v>107.868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ht="15.7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</v>
      </c>
      <c r="G126" s="46">
        <v>822.196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ht="15.75">
      <c r="A127" s="78">
        <v>40179</v>
      </c>
      <c r="B127" s="54">
        <v>4928.94</v>
      </c>
      <c r="C127" s="48">
        <v>3567.7</v>
      </c>
      <c r="D127" s="50">
        <v>332</v>
      </c>
      <c r="E127" s="49">
        <v>506.97</v>
      </c>
      <c r="F127" s="40">
        <v>252.015</v>
      </c>
      <c r="G127" s="46">
        <v>1072.685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ht="15.7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147.195</v>
      </c>
      <c r="G128" s="46">
        <v>542.813</v>
      </c>
      <c r="H128" s="49">
        <v>107.913</v>
      </c>
      <c r="I128" s="49"/>
      <c r="J128" s="49"/>
      <c r="K128" s="49">
        <v>1248.76</v>
      </c>
      <c r="L128" s="30">
        <f aca="true" t="shared" si="5" ref="L128:L161">SUM(B128:K128)</f>
        <v>10795.871</v>
      </c>
      <c r="N128" s="11"/>
    </row>
    <row r="129" spans="1:14" ht="15.75">
      <c r="A129" s="78">
        <v>40238</v>
      </c>
      <c r="B129" s="54">
        <v>5187.4</v>
      </c>
      <c r="C129" s="48">
        <v>4331.6</v>
      </c>
      <c r="D129" s="50">
        <v>336.9</v>
      </c>
      <c r="E129" s="49">
        <v>615.5</v>
      </c>
      <c r="F129" s="40">
        <v>257.6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ht="15.75">
      <c r="A130" s="78">
        <v>40269</v>
      </c>
      <c r="B130" s="54">
        <v>4219.056</v>
      </c>
      <c r="C130" s="48">
        <v>4530.2</v>
      </c>
      <c r="D130" s="50">
        <v>312.07</v>
      </c>
      <c r="E130" s="49">
        <v>587.84</v>
      </c>
      <c r="F130" s="40">
        <v>166.335</v>
      </c>
      <c r="G130" s="46">
        <v>463.188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ht="15.75">
      <c r="A131" s="78">
        <v>40299</v>
      </c>
      <c r="B131" s="54">
        <v>4312.296</v>
      </c>
      <c r="C131" s="48">
        <v>4764</v>
      </c>
      <c r="D131" s="50">
        <v>337.63</v>
      </c>
      <c r="E131" s="49">
        <v>568.07</v>
      </c>
      <c r="F131" s="40">
        <v>246.435</v>
      </c>
      <c r="G131" s="46">
        <v>598.772</v>
      </c>
      <c r="H131" s="46">
        <v>118.116</v>
      </c>
      <c r="I131" s="46"/>
      <c r="J131" s="46"/>
      <c r="K131" s="49">
        <v>826.24</v>
      </c>
      <c r="L131" s="30">
        <f t="shared" si="5"/>
        <v>11771.559</v>
      </c>
      <c r="N131" s="11"/>
    </row>
    <row r="132" spans="1:14" ht="15.75">
      <c r="A132" s="78">
        <v>40330</v>
      </c>
      <c r="B132" s="54">
        <v>3846.132</v>
      </c>
      <c r="C132" s="48">
        <v>5869.8</v>
      </c>
      <c r="D132" s="50">
        <v>287.47</v>
      </c>
      <c r="E132" s="49">
        <v>409.49</v>
      </c>
      <c r="F132" s="40">
        <v>104.655</v>
      </c>
      <c r="G132" s="46">
        <v>578.393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ht="15.75">
      <c r="A133" s="78">
        <v>40360</v>
      </c>
      <c r="B133" s="54">
        <v>3329.8569</v>
      </c>
      <c r="C133" s="48">
        <v>6437.9</v>
      </c>
      <c r="D133" s="50">
        <v>348.22</v>
      </c>
      <c r="E133" s="49">
        <v>347.34</v>
      </c>
      <c r="F133" s="40">
        <v>66.615</v>
      </c>
      <c r="G133" s="46">
        <v>538.453</v>
      </c>
      <c r="H133" s="46">
        <v>133.548</v>
      </c>
      <c r="I133" s="46"/>
      <c r="J133" s="46"/>
      <c r="K133" s="49">
        <v>345.98</v>
      </c>
      <c r="L133" s="30">
        <f t="shared" si="5"/>
        <v>11547.9129</v>
      </c>
      <c r="N133" s="11"/>
    </row>
    <row r="134" spans="1:14" ht="15.7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</v>
      </c>
      <c r="G134" s="46">
        <v>126.048</v>
      </c>
      <c r="H134" s="46">
        <v>473.575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ht="15.7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</v>
      </c>
      <c r="G135" s="46">
        <v>295.785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ht="15.7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815.265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</v>
      </c>
      <c r="N136" s="11"/>
    </row>
    <row r="137" spans="1:14" ht="15.75">
      <c r="A137" s="78">
        <v>40483</v>
      </c>
      <c r="B137" s="54">
        <v>3798.48</v>
      </c>
      <c r="C137" s="48">
        <v>4177.6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127.692</v>
      </c>
      <c r="I137" s="46"/>
      <c r="J137" s="46"/>
      <c r="K137" s="49">
        <f>1049.58+3837.94</f>
        <v>4887.52</v>
      </c>
      <c r="L137" s="30">
        <f t="shared" si="5"/>
        <v>14625.803</v>
      </c>
      <c r="N137" s="11"/>
    </row>
    <row r="138" spans="1:14" ht="15.75">
      <c r="A138" s="78">
        <v>40513</v>
      </c>
      <c r="B138" s="54">
        <v>4324.11</v>
      </c>
      <c r="C138" s="48">
        <v>4021.7</v>
      </c>
      <c r="D138" s="50">
        <v>522.16</v>
      </c>
      <c r="E138" s="49">
        <v>404.46</v>
      </c>
      <c r="F138" s="40">
        <v>85.545</v>
      </c>
      <c r="G138" s="46">
        <v>608.204</v>
      </c>
      <c r="H138" s="46">
        <v>73.248</v>
      </c>
      <c r="I138" s="46"/>
      <c r="J138" s="46"/>
      <c r="K138" s="49">
        <f>936.69+1217.986</f>
        <v>2154.6760000000004</v>
      </c>
      <c r="L138" s="30">
        <f t="shared" si="5"/>
        <v>12194.103</v>
      </c>
      <c r="N138" s="11"/>
    </row>
    <row r="139" spans="1:14" ht="15.7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85.395</v>
      </c>
      <c r="G139" s="46">
        <v>713.222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ht="15.75">
      <c r="A140" s="78">
        <v>40575</v>
      </c>
      <c r="B140" s="54">
        <v>3779.727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</v>
      </c>
      <c r="H140" s="49">
        <v>116.844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ht="15.75">
      <c r="A141" s="78">
        <v>40603</v>
      </c>
      <c r="B141" s="54">
        <v>5001.465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</v>
      </c>
      <c r="H141" s="49">
        <v>117.48</v>
      </c>
      <c r="I141" s="49"/>
      <c r="J141" s="49"/>
      <c r="K141" s="49">
        <f>957.92+1161.162</f>
        <v>2119.082</v>
      </c>
      <c r="L141" s="30">
        <f t="shared" si="5"/>
        <v>12746.103000000001</v>
      </c>
      <c r="N141" s="11"/>
    </row>
    <row r="142" spans="1:14" ht="15.75">
      <c r="A142" s="78">
        <v>40634</v>
      </c>
      <c r="B142" s="54">
        <v>4409.882</v>
      </c>
      <c r="C142" s="48">
        <v>4297.8</v>
      </c>
      <c r="D142" s="50">
        <v>259.66</v>
      </c>
      <c r="E142" s="49">
        <v>590.06</v>
      </c>
      <c r="F142" s="40">
        <v>64.23</v>
      </c>
      <c r="G142" s="46">
        <v>836.383</v>
      </c>
      <c r="H142" s="49">
        <v>127.488</v>
      </c>
      <c r="I142" s="49"/>
      <c r="J142" s="49"/>
      <c r="K142" s="49">
        <f>1203.71+758.882</f>
        <v>1962.592</v>
      </c>
      <c r="L142" s="30">
        <f t="shared" si="5"/>
        <v>12548.095</v>
      </c>
      <c r="N142" s="11"/>
    </row>
    <row r="143" spans="1:14" ht="15.75">
      <c r="A143" s="78">
        <v>40664</v>
      </c>
      <c r="B143" s="54">
        <v>4334.608</v>
      </c>
      <c r="C143" s="48">
        <v>5699</v>
      </c>
      <c r="D143" s="50">
        <v>401.56</v>
      </c>
      <c r="E143" s="49">
        <v>538.8</v>
      </c>
      <c r="F143" s="40">
        <v>132.195</v>
      </c>
      <c r="G143" s="46">
        <v>1114.071456</v>
      </c>
      <c r="H143" s="49">
        <v>130.896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ht="15.7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1248.37</v>
      </c>
      <c r="L144" s="30">
        <f t="shared" si="5"/>
        <v>12648.017015999998</v>
      </c>
      <c r="N144" s="11"/>
    </row>
    <row r="145" spans="1:14" ht="15.75">
      <c r="A145" s="78">
        <v>40725</v>
      </c>
      <c r="B145" s="54">
        <v>2786.742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</v>
      </c>
      <c r="H145" s="49">
        <v>129.444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ht="15.75">
      <c r="A146" s="78">
        <v>40756</v>
      </c>
      <c r="B146" s="54">
        <v>2560.95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937.66928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ht="15.75">
      <c r="A147" s="78">
        <v>40787</v>
      </c>
      <c r="B147" s="54">
        <v>3098.182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112.692</v>
      </c>
      <c r="I147" s="46"/>
      <c r="J147" s="46"/>
      <c r="K147" s="49">
        <v>247.68</v>
      </c>
      <c r="L147" s="30">
        <f t="shared" si="5"/>
        <v>9887.89958</v>
      </c>
      <c r="N147" s="11"/>
    </row>
    <row r="148" spans="1:14" ht="15.7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</v>
      </c>
      <c r="I148" s="72">
        <v>0</v>
      </c>
      <c r="J148" s="72"/>
      <c r="K148" s="49">
        <v>524.71</v>
      </c>
      <c r="L148" s="30">
        <f t="shared" si="5"/>
        <v>9670.439600000002</v>
      </c>
      <c r="N148" s="11"/>
    </row>
    <row r="149" spans="1:14" ht="15.75">
      <c r="A149" s="78">
        <v>40848</v>
      </c>
      <c r="B149" s="28">
        <v>4703.045</v>
      </c>
      <c r="C149" s="55">
        <v>3688.1</v>
      </c>
      <c r="D149" s="50">
        <v>410.89</v>
      </c>
      <c r="E149" s="49">
        <v>536.64</v>
      </c>
      <c r="F149" s="40">
        <v>227.415</v>
      </c>
      <c r="G149" s="49">
        <v>868.7759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ht="15.75">
      <c r="A150" s="78">
        <v>40878</v>
      </c>
      <c r="B150" s="57">
        <v>5460.682</v>
      </c>
      <c r="C150" s="55">
        <v>4378.1</v>
      </c>
      <c r="D150" s="50">
        <v>552.31</v>
      </c>
      <c r="E150" s="49">
        <v>578.9</v>
      </c>
      <c r="F150" s="40">
        <v>302.7</v>
      </c>
      <c r="G150" s="49">
        <v>783.46126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12197.18926</v>
      </c>
      <c r="N150" s="11"/>
    </row>
    <row r="151" spans="1:14" ht="15.75">
      <c r="A151" s="78">
        <v>40909</v>
      </c>
      <c r="B151" s="57">
        <v>4421.928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ht="15.75">
      <c r="A152" s="78">
        <v>40940</v>
      </c>
      <c r="B152" s="57">
        <v>5857.7085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858.116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ht="15.75">
      <c r="A153" s="78">
        <v>40969</v>
      </c>
      <c r="B153" s="58">
        <v>4750.032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679.621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ht="15.75">
      <c r="A154" s="78">
        <v>41000</v>
      </c>
      <c r="B154" s="57">
        <v>5104.407</v>
      </c>
      <c r="C154" s="58">
        <v>5507.7</v>
      </c>
      <c r="D154" s="50">
        <v>298.68</v>
      </c>
      <c r="E154" s="49">
        <v>534.74</v>
      </c>
      <c r="F154" s="40">
        <v>119.415</v>
      </c>
      <c r="G154" s="49">
        <v>672.567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ht="15.75">
      <c r="A155" s="78">
        <v>41030</v>
      </c>
      <c r="B155" s="57">
        <v>5481.441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</v>
      </c>
      <c r="H155" s="46">
        <v>139.116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ht="15.7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533.67</v>
      </c>
      <c r="F156" s="48">
        <v>87.03</v>
      </c>
      <c r="G156" s="49">
        <v>823.309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12295.443</v>
      </c>
      <c r="N156" s="11"/>
    </row>
    <row r="157" spans="1:14" ht="15.75">
      <c r="A157" s="78">
        <v>41091</v>
      </c>
      <c r="B157" s="57">
        <v>3247.604</v>
      </c>
      <c r="C157" s="58">
        <v>5469.4</v>
      </c>
      <c r="D157" s="50">
        <v>699.42</v>
      </c>
      <c r="E157" s="49">
        <v>438.54</v>
      </c>
      <c r="F157" s="40">
        <v>95.205</v>
      </c>
      <c r="G157" s="49">
        <v>824.146</v>
      </c>
      <c r="H157" s="49">
        <v>65.004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ht="15.75">
      <c r="A158" s="78">
        <v>41122</v>
      </c>
      <c r="B158" s="57">
        <v>2900.288</v>
      </c>
      <c r="C158" s="58">
        <v>5014.4</v>
      </c>
      <c r="D158" s="50">
        <v>549.83</v>
      </c>
      <c r="E158" s="49">
        <v>383.3</v>
      </c>
      <c r="F158" s="40">
        <v>75.66</v>
      </c>
      <c r="G158" s="49">
        <v>774.745</v>
      </c>
      <c r="H158" s="49">
        <v>104.436</v>
      </c>
      <c r="I158" s="72">
        <v>0</v>
      </c>
      <c r="J158" s="72"/>
      <c r="K158" s="49">
        <v>573.92</v>
      </c>
      <c r="L158" s="30">
        <f t="shared" si="5"/>
        <v>10376.579</v>
      </c>
      <c r="N158" s="11"/>
    </row>
    <row r="159" spans="1:14" ht="15.75">
      <c r="A159" s="78">
        <v>41153</v>
      </c>
      <c r="B159" s="57">
        <v>2948.295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ht="15.75">
      <c r="A160" s="78">
        <v>41183</v>
      </c>
      <c r="B160" s="57">
        <v>3881.829</v>
      </c>
      <c r="C160" s="58">
        <v>5046.1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ht="15.75">
      <c r="A161" s="78">
        <v>41214</v>
      </c>
      <c r="B161" s="57">
        <v>3869.717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829.478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ht="15.75">
      <c r="A162" s="78">
        <v>41244</v>
      </c>
      <c r="B162" s="28">
        <v>4811.394</v>
      </c>
      <c r="C162" s="58">
        <v>3579.3</v>
      </c>
      <c r="D162" s="50">
        <v>867.72</v>
      </c>
      <c r="E162" s="49">
        <v>135.58</v>
      </c>
      <c r="F162" s="48">
        <v>139.2</v>
      </c>
      <c r="G162" s="49">
        <v>854.401</v>
      </c>
      <c r="H162" s="49">
        <v>133.956</v>
      </c>
      <c r="I162" s="72">
        <v>0</v>
      </c>
      <c r="J162" s="72"/>
      <c r="K162" s="49">
        <v>441</v>
      </c>
      <c r="L162" s="30">
        <f>SUM(B162:K162)</f>
        <v>10962.551</v>
      </c>
      <c r="M162" s="9"/>
      <c r="N162" s="11"/>
    </row>
    <row r="163" spans="1:14" ht="15.75">
      <c r="A163" s="78">
        <v>41275</v>
      </c>
      <c r="B163" s="28">
        <v>4730.523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</v>
      </c>
      <c r="H163" s="49">
        <v>90.768</v>
      </c>
      <c r="I163" s="72">
        <v>0</v>
      </c>
      <c r="J163" s="72"/>
      <c r="K163" s="49">
        <v>483.83</v>
      </c>
      <c r="L163" s="30">
        <f aca="true" t="shared" si="6" ref="L163:L169">SUM(B163:K163)</f>
        <v>10452.427</v>
      </c>
      <c r="M163" s="9"/>
      <c r="N163" s="11"/>
    </row>
    <row r="164" spans="1:14" ht="15.75">
      <c r="A164" s="78">
        <v>41306</v>
      </c>
      <c r="B164" s="33">
        <v>4185.783</v>
      </c>
      <c r="C164" s="33">
        <v>3583.4</v>
      </c>
      <c r="D164" s="50">
        <v>743.78</v>
      </c>
      <c r="E164" s="49">
        <v>465.18</v>
      </c>
      <c r="F164" s="40">
        <v>128.145</v>
      </c>
      <c r="G164" s="49">
        <v>702.294</v>
      </c>
      <c r="H164" s="49">
        <v>73.008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ht="15.75">
      <c r="A165" s="78">
        <v>41334</v>
      </c>
      <c r="B165" s="33">
        <v>4875.906</v>
      </c>
      <c r="C165" s="33">
        <v>5007.6</v>
      </c>
      <c r="D165" s="50">
        <v>945.43</v>
      </c>
      <c r="E165" s="49">
        <v>515.53</v>
      </c>
      <c r="F165" s="40">
        <v>134.625</v>
      </c>
      <c r="G165" s="49">
        <v>771.936</v>
      </c>
      <c r="H165" s="49">
        <v>90.576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ht="15.75">
      <c r="A166" s="78">
        <v>41365</v>
      </c>
      <c r="B166" s="33">
        <v>5674.095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813.953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ht="15.75">
      <c r="A167" s="78">
        <v>41395</v>
      </c>
      <c r="B167" s="33">
        <v>4844.637</v>
      </c>
      <c r="C167" s="33">
        <v>5774.2</v>
      </c>
      <c r="D167" s="50">
        <v>963.58</v>
      </c>
      <c r="E167" s="49">
        <v>43.59</v>
      </c>
      <c r="F167" s="40">
        <v>189.645</v>
      </c>
      <c r="G167" s="49">
        <v>657.445</v>
      </c>
      <c r="H167" s="49">
        <v>76.236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ht="15.7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</v>
      </c>
      <c r="G168" s="49">
        <v>874.294</v>
      </c>
      <c r="H168" s="49">
        <v>82.296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ht="15.75">
      <c r="A169" s="78">
        <v>41456</v>
      </c>
      <c r="B169" s="31">
        <v>2921.016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709.558</v>
      </c>
      <c r="H169" s="49">
        <v>83.532</v>
      </c>
      <c r="I169" s="72">
        <v>0</v>
      </c>
      <c r="J169" s="72"/>
      <c r="K169" s="49">
        <f>36.51+1552.156</f>
        <v>1588.666</v>
      </c>
      <c r="L169" s="30">
        <f t="shared" si="6"/>
        <v>13557.762</v>
      </c>
      <c r="M169" s="9"/>
      <c r="N169" s="11"/>
    </row>
    <row r="170" spans="1:14" ht="15.7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861.179</v>
      </c>
      <c r="H170" s="49">
        <v>70.776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ht="15.75">
      <c r="A171" s="78">
        <v>41518</v>
      </c>
      <c r="B171" s="31">
        <v>2905.539</v>
      </c>
      <c r="C171" s="33">
        <v>6825</v>
      </c>
      <c r="D171" s="50">
        <v>546.82</v>
      </c>
      <c r="E171" s="49">
        <v>321.9</v>
      </c>
      <c r="F171" s="40">
        <v>34.365</v>
      </c>
      <c r="G171" s="49">
        <v>813.468</v>
      </c>
      <c r="H171" s="49">
        <v>81.684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ht="15.7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</v>
      </c>
      <c r="H172" s="49">
        <v>83.7</v>
      </c>
      <c r="I172" s="49">
        <v>181.685</v>
      </c>
      <c r="J172" s="49"/>
      <c r="K172" s="49">
        <f>802.308+1371.764</f>
        <v>2174.072</v>
      </c>
      <c r="L172" s="30">
        <f>SUM(B172:K172)</f>
        <v>14822.377999999999</v>
      </c>
      <c r="M172" s="9"/>
      <c r="N172" s="11"/>
    </row>
    <row r="173" spans="1:14" ht="15.75">
      <c r="A173" s="78">
        <v>41579</v>
      </c>
      <c r="B173" s="31">
        <v>4001.655</v>
      </c>
      <c r="C173" s="33">
        <v>4479.4</v>
      </c>
      <c r="D173" s="50">
        <v>623.02</v>
      </c>
      <c r="E173" s="49">
        <v>423.62</v>
      </c>
      <c r="F173" s="40">
        <v>115.075</v>
      </c>
      <c r="G173" s="49">
        <v>819.425</v>
      </c>
      <c r="H173" s="49">
        <v>79.764</v>
      </c>
      <c r="I173" s="49">
        <v>202.519</v>
      </c>
      <c r="J173" s="49"/>
      <c r="K173" s="49">
        <f>54.017+2245.326</f>
        <v>2299.343</v>
      </c>
      <c r="L173" s="30">
        <f>SUM(B173:K173)</f>
        <v>13043.821</v>
      </c>
      <c r="M173" s="9"/>
      <c r="N173" s="11"/>
    </row>
    <row r="174" spans="1:14" ht="15.75">
      <c r="A174" s="78">
        <v>41609</v>
      </c>
      <c r="B174" s="33">
        <v>5286.519</v>
      </c>
      <c r="C174" s="32">
        <v>4026.7</v>
      </c>
      <c r="D174" s="50">
        <v>426.65</v>
      </c>
      <c r="E174" s="49">
        <v>606.87</v>
      </c>
      <c r="F174" s="40">
        <v>201.945</v>
      </c>
      <c r="G174" s="49">
        <v>860.337</v>
      </c>
      <c r="H174" s="49">
        <v>90.756</v>
      </c>
      <c r="I174" s="49">
        <v>239.508</v>
      </c>
      <c r="J174" s="49"/>
      <c r="K174" s="49">
        <f>41.791+2528.267+1559.676</f>
        <v>4129.734</v>
      </c>
      <c r="L174" s="30">
        <f>SUM(B174:K174)</f>
        <v>15869.019</v>
      </c>
      <c r="M174" s="9"/>
      <c r="N174" s="11"/>
    </row>
    <row r="175" spans="1:14" ht="15.75">
      <c r="A175" s="78">
        <v>41640</v>
      </c>
      <c r="B175" s="33">
        <v>5472.432</v>
      </c>
      <c r="C175" s="33">
        <v>4534.1</v>
      </c>
      <c r="D175" s="50">
        <v>716.09</v>
      </c>
      <c r="E175" s="49">
        <v>580.19</v>
      </c>
      <c r="F175" s="40">
        <v>85.47</v>
      </c>
      <c r="G175" s="49">
        <v>995.162</v>
      </c>
      <c r="H175" s="49">
        <v>87.144</v>
      </c>
      <c r="I175" s="49">
        <v>258.929</v>
      </c>
      <c r="J175" s="49"/>
      <c r="K175" s="49">
        <f>54.38+1192.329+1559.716</f>
        <v>2806.425</v>
      </c>
      <c r="L175" s="30">
        <f aca="true" t="shared" si="7" ref="L175:L185">SUM(B175:K175)</f>
        <v>15535.942</v>
      </c>
      <c r="M175" s="9"/>
      <c r="N175" s="11"/>
    </row>
    <row r="176" spans="1:14" ht="15.7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</v>
      </c>
      <c r="G176" s="33">
        <v>455.982</v>
      </c>
      <c r="H176" s="33">
        <v>76.668</v>
      </c>
      <c r="I176" s="33">
        <v>192.243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ht="15.75">
      <c r="A177" s="78">
        <v>41699</v>
      </c>
      <c r="B177" s="33">
        <v>5395.968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</v>
      </c>
      <c r="H177" s="49">
        <v>91.968</v>
      </c>
      <c r="I177" s="49">
        <v>250.87</v>
      </c>
      <c r="J177" s="49"/>
      <c r="K177" s="49">
        <f>554.971+1559.989</f>
        <v>2114.96</v>
      </c>
      <c r="L177" s="33">
        <f t="shared" si="7"/>
        <v>16694.076</v>
      </c>
      <c r="M177" s="9"/>
      <c r="N177" s="11"/>
    </row>
    <row r="178" spans="1:14" ht="15.75">
      <c r="A178" s="78">
        <v>41730</v>
      </c>
      <c r="B178" s="33">
        <v>5607.187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71.892</v>
      </c>
      <c r="I178" s="49">
        <v>236.42</v>
      </c>
      <c r="J178" s="49"/>
      <c r="K178" s="49">
        <f>88.11+704.179+1559.256</f>
        <v>2351.545</v>
      </c>
      <c r="L178" s="33">
        <f t="shared" si="7"/>
        <v>15390.954</v>
      </c>
      <c r="M178" s="9"/>
      <c r="N178" s="11"/>
    </row>
    <row r="179" spans="1:14" ht="15.75">
      <c r="A179" s="78">
        <v>41760</v>
      </c>
      <c r="B179" s="33">
        <v>4477.838</v>
      </c>
      <c r="C179" s="33">
        <v>5576.4</v>
      </c>
      <c r="D179" s="50">
        <v>693.9</v>
      </c>
      <c r="E179" s="49">
        <v>528.3</v>
      </c>
      <c r="F179" s="40">
        <v>76</v>
      </c>
      <c r="G179" s="49">
        <v>1681.583</v>
      </c>
      <c r="H179" s="49">
        <v>88.332</v>
      </c>
      <c r="I179" s="49">
        <v>228.867</v>
      </c>
      <c r="J179" s="49"/>
      <c r="K179" s="49">
        <f>444.12+415.727+1559.639</f>
        <v>2419.486</v>
      </c>
      <c r="L179" s="33">
        <f t="shared" si="7"/>
        <v>15770.705999999998</v>
      </c>
      <c r="M179" s="9"/>
      <c r="N179" s="11"/>
    </row>
    <row r="180" spans="1:14" ht="15.7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</v>
      </c>
      <c r="J180" s="49"/>
      <c r="K180" s="49">
        <f>70.94+464.73+1559.999</f>
        <v>2095.669</v>
      </c>
      <c r="L180" s="33">
        <f t="shared" si="7"/>
        <v>14170.835999999998</v>
      </c>
      <c r="M180" s="9"/>
      <c r="N180" s="11"/>
    </row>
    <row r="181" spans="1:14" ht="15.75">
      <c r="A181" s="78">
        <v>41821</v>
      </c>
      <c r="B181" s="33">
        <v>3120.336</v>
      </c>
      <c r="C181" s="32">
        <v>4210.1</v>
      </c>
      <c r="D181" s="50">
        <v>574.1</v>
      </c>
      <c r="E181" s="49">
        <v>335.83</v>
      </c>
      <c r="F181" s="40">
        <v>81.33</v>
      </c>
      <c r="G181" s="49">
        <v>1912.839</v>
      </c>
      <c r="H181" s="49">
        <v>122.4</v>
      </c>
      <c r="I181" s="49">
        <v>161.283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ht="15.7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</v>
      </c>
      <c r="L182" s="33">
        <f t="shared" si="7"/>
        <v>12357.002</v>
      </c>
      <c r="M182" s="9"/>
      <c r="N182" s="11"/>
    </row>
    <row r="183" spans="1:14" ht="15.7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ht="15.75">
      <c r="A184" s="78">
        <v>41913</v>
      </c>
      <c r="B184" s="33">
        <v>4230.114</v>
      </c>
      <c r="C184" s="32">
        <v>3243.9</v>
      </c>
      <c r="D184" s="50">
        <v>762.4</v>
      </c>
      <c r="E184" s="49">
        <v>507.39</v>
      </c>
      <c r="F184" s="40">
        <v>93.825</v>
      </c>
      <c r="G184" s="49">
        <v>1356.635</v>
      </c>
      <c r="H184" s="49">
        <v>78.816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14050.844</v>
      </c>
      <c r="M184" s="9"/>
      <c r="N184" s="11"/>
    </row>
    <row r="185" spans="1:14" ht="15.75">
      <c r="A185" s="78">
        <v>41944</v>
      </c>
      <c r="B185" s="33">
        <v>3983.196</v>
      </c>
      <c r="C185" s="32">
        <v>3450.6</v>
      </c>
      <c r="D185" s="50">
        <v>665</v>
      </c>
      <c r="E185" s="49">
        <v>512.74</v>
      </c>
      <c r="F185" s="40">
        <v>53.235</v>
      </c>
      <c r="G185" s="49">
        <v>1051.644</v>
      </c>
      <c r="H185" s="49">
        <v>85.283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ht="15.75">
      <c r="A186" s="78">
        <v>41974</v>
      </c>
      <c r="B186" s="33">
        <v>4955.559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973.683</v>
      </c>
      <c r="H186" s="49">
        <v>95.22</v>
      </c>
      <c r="I186" s="49">
        <v>168.6</v>
      </c>
      <c r="J186" s="49"/>
      <c r="K186" s="49">
        <f>470.145+3214.033</f>
        <v>3684.178</v>
      </c>
      <c r="L186" s="33">
        <f>SUM(B186:K186)</f>
        <v>15306.280000000002</v>
      </c>
      <c r="M186" s="9"/>
      <c r="N186" s="11"/>
    </row>
    <row r="187" spans="1:14" ht="15.75">
      <c r="A187" s="78">
        <v>42005</v>
      </c>
      <c r="B187" s="33">
        <v>5146.617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</v>
      </c>
      <c r="H187" s="49">
        <v>86.316</v>
      </c>
      <c r="I187" s="49">
        <v>159</v>
      </c>
      <c r="J187" s="49"/>
      <c r="K187" s="49">
        <f>248.612+1559.998</f>
        <v>1808.6100000000001</v>
      </c>
      <c r="L187" s="33">
        <f aca="true" t="shared" si="8" ref="L187:L198">SUM(B187:K187)</f>
        <v>14524.196000000002</v>
      </c>
      <c r="M187" s="9"/>
      <c r="N187" s="11"/>
    </row>
    <row r="188" spans="1:14" ht="15.75">
      <c r="A188" s="78">
        <v>42036</v>
      </c>
      <c r="B188" s="33">
        <v>4683.735</v>
      </c>
      <c r="C188" s="32">
        <v>5216.4</v>
      </c>
      <c r="D188" s="50">
        <v>791.7</v>
      </c>
      <c r="E188" s="49">
        <v>591.36</v>
      </c>
      <c r="F188" s="40">
        <v>88.995</v>
      </c>
      <c r="G188" s="49">
        <v>327.677</v>
      </c>
      <c r="H188" s="49">
        <v>81.54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ht="15.75">
      <c r="A189" s="78">
        <v>42064</v>
      </c>
      <c r="B189" s="33">
        <v>4666.935</v>
      </c>
      <c r="C189" s="32">
        <v>5970</v>
      </c>
      <c r="D189" s="50">
        <v>863.8</v>
      </c>
      <c r="E189" s="49">
        <v>653.56</v>
      </c>
      <c r="F189" s="40">
        <v>90</v>
      </c>
      <c r="G189" s="49">
        <v>852.447</v>
      </c>
      <c r="H189" s="49">
        <v>82.068</v>
      </c>
      <c r="I189" s="49">
        <v>192.1</v>
      </c>
      <c r="J189" s="49"/>
      <c r="K189" s="49">
        <f>83.61+1559.989</f>
        <v>1643.599</v>
      </c>
      <c r="L189" s="33">
        <f t="shared" si="8"/>
        <v>15014.509</v>
      </c>
      <c r="M189" s="9"/>
      <c r="N189" s="11"/>
    </row>
    <row r="190" spans="1:14" ht="15.75">
      <c r="A190" s="78">
        <v>42095</v>
      </c>
      <c r="B190" s="33">
        <v>5841.927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53.976</v>
      </c>
      <c r="I190" s="49">
        <v>147.4</v>
      </c>
      <c r="J190" s="49"/>
      <c r="K190" s="49">
        <v>1489.284</v>
      </c>
      <c r="L190" s="33">
        <f t="shared" si="8"/>
        <v>15414.428000000002</v>
      </c>
      <c r="M190" s="9"/>
      <c r="N190" s="11"/>
    </row>
    <row r="191" spans="1:14" ht="15.7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</v>
      </c>
      <c r="H191" s="49">
        <v>0</v>
      </c>
      <c r="I191" s="49">
        <v>306</v>
      </c>
      <c r="J191" s="49"/>
      <c r="K191" s="49">
        <v>1536.023</v>
      </c>
      <c r="L191" s="33">
        <f t="shared" si="8"/>
        <v>14365.979</v>
      </c>
      <c r="M191" s="9"/>
      <c r="N191" s="11"/>
    </row>
    <row r="192" spans="1:14" ht="15.75">
      <c r="A192" s="78">
        <v>42156</v>
      </c>
      <c r="B192" s="33">
        <v>4581.216</v>
      </c>
      <c r="C192" s="32">
        <v>4789</v>
      </c>
      <c r="D192" s="50">
        <v>660.583</v>
      </c>
      <c r="E192" s="49">
        <v>620.57</v>
      </c>
      <c r="F192" s="40">
        <v>120.96</v>
      </c>
      <c r="G192" s="49">
        <v>1202.679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ht="15.75">
      <c r="A193" s="78">
        <v>42186</v>
      </c>
      <c r="B193" s="33">
        <v>3935.862</v>
      </c>
      <c r="C193" s="32">
        <v>6221.1</v>
      </c>
      <c r="D193" s="50">
        <v>512.7</v>
      </c>
      <c r="E193" s="49">
        <v>407.08</v>
      </c>
      <c r="F193" s="40">
        <v>90.825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ht="15.75">
      <c r="A194" s="78">
        <v>42217</v>
      </c>
      <c r="B194" s="33">
        <v>3935.872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</v>
      </c>
      <c r="L194" s="33">
        <f t="shared" si="8"/>
        <v>13909.381000000001</v>
      </c>
      <c r="M194" s="9"/>
      <c r="N194" s="11"/>
    </row>
    <row r="195" spans="1:14" ht="15.7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ht="15.7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12684.863</v>
      </c>
      <c r="M196" s="9"/>
      <c r="N196" s="11"/>
    </row>
    <row r="197" spans="1:14" ht="15.75">
      <c r="A197" s="78">
        <v>42309</v>
      </c>
      <c r="B197" s="33">
        <v>4932.312</v>
      </c>
      <c r="C197" s="32">
        <v>2216.1</v>
      </c>
      <c r="D197" s="50">
        <v>631.4</v>
      </c>
      <c r="E197" s="49">
        <v>636.2</v>
      </c>
      <c r="F197" s="40">
        <v>93.405</v>
      </c>
      <c r="G197" s="49">
        <v>672.204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ht="15.75">
      <c r="A198" s="78">
        <v>42339</v>
      </c>
      <c r="B198" s="33">
        <v>5122.026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563.328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ht="15.75">
      <c r="A199" s="78">
        <v>42370</v>
      </c>
      <c r="B199" s="31">
        <v>5158.86</v>
      </c>
      <c r="C199" s="33">
        <v>3656.4</v>
      </c>
      <c r="D199" s="50">
        <v>640.2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1772.696</v>
      </c>
      <c r="L199" s="33">
        <f aca="true" t="shared" si="9" ref="L199:L221">SUM(B199:K199)</f>
        <v>13072.186000000002</v>
      </c>
      <c r="M199" s="9"/>
      <c r="N199" s="11"/>
    </row>
    <row r="200" spans="1:14" ht="15.7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ht="15.75">
      <c r="A201" s="78">
        <v>42430</v>
      </c>
      <c r="B201" s="31">
        <v>5232.633</v>
      </c>
      <c r="C201" s="33">
        <v>5465.6</v>
      </c>
      <c r="D201" s="50">
        <v>0</v>
      </c>
      <c r="E201" s="49">
        <v>724.5</v>
      </c>
      <c r="F201" s="40">
        <v>131.67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1406.503</v>
      </c>
      <c r="L201" s="33">
        <f t="shared" si="9"/>
        <v>13859.235</v>
      </c>
      <c r="M201" s="9"/>
      <c r="N201" s="11"/>
    </row>
    <row r="202" spans="1:14" ht="15.75">
      <c r="A202" s="78">
        <v>42461</v>
      </c>
      <c r="B202" s="31">
        <v>5168.457</v>
      </c>
      <c r="C202" s="33">
        <v>7835.9</v>
      </c>
      <c r="D202" s="50">
        <v>359.2</v>
      </c>
      <c r="E202" s="49">
        <v>457.48</v>
      </c>
      <c r="F202" s="40">
        <v>131.805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15407.782</v>
      </c>
      <c r="M202" s="9"/>
      <c r="N202" s="11"/>
    </row>
    <row r="203" spans="1:14" ht="15.75">
      <c r="A203" s="78">
        <v>42491</v>
      </c>
      <c r="B203" s="31">
        <v>5100.123</v>
      </c>
      <c r="C203" s="33">
        <v>7499.6</v>
      </c>
      <c r="D203" s="50">
        <v>630.2</v>
      </c>
      <c r="E203" s="49">
        <v>597.46</v>
      </c>
      <c r="F203" s="40">
        <v>132.495</v>
      </c>
      <c r="G203" s="49">
        <v>606.51104</v>
      </c>
      <c r="H203" s="49">
        <v>0</v>
      </c>
      <c r="I203" s="49">
        <v>308.8</v>
      </c>
      <c r="J203" s="49"/>
      <c r="K203" s="49">
        <f>64.292+620.182</f>
        <v>684.474</v>
      </c>
      <c r="L203" s="33">
        <f t="shared" si="9"/>
        <v>15559.663040000001</v>
      </c>
      <c r="M203" s="9"/>
      <c r="N203" s="11"/>
    </row>
    <row r="204" spans="1:14" ht="15.75">
      <c r="A204" s="78">
        <v>42522</v>
      </c>
      <c r="B204" s="31">
        <v>3489.84</v>
      </c>
      <c r="C204" s="33">
        <v>6311.2</v>
      </c>
      <c r="D204" s="50">
        <v>613.3</v>
      </c>
      <c r="E204" s="49">
        <v>328.5</v>
      </c>
      <c r="F204" s="40">
        <v>75.54</v>
      </c>
      <c r="G204" s="49">
        <v>828.2454</v>
      </c>
      <c r="H204" s="49">
        <v>9.336</v>
      </c>
      <c r="I204" s="49">
        <v>276.4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ht="15.75">
      <c r="A205" s="78">
        <v>42552</v>
      </c>
      <c r="B205" s="31">
        <v>3154.176</v>
      </c>
      <c r="C205" s="33">
        <v>7393.2</v>
      </c>
      <c r="D205" s="50">
        <v>692</v>
      </c>
      <c r="E205" s="49">
        <v>363.5</v>
      </c>
      <c r="F205" s="40">
        <v>75.195</v>
      </c>
      <c r="G205" s="49">
        <v>712.68544</v>
      </c>
      <c r="H205" s="49">
        <v>0</v>
      </c>
      <c r="I205" s="49">
        <v>287.9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ht="15.75">
      <c r="A206" s="78">
        <v>42583</v>
      </c>
      <c r="B206" s="31">
        <v>2516.619</v>
      </c>
      <c r="C206" s="33">
        <v>6810.4</v>
      </c>
      <c r="D206" s="50">
        <v>595.7</v>
      </c>
      <c r="E206" s="49">
        <v>332.94</v>
      </c>
      <c r="F206" s="40">
        <v>41.895</v>
      </c>
      <c r="G206" s="49">
        <v>1168.21024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ht="15.75">
      <c r="A207" s="78">
        <v>42614</v>
      </c>
      <c r="B207" s="31">
        <v>2500.113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ht="15.7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</v>
      </c>
      <c r="L208" s="33">
        <f t="shared" si="9"/>
        <v>14128.51772</v>
      </c>
      <c r="M208" s="9"/>
      <c r="N208" s="11"/>
    </row>
    <row r="209" spans="1:14" ht="15.75">
      <c r="A209" s="78">
        <v>42675</v>
      </c>
      <c r="B209" s="31">
        <v>3020.199</v>
      </c>
      <c r="C209" s="33">
        <v>5333.8</v>
      </c>
      <c r="D209" s="50">
        <v>539.3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3310.861</v>
      </c>
      <c r="L209" s="33">
        <f t="shared" si="9"/>
        <v>14125.991880000001</v>
      </c>
      <c r="M209" s="9"/>
      <c r="N209" s="11"/>
    </row>
    <row r="210" spans="1:14" ht="15.75">
      <c r="A210" s="78">
        <v>42705</v>
      </c>
      <c r="B210" s="31">
        <v>3573.696</v>
      </c>
      <c r="C210" s="33">
        <v>5027.6</v>
      </c>
      <c r="D210" s="50">
        <v>578.1</v>
      </c>
      <c r="E210" s="49">
        <v>418.73</v>
      </c>
      <c r="F210" s="40">
        <v>63.675</v>
      </c>
      <c r="G210" s="49">
        <v>1234.9894</v>
      </c>
      <c r="H210" s="49">
        <v>18.816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ht="15.75">
      <c r="A211" s="78">
        <v>42736</v>
      </c>
      <c r="B211" s="31">
        <v>4270.413</v>
      </c>
      <c r="C211" s="33">
        <v>3273</v>
      </c>
      <c r="D211" s="50">
        <v>586.07</v>
      </c>
      <c r="E211" s="49">
        <v>545.38</v>
      </c>
      <c r="F211" s="40">
        <v>35.415</v>
      </c>
      <c r="G211" s="49">
        <v>1296.45152</v>
      </c>
      <c r="H211" s="49">
        <v>0</v>
      </c>
      <c r="I211" s="49">
        <v>260.9</v>
      </c>
      <c r="J211" s="49"/>
      <c r="K211" s="49">
        <f>336.913+2965.146</f>
        <v>3302.059</v>
      </c>
      <c r="L211" s="33">
        <f t="shared" si="9"/>
        <v>13569.68852</v>
      </c>
      <c r="M211" s="9"/>
      <c r="N211" s="11"/>
    </row>
    <row r="212" spans="1:14" ht="15.75">
      <c r="A212" s="78">
        <v>42767</v>
      </c>
      <c r="B212" s="31">
        <v>3695.055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</v>
      </c>
      <c r="H212" s="49">
        <v>0</v>
      </c>
      <c r="I212" s="49">
        <v>248.8</v>
      </c>
      <c r="J212" s="49"/>
      <c r="K212" s="49">
        <f>324.647+2831.452</f>
        <v>3156.099</v>
      </c>
      <c r="L212" s="33">
        <f t="shared" si="9"/>
        <v>12497.911769999997</v>
      </c>
      <c r="M212" s="9"/>
      <c r="N212" s="11"/>
    </row>
    <row r="213" spans="1:14" ht="15.7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</v>
      </c>
      <c r="H213" s="49">
        <v>0</v>
      </c>
      <c r="I213" s="49">
        <v>269</v>
      </c>
      <c r="J213" s="49"/>
      <c r="K213" s="49">
        <f>396.811+3199.873</f>
        <v>3596.684</v>
      </c>
      <c r="L213" s="33">
        <f t="shared" si="9"/>
        <v>14361.965600000003</v>
      </c>
      <c r="M213" s="9"/>
      <c r="N213" s="11"/>
    </row>
    <row r="214" spans="1:14" ht="15.7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</v>
      </c>
      <c r="H214" s="49">
        <v>0</v>
      </c>
      <c r="I214" s="49">
        <v>215.8</v>
      </c>
      <c r="J214" s="49"/>
      <c r="K214" s="49">
        <f>150.302+2599.913</f>
        <v>2750.215</v>
      </c>
      <c r="L214" s="33">
        <f t="shared" si="9"/>
        <v>12916.587220000001</v>
      </c>
      <c r="M214" s="9"/>
      <c r="N214" s="11"/>
    </row>
    <row r="215" spans="1:14" ht="15.75">
      <c r="A215" s="78">
        <v>42856</v>
      </c>
      <c r="B215" s="31">
        <v>3042.753</v>
      </c>
      <c r="C215" s="33">
        <v>3861.6</v>
      </c>
      <c r="D215" s="50">
        <v>299.4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ht="15.75">
      <c r="A216" s="78">
        <v>42887</v>
      </c>
      <c r="B216" s="31">
        <v>2309.601</v>
      </c>
      <c r="C216" s="33">
        <v>3711</v>
      </c>
      <c r="D216" s="50">
        <v>253.5</v>
      </c>
      <c r="E216" s="49">
        <v>309.1</v>
      </c>
      <c r="F216" s="40">
        <v>73.26</v>
      </c>
      <c r="G216" s="49">
        <v>1483.90548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</v>
      </c>
      <c r="M216" s="9"/>
      <c r="N216" s="11"/>
    </row>
    <row r="217" spans="1:14" ht="15.75">
      <c r="A217" s="78">
        <v>42917</v>
      </c>
      <c r="B217" s="31">
        <v>1967.343</v>
      </c>
      <c r="C217" s="33">
        <v>3858.2</v>
      </c>
      <c r="D217" s="50">
        <v>351</v>
      </c>
      <c r="E217" s="49">
        <v>278.47</v>
      </c>
      <c r="F217" s="40">
        <v>67.575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ht="15.75">
      <c r="A218" s="78">
        <v>42948</v>
      </c>
      <c r="B218" s="31">
        <v>1938.846</v>
      </c>
      <c r="C218" s="33">
        <v>3952.4</v>
      </c>
      <c r="D218" s="50">
        <v>315.1</v>
      </c>
      <c r="E218" s="49">
        <v>245.34</v>
      </c>
      <c r="F218" s="40">
        <v>10.575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4952.749</v>
      </c>
      <c r="L218" s="33">
        <f t="shared" si="9"/>
        <v>12919.64432</v>
      </c>
      <c r="M218" s="105"/>
      <c r="N218" s="11"/>
    </row>
    <row r="219" spans="1:14" ht="15.75">
      <c r="A219" s="78">
        <v>42979</v>
      </c>
      <c r="B219" s="31">
        <v>1998.108</v>
      </c>
      <c r="C219" s="33">
        <v>2448.8</v>
      </c>
      <c r="D219" s="50">
        <v>238.2</v>
      </c>
      <c r="E219" s="49">
        <v>235.79</v>
      </c>
      <c r="F219" s="40">
        <v>0</v>
      </c>
      <c r="G219" s="49">
        <v>1241.3047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5"/>
      <c r="N219" s="11"/>
    </row>
    <row r="220" spans="1:14" ht="15.7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296.4</v>
      </c>
      <c r="F220" s="40">
        <v>5.505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5"/>
      <c r="N220" s="11"/>
    </row>
    <row r="221" spans="1:14" ht="15.75">
      <c r="A221" s="78">
        <v>43040</v>
      </c>
      <c r="B221" s="31">
        <v>3118.521</v>
      </c>
      <c r="C221" s="33">
        <v>1198.2</v>
      </c>
      <c r="D221" s="50">
        <v>445.4</v>
      </c>
      <c r="E221" s="49">
        <v>321.01</v>
      </c>
      <c r="F221" s="40">
        <v>29.415</v>
      </c>
      <c r="G221" s="49">
        <v>1284.156</v>
      </c>
      <c r="H221" s="49">
        <v>0</v>
      </c>
      <c r="I221" s="49">
        <v>152.7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5"/>
      <c r="N221" s="11"/>
    </row>
    <row r="222" spans="1:14" ht="15.7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</v>
      </c>
      <c r="M222" s="9"/>
      <c r="N222" s="11"/>
    </row>
    <row r="223" spans="1:13" ht="15.75">
      <c r="A223" s="78">
        <v>43101</v>
      </c>
      <c r="B223" s="31">
        <v>3892.875</v>
      </c>
      <c r="C223" s="33">
        <v>2488.2</v>
      </c>
      <c r="D223" s="31">
        <v>517.2</v>
      </c>
      <c r="E223" s="33">
        <v>489.96</v>
      </c>
      <c r="F223" s="31">
        <v>123.975</v>
      </c>
      <c r="G223" s="33">
        <v>1568.6436</v>
      </c>
      <c r="H223" s="33">
        <v>4.08</v>
      </c>
      <c r="I223" s="33">
        <v>151.9</v>
      </c>
      <c r="J223" s="49">
        <v>0</v>
      </c>
      <c r="K223" s="33">
        <v>9899.817</v>
      </c>
      <c r="L223" s="33">
        <f aca="true" t="shared" si="10" ref="L223:L230">SUM(B223:K223)</f>
        <v>19136.6506</v>
      </c>
      <c r="M223" s="11"/>
    </row>
    <row r="224" spans="1:13" ht="15.75">
      <c r="A224" s="78">
        <v>43132</v>
      </c>
      <c r="B224" s="31">
        <v>3802.092</v>
      </c>
      <c r="C224" s="33">
        <v>2462.4</v>
      </c>
      <c r="D224" s="31">
        <v>517.2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</v>
      </c>
      <c r="L224" s="33">
        <f t="shared" si="10"/>
        <v>16695.559699999998</v>
      </c>
      <c r="M224" s="11"/>
    </row>
    <row r="225" spans="1:13" ht="15.7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</v>
      </c>
      <c r="H225" s="33">
        <v>13.08</v>
      </c>
      <c r="I225" s="33">
        <v>286.5</v>
      </c>
      <c r="J225" s="49">
        <v>0</v>
      </c>
      <c r="K225" s="33">
        <v>8676.2165</v>
      </c>
      <c r="L225" s="33">
        <f t="shared" si="10"/>
        <v>19763.8867</v>
      </c>
      <c r="M225" s="11"/>
    </row>
    <row r="226" spans="1:13" ht="15.75">
      <c r="A226" s="78">
        <v>43191</v>
      </c>
      <c r="B226" s="31">
        <v>5586.063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</v>
      </c>
      <c r="H226" s="33">
        <v>15.6</v>
      </c>
      <c r="I226" s="33">
        <v>262</v>
      </c>
      <c r="J226" s="33">
        <v>66.7584</v>
      </c>
      <c r="K226" s="33">
        <v>7868.9895</v>
      </c>
      <c r="L226" s="33">
        <f t="shared" si="10"/>
        <v>19098.766020000003</v>
      </c>
      <c r="M226" s="11"/>
    </row>
    <row r="227" spans="1:13" ht="15.7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1091.84432</v>
      </c>
      <c r="H227" s="33">
        <v>41.16</v>
      </c>
      <c r="I227" s="33">
        <v>302.9</v>
      </c>
      <c r="J227" s="33">
        <v>7.4048</v>
      </c>
      <c r="K227" s="33">
        <v>3950.184</v>
      </c>
      <c r="L227" s="33">
        <f t="shared" si="10"/>
        <v>21380.73612</v>
      </c>
      <c r="M227" s="11"/>
    </row>
    <row r="228" spans="1:13" ht="15.75">
      <c r="A228" s="78">
        <v>43252</v>
      </c>
      <c r="B228" s="31">
        <v>3572.856</v>
      </c>
      <c r="C228" s="33">
        <v>5937</v>
      </c>
      <c r="D228" s="31">
        <v>324.9</v>
      </c>
      <c r="E228" s="33">
        <v>342.26</v>
      </c>
      <c r="F228" s="31">
        <v>65.085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</v>
      </c>
      <c r="L228" s="33">
        <f t="shared" si="10"/>
        <v>19335.12808</v>
      </c>
      <c r="M228" s="11"/>
    </row>
    <row r="229" spans="1:13" ht="15.7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58.815</v>
      </c>
      <c r="G229" s="33">
        <v>1036.06416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ht="15.7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68.865</v>
      </c>
      <c r="G230" s="33">
        <v>757.92416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2"/>
    </row>
    <row r="231" spans="1:13" ht="15.7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</v>
      </c>
      <c r="F231" s="31">
        <v>99.42</v>
      </c>
      <c r="G231" s="33">
        <v>1152.6352</v>
      </c>
      <c r="H231" s="33">
        <v>52.56</v>
      </c>
      <c r="I231" s="33">
        <v>234.6</v>
      </c>
      <c r="J231" s="33">
        <v>100.06</v>
      </c>
      <c r="K231" s="33">
        <v>9480.766</v>
      </c>
      <c r="L231" s="33">
        <v>19933.0292</v>
      </c>
      <c r="M231" s="112"/>
    </row>
    <row r="232" spans="1:13" ht="15.75">
      <c r="A232" s="78">
        <v>43374</v>
      </c>
      <c r="B232" s="31">
        <v>2952.537</v>
      </c>
      <c r="C232" s="33">
        <v>4602.8</v>
      </c>
      <c r="D232" s="31">
        <v>418.2</v>
      </c>
      <c r="E232" s="33">
        <v>303.96</v>
      </c>
      <c r="F232" s="31">
        <v>55.2</v>
      </c>
      <c r="G232" s="33">
        <v>1059.75656</v>
      </c>
      <c r="H232" s="33">
        <v>58.08</v>
      </c>
      <c r="I232" s="33">
        <v>259.4</v>
      </c>
      <c r="J232" s="33">
        <v>173.513</v>
      </c>
      <c r="K232" s="33">
        <v>10187.202</v>
      </c>
      <c r="L232" s="33">
        <v>20070.64856</v>
      </c>
      <c r="M232" s="112"/>
    </row>
    <row r="233" spans="1:13" ht="15.75">
      <c r="A233" s="78">
        <v>43405</v>
      </c>
      <c r="B233" s="31">
        <v>3529.596</v>
      </c>
      <c r="C233" s="33">
        <v>4410.9</v>
      </c>
      <c r="D233" s="31">
        <v>425.6</v>
      </c>
      <c r="E233" s="33">
        <v>323.12</v>
      </c>
      <c r="F233" s="31">
        <v>80.73</v>
      </c>
      <c r="G233" s="33">
        <v>1100.24464</v>
      </c>
      <c r="H233" s="33">
        <v>13.32</v>
      </c>
      <c r="I233" s="33">
        <v>284.6</v>
      </c>
      <c r="J233" s="33">
        <v>176.422</v>
      </c>
      <c r="K233" s="33">
        <v>8805.797</v>
      </c>
      <c r="L233" s="33">
        <v>19150.329640000004</v>
      </c>
      <c r="M233" s="112"/>
    </row>
    <row r="234" spans="1:13" ht="15.75">
      <c r="A234" s="78">
        <v>43435</v>
      </c>
      <c r="B234" s="31">
        <v>4591.272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1243.20104</v>
      </c>
      <c r="H234" s="31">
        <v>59.52</v>
      </c>
      <c r="I234" s="33">
        <v>143.6</v>
      </c>
      <c r="J234" s="33">
        <v>201.887</v>
      </c>
      <c r="K234" s="33">
        <v>7141.448</v>
      </c>
      <c r="L234" s="33">
        <v>19348.083040000005</v>
      </c>
      <c r="M234" s="112"/>
    </row>
    <row r="235" spans="1:13" ht="15.75">
      <c r="A235" s="78"/>
      <c r="B235" s="31"/>
      <c r="C235" s="33"/>
      <c r="D235" s="31"/>
      <c r="E235" s="33"/>
      <c r="F235" s="31"/>
      <c r="G235" s="33"/>
      <c r="H235" s="33"/>
      <c r="I235" s="33"/>
      <c r="J235" s="33"/>
      <c r="K235" s="33"/>
      <c r="L235" s="33"/>
      <c r="M235" s="112"/>
    </row>
    <row r="236" spans="1:13" ht="15.75">
      <c r="A236" s="78"/>
      <c r="B236" s="31"/>
      <c r="C236" s="33"/>
      <c r="D236" s="31"/>
      <c r="E236" s="33"/>
      <c r="F236" s="31"/>
      <c r="G236" s="33"/>
      <c r="H236" s="33"/>
      <c r="I236" s="33"/>
      <c r="J236" s="33"/>
      <c r="K236" s="33"/>
      <c r="L236" s="33"/>
      <c r="M236" s="112"/>
    </row>
    <row r="237" spans="1:13" ht="15.75">
      <c r="A237" s="78"/>
      <c r="B237" s="31"/>
      <c r="C237" s="33"/>
      <c r="D237" s="31"/>
      <c r="E237" s="33"/>
      <c r="F237" s="31"/>
      <c r="G237" s="33"/>
      <c r="H237" s="33"/>
      <c r="I237" s="33"/>
      <c r="J237" s="33"/>
      <c r="K237" s="33"/>
      <c r="L237" s="33"/>
      <c r="M237" s="112"/>
    </row>
    <row r="238" spans="1:13" ht="15.75">
      <c r="A238" s="104"/>
      <c r="B238" s="31"/>
      <c r="C238" s="33"/>
      <c r="D238" s="31"/>
      <c r="E238" s="33"/>
      <c r="F238" s="31"/>
      <c r="G238" s="33"/>
      <c r="H238" s="33"/>
      <c r="I238" s="33"/>
      <c r="J238" s="33"/>
      <c r="K238" s="33"/>
      <c r="L238" s="33"/>
      <c r="M238" s="11"/>
    </row>
    <row r="239" spans="1:12" ht="15.75">
      <c r="A239" s="34"/>
      <c r="B239" s="59"/>
      <c r="C239" s="60"/>
      <c r="D239" s="61"/>
      <c r="E239" s="62"/>
      <c r="F239" s="61"/>
      <c r="G239" s="63"/>
      <c r="H239" s="64"/>
      <c r="I239" s="64"/>
      <c r="J239" s="64"/>
      <c r="K239" s="64"/>
      <c r="L239" s="65"/>
    </row>
    <row r="240" spans="1:14" ht="15.75">
      <c r="A240" s="29"/>
      <c r="B240" s="66"/>
      <c r="C240" s="66"/>
      <c r="D240" s="66"/>
      <c r="E240" s="66"/>
      <c r="F240" s="67"/>
      <c r="G240" s="66"/>
      <c r="H240" s="66"/>
      <c r="I240" s="66"/>
      <c r="J240" s="66"/>
      <c r="K240" s="66"/>
      <c r="L240" s="73"/>
      <c r="N240" s="11"/>
    </row>
    <row r="241" spans="1:14" ht="15.75">
      <c r="A241" s="77" t="s">
        <v>12</v>
      </c>
      <c r="B241" s="24"/>
      <c r="C241" s="24"/>
      <c r="D241" s="24"/>
      <c r="E241" s="24"/>
      <c r="F241" s="24"/>
      <c r="G241" s="68"/>
      <c r="H241" s="68"/>
      <c r="I241" s="68"/>
      <c r="J241" s="68"/>
      <c r="K241" s="68"/>
      <c r="L241" s="25"/>
      <c r="M241" s="14"/>
      <c r="N241" s="11"/>
    </row>
    <row r="242" spans="1:14" ht="15.75">
      <c r="A242" s="26"/>
      <c r="B242" s="27"/>
      <c r="C242" s="27"/>
      <c r="D242" s="69"/>
      <c r="E242" s="70"/>
      <c r="F242" s="69"/>
      <c r="G242" s="69"/>
      <c r="H242" s="69"/>
      <c r="I242" s="69"/>
      <c r="J242" s="69"/>
      <c r="K242" s="69"/>
      <c r="L242" s="71"/>
      <c r="N242" s="14"/>
    </row>
    <row r="243" spans="5:12" ht="15.75">
      <c r="E243" s="3"/>
      <c r="L243" s="2"/>
    </row>
    <row r="244" spans="2:14" ht="15.75">
      <c r="B244" s="15"/>
      <c r="C244" s="11"/>
      <c r="D244" s="11"/>
      <c r="E244" s="15"/>
      <c r="F244" s="15"/>
      <c r="G244" s="15"/>
      <c r="H244" s="15"/>
      <c r="I244" s="15"/>
      <c r="J244" s="15"/>
      <c r="K244" s="15"/>
      <c r="N244" s="14"/>
    </row>
    <row r="245" spans="2:11" ht="15.75">
      <c r="B245" s="15"/>
      <c r="C245" s="11"/>
      <c r="D245" s="11"/>
      <c r="E245" s="16"/>
      <c r="F245" s="11"/>
      <c r="G245" s="15"/>
      <c r="H245" s="15"/>
      <c r="I245" s="15"/>
      <c r="J245" s="15"/>
      <c r="K245" s="15"/>
    </row>
    <row r="246" spans="4:12" ht="15.75">
      <c r="D246" s="76"/>
      <c r="E246" s="3"/>
      <c r="F246" s="14"/>
      <c r="G246" s="9"/>
      <c r="H246" s="11"/>
      <c r="I246" s="11"/>
      <c r="J246" s="11"/>
      <c r="K246" s="11"/>
      <c r="L246" s="3"/>
    </row>
    <row r="247" spans="3:12" ht="15.75">
      <c r="C247" s="10"/>
      <c r="D247" s="76"/>
      <c r="E247" s="3"/>
      <c r="F247" s="15"/>
      <c r="G247" s="10"/>
      <c r="L247" s="13"/>
    </row>
    <row r="248" spans="3:12" ht="15.75">
      <c r="C248" s="7"/>
      <c r="D248" s="7"/>
      <c r="E248" s="20"/>
      <c r="F248" s="7"/>
      <c r="G248" s="17"/>
      <c r="H248" s="12"/>
      <c r="I248" s="12"/>
      <c r="J248" s="12"/>
      <c r="K248" s="12"/>
      <c r="L248" s="20"/>
    </row>
    <row r="249" spans="3:12" ht="15.75">
      <c r="C249" s="7"/>
      <c r="D249" s="7"/>
      <c r="E249" s="21"/>
      <c r="F249" s="7"/>
      <c r="G249" s="7"/>
      <c r="H249" s="7"/>
      <c r="I249" s="7"/>
      <c r="J249" s="7"/>
      <c r="K249" s="75"/>
      <c r="L249" s="74"/>
    </row>
    <row r="250" spans="3:12" ht="15.75">
      <c r="C250" s="23"/>
      <c r="D250" s="7"/>
      <c r="E250" s="20"/>
      <c r="F250" s="7"/>
      <c r="G250" s="7"/>
      <c r="H250" s="7"/>
      <c r="I250" s="7"/>
      <c r="J250" s="7"/>
      <c r="K250" s="7"/>
      <c r="L250" s="22"/>
    </row>
    <row r="251" spans="3:12" ht="15.75"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3:12" ht="15.75"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3:12" ht="15.75"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5" spans="3:4" ht="15.75">
      <c r="C255" s="19"/>
      <c r="D255" s="11"/>
    </row>
    <row r="256" ht="15.75">
      <c r="C256" s="11"/>
    </row>
  </sheetData>
  <sheetProtection/>
  <mergeCells count="2">
    <mergeCell ref="A4:L4"/>
    <mergeCell ref="A5:L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02"/>
  <sheetViews>
    <sheetView zoomScalePageLayoutView="0" workbookViewId="0" topLeftCell="A1">
      <pane xSplit="1" ySplit="6" topLeftCell="D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9" sqref="M89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36</v>
      </c>
    </row>
    <row r="4" spans="1:12" ht="15.75">
      <c r="A4" s="115" t="s">
        <v>62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ht="15.7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2" ht="15.7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>
        <f>SUM(Monthly_Data!K7:K9)</f>
        <v>0</v>
      </c>
      <c r="L7" s="35">
        <f>SUM(Monthly_Data!L7:L9)</f>
        <v>27999</v>
      </c>
    </row>
    <row r="8" spans="1:12" ht="15.7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>
        <f>SUM(Monthly_Data!K10:K12)</f>
        <v>0</v>
      </c>
      <c r="L8" s="35">
        <f>SUM(Monthly_Data!L10:L12)</f>
        <v>33394</v>
      </c>
    </row>
    <row r="9" spans="1:12" ht="15.7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89.31700000000001</v>
      </c>
      <c r="G9" s="35">
        <f>SUM(Monthly_Data!G13:G15)</f>
        <v>924.1960000000001</v>
      </c>
      <c r="H9" s="35">
        <f>SUM(Monthly_Data!H13:H15)</f>
        <v>132.268</v>
      </c>
      <c r="I9" s="35">
        <f>SUM(Monthly_Data!I13:I15)</f>
        <v>0</v>
      </c>
      <c r="J9" s="35"/>
      <c r="K9" s="35">
        <f>SUM(Monthly_Data!K13:K15)</f>
        <v>0</v>
      </c>
      <c r="L9" s="35">
        <f>SUM(Monthly_Data!L13:L15)</f>
        <v>28684.3015</v>
      </c>
    </row>
    <row r="10" spans="1:12" ht="15.7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>
        <f>SUM(Monthly_Data!K16:K18)</f>
        <v>0</v>
      </c>
      <c r="L10" s="35">
        <f>SUM(Monthly_Data!L16:L18)</f>
        <v>23259.792</v>
      </c>
    </row>
    <row r="11" spans="1:12" ht="15.75">
      <c r="A11" s="78">
        <v>36951</v>
      </c>
      <c r="B11" s="35">
        <f>SUM(Monthly_Data!B19:B21)</f>
        <v>6682.088</v>
      </c>
      <c r="C11" s="35">
        <f>SUM(Monthly_Data!C19:C21)</f>
        <v>12495.5</v>
      </c>
      <c r="D11" s="35">
        <f>SUM(Monthly_Data!D19:D21)</f>
        <v>825.9449999999999</v>
      </c>
      <c r="E11" s="35">
        <f>SUM(Monthly_Data!E19:E21)</f>
        <v>400.744</v>
      </c>
      <c r="F11" s="35">
        <f>SUM(Monthly_Data!F19:F21)</f>
        <v>318.485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>
        <f>SUM(Monthly_Data!K19:K21)</f>
        <v>0</v>
      </c>
      <c r="L11" s="35">
        <f>SUM(Monthly_Data!L19:L21)</f>
        <v>22534.334000000003</v>
      </c>
    </row>
    <row r="12" spans="1:12" ht="15.7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>
        <f>SUM(Monthly_Data!K22:K24)</f>
        <v>0</v>
      </c>
      <c r="L12" s="35">
        <f>SUM(Monthly_Data!L22:L24)</f>
        <v>30917</v>
      </c>
    </row>
    <row r="13" spans="1:12" ht="15.7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</v>
      </c>
      <c r="I13" s="35">
        <f>SUM(Monthly_Data!I25:I27)</f>
        <v>0</v>
      </c>
      <c r="J13" s="35"/>
      <c r="K13" s="35">
        <f>SUM(Monthly_Data!K25:K27)</f>
        <v>0</v>
      </c>
      <c r="L13" s="35">
        <f>SUM(Monthly_Data!L25:L27)</f>
        <v>27265.153</v>
      </c>
    </row>
    <row r="14" spans="1:12" ht="15.7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</v>
      </c>
      <c r="E14" s="35">
        <f>SUM(Monthly_Data!E28:E30)</f>
        <v>284.841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</v>
      </c>
      <c r="I14" s="35">
        <f>SUM(Monthly_Data!I28:I30)</f>
        <v>0</v>
      </c>
      <c r="J14" s="35"/>
      <c r="K14" s="35">
        <f>SUM(Monthly_Data!K28:K30)</f>
        <v>0</v>
      </c>
      <c r="L14" s="35">
        <f>SUM(Monthly_Data!L28:L30)</f>
        <v>33832.221999999994</v>
      </c>
    </row>
    <row r="15" spans="1:12" ht="15.75">
      <c r="A15" s="78">
        <v>37316</v>
      </c>
      <c r="B15" s="35">
        <f>SUM(Monthly_Data!B31:B33)</f>
        <v>15402.259999999998</v>
      </c>
      <c r="C15" s="35">
        <f>SUM(Monthly_Data!C31:C33)</f>
        <v>18635.6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1630.783</v>
      </c>
      <c r="H15" s="35">
        <f>SUM(Monthly_Data!H31:H33)</f>
        <v>202.496</v>
      </c>
      <c r="I15" s="35">
        <f>SUM(Monthly_Data!I31:I33)</f>
        <v>0</v>
      </c>
      <c r="J15" s="35"/>
      <c r="K15" s="35">
        <f>SUM(Monthly_Data!K31:K33)</f>
        <v>0</v>
      </c>
      <c r="L15" s="35">
        <f>SUM(Monthly_Data!L31:L33)</f>
        <v>37407.027</v>
      </c>
    </row>
    <row r="16" spans="1:12" ht="15.75">
      <c r="A16" s="78">
        <v>37408</v>
      </c>
      <c r="B16" s="37">
        <f>SUM(Monthly_Data!B34:B36)</f>
        <v>11065.428</v>
      </c>
      <c r="C16" s="37">
        <f>SUM(Monthly_Data!C34:C36)</f>
        <v>20954.332</v>
      </c>
      <c r="D16" s="37">
        <f>SUM(Monthly_Data!D34:D36)</f>
        <v>879.875</v>
      </c>
      <c r="E16" s="37">
        <f>SUM(Monthly_Data!E34:E36)</f>
        <v>299.937</v>
      </c>
      <c r="F16" s="37">
        <f>SUM(Monthly_Data!F34:F36)</f>
        <v>437.765</v>
      </c>
      <c r="G16" s="37">
        <f>SUM(Monthly_Data!G34:G36)</f>
        <v>1281.159</v>
      </c>
      <c r="H16" s="37">
        <f>SUM(Monthly_Data!H34:H36)</f>
        <v>245.904</v>
      </c>
      <c r="I16" s="37">
        <f>SUM(Monthly_Data!I34:I36)</f>
        <v>0</v>
      </c>
      <c r="J16" s="37"/>
      <c r="K16" s="37">
        <f>SUM(Monthly_Data!K34:K36)</f>
        <v>0</v>
      </c>
      <c r="L16" s="37">
        <f>SUM(Monthly_Data!L34:L36)</f>
        <v>35164.399999999994</v>
      </c>
    </row>
    <row r="17" spans="1:12" ht="15.75">
      <c r="A17" s="78">
        <v>37500</v>
      </c>
      <c r="B17" s="37">
        <f>SUM(Monthly_Data!B34:B36)</f>
        <v>11065.428</v>
      </c>
      <c r="C17" s="37">
        <f>SUM(Monthly_Data!C34:C36)</f>
        <v>20954.332</v>
      </c>
      <c r="D17" s="37">
        <f>SUM(Monthly_Data!D34:D36)</f>
        <v>879.875</v>
      </c>
      <c r="E17" s="37">
        <f>SUM(Monthly_Data!E34:E36)</f>
        <v>299.937</v>
      </c>
      <c r="F17" s="37">
        <f>SUM(Monthly_Data!F34:F36)</f>
        <v>437.765</v>
      </c>
      <c r="G17" s="37">
        <f>SUM(Monthly_Data!G34:G36)</f>
        <v>1281.159</v>
      </c>
      <c r="H17" s="37">
        <f>SUM(Monthly_Data!H34:H36)</f>
        <v>245.904</v>
      </c>
      <c r="I17" s="37">
        <f>SUM(Monthly_Data!I34:I36)</f>
        <v>0</v>
      </c>
      <c r="J17" s="37"/>
      <c r="K17" s="37">
        <f>SUM(Monthly_Data!K34:K36)</f>
        <v>0</v>
      </c>
      <c r="L17" s="37">
        <f>SUM(Monthly_Data!L34:L36)</f>
        <v>35164.399999999994</v>
      </c>
    </row>
    <row r="18" spans="1:12" ht="15.75">
      <c r="A18" s="78">
        <v>37591</v>
      </c>
      <c r="B18" s="37">
        <f>SUM(Monthly_Data!B40:B42)</f>
        <v>10467.432</v>
      </c>
      <c r="C18" s="37">
        <f>SUM(Monthly_Data!C40:C42)</f>
        <v>13047.999999999998</v>
      </c>
      <c r="D18" s="37">
        <f>SUM(Monthly_Data!D40:D42)</f>
        <v>997.962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>
        <f>SUM(Monthly_Data!K40:K42)</f>
        <v>0</v>
      </c>
      <c r="L18" s="37">
        <f>SUM(Monthly_Data!L40:L42)</f>
        <v>26659.782</v>
      </c>
    </row>
    <row r="19" spans="1:12" ht="15.7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533.3050000000001</v>
      </c>
      <c r="G19" s="35">
        <f>SUM(Monthly_Data!G43:G45)</f>
        <v>1125.082</v>
      </c>
      <c r="H19" s="35">
        <f>SUM(Monthly_Data!H43:H45)</f>
        <v>290.716</v>
      </c>
      <c r="I19" s="35">
        <f>SUM(Monthly_Data!I43:I45)</f>
        <v>0</v>
      </c>
      <c r="J19" s="35"/>
      <c r="K19" s="35">
        <f>SUM(Monthly_Data!K43:K45)</f>
        <v>0</v>
      </c>
      <c r="L19" s="35">
        <f>SUM(Monthly_Data!L43:L45)</f>
        <v>28354.798499999997</v>
      </c>
    </row>
    <row r="20" spans="1:12" ht="15.7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>
        <f>SUM(Monthly_Data!K46:K48)</f>
        <v>0</v>
      </c>
      <c r="L20" s="37">
        <f>SUM(Monthly_Data!L46:L48)</f>
        <v>25901</v>
      </c>
    </row>
    <row r="21" spans="1:12" ht="15.7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>
        <f>SUM(Monthly_Data!K49:K51)</f>
        <v>0</v>
      </c>
      <c r="L21" s="37">
        <f>SUM(Monthly_Data!L49:L51)</f>
        <v>23244.65</v>
      </c>
    </row>
    <row r="22" spans="1:12" ht="15.7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>
        <f>SUM(Monthly_Data!K52:K54)</f>
        <v>0</v>
      </c>
      <c r="L22" s="37">
        <f>SUM(Monthly_Data!L52:L54)</f>
        <v>23971</v>
      </c>
    </row>
    <row r="23" spans="1:12" ht="15.7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</v>
      </c>
      <c r="F23" s="35">
        <f>SUM(Monthly_Data!F55:F57)</f>
        <v>384.321</v>
      </c>
      <c r="G23" s="35">
        <f>SUM(Monthly_Data!G55:G57)</f>
        <v>1066.72</v>
      </c>
      <c r="H23" s="35">
        <f>SUM(Monthly_Data!H55:H57)</f>
        <v>182.748</v>
      </c>
      <c r="I23" s="35">
        <f>SUM(Monthly_Data!I55:I57)</f>
        <v>0</v>
      </c>
      <c r="J23" s="35"/>
      <c r="K23" s="35">
        <f>SUM(Monthly_Data!K55:K57)</f>
        <v>0</v>
      </c>
      <c r="L23" s="35">
        <f>SUM(Monthly_Data!L55:L57)</f>
        <v>23357.8455</v>
      </c>
    </row>
    <row r="24" spans="1:12" ht="15.7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</v>
      </c>
      <c r="F24" s="37">
        <f>SUM(Monthly_Data!F58:F60)</f>
        <v>534.725</v>
      </c>
      <c r="G24" s="37">
        <f>SUM(Monthly_Data!G58:G60)</f>
        <v>1167.541</v>
      </c>
      <c r="H24" s="37">
        <f>SUM(Monthly_Data!H58:H60)</f>
        <v>299.86</v>
      </c>
      <c r="I24" s="37">
        <f>SUM(Monthly_Data!I58:I60)</f>
        <v>0</v>
      </c>
      <c r="J24" s="37"/>
      <c r="K24" s="37">
        <f>SUM(Monthly_Data!K58:K60)</f>
        <v>0</v>
      </c>
      <c r="L24" s="37">
        <f>SUM(Monthly_Data!L58:L60)</f>
        <v>25401.794</v>
      </c>
    </row>
    <row r="25" spans="1:12" ht="15.7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</v>
      </c>
      <c r="E25" s="37">
        <f>SUM(Monthly_Data!E61:E63)</f>
        <v>218.2605</v>
      </c>
      <c r="F25" s="37">
        <f>SUM(Monthly_Data!F61:F63)</f>
        <v>305.94</v>
      </c>
      <c r="G25" s="37">
        <f>SUM(Monthly_Data!G61:G63)</f>
        <v>642.3389999999999</v>
      </c>
      <c r="H25" s="37">
        <f>SUM(Monthly_Data!H61:H63)</f>
        <v>227.388</v>
      </c>
      <c r="I25" s="37">
        <f>SUM(Monthly_Data!I61:I63)</f>
        <v>0</v>
      </c>
      <c r="J25" s="37"/>
      <c r="K25" s="37">
        <f>SUM(Monthly_Data!K61:K63)</f>
        <v>0</v>
      </c>
      <c r="L25" s="37">
        <f>SUM(Monthly_Data!L61:L63)</f>
        <v>21264.6035</v>
      </c>
    </row>
    <row r="26" spans="1:12" ht="15.75">
      <c r="A26" s="78">
        <v>38322</v>
      </c>
      <c r="B26" s="37">
        <f>SUM(Monthly_Data!B64:B66)</f>
        <v>9886.176</v>
      </c>
      <c r="C26" s="37">
        <f>SUM(Monthly_Data!C64:C66)</f>
        <v>9662</v>
      </c>
      <c r="D26" s="37">
        <f>SUM(Monthly_Data!D64:D66)</f>
        <v>690.886</v>
      </c>
      <c r="E26" s="37">
        <f>SUM(Monthly_Data!E64:E66)</f>
        <v>235.14249999999998</v>
      </c>
      <c r="F26" s="37">
        <f>SUM(Monthly_Data!F64:F66)</f>
        <v>98.133</v>
      </c>
      <c r="G26" s="37">
        <f>SUM(Monthly_Data!G64:G66)</f>
        <v>969.2330000000001</v>
      </c>
      <c r="H26" s="37">
        <f>SUM(Monthly_Data!H64:H66)</f>
        <v>12.067</v>
      </c>
      <c r="I26" s="37">
        <f>SUM(Monthly_Data!I64:I66)</f>
        <v>0</v>
      </c>
      <c r="J26" s="37"/>
      <c r="K26" s="37">
        <f>SUM(Monthly_Data!K64:K66)</f>
        <v>0</v>
      </c>
      <c r="L26" s="37">
        <f>SUM(Monthly_Data!L64:L66)</f>
        <v>21553.6375</v>
      </c>
    </row>
    <row r="27" spans="1:12" ht="15.7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</v>
      </c>
      <c r="E27" s="35">
        <f>SUM(Monthly_Data!E67:E69)</f>
        <v>271.478</v>
      </c>
      <c r="F27" s="35">
        <f>SUM(Monthly_Data!F67:F69)</f>
        <v>317.26</v>
      </c>
      <c r="G27" s="35">
        <f>SUM(Monthly_Data!G67:G69)</f>
        <v>889.8629999999999</v>
      </c>
      <c r="H27" s="35">
        <f>SUM(Monthly_Data!H67:H69)</f>
        <v>83.424</v>
      </c>
      <c r="I27" s="35">
        <f>SUM(Monthly_Data!I67:I69)</f>
        <v>0</v>
      </c>
      <c r="J27" s="35"/>
      <c r="K27" s="35">
        <f>SUM(Monthly_Data!K67:K69)</f>
        <v>0</v>
      </c>
      <c r="L27" s="35">
        <f>SUM(Monthly_Data!L67:L69)</f>
        <v>27046.607</v>
      </c>
    </row>
    <row r="28" spans="1:12" ht="15.7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</v>
      </c>
      <c r="F28" s="37">
        <f>SUM(Monthly_Data!F70:F72)</f>
        <v>480.96000000000004</v>
      </c>
      <c r="G28" s="37">
        <f>SUM(Monthly_Data!G70:G72)</f>
        <v>889.3109999999999</v>
      </c>
      <c r="H28" s="37">
        <f>SUM(Monthly_Data!H70:H72)</f>
        <v>148.416</v>
      </c>
      <c r="I28" s="37">
        <f>SUM(Monthly_Data!I70:I72)</f>
        <v>0</v>
      </c>
      <c r="J28" s="37"/>
      <c r="K28" s="37">
        <f>SUM(Monthly_Data!K70:K72)</f>
        <v>0</v>
      </c>
      <c r="L28" s="37">
        <f>SUM(Monthly_Data!L70:L72)</f>
        <v>27507.0965</v>
      </c>
    </row>
    <row r="29" spans="1:12" ht="15.75">
      <c r="A29" s="78">
        <v>38596</v>
      </c>
      <c r="B29" s="37">
        <f>SUM(Monthly_Data!B73:B75)</f>
        <v>7555.352000000001</v>
      </c>
      <c r="C29" s="37">
        <f>SUM(Monthly_Data!C73:C75)</f>
        <v>13270.7</v>
      </c>
      <c r="D29" s="37">
        <f>SUM(Monthly_Data!D73:D75)</f>
        <v>543.3299999999999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</v>
      </c>
      <c r="H29" s="37">
        <f>SUM(Monthly_Data!H73:H75)</f>
        <v>165.95399999999998</v>
      </c>
      <c r="I29" s="37">
        <f>SUM(Monthly_Data!I73:I75)</f>
        <v>0</v>
      </c>
      <c r="J29" s="37"/>
      <c r="K29" s="37">
        <f>SUM(Monthly_Data!K73:K75)</f>
        <v>0</v>
      </c>
      <c r="L29" s="37">
        <f>SUM(Monthly_Data!L73:L75)</f>
        <v>22844.3175</v>
      </c>
    </row>
    <row r="30" spans="1:12" ht="15.75">
      <c r="A30" s="78">
        <v>38687</v>
      </c>
      <c r="B30" s="37">
        <f>SUM(Monthly_Data!B76:B78)</f>
        <v>9184.716</v>
      </c>
      <c r="C30" s="37">
        <f>SUM(Monthly_Data!C76:C78)</f>
        <v>11737.8</v>
      </c>
      <c r="D30" s="37">
        <f>SUM(Monthly_Data!D76:D78)</f>
        <v>623.085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799.108</v>
      </c>
      <c r="H30" s="37">
        <f>SUM(Monthly_Data!H76:H78)</f>
        <v>233.05200000000002</v>
      </c>
      <c r="I30" s="37">
        <f>SUM(Monthly_Data!I76:I78)</f>
        <v>0</v>
      </c>
      <c r="J30" s="37"/>
      <c r="K30" s="37">
        <f>SUM(Monthly_Data!K76:K78)</f>
        <v>0</v>
      </c>
      <c r="L30" s="37">
        <f>SUM(Monthly_Data!L76:L78)</f>
        <v>22868.6175</v>
      </c>
    </row>
    <row r="31" spans="1:12" ht="15.7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172.409</v>
      </c>
      <c r="G31" s="35">
        <f>SUM(Monthly_Data!G79:G81)</f>
        <v>754.102</v>
      </c>
      <c r="H31" s="35">
        <f>SUM(Monthly_Data!H79:H81)</f>
        <v>222.112</v>
      </c>
      <c r="I31" s="35">
        <f>SUM(Monthly_Data!I79:I81)</f>
        <v>0</v>
      </c>
      <c r="J31" s="35"/>
      <c r="K31" s="35">
        <f>SUM(Monthly_Data!K79:K81)</f>
        <v>0</v>
      </c>
      <c r="L31" s="35">
        <f>SUM(Monthly_Data!L79:L81)</f>
        <v>20638.855</v>
      </c>
    </row>
    <row r="32" spans="1:12" ht="15.7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</v>
      </c>
      <c r="G32" s="37">
        <f>SUM(Monthly_Data!G82:G84)</f>
        <v>1100.416</v>
      </c>
      <c r="H32" s="37">
        <f>SUM(Monthly_Data!H82:H84)</f>
        <v>252.5</v>
      </c>
      <c r="I32" s="37">
        <f>SUM(Monthly_Data!I82:I84)</f>
        <v>0</v>
      </c>
      <c r="J32" s="37"/>
      <c r="K32" s="37">
        <f>SUM(Monthly_Data!K82:K84)</f>
        <v>0</v>
      </c>
      <c r="L32" s="37">
        <f>SUM(Monthly_Data!L82:L84)</f>
        <v>25036.042999999998</v>
      </c>
    </row>
    <row r="33" spans="1:12" ht="15.7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108.945</v>
      </c>
      <c r="G33" s="37">
        <f>SUM(Monthly_Data!G85:G87)</f>
        <v>1142.171</v>
      </c>
      <c r="H33" s="37">
        <f>SUM(Monthly_Data!H85:H87)</f>
        <v>250.092</v>
      </c>
      <c r="I33" s="37">
        <f>SUM(Monthly_Data!I85:I87)</f>
        <v>0</v>
      </c>
      <c r="J33" s="37"/>
      <c r="K33" s="37">
        <f>SUM(Monthly_Data!K85:K87)</f>
        <v>0</v>
      </c>
      <c r="L33" s="37">
        <f>SUM(Monthly_Data!L85:L87)</f>
        <v>21547.252</v>
      </c>
    </row>
    <row r="34" spans="1:12" ht="15.7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207.0904</v>
      </c>
      <c r="G34" s="37">
        <f>SUM(Monthly_Data!G88:G90)</f>
        <v>1481.9669999999999</v>
      </c>
      <c r="H34" s="37">
        <f>SUM(Monthly_Data!H88:H90)</f>
        <v>256.764</v>
      </c>
      <c r="I34" s="37">
        <f>SUM(Monthly_Data!I88:I90)</f>
        <v>0</v>
      </c>
      <c r="J34" s="37"/>
      <c r="K34" s="37">
        <f>SUM(Monthly_Data!K88:K90)</f>
        <v>0</v>
      </c>
      <c r="L34" s="37">
        <f>SUM(Monthly_Data!L88:L90)</f>
        <v>26113.9934</v>
      </c>
    </row>
    <row r="35" spans="1:12" ht="15.75">
      <c r="A35" s="78">
        <v>39142</v>
      </c>
      <c r="B35" s="35">
        <f>SUM(Monthly_Data!B91:B93)</f>
        <v>14832.467999999999</v>
      </c>
      <c r="C35" s="35">
        <f>SUM(Monthly_Data!C91:C93)</f>
        <v>19994.6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487.5450000000001</v>
      </c>
      <c r="G35" s="35">
        <f>SUM(Monthly_Data!G91:G93)</f>
        <v>869.361</v>
      </c>
      <c r="H35" s="35">
        <f>SUM(Monthly_Data!H91:H93)</f>
        <v>257.524</v>
      </c>
      <c r="I35" s="35">
        <f>SUM(Monthly_Data!I91:I93)</f>
        <v>0</v>
      </c>
      <c r="J35" s="35"/>
      <c r="K35" s="35">
        <f>SUM(Monthly_Data!K91:K93)</f>
        <v>0</v>
      </c>
      <c r="L35" s="35">
        <f>SUM(Monthly_Data!L91:L93)</f>
        <v>36441.498</v>
      </c>
    </row>
    <row r="36" spans="1:12" ht="15.7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>
        <f>SUM(Monthly_Data!K94:K96)</f>
        <v>0</v>
      </c>
      <c r="L36" s="37">
        <f>SUM(Monthly_Data!L94:L96)</f>
        <v>29948.114200000004</v>
      </c>
    </row>
    <row r="37" spans="1:12" ht="15.7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1156.1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</v>
      </c>
      <c r="H37" s="37">
        <f>SUM(Monthly_Data!H97:H99)</f>
        <v>73.424</v>
      </c>
      <c r="I37" s="37">
        <f>SUM(Monthly_Data!I97:I99)</f>
        <v>0</v>
      </c>
      <c r="J37" s="37"/>
      <c r="K37" s="37">
        <f>SUM(Monthly_Data!K97:K99)</f>
        <v>0</v>
      </c>
      <c r="L37" s="37">
        <f>SUM(Monthly_Data!L97:L99)</f>
        <v>28352.396</v>
      </c>
    </row>
    <row r="38" spans="1:12" ht="15.75">
      <c r="A38" s="78">
        <v>39417</v>
      </c>
      <c r="B38" s="37">
        <f>SUM(Monthly_Data!B100:B102)</f>
        <v>9136.332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>
        <f>SUM(Monthly_Data!K100:K102)</f>
        <v>0</v>
      </c>
      <c r="L38" s="37">
        <f>SUM(Monthly_Data!L100:L102)</f>
        <v>22716.423000000003</v>
      </c>
    </row>
    <row r="39" spans="1:12" ht="15.75">
      <c r="A39" s="78">
        <v>39508</v>
      </c>
      <c r="B39" s="35">
        <f>SUM(Monthly_Data!B103:B105)</f>
        <v>12851.532</v>
      </c>
      <c r="C39" s="35">
        <f>SUM(Monthly_Data!C103:C105)</f>
        <v>7360.523999999999</v>
      </c>
      <c r="D39" s="35">
        <f>SUM(Monthly_Data!D103:D105)</f>
        <v>1387.656</v>
      </c>
      <c r="E39" s="35">
        <f>SUM(Monthly_Data!E103:E105)</f>
        <v>1368.48</v>
      </c>
      <c r="F39" s="35">
        <f>SUM(Monthly_Data!F103:F105)</f>
        <v>376.703</v>
      </c>
      <c r="G39" s="35">
        <f>SUM(Monthly_Data!G103:G105)</f>
        <v>791.876</v>
      </c>
      <c r="H39" s="35">
        <f>SUM(Monthly_Data!H103:H105)</f>
        <v>125.66799999999999</v>
      </c>
      <c r="I39" s="35">
        <f>SUM(Monthly_Data!I103:I105)</f>
        <v>0</v>
      </c>
      <c r="J39" s="35"/>
      <c r="K39" s="35">
        <f>SUM(Monthly_Data!K103:K105)</f>
        <v>0</v>
      </c>
      <c r="L39" s="35">
        <f>SUM(Monthly_Data!L103:L105)</f>
        <v>24262.439</v>
      </c>
    </row>
    <row r="40" spans="1:12" ht="15.75">
      <c r="A40" s="78">
        <v>39600</v>
      </c>
      <c r="B40" s="37">
        <f>SUM(Monthly_Data!B106:B108)</f>
        <v>11587.996</v>
      </c>
      <c r="C40" s="37">
        <f>SUM(Monthly_Data!C106:C108)</f>
        <v>13030</v>
      </c>
      <c r="D40" s="37">
        <f>SUM(Monthly_Data!D106:D108)</f>
        <v>703.6899999999999</v>
      </c>
      <c r="E40" s="37">
        <f>SUM(Monthly_Data!E106:E108)</f>
        <v>1053.4</v>
      </c>
      <c r="F40" s="37">
        <f>SUM(Monthly_Data!F106:F108)</f>
        <v>362.409</v>
      </c>
      <c r="G40" s="37">
        <f>SUM(Monthly_Data!G106:G108)</f>
        <v>989.6680000000001</v>
      </c>
      <c r="H40" s="37">
        <f>SUM(Monthly_Data!H106:H108)</f>
        <v>260.01</v>
      </c>
      <c r="I40" s="37">
        <f>SUM(Monthly_Data!I106:I108)</f>
        <v>0</v>
      </c>
      <c r="J40" s="37"/>
      <c r="K40" s="37">
        <f>SUM(Monthly_Data!K106:K108)</f>
        <v>0</v>
      </c>
      <c r="L40" s="37">
        <f>SUM(Monthly_Data!L106:L108)</f>
        <v>27987.173</v>
      </c>
    </row>
    <row r="41" spans="1:12" ht="15.75">
      <c r="A41" s="78">
        <v>39692</v>
      </c>
      <c r="B41" s="37">
        <f>SUM(Monthly_Data!B109:B111)</f>
        <v>7733.052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>
        <f>SUM(Monthly_Data!K109:K111)</f>
        <v>0</v>
      </c>
      <c r="L41" s="37">
        <f>SUM(Monthly_Data!L109:L111)</f>
        <v>30151.207000000002</v>
      </c>
    </row>
    <row r="42" spans="1:12" ht="15.7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</v>
      </c>
      <c r="H42" s="37">
        <f>SUM(Monthly_Data!H112:H114)</f>
        <v>241.07999999999998</v>
      </c>
      <c r="I42" s="37">
        <f>SUM(Monthly_Data!I112:I114)</f>
        <v>0</v>
      </c>
      <c r="J42" s="37"/>
      <c r="K42" s="37">
        <f>SUM(Monthly_Data!K112:K114)</f>
        <v>0</v>
      </c>
      <c r="L42" s="37">
        <f>SUM(Monthly_Data!L112:L114)</f>
        <v>29388.520999999997</v>
      </c>
    </row>
    <row r="43" spans="1:12" ht="15.7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1279.37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</v>
      </c>
      <c r="H43" s="35">
        <f>SUM(Monthly_Data!H115:H117)</f>
        <v>240.936</v>
      </c>
      <c r="I43" s="35">
        <f>SUM(Monthly_Data!I115:I117)</f>
        <v>0</v>
      </c>
      <c r="J43" s="35"/>
      <c r="K43" s="35">
        <f>SUM(Monthly_Data!K115:K117)</f>
        <v>0</v>
      </c>
      <c r="L43" s="35">
        <f>SUM(Monthly_Data!L115:L117)</f>
        <v>28126.957000000002</v>
      </c>
    </row>
    <row r="44" spans="1:12" ht="15.75">
      <c r="A44" s="78">
        <v>39965</v>
      </c>
      <c r="B44" s="37">
        <f>SUM(Monthly_Data!B118:B120)</f>
        <v>13549.878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</v>
      </c>
      <c r="G44" s="37">
        <f>SUM(Monthly_Data!G118:G120)</f>
        <v>848.983</v>
      </c>
      <c r="H44" s="37">
        <f>SUM(Monthly_Data!H118:H120)</f>
        <v>375.65999999999997</v>
      </c>
      <c r="I44" s="37">
        <f>SUM(Monthly_Data!I118:I120)</f>
        <v>0</v>
      </c>
      <c r="J44" s="37"/>
      <c r="K44" s="37">
        <f>SUM(Monthly_Data!K118:K120)</f>
        <v>0</v>
      </c>
      <c r="L44" s="37">
        <f>SUM(Monthly_Data!L118:L120)</f>
        <v>29550.055999999997</v>
      </c>
    </row>
    <row r="45" spans="1:14" ht="15.75">
      <c r="A45" s="78">
        <v>40057</v>
      </c>
      <c r="B45" s="37">
        <f>SUM(Monthly_Data!B121:B123)</f>
        <v>8641.188</v>
      </c>
      <c r="C45" s="37">
        <f>SUM(Monthly_Data!C121:C123)</f>
        <v>17366.9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</v>
      </c>
      <c r="H45" s="37">
        <f>SUM(Monthly_Data!H121:H123)</f>
        <v>268.77599999999995</v>
      </c>
      <c r="I45" s="37">
        <f>SUM(Monthly_Data!I121:I123)</f>
        <v>0</v>
      </c>
      <c r="J45" s="37"/>
      <c r="K45" s="37">
        <f>SUM(Monthly_Data!K121:K123)</f>
        <v>1568.34</v>
      </c>
      <c r="L45" s="37">
        <f>SUM(Monthly_Data!L121:L123)</f>
        <v>31500.208999999995</v>
      </c>
      <c r="N45" s="11"/>
    </row>
    <row r="46" spans="1:12" ht="15.75">
      <c r="A46" s="78">
        <v>40148</v>
      </c>
      <c r="B46" s="37">
        <f>SUM(Monthly_Data!B124:B126)</f>
        <v>11849.976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332.676</v>
      </c>
      <c r="I46" s="37">
        <f>SUM(Monthly_Data!I124:I126)</f>
        <v>0</v>
      </c>
      <c r="J46" s="37"/>
      <c r="K46" s="37">
        <f>SUM(Monthly_Data!K124:K126)</f>
        <v>2800.5</v>
      </c>
      <c r="L46" s="37">
        <f>SUM(Monthly_Data!L124:L126)</f>
        <v>31970.076</v>
      </c>
    </row>
    <row r="47" spans="1:15" ht="15.7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>
        <f>SUM(Monthly_Data!K127:K129)</f>
        <v>3435.88</v>
      </c>
      <c r="L47" s="35">
        <f>SUM(Monthly_Data!L127:L129)</f>
        <v>35068.708999999995</v>
      </c>
      <c r="O47" s="11"/>
    </row>
    <row r="48" spans="1:15" ht="15.7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937.1700000000001</v>
      </c>
      <c r="E48" s="37">
        <f>SUM(Monthly_Data!E130:E132)</f>
        <v>1565.4</v>
      </c>
      <c r="F48" s="37">
        <f>SUM(Monthly_Data!F130:F132)</f>
        <v>517.425</v>
      </c>
      <c r="G48" s="37">
        <f>SUM(Monthly_Data!G130:G132)</f>
        <v>1640.353</v>
      </c>
      <c r="H48" s="37">
        <f>SUM(Monthly_Data!H130:H132)</f>
        <v>357.036</v>
      </c>
      <c r="I48" s="37">
        <f>SUM(Monthly_Data!I130:I132)</f>
        <v>0</v>
      </c>
      <c r="J48" s="37"/>
      <c r="K48" s="37">
        <f>SUM(Monthly_Data!K130:K132)</f>
        <v>2187.01</v>
      </c>
      <c r="L48" s="37">
        <f>SUM(Monthly_Data!L130:L132)</f>
        <v>34745.878</v>
      </c>
      <c r="O48" s="11"/>
    </row>
    <row r="49" spans="1:15" ht="15.75">
      <c r="A49" s="78">
        <v>40422</v>
      </c>
      <c r="B49" s="37">
        <f>SUM(Monthly_Data!B133:B135)</f>
        <v>4972.1049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</v>
      </c>
      <c r="G49" s="37">
        <f>SUM(Monthly_Data!G133:G135)</f>
        <v>960.2860000000001</v>
      </c>
      <c r="H49" s="37">
        <f>SUM(Monthly_Data!H133:H135)</f>
        <v>716.971</v>
      </c>
      <c r="I49" s="37">
        <f>SUM(Monthly_Data!I133:I135)</f>
        <v>0</v>
      </c>
      <c r="J49" s="37"/>
      <c r="K49" s="37">
        <f>SUM(Monthly_Data!K133:K135)</f>
        <v>2615.768</v>
      </c>
      <c r="L49" s="37">
        <f>SUM(Monthly_Data!L133:L135)</f>
        <v>33577.8249</v>
      </c>
      <c r="O49" s="11"/>
    </row>
    <row r="50" spans="1:15" ht="15.7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322.164</v>
      </c>
      <c r="I50" s="37">
        <f>SUM(Monthly_Data!I136:I138)</f>
        <v>0</v>
      </c>
      <c r="J50" s="37"/>
      <c r="K50" s="37">
        <f>SUM(Monthly_Data!K136:K138)</f>
        <v>9297.655000000002</v>
      </c>
      <c r="L50" s="37">
        <f>SUM(Monthly_Data!L136:L138)</f>
        <v>38638.7693</v>
      </c>
      <c r="O50" s="11"/>
    </row>
    <row r="51" spans="1:15" ht="15.75">
      <c r="A51" s="78">
        <v>40603</v>
      </c>
      <c r="B51" s="35">
        <f>SUM(Monthly_Data!B139:B141)</f>
        <v>12725.202000000001</v>
      </c>
      <c r="C51" s="35">
        <f>SUM(Monthly_Data!C139:C141)</f>
        <v>10242.2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</v>
      </c>
      <c r="H51" s="35">
        <f>SUM(Monthly_Data!H139:H141)</f>
        <v>361.2</v>
      </c>
      <c r="I51" s="35">
        <f>SUM(Monthly_Data!I139:I141)</f>
        <v>0</v>
      </c>
      <c r="J51" s="35"/>
      <c r="K51" s="35">
        <f>SUM(Monthly_Data!K139:K141)</f>
        <v>6567.573</v>
      </c>
      <c r="L51" s="35">
        <f>SUM(Monthly_Data!L139:L141)</f>
        <v>35343.734</v>
      </c>
      <c r="O51" s="11"/>
    </row>
    <row r="52" spans="1:15" ht="15.7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</v>
      </c>
      <c r="E52" s="37">
        <f>SUM(Monthly_Data!E142:E144)</f>
        <v>1430.83</v>
      </c>
      <c r="F52" s="37">
        <f>SUM(Monthly_Data!F142:F144)</f>
        <v>279.345</v>
      </c>
      <c r="G52" s="37">
        <f>SUM(Monthly_Data!G142:G144)</f>
        <v>2964.436472</v>
      </c>
      <c r="H52" s="37">
        <f>SUM(Monthly_Data!H142:H144)</f>
        <v>383.124</v>
      </c>
      <c r="I52" s="37">
        <f>SUM(Monthly_Data!I142:I144)</f>
        <v>0</v>
      </c>
      <c r="J52" s="37"/>
      <c r="K52" s="37">
        <f>SUM(Monthly_Data!K142:K144)</f>
        <v>4595.4220000000005</v>
      </c>
      <c r="L52" s="37">
        <f>SUM(Monthly_Data!L142:L144)</f>
        <v>38931.702472</v>
      </c>
      <c r="O52" s="11"/>
    </row>
    <row r="53" spans="1:15" ht="15.75">
      <c r="A53" s="78">
        <v>40787</v>
      </c>
      <c r="B53" s="37">
        <f>SUM(Monthly_Data!B145:B147)</f>
        <v>8445.874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</v>
      </c>
      <c r="F53" s="37">
        <f>SUM(Monthly_Data!F145:F147)</f>
        <v>209.7</v>
      </c>
      <c r="G53" s="37">
        <f>SUM(Monthly_Data!G145:G147)</f>
        <v>3172.95374</v>
      </c>
      <c r="H53" s="37">
        <f>SUM(Monthly_Data!H145:H147)</f>
        <v>364.632</v>
      </c>
      <c r="I53" s="37">
        <f>SUM(Monthly_Data!I145:I147)</f>
        <v>0</v>
      </c>
      <c r="J53" s="37"/>
      <c r="K53" s="37">
        <f>SUM(Monthly_Data!K145:K147)</f>
        <v>1196.24</v>
      </c>
      <c r="L53" s="37">
        <f>SUM(Monthly_Data!L145:L147)</f>
        <v>34435.27974</v>
      </c>
      <c r="O53" s="11"/>
    </row>
    <row r="54" spans="1:15" ht="15.75">
      <c r="A54" s="78">
        <v>40878</v>
      </c>
      <c r="B54" s="37">
        <f>SUM(Monthly_Data!B148:B150)</f>
        <v>13659.6915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714.135</v>
      </c>
      <c r="G54" s="37">
        <f>SUM(Monthly_Data!G148:G150)</f>
        <v>2743.05426</v>
      </c>
      <c r="H54" s="37">
        <f>SUM(Monthly_Data!H148:H150)</f>
        <v>367.524</v>
      </c>
      <c r="I54" s="37">
        <f>SUM(Monthly_Data!I148:I150)</f>
        <v>0</v>
      </c>
      <c r="J54" s="37"/>
      <c r="K54" s="37">
        <f>SUM(Monthly_Data!K148:K150)</f>
        <v>545.57</v>
      </c>
      <c r="L54" s="37">
        <f>SUM(Monthly_Data!L148:L150)</f>
        <v>32439.81476</v>
      </c>
      <c r="O54" s="11"/>
    </row>
    <row r="55" spans="1:15" ht="15.7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>
        <f>SUM(Monthly_Data!K151:K153)</f>
        <v>0</v>
      </c>
      <c r="L55" s="35">
        <f>SUM(Monthly_Data!L151:L153)</f>
        <v>39446.0165</v>
      </c>
      <c r="O55" s="11"/>
    </row>
    <row r="56" spans="1:15" ht="15.7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</v>
      </c>
      <c r="I56" s="37">
        <f>SUM(Monthly_Data!I154:I156)</f>
        <v>0</v>
      </c>
      <c r="J56" s="37"/>
      <c r="K56" s="37">
        <f>SUM(Monthly_Data!K154:K156)</f>
        <v>63.89</v>
      </c>
      <c r="L56" s="37">
        <f>SUM(Monthly_Data!L154:L156)</f>
        <v>37450.020000000004</v>
      </c>
      <c r="O56" s="11"/>
    </row>
    <row r="57" spans="1:15" ht="15.75">
      <c r="A57" s="78">
        <v>41153</v>
      </c>
      <c r="B57" s="37">
        <f>SUM(Monthly_Data!B157:B159)</f>
        <v>9096.187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</v>
      </c>
      <c r="H57" s="37">
        <f>SUM(Monthly_Data!H157:H159)</f>
        <v>287.544</v>
      </c>
      <c r="I57" s="37">
        <f>SUM(Monthly_Data!I157:I159)</f>
        <v>0</v>
      </c>
      <c r="J57" s="37"/>
      <c r="K57" s="37">
        <f>SUM(Monthly_Data!K157:K159)</f>
        <v>1653.5900000000001</v>
      </c>
      <c r="L57" s="37">
        <f>SUM(Monthly_Data!L157:L159)</f>
        <v>31614.663999999997</v>
      </c>
      <c r="O57" s="11"/>
    </row>
    <row r="58" spans="1:15" ht="15.7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</v>
      </c>
      <c r="F58" s="37">
        <f>SUM(Monthly_Data!F160:F162)</f>
        <v>292.89</v>
      </c>
      <c r="G58" s="37">
        <f>SUM(Monthly_Data!G160:G162)</f>
        <v>2429.225</v>
      </c>
      <c r="H58" s="37">
        <f>SUM(Monthly_Data!H160:H162)</f>
        <v>359.748</v>
      </c>
      <c r="I58" s="37">
        <f>SUM(Monthly_Data!I160:I162)</f>
        <v>0</v>
      </c>
      <c r="J58" s="37"/>
      <c r="K58" s="37">
        <f>SUM(Monthly_Data!K160:K162)</f>
        <v>1170.12</v>
      </c>
      <c r="L58" s="37">
        <f>SUM(Monthly_Data!L160:L162)</f>
        <v>33184.113</v>
      </c>
      <c r="O58" s="11"/>
    </row>
    <row r="59" spans="1:15" ht="15.7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482.025</v>
      </c>
      <c r="G59" s="35">
        <f>SUM(Monthly_Data!G163:G165)</f>
        <v>2273.801</v>
      </c>
      <c r="H59" s="35">
        <f>SUM(Monthly_Data!H163:H165)</f>
        <v>254.352</v>
      </c>
      <c r="I59" s="35">
        <f>SUM(Monthly_Data!I163:I165)</f>
        <v>0</v>
      </c>
      <c r="J59" s="35"/>
      <c r="K59" s="35">
        <f>SUM(Monthly_Data!K163:K165)</f>
        <v>1302</v>
      </c>
      <c r="L59" s="35">
        <f>SUM(Monthly_Data!L163:L165)</f>
        <v>33493.79</v>
      </c>
      <c r="O59" s="11"/>
    </row>
    <row r="60" spans="1:15" ht="15.7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535.155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>
        <f>SUM(Monthly_Data!K166:K168)</f>
        <v>4122.388999999999</v>
      </c>
      <c r="L60" s="37">
        <f>SUM(Monthly_Data!L166:L168)</f>
        <v>39644.165</v>
      </c>
      <c r="O60" s="11"/>
    </row>
    <row r="61" spans="1:15" ht="15.75">
      <c r="A61" s="78">
        <v>41518</v>
      </c>
      <c r="B61" s="37">
        <f>SUM(Monthly_Data!B169:B171)</f>
        <v>8739.276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2384.205</v>
      </c>
      <c r="H61" s="37">
        <f>SUM(Monthly_Data!H169:H171)</f>
        <v>235.992</v>
      </c>
      <c r="I61" s="37">
        <f>SUM(Monthly_Data!I169:I171)</f>
        <v>0</v>
      </c>
      <c r="J61" s="37"/>
      <c r="K61" s="37">
        <f>SUM(Monthly_Data!K169:K171)</f>
        <v>6625.517000000001</v>
      </c>
      <c r="L61" s="37">
        <f>SUM(Monthly_Data!L169:L171)</f>
        <v>42247.725</v>
      </c>
      <c r="O61" s="11"/>
    </row>
    <row r="62" spans="1:15" ht="15.75">
      <c r="A62" s="78">
        <v>41609</v>
      </c>
      <c r="B62" s="37">
        <f>SUM(Monthly_Data!B172:B174)</f>
        <v>12436.914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623.712</v>
      </c>
      <c r="J62" s="37"/>
      <c r="K62" s="37">
        <f>SUM(Monthly_Data!K172:K174)</f>
        <v>8603.149000000001</v>
      </c>
      <c r="L62" s="37">
        <f>SUM(Monthly_Data!L172:L174)</f>
        <v>43735.218</v>
      </c>
      <c r="O62" s="11"/>
    </row>
    <row r="63" spans="1:15" ht="15.75">
      <c r="A63" s="78">
        <v>41699</v>
      </c>
      <c r="B63" s="35">
        <f>SUM(Monthly_Data!B175:B177)</f>
        <v>16079.592</v>
      </c>
      <c r="C63" s="35">
        <f>SUM(Monthly_Data!C175:C177)</f>
        <v>17454.1</v>
      </c>
      <c r="D63" s="35">
        <f>SUM(Monthly_Data!D175:D177)</f>
        <v>2297.78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</v>
      </c>
      <c r="J63" s="35"/>
      <c r="K63" s="35">
        <f>SUM(Monthly_Data!K175:K177)</f>
        <v>6776.037</v>
      </c>
      <c r="L63" s="35">
        <f>SUM(Monthly_Data!L175:L177)</f>
        <v>47544.72</v>
      </c>
      <c r="N63" s="10"/>
      <c r="O63" s="11"/>
    </row>
    <row r="64" spans="1:15" ht="15.7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</v>
      </c>
      <c r="H64" s="37">
        <f>SUM(Monthly_Data!H178:H180)</f>
        <v>283.524</v>
      </c>
      <c r="I64" s="37">
        <f>SUM(Monthly_Data!I178:I180)</f>
        <v>720.062</v>
      </c>
      <c r="J64" s="37"/>
      <c r="K64" s="37">
        <f>SUM(Monthly_Data!K178:K180)</f>
        <v>6866.7</v>
      </c>
      <c r="L64" s="37">
        <f>SUM(Monthly_Data!L178:L180)</f>
        <v>45332.49599999999</v>
      </c>
      <c r="N64" s="10"/>
      <c r="O64" s="11"/>
    </row>
    <row r="65" spans="1:15" ht="15.75">
      <c r="A65" s="78">
        <v>41883</v>
      </c>
      <c r="B65" s="37">
        <f>SUM(Monthly_Data!B181:B183)</f>
        <v>9556.626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</v>
      </c>
      <c r="H65" s="37">
        <f>SUM(Monthly_Data!H181:H183)</f>
        <v>335.196</v>
      </c>
      <c r="I65" s="37">
        <f>SUM(Monthly_Data!I181:I183)</f>
        <v>539.783</v>
      </c>
      <c r="J65" s="37"/>
      <c r="K65" s="37">
        <f>SUM(Monthly_Data!K181:K183)</f>
        <v>9016.558</v>
      </c>
      <c r="L65" s="37">
        <f>SUM(Monthly_Data!L181:L183)</f>
        <v>37880.417</v>
      </c>
      <c r="O65" s="11"/>
    </row>
    <row r="66" spans="1:15" ht="15.7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2259.2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>
        <f>SUM(Monthly_Data!K184:K186)</f>
        <v>10860.991</v>
      </c>
      <c r="L66" s="37">
        <f>SUM(Monthly_Data!L184:L186)</f>
        <v>43090.671</v>
      </c>
      <c r="O66" s="11"/>
    </row>
    <row r="67" spans="1:15" ht="15.7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1987.667</v>
      </c>
      <c r="H67" s="35">
        <f>SUM(Monthly_Data!H187:H189)</f>
        <v>249.92399999999998</v>
      </c>
      <c r="I67" s="35">
        <f>SUM(Monthly_Data!I187:I189)</f>
        <v>555.5</v>
      </c>
      <c r="J67" s="35"/>
      <c r="K67" s="35">
        <f>SUM(Monthly_Data!K187:K189)</f>
        <v>5232.723</v>
      </c>
      <c r="L67" s="35">
        <f>SUM(Monthly_Data!L187:L189)</f>
        <v>43305.026</v>
      </c>
      <c r="O67" s="11"/>
    </row>
    <row r="68" spans="1:15" ht="15.7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53.976</v>
      </c>
      <c r="I68" s="37">
        <f>SUM(Monthly_Data!I190:I192)</f>
        <v>718.9</v>
      </c>
      <c r="J68" s="37"/>
      <c r="K68" s="37">
        <f>SUM(Monthly_Data!K190:K192)</f>
        <v>4585.297</v>
      </c>
      <c r="L68" s="37">
        <f>SUM(Monthly_Data!L190:L192)</f>
        <v>43580.905</v>
      </c>
      <c r="O68" s="11"/>
    </row>
    <row r="69" spans="1:15" ht="15.7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</v>
      </c>
      <c r="G69" s="37">
        <f>SUM(Monthly_Data!G193:G195)</f>
        <v>2679.331</v>
      </c>
      <c r="H69" s="37">
        <f>SUM(Monthly_Data!H193:H195)</f>
        <v>0</v>
      </c>
      <c r="I69" s="37">
        <f>SUM(Monthly_Data!I193:I195)</f>
        <v>710.1</v>
      </c>
      <c r="J69" s="37"/>
      <c r="K69" s="37">
        <f>SUM(Monthly_Data!K193:K195)</f>
        <v>8041.88</v>
      </c>
      <c r="L69" s="37">
        <f>SUM(Monthly_Data!L193:L195)</f>
        <v>39439.4298</v>
      </c>
      <c r="O69" s="11"/>
    </row>
    <row r="70" spans="1:15" ht="15.7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317.775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>
        <f>SUM(Monthly_Data!K196:K198)</f>
        <v>10838.558</v>
      </c>
      <c r="L70" s="37">
        <f>SUM(Monthly_Data!L196:L198)</f>
        <v>39659.223</v>
      </c>
      <c r="O70" s="11"/>
    </row>
    <row r="71" spans="1:15" ht="15.7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</v>
      </c>
      <c r="H71" s="35">
        <f>SUM(Monthly_Data!H199:H201)</f>
        <v>0</v>
      </c>
      <c r="I71" s="35">
        <f>SUM(Monthly_Data!I199:I201)</f>
        <v>652.7</v>
      </c>
      <c r="J71" s="35"/>
      <c r="K71" s="35">
        <f>SUM(Monthly_Data!K199:K201)</f>
        <v>4773.864</v>
      </c>
      <c r="L71" s="35">
        <f>SUM(Monthly_Data!L199:L201)</f>
        <v>38668.713</v>
      </c>
      <c r="O71" s="11"/>
    </row>
    <row r="72" spans="1:39" ht="15.7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</v>
      </c>
      <c r="H72" s="37">
        <f>SUM(Monthly_Data!H202:H204)</f>
        <v>9.336</v>
      </c>
      <c r="I72" s="37">
        <f>SUM(Monthly_Data!I202:I204)</f>
        <v>833.6</v>
      </c>
      <c r="J72" s="37"/>
      <c r="K72" s="37">
        <f>SUM(Monthly_Data!K202:K204)</f>
        <v>2679.571</v>
      </c>
      <c r="L72" s="37">
        <f>SUM(Monthly_Data!L202:L204)</f>
        <v>44430.23844</v>
      </c>
      <c r="N72" s="14"/>
      <c r="O72" s="11"/>
      <c r="AM72" s="10">
        <f>9114*100/8688</f>
        <v>104.90331491712708</v>
      </c>
    </row>
    <row r="73" spans="1:15" ht="15.75">
      <c r="A73" s="78">
        <v>42614</v>
      </c>
      <c r="B73" s="37">
        <f>SUM(Monthly_Data!B205:B207)</f>
        <v>8170.907999999999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995.8000000000001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>
        <f>SUM(Monthly_Data!K205:K207)</f>
        <v>7062.753</v>
      </c>
      <c r="L73" s="37">
        <f>SUM(Monthly_Data!L205:L207)</f>
        <v>41734.975640000004</v>
      </c>
      <c r="N73" s="14"/>
      <c r="O73" s="11"/>
    </row>
    <row r="74" spans="1:15" ht="15.75">
      <c r="A74" s="78">
        <v>42705</v>
      </c>
      <c r="B74" s="37">
        <f>SUM(Monthly_Data!B208:B210)</f>
        <v>9559.578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>
        <f>SUM(Monthly_Data!K208:K210)</f>
        <v>9569.611</v>
      </c>
      <c r="L74" s="37">
        <f>SUM(Monthly_Data!L208:L210)</f>
        <v>42562.30100000001</v>
      </c>
      <c r="O74" s="11"/>
    </row>
    <row r="75" spans="1:15" ht="15.75">
      <c r="A75" s="78">
        <v>42795</v>
      </c>
      <c r="B75" s="35">
        <f>SUM(Monthly_Data!B211:B213)</f>
        <v>12744.458999999999</v>
      </c>
      <c r="C75" s="35">
        <f>SUM(Monthly_Data!C211:C213)</f>
        <v>9749.22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>
        <f>SUM(Monthly_Data!K211:K213)</f>
        <v>10054.842</v>
      </c>
      <c r="L75" s="35">
        <f>SUM(Monthly_Data!L211:L213)</f>
        <v>40429.56589</v>
      </c>
      <c r="N75" s="10"/>
      <c r="O75" s="11"/>
    </row>
    <row r="76" spans="1:15" ht="15.75">
      <c r="A76" s="78">
        <v>42887</v>
      </c>
      <c r="B76" s="37">
        <f>SUM(Monthly_Data!B214:B216)</f>
        <v>9258.354000000001</v>
      </c>
      <c r="C76" s="37">
        <f>SUM(Monthly_Data!C214:C216)</f>
        <v>11168.6</v>
      </c>
      <c r="D76" s="37">
        <f>SUM(Monthly_Data!D214:D216)</f>
        <v>860.0999999999999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>
        <f>SUM(Monthly_Data!K214:K216)</f>
        <v>10026.244</v>
      </c>
      <c r="L76" s="37">
        <f>SUM(Monthly_Data!L214:L216)</f>
        <v>37825.62948</v>
      </c>
      <c r="N76" s="10"/>
      <c r="O76" s="11"/>
    </row>
    <row r="77" spans="1:15" ht="15.7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</v>
      </c>
      <c r="G77" s="55">
        <v>4252.6527</v>
      </c>
      <c r="H77" s="55">
        <v>0</v>
      </c>
      <c r="I77" s="55">
        <v>581.1999999999999</v>
      </c>
      <c r="J77" s="55">
        <v>0</v>
      </c>
      <c r="K77" s="55">
        <v>17384.765</v>
      </c>
      <c r="L77" s="55">
        <v>40124.3647</v>
      </c>
      <c r="N77" s="10"/>
      <c r="O77" s="11"/>
    </row>
    <row r="78" spans="1:15" ht="15.75">
      <c r="A78" s="78">
        <v>43070</v>
      </c>
      <c r="B78" s="55">
        <v>9028.501</v>
      </c>
      <c r="C78" s="55">
        <v>4063.8</v>
      </c>
      <c r="D78" s="55">
        <v>952.6999999999999</v>
      </c>
      <c r="E78" s="55">
        <v>960.6899999999999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</v>
      </c>
      <c r="L78" s="55">
        <v>55699.46624000001</v>
      </c>
      <c r="N78" s="10"/>
      <c r="O78" s="11"/>
    </row>
    <row r="79" spans="1:15" ht="15.7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357.195</v>
      </c>
      <c r="G79" s="35">
        <v>4220.8</v>
      </c>
      <c r="H79" s="35">
        <v>39.48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15" ht="15.7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</v>
      </c>
      <c r="F80" s="37">
        <v>646.495</v>
      </c>
      <c r="G80" s="37">
        <v>2875.84552</v>
      </c>
      <c r="H80" s="37">
        <v>116.52</v>
      </c>
      <c r="I80" s="37">
        <v>805.9</v>
      </c>
      <c r="J80" s="37">
        <v>191.3202</v>
      </c>
      <c r="K80" s="37">
        <v>19370.1575</v>
      </c>
      <c r="L80" s="37">
        <v>59814.63022000001</v>
      </c>
      <c r="N80" s="10"/>
      <c r="O80" s="11"/>
    </row>
    <row r="81" spans="1:15" ht="15.7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</v>
      </c>
      <c r="H81" s="37">
        <v>161.28</v>
      </c>
      <c r="I81" s="37">
        <v>760.4</v>
      </c>
      <c r="J81" s="37">
        <v>490.542</v>
      </c>
      <c r="K81" s="37">
        <v>27173.7835</v>
      </c>
      <c r="L81" s="37">
        <v>58180.766019999995</v>
      </c>
      <c r="N81" s="10"/>
      <c r="O81" s="11"/>
    </row>
    <row r="82" spans="1:15" ht="15.7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ht="15.75">
      <c r="A83" s="7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N83" s="10"/>
      <c r="O83" s="11"/>
    </row>
    <row r="84" spans="1:15" ht="15.75">
      <c r="A84" s="10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N84" s="10"/>
      <c r="O84" s="11"/>
    </row>
    <row r="85" spans="1:15" ht="15.75">
      <c r="A85" s="78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N85" s="10"/>
      <c r="O85" s="11"/>
    </row>
    <row r="86" spans="1:15" ht="15.75">
      <c r="A86" s="29"/>
      <c r="B86" s="66"/>
      <c r="C86" s="66"/>
      <c r="D86" s="66"/>
      <c r="E86" s="66"/>
      <c r="F86" s="67"/>
      <c r="G86" s="66"/>
      <c r="H86" s="66"/>
      <c r="I86" s="66"/>
      <c r="J86" s="66"/>
      <c r="K86" s="66"/>
      <c r="L86" s="73"/>
      <c r="N86" s="11"/>
      <c r="O86" s="11"/>
    </row>
    <row r="87" spans="1:15" ht="15.75">
      <c r="A87" s="77" t="s">
        <v>12</v>
      </c>
      <c r="B87" s="24"/>
      <c r="C87" s="24"/>
      <c r="D87" s="24"/>
      <c r="E87" s="24"/>
      <c r="F87" s="24"/>
      <c r="G87" s="68"/>
      <c r="H87" s="68"/>
      <c r="I87" s="68"/>
      <c r="J87" s="68"/>
      <c r="K87" s="68"/>
      <c r="L87" s="25"/>
      <c r="M87" s="14"/>
      <c r="O87" s="11"/>
    </row>
    <row r="88" spans="1:15" ht="15.75">
      <c r="A88" s="26"/>
      <c r="B88" s="27"/>
      <c r="C88" s="27"/>
      <c r="D88" s="69"/>
      <c r="E88" s="70"/>
      <c r="F88" s="69"/>
      <c r="G88" s="69"/>
      <c r="H88" s="69"/>
      <c r="I88" s="69"/>
      <c r="J88" s="69"/>
      <c r="K88" s="69"/>
      <c r="L88" s="71"/>
      <c r="O88" s="14"/>
    </row>
    <row r="89" spans="5:14" ht="15.75">
      <c r="E89" s="3"/>
      <c r="L89" s="2"/>
      <c r="N89" s="11"/>
    </row>
    <row r="90" spans="2:15" ht="15.75">
      <c r="B90" s="15"/>
      <c r="C90" s="11"/>
      <c r="D90" s="11"/>
      <c r="E90" s="15"/>
      <c r="F90" s="15"/>
      <c r="G90" s="15"/>
      <c r="H90" s="15"/>
      <c r="I90" s="15"/>
      <c r="J90" s="15"/>
      <c r="K90" s="15"/>
      <c r="N90" s="11"/>
      <c r="O90" s="14"/>
    </row>
    <row r="91" spans="2:14" ht="15.75">
      <c r="B91" s="15"/>
      <c r="C91" s="11"/>
      <c r="D91" s="11"/>
      <c r="E91" s="16"/>
      <c r="F91" s="11"/>
      <c r="G91" s="15"/>
      <c r="H91" s="15"/>
      <c r="I91" s="15"/>
      <c r="J91" s="15"/>
      <c r="K91" s="15"/>
      <c r="N91" s="14"/>
    </row>
    <row r="92" spans="4:12" ht="15.75">
      <c r="D92" s="76"/>
      <c r="E92" s="3"/>
      <c r="F92" s="14"/>
      <c r="G92" s="9"/>
      <c r="H92" s="11"/>
      <c r="I92" s="11"/>
      <c r="J92" s="11"/>
      <c r="K92" s="11"/>
      <c r="L92" s="3"/>
    </row>
    <row r="93" spans="3:12" ht="15.75">
      <c r="C93" s="10"/>
      <c r="D93" s="76"/>
      <c r="E93" s="3"/>
      <c r="F93" s="15"/>
      <c r="G93" s="10"/>
      <c r="L93" s="13"/>
    </row>
    <row r="94" spans="3:12" ht="15.75">
      <c r="C94" s="7"/>
      <c r="D94" s="7"/>
      <c r="E94" s="20"/>
      <c r="F94" s="7"/>
      <c r="G94" s="17"/>
      <c r="H94" s="12"/>
      <c r="I94" s="12"/>
      <c r="J94" s="12"/>
      <c r="K94" s="12"/>
      <c r="L94" s="20"/>
    </row>
    <row r="95" spans="3:14" ht="15.75">
      <c r="C95" s="7"/>
      <c r="D95" s="7"/>
      <c r="E95" s="21"/>
      <c r="F95" s="7"/>
      <c r="G95" s="7"/>
      <c r="H95" s="7"/>
      <c r="I95" s="7"/>
      <c r="J95" s="7"/>
      <c r="K95" s="75"/>
      <c r="L95" s="74"/>
      <c r="N95" s="11"/>
    </row>
    <row r="96" spans="3:14" ht="15.75">
      <c r="C96" s="23"/>
      <c r="D96" s="7"/>
      <c r="E96" s="20"/>
      <c r="F96" s="7"/>
      <c r="G96" s="7"/>
      <c r="H96" s="7"/>
      <c r="I96" s="7"/>
      <c r="J96" s="7"/>
      <c r="K96" s="7"/>
      <c r="L96" s="22"/>
      <c r="N96" s="11"/>
    </row>
    <row r="97" spans="3:12" ht="15.75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15.75"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3:12" ht="15.75">
      <c r="C99" s="7"/>
      <c r="D99" s="7"/>
      <c r="E99" s="7"/>
      <c r="F99" s="7"/>
      <c r="G99" s="7"/>
      <c r="H99" s="7"/>
      <c r="I99" s="7"/>
      <c r="J99" s="7"/>
      <c r="K99" s="7"/>
      <c r="L99" s="7"/>
    </row>
    <row r="101" spans="3:4" ht="15.75">
      <c r="C101" s="19"/>
      <c r="D101" s="11"/>
    </row>
    <row r="102" ht="15.75">
      <c r="C102" s="11"/>
    </row>
  </sheetData>
  <sheetProtection/>
  <mergeCells count="2">
    <mergeCell ref="A4:L4"/>
    <mergeCell ref="A5:L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52"/>
  <sheetViews>
    <sheetView zoomScalePageLayoutView="0" workbookViewId="0" topLeftCell="A13">
      <selection activeCell="M38" sqref="M38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36</v>
      </c>
    </row>
    <row r="4" spans="1:12" ht="15.75">
      <c r="A4" s="115" t="s">
        <v>62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s="106" customFormat="1" ht="15.7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2" ht="15.7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1540.6135</v>
      </c>
      <c r="F7" s="84">
        <v>802.221</v>
      </c>
      <c r="G7" s="84">
        <v>5397.599</v>
      </c>
      <c r="H7" s="84">
        <v>760.1460000000001</v>
      </c>
      <c r="I7" s="84"/>
      <c r="J7" s="84"/>
      <c r="K7" s="84"/>
      <c r="L7" s="85">
        <f>SUM(B7:H7)</f>
        <v>99375.80750000001</v>
      </c>
    </row>
    <row r="8" spans="1:12" ht="15.7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1540.6135</v>
      </c>
      <c r="F8" s="84">
        <v>802.221</v>
      </c>
      <c r="G8" s="84">
        <v>5397.599</v>
      </c>
      <c r="H8" s="84">
        <v>760.1460000000001</v>
      </c>
      <c r="I8" s="84"/>
      <c r="J8" s="84"/>
      <c r="K8" s="84"/>
      <c r="L8" s="85">
        <f>SUM(B8:H8)</f>
        <v>99375.80750000001</v>
      </c>
    </row>
    <row r="9" spans="1:12" ht="15.7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1540.6135</v>
      </c>
      <c r="F9" s="84">
        <v>802.221</v>
      </c>
      <c r="G9" s="84">
        <v>5397.599</v>
      </c>
      <c r="H9" s="84">
        <v>760.1460000000001</v>
      </c>
      <c r="I9" s="84"/>
      <c r="J9" s="84"/>
      <c r="K9" s="84"/>
      <c r="L9" s="85">
        <f>SUM(B9:H9)</f>
        <v>99375.80750000001</v>
      </c>
    </row>
    <row r="10" spans="1:12" ht="15.7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1540.6135</v>
      </c>
      <c r="F10" s="84">
        <v>802.221</v>
      </c>
      <c r="G10" s="84">
        <v>5397.599</v>
      </c>
      <c r="H10" s="84">
        <v>760.1460000000001</v>
      </c>
      <c r="I10" s="84"/>
      <c r="J10" s="84"/>
      <c r="K10" s="84"/>
      <c r="L10" s="85">
        <f>SUM(B10:H10)</f>
        <v>99375.80750000001</v>
      </c>
    </row>
    <row r="11" spans="1:12" ht="15.7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1540.6135</v>
      </c>
      <c r="F11" s="84">
        <v>802.221</v>
      </c>
      <c r="G11" s="84">
        <v>5397.599</v>
      </c>
      <c r="H11" s="84">
        <v>760.1460000000001</v>
      </c>
      <c r="I11" s="84"/>
      <c r="J11" s="84"/>
      <c r="K11" s="84"/>
      <c r="L11" s="85">
        <f>SUM(B11:H11)</f>
        <v>99375.80750000001</v>
      </c>
    </row>
    <row r="12" spans="1:12" ht="15.75">
      <c r="A12" s="83" t="s">
        <v>11</v>
      </c>
      <c r="B12" s="86">
        <f>SUM(Monthly_Data!B7:B18)</f>
        <v>49316.00000000001</v>
      </c>
      <c r="C12" s="86">
        <f>SUM(Monthly_Data!C7:C18)</f>
        <v>49316.00000000001</v>
      </c>
      <c r="D12" s="86">
        <f>SUM(Monthly_Data!D7:D18)</f>
        <v>6205.03</v>
      </c>
      <c r="E12" s="86">
        <f>SUM(Monthly_Data!E7:E18)</f>
        <v>1540.0975</v>
      </c>
      <c r="F12" s="86">
        <f>SUM(Monthly_Data!F7:F18)</f>
        <v>802.221</v>
      </c>
      <c r="G12" s="86">
        <f>SUM(Monthly_Data!G7:G18)</f>
        <v>5397.599</v>
      </c>
      <c r="H12" s="86">
        <f>SUM(Monthly_Data!H7:H18)</f>
        <v>760.1460000000001</v>
      </c>
      <c r="I12" s="86">
        <f>SUM(Monthly_Data!I7:I18)</f>
        <v>0</v>
      </c>
      <c r="J12" s="86"/>
      <c r="K12" s="86">
        <f>SUM(Monthly_Data!K7:K18)</f>
        <v>0</v>
      </c>
      <c r="L12" s="86">
        <f>SUM(Monthly_Data!L7:L18)</f>
        <v>113337.09349999999</v>
      </c>
    </row>
    <row r="13" spans="1:12" ht="15.7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</v>
      </c>
      <c r="H13" s="86">
        <f>SUM(Monthly_Data!H19:H30)</f>
        <v>828.9570000000001</v>
      </c>
      <c r="I13" s="86">
        <f>SUM(Monthly_Data!I19:I30)</f>
        <v>0</v>
      </c>
      <c r="J13" s="86"/>
      <c r="K13" s="86">
        <f>SUM(Monthly_Data!K19:K30)</f>
        <v>0</v>
      </c>
      <c r="L13" s="86">
        <f>SUM(Monthly_Data!L19:L30)</f>
        <v>114548.709</v>
      </c>
    </row>
    <row r="14" spans="1:12" ht="15.75">
      <c r="A14" s="83" t="s">
        <v>15</v>
      </c>
      <c r="B14" s="86">
        <f>SUM(Monthly_Data!B31:B42)</f>
        <v>46818.12599999999</v>
      </c>
      <c r="C14" s="86">
        <f>SUM(Monthly_Data!C31:C42)</f>
        <v>68082.432</v>
      </c>
      <c r="D14" s="86">
        <f>SUM(Monthly_Data!D31:D42)</f>
        <v>3365.292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5515.851</v>
      </c>
      <c r="H14" s="86">
        <f>SUM(Monthly_Data!H31:H42)</f>
        <v>890.464</v>
      </c>
      <c r="I14" s="86">
        <f>SUM(Monthly_Data!I31:I42)</f>
        <v>0</v>
      </c>
      <c r="J14" s="86"/>
      <c r="K14" s="86">
        <f>SUM(Monthly_Data!K31:K42)</f>
        <v>0</v>
      </c>
      <c r="L14" s="86">
        <f>SUM(Monthly_Data!L31:L42)</f>
        <v>127300.1</v>
      </c>
    </row>
    <row r="15" spans="1:12" ht="15.75">
      <c r="A15" s="83" t="s">
        <v>16</v>
      </c>
      <c r="B15" s="86">
        <f>SUM(Monthly_Data!B43:B54)</f>
        <v>43474.444</v>
      </c>
      <c r="C15" s="86">
        <f>SUM(Monthly_Data!C43:C54)</f>
        <v>46632.8</v>
      </c>
      <c r="D15" s="86">
        <f>SUM(Monthly_Data!D43:D54)</f>
        <v>3608.81</v>
      </c>
      <c r="E15" s="86">
        <f>SUM(Monthly_Data!E43:E54)</f>
        <v>1112.6915</v>
      </c>
      <c r="F15" s="86">
        <f>SUM(Monthly_Data!F43:F54)</f>
        <v>1366.9050000000002</v>
      </c>
      <c r="G15" s="86">
        <f>SUM(Monthly_Data!G43:G54)</f>
        <v>4266.082</v>
      </c>
      <c r="H15" s="86">
        <f>SUM(Monthly_Data!H43:H54)</f>
        <v>1009.716</v>
      </c>
      <c r="I15" s="86">
        <f>SUM(Monthly_Data!I43:I54)</f>
        <v>0</v>
      </c>
      <c r="J15" s="86"/>
      <c r="K15" s="86">
        <f>SUM(Monthly_Data!K43:K54)</f>
        <v>0</v>
      </c>
      <c r="L15" s="86">
        <f>SUM(Monthly_Data!L43:L54)</f>
        <v>101471.4485</v>
      </c>
    </row>
    <row r="16" spans="1:12" ht="15.7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966.6684999999998</v>
      </c>
      <c r="F16" s="87">
        <f>SUM(Monthly_Data!F55:F66)</f>
        <v>1323.119</v>
      </c>
      <c r="G16" s="87">
        <f>SUM(Monthly_Data!G55:G66)</f>
        <v>3845.8329999999996</v>
      </c>
      <c r="H16" s="87">
        <f>SUM(Monthly_Data!H55:H66)</f>
        <v>722.0629999999999</v>
      </c>
      <c r="I16" s="87">
        <f>SUM(Monthly_Data!I55:I66)</f>
        <v>0</v>
      </c>
      <c r="J16" s="87"/>
      <c r="K16" s="87">
        <f>SUM(Monthly_Data!K55:K66)</f>
        <v>0</v>
      </c>
      <c r="L16" s="87">
        <f>SUM(Monthly_Data!L55:L66)</f>
        <v>91577.8805</v>
      </c>
    </row>
    <row r="17" spans="1:12" ht="15.7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</v>
      </c>
      <c r="F17" s="87">
        <f>SUM(Monthly_Data!F67:F78)</f>
        <v>1224.9120000000003</v>
      </c>
      <c r="G17" s="87">
        <f>SUM(Monthly_Data!G67:G78)</f>
        <v>3395.401</v>
      </c>
      <c r="H17" s="87">
        <f>SUM(Monthly_Data!H67:H78)</f>
        <v>630.846</v>
      </c>
      <c r="I17" s="87">
        <f>SUM(Monthly_Data!I67:I78)</f>
        <v>0</v>
      </c>
      <c r="J17" s="87"/>
      <c r="K17" s="87">
        <f>SUM(Monthly_Data!K67:K78)</f>
        <v>0</v>
      </c>
      <c r="L17" s="87">
        <f>SUM(Monthly_Data!L67:L78)</f>
        <v>100266.6385</v>
      </c>
    </row>
    <row r="18" spans="1:12" ht="15.7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</v>
      </c>
      <c r="G18" s="87">
        <f>SUM(Monthly_Data!G79:G90)</f>
        <v>4478.656000000001</v>
      </c>
      <c r="H18" s="87">
        <f>SUM(Monthly_Data!H79:H90)</f>
        <v>981.4680000000001</v>
      </c>
      <c r="I18" s="87">
        <f>SUM(Monthly_Data!I79:I90)</f>
        <v>0</v>
      </c>
      <c r="J18" s="87"/>
      <c r="K18" s="87">
        <f>SUM(Monthly_Data!K79:K90)</f>
        <v>0</v>
      </c>
      <c r="L18" s="87">
        <f>SUM(Monthly_Data!L79:L90)</f>
        <v>93336.14339999999</v>
      </c>
    </row>
    <row r="19" spans="1:12" ht="15.7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1301.4162</v>
      </c>
      <c r="G19" s="87">
        <f>SUM(Monthly_Data!G91:G102)</f>
        <v>4180.109</v>
      </c>
      <c r="H19" s="87">
        <f>SUM(Monthly_Data!H91:H102)</f>
        <v>590.5799999999999</v>
      </c>
      <c r="I19" s="87">
        <f>SUM(Monthly_Data!I91:I102)</f>
        <v>0</v>
      </c>
      <c r="J19" s="87"/>
      <c r="K19" s="87">
        <f>SUM(Monthly_Data!K91:K102)</f>
        <v>0</v>
      </c>
      <c r="L19" s="87">
        <f>SUM(Monthly_Data!L91:L102)</f>
        <v>117458.4312</v>
      </c>
    </row>
    <row r="20" spans="1:12" ht="15.75">
      <c r="A20" s="83" t="s">
        <v>23</v>
      </c>
      <c r="B20" s="87">
        <f>SUM(Monthly_Data!B103:B114)</f>
        <v>42371.272000000004</v>
      </c>
      <c r="C20" s="87">
        <f>SUM(Monthly_Data!C103:C114)</f>
        <v>55327.124</v>
      </c>
      <c r="D20" s="87">
        <f>SUM(Monthly_Data!D103:D114)</f>
        <v>4254.456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</v>
      </c>
      <c r="I20" s="87">
        <f>SUM(Monthly_Data!I103:I114)</f>
        <v>0</v>
      </c>
      <c r="J20" s="87"/>
      <c r="K20" s="87">
        <f>SUM(Monthly_Data!K103:K114)</f>
        <v>0</v>
      </c>
      <c r="L20" s="87">
        <f>SUM(Monthly_Data!L103:L114)</f>
        <v>111789.34000000003</v>
      </c>
    </row>
    <row r="21" spans="1:12" ht="15.75">
      <c r="A21" s="83" t="s">
        <v>24</v>
      </c>
      <c r="B21" s="87">
        <f>SUM(Monthly_Data!B115:B126)</f>
        <v>48866.922000000006</v>
      </c>
      <c r="C21" s="87">
        <f>SUM(Monthly_Data!C115:C126)</f>
        <v>49234.59999999999</v>
      </c>
      <c r="D21" s="87">
        <f>SUM(Monthly_Data!D115:D126)</f>
        <v>5344.34</v>
      </c>
      <c r="E21" s="87">
        <f>SUM(Monthly_Data!E115:E126)</f>
        <v>5058.960000000001</v>
      </c>
      <c r="F21" s="87">
        <f>SUM(Monthly_Data!F115:F126)</f>
        <v>1379.7250000000001</v>
      </c>
      <c r="G21" s="87">
        <f>SUM(Monthly_Data!G115:G126)</f>
        <v>5675.862999999999</v>
      </c>
      <c r="H21" s="87">
        <f>SUM(Monthly_Data!H115:H126)</f>
        <v>1218.0479999999998</v>
      </c>
      <c r="I21" s="87">
        <f>SUM(Monthly_Data!I115:I126)</f>
        <v>0</v>
      </c>
      <c r="J21" s="87"/>
      <c r="K21" s="87">
        <f>SUM(Monthly_Data!K115:K126)</f>
        <v>4368.84</v>
      </c>
      <c r="L21" s="87">
        <f>SUM(Monthly_Data!L115:L126)</f>
        <v>121147.29800000001</v>
      </c>
    </row>
    <row r="22" spans="1:12" ht="15.75">
      <c r="A22" s="83" t="s">
        <v>25</v>
      </c>
      <c r="B22" s="87">
        <f>SUM(Monthly_Data!B127:B138)</f>
        <v>42106.6589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5200.840300000001</v>
      </c>
      <c r="F22" s="87">
        <f>SUM(Monthly_Data!F127:F138)</f>
        <v>1546.07</v>
      </c>
      <c r="G22" s="87">
        <f>SUM(Monthly_Data!G127:G138)</f>
        <v>6891.257</v>
      </c>
      <c r="H22" s="87">
        <f>SUM(Monthly_Data!H127:H138)</f>
        <v>1725.6919999999998</v>
      </c>
      <c r="I22" s="87">
        <f>SUM(Monthly_Data!I127:I138)</f>
        <v>0</v>
      </c>
      <c r="J22" s="87"/>
      <c r="K22" s="87">
        <f>SUM(Monthly_Data!K127:K138)</f>
        <v>17536.313000000002</v>
      </c>
      <c r="L22" s="87">
        <f>SUM(Monthly_Data!L127:L138)</f>
        <v>142031.1812</v>
      </c>
    </row>
    <row r="23" spans="1:12" ht="15.7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4996.477000000001</v>
      </c>
      <c r="E23" s="87">
        <f>SUM(Monthly_Data!E139:E150)</f>
        <v>5140.389999999999</v>
      </c>
      <c r="F23" s="87">
        <f>SUM(Monthly_Data!F139:F150)</f>
        <v>1411.845</v>
      </c>
      <c r="G23" s="87">
        <f>SUM(Monthly_Data!G139:G150)</f>
        <v>11101.201472</v>
      </c>
      <c r="H23" s="87">
        <f>SUM(Monthly_Data!H139:H150)</f>
        <v>1476.48</v>
      </c>
      <c r="I23" s="87">
        <f>SUM(Monthly_Data!I139:I150)</f>
        <v>0</v>
      </c>
      <c r="J23" s="87"/>
      <c r="K23" s="87">
        <f>SUM(Monthly_Data!K139:K150)</f>
        <v>12904.805</v>
      </c>
      <c r="L23" s="87">
        <f>SUM(Monthly_Data!L139:L150)</f>
        <v>141150.53097199998</v>
      </c>
    </row>
    <row r="24" spans="1:12" ht="15.75">
      <c r="A24" s="83" t="s">
        <v>27</v>
      </c>
      <c r="B24" s="87">
        <f>SUM(Monthly_Data!B151:B162)</f>
        <v>51328.77749999999</v>
      </c>
      <c r="C24" s="87">
        <f>SUM(Monthly_Data!C151:C162)</f>
        <v>63732.8</v>
      </c>
      <c r="D24" s="87">
        <f>SUM(Monthly_Data!D151:D162)</f>
        <v>6594.710000000001</v>
      </c>
      <c r="E24" s="87">
        <f>SUM(Monthly_Data!E151:E162)</f>
        <v>5240.150000000001</v>
      </c>
      <c r="F24" s="87">
        <f>SUM(Monthly_Data!F151:F162)</f>
        <v>1191.4950000000001</v>
      </c>
      <c r="G24" s="87">
        <f>SUM(Monthly_Data!G151:G162)</f>
        <v>9325.444999999998</v>
      </c>
      <c r="H24" s="87">
        <f>SUM(Monthly_Data!H151:H162)</f>
        <v>1393.8359999999998</v>
      </c>
      <c r="I24" s="87">
        <f>SUM(Monthly_Data!I151:I162)</f>
        <v>0</v>
      </c>
      <c r="J24" s="87"/>
      <c r="K24" s="87">
        <f>SUM(Monthly_Data!K151:K162)</f>
        <v>2887.6</v>
      </c>
      <c r="L24" s="87">
        <f>SUM(Monthly_Data!L151:L162)</f>
        <v>141694.8135</v>
      </c>
    </row>
    <row r="25" spans="1:12" ht="15.75">
      <c r="A25" s="83" t="s">
        <v>28</v>
      </c>
      <c r="B25" s="87">
        <f>SUM(Monthly_Data!B163:B174)</f>
        <v>48949.76099999999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</v>
      </c>
      <c r="F25" s="87">
        <f>SUM(Monthly_Data!F163:F174)</f>
        <v>1577.817</v>
      </c>
      <c r="G25" s="87">
        <f>SUM(Monthly_Data!G163:G174)</f>
        <v>9464.689</v>
      </c>
      <c r="H25" s="87">
        <f>SUM(Monthly_Data!H163:H174)</f>
        <v>991.584</v>
      </c>
      <c r="I25" s="87">
        <f>SUM(Monthly_Data!I163:I174)</f>
        <v>623.712</v>
      </c>
      <c r="J25" s="87"/>
      <c r="K25" s="87">
        <f>SUM(Monthly_Data!K163:K174)</f>
        <v>20653.055</v>
      </c>
      <c r="L25" s="87">
        <f>SUM(Monthly_Data!L163:L174)</f>
        <v>159120.89800000002</v>
      </c>
    </row>
    <row r="26" spans="1:12" ht="15.75">
      <c r="A26" s="83" t="s">
        <v>29</v>
      </c>
      <c r="B26" s="87">
        <f>SUM(Monthly_Data!B175:B186)</f>
        <v>52811.844000000005</v>
      </c>
      <c r="C26" s="87">
        <f>SUM(Monthly_Data!C175:C186)</f>
        <v>53953.92</v>
      </c>
      <c r="D26" s="87">
        <f>SUM(Monthly_Data!D175:D186)</f>
        <v>8149.280000000002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2663.287</v>
      </c>
      <c r="J26" s="87"/>
      <c r="K26" s="87">
        <f>SUM(Monthly_Data!K175:K186)</f>
        <v>33520.286</v>
      </c>
      <c r="L26" s="87">
        <f>SUM(Monthly_Data!L175:L186)</f>
        <v>173848.304</v>
      </c>
    </row>
    <row r="27" spans="1:12" ht="15.75">
      <c r="A27" s="83" t="s">
        <v>30</v>
      </c>
      <c r="B27" s="87">
        <f>SUM(Monthly_Data!B187:B198)</f>
        <v>54346.47380000001</v>
      </c>
      <c r="C27" s="87">
        <f>SUM(Monthly_Data!C187:C198)</f>
        <v>53224.9</v>
      </c>
      <c r="D27" s="87">
        <f>SUM(Monthly_Data!D187:D198)</f>
        <v>8234.682999999999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303.9</v>
      </c>
      <c r="I27" s="87">
        <f>SUM(Monthly_Data!I187:I198)</f>
        <v>2731.8</v>
      </c>
      <c r="J27" s="87"/>
      <c r="K27" s="87">
        <f>SUM(Monthly_Data!K187:K198)</f>
        <v>28698.458</v>
      </c>
      <c r="L27" s="87">
        <f>SUM(Monthly_Data!L187:L198)</f>
        <v>165984.58380000002</v>
      </c>
    </row>
    <row r="28" spans="1:12" ht="15.75">
      <c r="A28" s="83" t="s">
        <v>31</v>
      </c>
      <c r="B28" s="87">
        <f>SUM(Monthly_Data!B199:B210)</f>
        <v>46580.19899999999</v>
      </c>
      <c r="C28" s="87">
        <f>SUM(Monthly_Data!C199:C210)</f>
        <v>70527.1</v>
      </c>
      <c r="D28" s="87">
        <f>SUM(Monthly_Data!D199:D210)</f>
        <v>5426.000000000001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</v>
      </c>
      <c r="J28" s="87"/>
      <c r="K28" s="87">
        <f>SUM(Monthly_Data!K199:K210)</f>
        <v>24085.799000000003</v>
      </c>
      <c r="L28" s="87">
        <f>SUM(Monthly_Data!L199:L210)</f>
        <v>167396.22807999997</v>
      </c>
    </row>
    <row r="29" spans="1:12" ht="15.7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2166.2</v>
      </c>
      <c r="J29" s="87">
        <v>0</v>
      </c>
      <c r="K29" s="87">
        <v>73840.672</v>
      </c>
      <c r="L29" s="87">
        <v>174079.02631000002</v>
      </c>
    </row>
    <row r="30" spans="1:12" ht="15.75">
      <c r="A30" s="83" t="s">
        <v>33</v>
      </c>
      <c r="B30" s="87">
        <v>46626.183999999994</v>
      </c>
      <c r="C30" s="87">
        <v>58244.32000000001</v>
      </c>
      <c r="D30" s="87">
        <v>4372.1</v>
      </c>
      <c r="E30" s="87">
        <v>4299.06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1233.6842</v>
      </c>
      <c r="K30" s="87">
        <v>99087.45000000003</v>
      </c>
      <c r="L30" s="87">
        <v>232160.55448</v>
      </c>
    </row>
    <row r="31" spans="1:12" ht="15.75">
      <c r="A31" s="8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5.75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5.7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5.75">
      <c r="A34" s="8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5.75">
      <c r="A35" s="34"/>
      <c r="B35" s="59"/>
      <c r="C35" s="60"/>
      <c r="D35" s="61"/>
      <c r="E35" s="62"/>
      <c r="F35" s="61"/>
      <c r="G35" s="63"/>
      <c r="H35" s="64"/>
      <c r="I35" s="64"/>
      <c r="J35" s="64"/>
      <c r="K35" s="64"/>
      <c r="L35" s="65"/>
    </row>
    <row r="36" spans="1:14" ht="15.75">
      <c r="A36" s="29"/>
      <c r="B36" s="66"/>
      <c r="C36" s="66"/>
      <c r="D36" s="66"/>
      <c r="E36" s="66"/>
      <c r="F36" s="67"/>
      <c r="G36" s="66"/>
      <c r="H36" s="66"/>
      <c r="I36" s="66"/>
      <c r="J36" s="66"/>
      <c r="K36" s="66"/>
      <c r="L36" s="73"/>
      <c r="N36" s="11"/>
    </row>
    <row r="37" spans="1:14" ht="15.75">
      <c r="A37" s="77" t="s">
        <v>12</v>
      </c>
      <c r="B37" s="24"/>
      <c r="C37" s="24"/>
      <c r="D37" s="24"/>
      <c r="E37" s="24"/>
      <c r="F37" s="24"/>
      <c r="G37" s="68"/>
      <c r="H37" s="68"/>
      <c r="I37" s="68"/>
      <c r="J37" s="68"/>
      <c r="K37" s="68"/>
      <c r="L37" s="25"/>
      <c r="M37" s="14"/>
      <c r="N37" s="11"/>
    </row>
    <row r="38" spans="1:14" ht="15.75">
      <c r="A38" s="26"/>
      <c r="B38" s="27"/>
      <c r="C38" s="27"/>
      <c r="D38" s="69"/>
      <c r="E38" s="70"/>
      <c r="F38" s="69"/>
      <c r="G38" s="69"/>
      <c r="H38" s="69"/>
      <c r="I38" s="69"/>
      <c r="J38" s="69"/>
      <c r="K38" s="69"/>
      <c r="L38" s="71"/>
      <c r="N38" s="14"/>
    </row>
    <row r="39" spans="5:12" ht="15.75">
      <c r="E39" s="3"/>
      <c r="L39" s="2"/>
    </row>
    <row r="40" spans="2:14" ht="15.75">
      <c r="B40" s="15"/>
      <c r="C40" s="11"/>
      <c r="D40" s="11"/>
      <c r="E40" s="15"/>
      <c r="F40" s="15"/>
      <c r="G40" s="15"/>
      <c r="H40" s="15"/>
      <c r="I40" s="15"/>
      <c r="J40" s="15"/>
      <c r="K40" s="15"/>
      <c r="N40" s="14"/>
    </row>
    <row r="41" spans="2:11" ht="15.75">
      <c r="B41" s="15"/>
      <c r="C41" s="11"/>
      <c r="D41" s="11"/>
      <c r="E41" s="16"/>
      <c r="F41" s="11"/>
      <c r="G41" s="15"/>
      <c r="H41" s="15"/>
      <c r="I41" s="15"/>
      <c r="J41" s="15"/>
      <c r="K41" s="15"/>
    </row>
    <row r="42" spans="4:12" ht="15.75">
      <c r="D42" s="76"/>
      <c r="E42" s="3"/>
      <c r="F42" s="14"/>
      <c r="G42" s="9"/>
      <c r="H42" s="11"/>
      <c r="I42" s="11"/>
      <c r="J42" s="11"/>
      <c r="K42" s="11"/>
      <c r="L42" s="3"/>
    </row>
    <row r="43" spans="3:12" ht="15.75">
      <c r="C43" s="10"/>
      <c r="D43" s="76"/>
      <c r="E43" s="3"/>
      <c r="F43" s="15"/>
      <c r="G43" s="10"/>
      <c r="L43" s="13"/>
    </row>
    <row r="44" spans="3:12" ht="15.75">
      <c r="C44" s="7"/>
      <c r="D44" s="7"/>
      <c r="E44" s="20"/>
      <c r="F44" s="7"/>
      <c r="G44" s="17"/>
      <c r="H44" s="12"/>
      <c r="I44" s="12"/>
      <c r="J44" s="12"/>
      <c r="K44" s="12"/>
      <c r="L44" s="20"/>
    </row>
    <row r="45" spans="3:12" ht="15.75">
      <c r="C45" s="7"/>
      <c r="D45" s="7"/>
      <c r="E45" s="21"/>
      <c r="F45" s="7"/>
      <c r="G45" s="7"/>
      <c r="H45" s="7"/>
      <c r="I45" s="7"/>
      <c r="J45" s="7"/>
      <c r="K45" s="75"/>
      <c r="L45" s="74"/>
    </row>
    <row r="46" spans="3:12" ht="15.75">
      <c r="C46" s="23"/>
      <c r="D46" s="7"/>
      <c r="E46" s="20"/>
      <c r="F46" s="7"/>
      <c r="G46" s="7"/>
      <c r="H46" s="7"/>
      <c r="I46" s="7"/>
      <c r="J46" s="7"/>
      <c r="K46" s="7"/>
      <c r="L46" s="22"/>
    </row>
    <row r="47" spans="3:12" ht="15.7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5.75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ht="15.75"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3:4" ht="15.75">
      <c r="C51" s="19"/>
      <c r="D51" s="11"/>
    </row>
    <row r="52" ht="15.75">
      <c r="C52" s="11"/>
    </row>
  </sheetData>
  <sheetProtection/>
  <mergeCells count="2">
    <mergeCell ref="A4:L4"/>
    <mergeCell ref="A5:L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NAHIMANA Egide</cp:lastModifiedBy>
  <cp:lastPrinted>2017-01-17T07:16:08Z</cp:lastPrinted>
  <dcterms:created xsi:type="dcterms:W3CDTF">2000-08-22T08:23:40Z</dcterms:created>
  <dcterms:modified xsi:type="dcterms:W3CDTF">2019-03-06T12:52:12Z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