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-390" yWindow="135" windowWidth="10170" windowHeight="8010" tabRatio="853" firstSheet="7" activeTab="12"/>
  </bookViews>
  <sheets>
    <sheet name="II_1 Net foreign assets" sheetId="1" r:id="rId1"/>
    <sheet name="II_2_1 Assets_BRB" sheetId="2" r:id="rId2"/>
    <sheet name="II_2_2 Liabilities BRB" sheetId="3" r:id="rId3"/>
    <sheet name="II_3_1 Assets Banks" sheetId="4" r:id="rId4"/>
    <sheet name="II_3_2 Liabilities banks" sheetId="5" r:id="rId5"/>
    <sheet name="II_4_1 Assets Microfinance" sheetId="6" r:id="rId6"/>
    <sheet name="II_4_2 Liabilities Microfinance" sheetId="7" r:id="rId7"/>
    <sheet name="II_5_1 Assets MS" sheetId="8" r:id="rId8"/>
    <sheet name="II_5_2 Liabilities MS" sheetId="9" r:id="rId9"/>
    <sheet name="II_6 Monetary base" sheetId="10" r:id="rId10"/>
    <sheet name="II_7_1 Assets Fcial intermediar" sheetId="11" r:id="rId11"/>
    <sheet name="II_7_2 Liabilities Fcial interm" sheetId="12" r:id="rId12"/>
    <sheet name="II_8_1 Assets Financial system" sheetId="13" r:id="rId13"/>
    <sheet name="II_8_2 Liabilities Fcial system" sheetId="14" r:id="rId14"/>
    <sheet name="II_9 Banking liquidity" sheetId="17" r:id="rId15"/>
    <sheet name="II_10_1 Domestic currency depos" sheetId="15" r:id="rId16"/>
    <sheet name="II_10_2 Foreign currency deposi" sheetId="16" r:id="rId17"/>
    <sheet name="II_11 Deposits &amp; other time dep" sheetId="18" r:id="rId18"/>
    <sheet name="II_12 Banking system risk" sheetId="19" r:id="rId19"/>
    <sheet name="II_13 Loans by activity sector" sheetId="20" r:id="rId20"/>
    <sheet name="II_14 Loans per term" sheetId="21" r:id="rId21"/>
    <sheet name="II_15 Lending rates" sheetId="22" r:id="rId22"/>
    <sheet name="II_16 Deposit rates" sheetId="23" r:id="rId23"/>
    <sheet name="II_17 Cleaning house activity" sheetId="24" r:id="rId24"/>
    <sheet name="II_18 Gov Securities rates" sheetId="25" r:id="rId25"/>
    <sheet name="II_19 Refincing operation rates" sheetId="26" r:id="rId26"/>
  </sheets>
  <definedNames>
    <definedName name="_xlnm.Print_Area" localSheetId="0">'II_1 Net foreign assets'!$A$1:$Q$193</definedName>
    <definedName name="_xlnm.Print_Area" localSheetId="16">'II_10_2 Foreign currency deposi'!$A$1:$M$190</definedName>
    <definedName name="_xlnm.Print_Area" localSheetId="17">'II_11 Deposits &amp; other time dep'!$A$1:$N$187</definedName>
    <definedName name="_xlnm.Print_Area" localSheetId="18">'II_12 Banking system risk'!$A$1:$O$205</definedName>
    <definedName name="_xlnm.Print_Area" localSheetId="19">'II_13 Loans by activity sector'!$A$1:$K$182</definedName>
    <definedName name="_xlnm.Print_Area" localSheetId="20">'II_14 Loans per term'!$A$1:$I$185</definedName>
    <definedName name="_xlnm.Print_Area" localSheetId="21">'II_15 Lending rates'!$A$1:$M$278</definedName>
    <definedName name="_xlnm.Print_Area" localSheetId="22">'II_16 Deposit rates'!$A$1:$V$279</definedName>
    <definedName name="_xlnm.Print_Area" localSheetId="23">'II_17 Cleaning house activity'!$A$1:$C$277</definedName>
    <definedName name="_xlnm.Print_Area" localSheetId="25">'II_19 Refincing operation rates'!$A$1:$C$274</definedName>
    <definedName name="_xlnm.Print_Area" localSheetId="1">'II_2_1 Assets_BRB'!$A$1:$S$188</definedName>
    <definedName name="_xlnm.Print_Area" localSheetId="2">'II_2_2 Liabilities BRB'!$A$1:$S$188</definedName>
    <definedName name="_xlnm.Print_Area" localSheetId="3">'II_3_1 Assets Banks'!$A$1:$U$191</definedName>
    <definedName name="_xlnm.Print_Area" localSheetId="4">'II_3_2 Liabilities banks'!$A$1:$S$190</definedName>
    <definedName name="_xlnm.Print_Area" localSheetId="6">'II_4_2 Liabilities Microfinance'!$A$1:$O$147</definedName>
    <definedName name="_xlnm.Print_Area" localSheetId="7">'II_5_1 Assets MS'!$A$1:$W$192</definedName>
    <definedName name="_xlnm.Print_Area" localSheetId="8">'II_5_2 Liabilities MS'!$A$1:$O$195</definedName>
    <definedName name="_xlnm.Print_Area" localSheetId="9">'II_6 Monetary base'!$A$1:$U$188</definedName>
    <definedName name="_xlnm.Print_Area" localSheetId="10">'II_7_1 Assets Fcial intermediar'!$A$1:$L$261</definedName>
    <definedName name="_xlnm.Print_Area" localSheetId="11">'II_7_2 Liabilities Fcial interm'!$A$1:$I$263</definedName>
    <definedName name="_xlnm.Print_Area" localSheetId="12">'II_8_1 Assets Financial system'!$A$1:$R$193</definedName>
    <definedName name="_xlnm.Print_Area" localSheetId="13">'II_8_2 Liabilities Fcial system'!$A$1:$N$190</definedName>
    <definedName name="_xlnm.Print_Area" localSheetId="14">'II_9 Banking liquidity'!$A$1:$I$185</definedName>
    <definedName name="Zone_impres_MI">'II_1 Net foreign assets'!$A$1:$Q$192</definedName>
  </definedNames>
  <calcPr calcId="152511"/>
</workbook>
</file>

<file path=xl/calcChain.xml><?xml version="1.0" encoding="utf-8"?>
<calcChain xmlns="http://schemas.openxmlformats.org/spreadsheetml/2006/main">
  <c r="M185" i="16" l="1"/>
  <c r="H185" i="16"/>
  <c r="M184" i="16"/>
  <c r="H184" i="16"/>
  <c r="M183" i="16"/>
  <c r="H183" i="16"/>
  <c r="M182" i="16"/>
  <c r="H182" i="16"/>
  <c r="M181" i="16"/>
  <c r="H181" i="16"/>
  <c r="M180" i="16"/>
  <c r="H180" i="16"/>
  <c r="M179" i="16"/>
  <c r="H179" i="16"/>
  <c r="M177" i="16"/>
  <c r="H177" i="16"/>
  <c r="M176" i="16"/>
  <c r="H176" i="16"/>
  <c r="M175" i="16"/>
  <c r="H175" i="16"/>
  <c r="M174" i="16"/>
  <c r="L174" i="16"/>
  <c r="K174" i="16"/>
  <c r="H174" i="16"/>
  <c r="M173" i="16"/>
  <c r="H173" i="16"/>
  <c r="M172" i="16"/>
  <c r="H172" i="16"/>
  <c r="M171" i="16"/>
  <c r="H171" i="16"/>
  <c r="M170" i="16"/>
  <c r="H170" i="16"/>
  <c r="M169" i="16"/>
  <c r="H169" i="16"/>
  <c r="M168" i="16"/>
  <c r="H168" i="16"/>
  <c r="M167" i="16"/>
  <c r="H167" i="16"/>
  <c r="M166" i="16"/>
  <c r="H166" i="16"/>
  <c r="M164" i="16"/>
  <c r="H164" i="16"/>
  <c r="M163" i="16"/>
  <c r="H163" i="16"/>
  <c r="M162" i="16"/>
  <c r="H162" i="16"/>
  <c r="M161" i="16"/>
  <c r="H161" i="16"/>
  <c r="M160" i="16"/>
  <c r="H160" i="16"/>
  <c r="M159" i="16"/>
  <c r="H159" i="16"/>
  <c r="M158" i="16"/>
  <c r="H158" i="16"/>
  <c r="M157" i="16"/>
  <c r="H157" i="16"/>
  <c r="M156" i="16"/>
  <c r="H156" i="16"/>
  <c r="M155" i="16"/>
  <c r="H155" i="16"/>
  <c r="M154" i="16"/>
  <c r="H154" i="16"/>
  <c r="M153" i="16"/>
  <c r="H153" i="16"/>
  <c r="M152" i="16"/>
  <c r="M151" i="16"/>
  <c r="H151" i="16"/>
  <c r="M150" i="16"/>
  <c r="H150" i="16"/>
  <c r="M149" i="16"/>
  <c r="H149" i="16"/>
  <c r="M148" i="16"/>
  <c r="H148" i="16"/>
  <c r="M147" i="16"/>
  <c r="H147" i="16"/>
  <c r="M146" i="16"/>
  <c r="H146" i="16"/>
  <c r="M145" i="16"/>
  <c r="H145" i="16"/>
  <c r="M144" i="16"/>
  <c r="H144" i="16"/>
  <c r="M143" i="16"/>
  <c r="H143" i="16"/>
  <c r="M142" i="16"/>
  <c r="H142" i="16"/>
  <c r="M141" i="16"/>
  <c r="H141" i="16"/>
  <c r="M140" i="16"/>
  <c r="H140" i="16"/>
  <c r="M139" i="16"/>
  <c r="M138" i="16"/>
  <c r="H138" i="16"/>
  <c r="M137" i="16"/>
  <c r="H137" i="16"/>
  <c r="M136" i="16"/>
  <c r="H136" i="16"/>
  <c r="M135" i="16"/>
  <c r="H135" i="16"/>
  <c r="M134" i="16"/>
  <c r="H134" i="16"/>
  <c r="M133" i="16"/>
  <c r="H133" i="16"/>
  <c r="M132" i="16"/>
  <c r="H132" i="16"/>
  <c r="M131" i="16"/>
  <c r="H131" i="16"/>
  <c r="M130" i="16"/>
  <c r="H130" i="16"/>
  <c r="M129" i="16"/>
  <c r="H129" i="16"/>
  <c r="M128" i="16"/>
  <c r="H128" i="16"/>
  <c r="M127" i="16"/>
  <c r="H127" i="16"/>
  <c r="M126" i="16"/>
  <c r="M125" i="16"/>
  <c r="H125" i="16"/>
  <c r="M124" i="16"/>
  <c r="H124" i="16"/>
  <c r="M123" i="16"/>
  <c r="H123" i="16"/>
  <c r="M122" i="16"/>
  <c r="H122" i="16"/>
  <c r="M121" i="16"/>
  <c r="H121" i="16"/>
  <c r="M120" i="16"/>
  <c r="H120" i="16"/>
  <c r="M119" i="16"/>
  <c r="H119" i="16"/>
  <c r="M118" i="16"/>
  <c r="H118" i="16"/>
  <c r="M117" i="16"/>
  <c r="H117" i="16"/>
  <c r="M116" i="16"/>
  <c r="H116" i="16"/>
  <c r="M115" i="16"/>
  <c r="H115" i="16"/>
  <c r="M114" i="16"/>
  <c r="H114" i="16"/>
  <c r="M113" i="16"/>
  <c r="M112" i="16"/>
  <c r="H112" i="16"/>
  <c r="M111" i="16"/>
  <c r="H111" i="16"/>
  <c r="M110" i="16"/>
  <c r="H110" i="16"/>
  <c r="M109" i="16"/>
  <c r="H109" i="16"/>
  <c r="M108" i="16"/>
  <c r="H108" i="16"/>
  <c r="M107" i="16"/>
  <c r="H107" i="16"/>
  <c r="M106" i="16"/>
  <c r="H106" i="16"/>
  <c r="M105" i="16"/>
  <c r="H105" i="16"/>
  <c r="M104" i="16"/>
  <c r="H104" i="16"/>
  <c r="M103" i="16"/>
  <c r="H103" i="16"/>
  <c r="M102" i="16"/>
  <c r="H102" i="16"/>
  <c r="M101" i="16"/>
  <c r="H101" i="16"/>
  <c r="M100" i="16"/>
  <c r="M99" i="16"/>
  <c r="H99" i="16"/>
  <c r="M98" i="16"/>
  <c r="H98" i="16"/>
  <c r="M97" i="16"/>
  <c r="H97" i="16"/>
  <c r="M96" i="16"/>
  <c r="H96" i="16"/>
  <c r="M95" i="16"/>
  <c r="H95" i="16"/>
  <c r="M94" i="16"/>
  <c r="H94" i="16"/>
  <c r="M93" i="16"/>
  <c r="H93" i="16"/>
  <c r="M92" i="16"/>
  <c r="H92" i="16"/>
  <c r="M91" i="16"/>
  <c r="H91" i="16"/>
  <c r="M90" i="16"/>
  <c r="H90" i="16"/>
  <c r="M89" i="16"/>
  <c r="H89" i="16"/>
  <c r="M88" i="16"/>
  <c r="H88" i="16"/>
  <c r="M87" i="16"/>
  <c r="M86" i="16"/>
  <c r="H86" i="16"/>
  <c r="M85" i="16"/>
  <c r="H85" i="16"/>
  <c r="M84" i="16"/>
  <c r="H84" i="16"/>
  <c r="M83" i="16"/>
  <c r="H83" i="16"/>
  <c r="M82" i="16"/>
  <c r="H82" i="16"/>
  <c r="M81" i="16"/>
  <c r="H81" i="16"/>
  <c r="M80" i="16"/>
  <c r="H80" i="16"/>
  <c r="M79" i="16"/>
  <c r="H79" i="16"/>
  <c r="M78" i="16"/>
  <c r="H78" i="16"/>
  <c r="M77" i="16"/>
  <c r="H77" i="16"/>
  <c r="M76" i="16"/>
  <c r="H76" i="16"/>
  <c r="M75" i="16"/>
  <c r="H75" i="16"/>
  <c r="M74" i="16"/>
  <c r="M73" i="16"/>
  <c r="H73" i="16"/>
  <c r="M72" i="16"/>
  <c r="H72" i="16"/>
  <c r="M71" i="16"/>
  <c r="H71" i="16"/>
  <c r="M70" i="16"/>
  <c r="H70" i="16"/>
  <c r="M69" i="16"/>
  <c r="H69" i="16"/>
  <c r="M68" i="16"/>
  <c r="H68" i="16"/>
  <c r="M67" i="16"/>
  <c r="H67" i="16"/>
  <c r="M66" i="16"/>
  <c r="H66" i="16"/>
  <c r="M65" i="16"/>
  <c r="H65" i="16"/>
  <c r="M64" i="16"/>
  <c r="H64" i="16"/>
  <c r="M63" i="16"/>
  <c r="H63" i="16"/>
  <c r="M62" i="16"/>
  <c r="H62" i="16"/>
  <c r="M61" i="16"/>
  <c r="M60" i="16"/>
  <c r="H60" i="16"/>
  <c r="M59" i="16"/>
  <c r="H59" i="16"/>
  <c r="M58" i="16"/>
  <c r="H58" i="16"/>
  <c r="M57" i="16"/>
  <c r="H57" i="16"/>
  <c r="M56" i="16"/>
  <c r="H56" i="16"/>
  <c r="M55" i="16"/>
  <c r="H55" i="16"/>
  <c r="M54" i="16"/>
  <c r="H54" i="16"/>
  <c r="M53" i="16"/>
  <c r="H53" i="16"/>
  <c r="M52" i="16"/>
  <c r="H52" i="16"/>
  <c r="M51" i="16"/>
  <c r="H51" i="16"/>
  <c r="M50" i="16"/>
  <c r="H50" i="16"/>
  <c r="M49" i="16"/>
  <c r="H49" i="16"/>
  <c r="M44" i="16"/>
  <c r="H44" i="16"/>
  <c r="M43" i="16"/>
  <c r="M42" i="16"/>
  <c r="M41" i="16"/>
  <c r="M39" i="16"/>
  <c r="M38" i="16"/>
  <c r="M37" i="16"/>
  <c r="M36" i="16"/>
  <c r="M34" i="16"/>
  <c r="M33" i="16"/>
  <c r="M32" i="16"/>
  <c r="M31" i="16"/>
  <c r="M30" i="16"/>
  <c r="M29" i="16"/>
  <c r="M28" i="16"/>
  <c r="M27" i="16"/>
  <c r="M26" i="16"/>
  <c r="M24" i="16"/>
  <c r="F181" i="17"/>
  <c r="F180" i="17"/>
  <c r="F179" i="17"/>
  <c r="F178" i="17"/>
  <c r="F177" i="17"/>
  <c r="F176" i="17"/>
  <c r="F175" i="17"/>
  <c r="F173" i="17"/>
  <c r="E172" i="17"/>
  <c r="F172" i="17" s="1"/>
  <c r="E171" i="17"/>
  <c r="F171" i="17" s="1"/>
  <c r="F170" i="17"/>
  <c r="F169" i="17"/>
  <c r="F168" i="17"/>
  <c r="F167" i="17"/>
  <c r="F166" i="17"/>
  <c r="F165" i="17"/>
  <c r="F164" i="17"/>
  <c r="F163" i="17"/>
  <c r="F162" i="17"/>
  <c r="F160" i="17"/>
  <c r="E160" i="17"/>
  <c r="F159" i="17"/>
  <c r="E159" i="17"/>
  <c r="E158" i="17"/>
  <c r="F158" i="17" s="1"/>
  <c r="F157" i="17"/>
  <c r="E157" i="17"/>
  <c r="F156" i="17"/>
  <c r="E156" i="17"/>
  <c r="F155" i="17"/>
  <c r="E155" i="17"/>
  <c r="F154" i="17"/>
  <c r="E154" i="17"/>
  <c r="F153" i="17"/>
  <c r="E153" i="17"/>
  <c r="F152" i="17"/>
  <c r="E152" i="17"/>
  <c r="F151" i="17"/>
  <c r="E151" i="17"/>
  <c r="F150" i="17"/>
  <c r="E150" i="17"/>
  <c r="F149" i="17"/>
  <c r="E149" i="17"/>
  <c r="F147" i="17"/>
  <c r="E147" i="17"/>
  <c r="F146" i="17"/>
  <c r="E146" i="17"/>
  <c r="F145" i="17"/>
  <c r="E145" i="17"/>
  <c r="F144" i="17"/>
  <c r="E144" i="17"/>
  <c r="F143" i="17"/>
  <c r="E143" i="17"/>
  <c r="F142" i="17"/>
  <c r="E142" i="17"/>
  <c r="F141" i="17"/>
  <c r="E141" i="17"/>
  <c r="F140" i="17"/>
  <c r="E140" i="17"/>
  <c r="F139" i="17"/>
  <c r="E139" i="17"/>
  <c r="F138" i="17"/>
  <c r="E138" i="17"/>
  <c r="F137" i="17"/>
  <c r="E137" i="17"/>
  <c r="F136" i="17"/>
  <c r="E136" i="17"/>
  <c r="F134" i="17"/>
  <c r="E134" i="17"/>
  <c r="F133" i="17"/>
  <c r="E133" i="17"/>
  <c r="F132" i="17"/>
  <c r="E132" i="17"/>
  <c r="F131" i="17"/>
  <c r="E131" i="17"/>
  <c r="F130" i="17"/>
  <c r="E130" i="17"/>
  <c r="F129" i="17"/>
  <c r="E129" i="17"/>
  <c r="F128" i="17"/>
  <c r="E128" i="17"/>
  <c r="F127" i="17"/>
  <c r="E127" i="17"/>
  <c r="F126" i="17"/>
  <c r="E126" i="17"/>
  <c r="F125" i="17"/>
  <c r="E125" i="17"/>
  <c r="C125" i="17"/>
  <c r="E124" i="17"/>
  <c r="F124" i="17" s="1"/>
  <c r="C124" i="17"/>
  <c r="F123" i="17"/>
  <c r="E123" i="17"/>
  <c r="F121" i="17"/>
  <c r="E121" i="17"/>
  <c r="F120" i="17"/>
  <c r="E120" i="17"/>
  <c r="F119" i="17"/>
  <c r="E119" i="17"/>
  <c r="F118" i="17"/>
  <c r="E118" i="17"/>
  <c r="F117" i="17"/>
  <c r="E117" i="17"/>
  <c r="F116" i="17"/>
  <c r="E116" i="17"/>
  <c r="F115" i="17"/>
  <c r="E115" i="17"/>
  <c r="F114" i="17"/>
  <c r="E114" i="17"/>
  <c r="F113" i="17"/>
  <c r="E113" i="17"/>
  <c r="F112" i="17"/>
  <c r="E112" i="17"/>
  <c r="F111" i="17"/>
  <c r="E111" i="17"/>
  <c r="F110" i="17"/>
  <c r="E110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E101" i="17"/>
  <c r="F100" i="17"/>
  <c r="E100" i="17"/>
  <c r="F99" i="17"/>
  <c r="E99" i="17"/>
  <c r="F98" i="17"/>
  <c r="E98" i="17"/>
  <c r="F97" i="17"/>
  <c r="E97" i="17"/>
  <c r="F95" i="17"/>
  <c r="E95" i="17"/>
  <c r="F94" i="17"/>
  <c r="E94" i="17"/>
  <c r="F93" i="17"/>
  <c r="E93" i="17"/>
  <c r="F92" i="17"/>
  <c r="E92" i="17"/>
  <c r="F91" i="17"/>
  <c r="E91" i="17"/>
  <c r="F90" i="17"/>
  <c r="E90" i="17"/>
  <c r="F89" i="17"/>
  <c r="E89" i="17"/>
  <c r="F88" i="17"/>
  <c r="E88" i="17"/>
  <c r="F87" i="17"/>
  <c r="E87" i="17"/>
  <c r="F86" i="17"/>
  <c r="E86" i="17"/>
  <c r="F85" i="17"/>
  <c r="E85" i="17"/>
  <c r="F84" i="17"/>
  <c r="E84" i="17"/>
  <c r="F82" i="17"/>
  <c r="E82" i="17"/>
  <c r="F81" i="17"/>
  <c r="E81" i="17"/>
  <c r="F80" i="17"/>
  <c r="E80" i="17"/>
  <c r="F79" i="17"/>
  <c r="E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F72" i="17"/>
  <c r="E72" i="17"/>
  <c r="F71" i="17"/>
  <c r="E71" i="17"/>
  <c r="F69" i="17"/>
  <c r="E69" i="17"/>
  <c r="F68" i="17"/>
  <c r="E68" i="17"/>
  <c r="F67" i="17"/>
  <c r="E67" i="17"/>
  <c r="F66" i="17"/>
  <c r="E66" i="17"/>
  <c r="F65" i="17"/>
  <c r="E65" i="17"/>
  <c r="F64" i="17"/>
  <c r="E64" i="17"/>
  <c r="F63" i="17"/>
  <c r="E63" i="17"/>
  <c r="F62" i="17"/>
  <c r="E62" i="17"/>
  <c r="F61" i="17"/>
  <c r="E61" i="17"/>
  <c r="F60" i="17"/>
  <c r="E60" i="17"/>
  <c r="F59" i="17"/>
  <c r="E59" i="17"/>
  <c r="F58" i="17"/>
  <c r="E58" i="17"/>
  <c r="F56" i="17"/>
  <c r="E56" i="17"/>
  <c r="F55" i="17"/>
  <c r="E55" i="17"/>
  <c r="F54" i="17"/>
  <c r="E54" i="17"/>
  <c r="F53" i="17"/>
  <c r="E53" i="17"/>
  <c r="F52" i="17"/>
  <c r="E52" i="17"/>
  <c r="F51" i="17"/>
  <c r="E51" i="17"/>
  <c r="F50" i="17"/>
  <c r="E50" i="17"/>
  <c r="F49" i="17"/>
  <c r="E49" i="17"/>
  <c r="F48" i="17"/>
  <c r="E48" i="17"/>
  <c r="F47" i="17"/>
  <c r="E47" i="17"/>
  <c r="F46" i="17"/>
  <c r="E46" i="17"/>
  <c r="F45" i="17"/>
  <c r="E45" i="17"/>
  <c r="F40" i="17"/>
  <c r="E35" i="17"/>
  <c r="F35" i="17" s="1"/>
  <c r="E34" i="17"/>
  <c r="F34" i="17" s="1"/>
  <c r="E33" i="17"/>
  <c r="F33" i="17" s="1"/>
  <c r="E32" i="17"/>
  <c r="F32" i="17" s="1"/>
  <c r="E30" i="17"/>
  <c r="F30" i="17" s="1"/>
  <c r="E29" i="17"/>
  <c r="F29" i="17" s="1"/>
  <c r="E28" i="17"/>
  <c r="F28" i="17" s="1"/>
  <c r="E27" i="17"/>
  <c r="F27" i="17" s="1"/>
  <c r="E25" i="17"/>
  <c r="F25" i="17" s="1"/>
  <c r="E24" i="17"/>
  <c r="F24" i="17" s="1"/>
  <c r="E23" i="17"/>
  <c r="F23" i="17" s="1"/>
  <c r="E22" i="17"/>
  <c r="F22" i="17" s="1"/>
  <c r="C22" i="17"/>
  <c r="F20" i="17"/>
  <c r="N184" i="14"/>
  <c r="M184" i="14"/>
  <c r="G184" i="14"/>
  <c r="N183" i="14"/>
  <c r="M183" i="14"/>
  <c r="G183" i="14"/>
  <c r="M182" i="14"/>
  <c r="N182" i="14" s="1"/>
  <c r="G182" i="14"/>
  <c r="M181" i="14"/>
  <c r="G181" i="14"/>
  <c r="N181" i="14" s="1"/>
  <c r="M180" i="14"/>
  <c r="N180" i="14" s="1"/>
  <c r="G180" i="14"/>
  <c r="N179" i="14"/>
  <c r="M179" i="14"/>
  <c r="G179" i="14"/>
  <c r="M178" i="14"/>
  <c r="N178" i="14" s="1"/>
  <c r="G178" i="14"/>
  <c r="M176" i="14"/>
  <c r="N176" i="14" s="1"/>
  <c r="G176" i="14"/>
  <c r="N175" i="14"/>
  <c r="M175" i="14"/>
  <c r="G175" i="14"/>
  <c r="N174" i="14"/>
  <c r="M174" i="14"/>
  <c r="G174" i="14"/>
  <c r="M173" i="14"/>
  <c r="N173" i="14" s="1"/>
  <c r="G173" i="14"/>
  <c r="M172" i="14"/>
  <c r="G172" i="14"/>
  <c r="N172" i="14" s="1"/>
  <c r="M171" i="14"/>
  <c r="G171" i="14"/>
  <c r="N171" i="14" s="1"/>
  <c r="N170" i="14"/>
  <c r="M170" i="14"/>
  <c r="G170" i="14"/>
  <c r="M169" i="14"/>
  <c r="N169" i="14" s="1"/>
  <c r="G169" i="14"/>
  <c r="M168" i="14"/>
  <c r="N168" i="14" s="1"/>
  <c r="G168" i="14"/>
  <c r="N167" i="14"/>
  <c r="M167" i="14"/>
  <c r="G167" i="14"/>
  <c r="N166" i="14"/>
  <c r="M166" i="14"/>
  <c r="G166" i="14"/>
  <c r="M165" i="14"/>
  <c r="N165" i="14" s="1"/>
  <c r="G165" i="14"/>
  <c r="M163" i="14"/>
  <c r="G163" i="14"/>
  <c r="N163" i="14" s="1"/>
  <c r="M162" i="14"/>
  <c r="G162" i="14"/>
  <c r="N162" i="14" s="1"/>
  <c r="N161" i="14"/>
  <c r="M161" i="14"/>
  <c r="G161" i="14"/>
  <c r="M160" i="14"/>
  <c r="N160" i="14" s="1"/>
  <c r="G160" i="14"/>
  <c r="M159" i="14"/>
  <c r="N159" i="14" s="1"/>
  <c r="G159" i="14"/>
  <c r="N158" i="14"/>
  <c r="M158" i="14"/>
  <c r="G158" i="14"/>
  <c r="N157" i="14"/>
  <c r="M157" i="14"/>
  <c r="G157" i="14"/>
  <c r="M156" i="14"/>
  <c r="N156" i="14" s="1"/>
  <c r="G156" i="14"/>
  <c r="M155" i="14"/>
  <c r="N155" i="14" s="1"/>
  <c r="G155" i="14"/>
  <c r="M154" i="14"/>
  <c r="N154" i="14" s="1"/>
  <c r="G154" i="14"/>
  <c r="N153" i="14"/>
  <c r="M153" i="14"/>
  <c r="G153" i="14"/>
  <c r="M152" i="14"/>
  <c r="N152" i="14" s="1"/>
  <c r="G152" i="14"/>
  <c r="M150" i="14"/>
  <c r="N150" i="14" s="1"/>
  <c r="G150" i="14"/>
  <c r="N149" i="14"/>
  <c r="M149" i="14"/>
  <c r="G149" i="14"/>
  <c r="N148" i="14"/>
  <c r="M148" i="14"/>
  <c r="G148" i="14"/>
  <c r="M147" i="14"/>
  <c r="N147" i="14" s="1"/>
  <c r="G147" i="14"/>
  <c r="M146" i="14"/>
  <c r="N146" i="14" s="1"/>
  <c r="G146" i="14"/>
  <c r="M145" i="14"/>
  <c r="N145" i="14" s="1"/>
  <c r="G145" i="14"/>
  <c r="N144" i="14"/>
  <c r="M144" i="14"/>
  <c r="G144" i="14"/>
  <c r="M143" i="14"/>
  <c r="N143" i="14" s="1"/>
  <c r="G143" i="14"/>
  <c r="M142" i="14"/>
  <c r="N142" i="14" s="1"/>
  <c r="G142" i="14"/>
  <c r="N141" i="14"/>
  <c r="M141" i="14"/>
  <c r="G141" i="14"/>
  <c r="N140" i="14"/>
  <c r="M140" i="14"/>
  <c r="G140" i="14"/>
  <c r="M139" i="14"/>
  <c r="N139" i="14" s="1"/>
  <c r="G139" i="14"/>
  <c r="M137" i="14"/>
  <c r="N137" i="14" s="1"/>
  <c r="G137" i="14"/>
  <c r="M136" i="14"/>
  <c r="N136" i="14" s="1"/>
  <c r="G136" i="14"/>
  <c r="N135" i="14"/>
  <c r="M135" i="14"/>
  <c r="G135" i="14"/>
  <c r="M134" i="14"/>
  <c r="N134" i="14" s="1"/>
  <c r="G134" i="14"/>
  <c r="M133" i="14"/>
  <c r="G133" i="14"/>
  <c r="N133" i="14" s="1"/>
  <c r="N132" i="14"/>
  <c r="M132" i="14"/>
  <c r="G132" i="14"/>
  <c r="N131" i="14"/>
  <c r="M131" i="14"/>
  <c r="G131" i="14"/>
  <c r="M130" i="14"/>
  <c r="N130" i="14" s="1"/>
  <c r="G130" i="14"/>
  <c r="M129" i="14"/>
  <c r="N129" i="14" s="1"/>
  <c r="G129" i="14"/>
  <c r="M128" i="14"/>
  <c r="N128" i="14" s="1"/>
  <c r="G128" i="14"/>
  <c r="N127" i="14"/>
  <c r="M127" i="14"/>
  <c r="G127" i="14"/>
  <c r="M126" i="14"/>
  <c r="N126" i="14" s="1"/>
  <c r="G126" i="14"/>
  <c r="M124" i="14"/>
  <c r="N124" i="14" s="1"/>
  <c r="G124" i="14"/>
  <c r="N123" i="14"/>
  <c r="M123" i="14"/>
  <c r="G123" i="14"/>
  <c r="N122" i="14"/>
  <c r="M122" i="14"/>
  <c r="G122" i="14"/>
  <c r="M121" i="14"/>
  <c r="N121" i="14" s="1"/>
  <c r="G121" i="14"/>
  <c r="M120" i="14"/>
  <c r="G120" i="14"/>
  <c r="N120" i="14" s="1"/>
  <c r="M119" i="14"/>
  <c r="N119" i="14" s="1"/>
  <c r="G119" i="14"/>
  <c r="N118" i="14"/>
  <c r="M118" i="14"/>
  <c r="G118" i="14"/>
  <c r="M117" i="14"/>
  <c r="N117" i="14" s="1"/>
  <c r="G117" i="14"/>
  <c r="M116" i="14"/>
  <c r="N116" i="14" s="1"/>
  <c r="G116" i="14"/>
  <c r="N115" i="14"/>
  <c r="M115" i="14"/>
  <c r="G115" i="14"/>
  <c r="N114" i="14"/>
  <c r="M114" i="14"/>
  <c r="G114" i="14"/>
  <c r="M113" i="14"/>
  <c r="N113" i="14" s="1"/>
  <c r="G113" i="14"/>
  <c r="M111" i="14"/>
  <c r="N111" i="14" s="1"/>
  <c r="G111" i="14"/>
  <c r="M110" i="14"/>
  <c r="N110" i="14" s="1"/>
  <c r="G110" i="14"/>
  <c r="N109" i="14"/>
  <c r="M109" i="14"/>
  <c r="G109" i="14"/>
  <c r="M108" i="14"/>
  <c r="N108" i="14" s="1"/>
  <c r="G108" i="14"/>
  <c r="M107" i="14"/>
  <c r="N107" i="14" s="1"/>
  <c r="G107" i="14"/>
  <c r="N106" i="14"/>
  <c r="M106" i="14"/>
  <c r="G106" i="14"/>
  <c r="N105" i="14"/>
  <c r="M105" i="14"/>
  <c r="G105" i="14"/>
  <c r="M104" i="14"/>
  <c r="N104" i="14" s="1"/>
  <c r="G104" i="14"/>
  <c r="M103" i="14"/>
  <c r="N103" i="14" s="1"/>
  <c r="G103" i="14"/>
  <c r="M102" i="14"/>
  <c r="N102" i="14" s="1"/>
  <c r="G102" i="14"/>
  <c r="N101" i="14"/>
  <c r="M101" i="14"/>
  <c r="G101" i="14"/>
  <c r="M100" i="14"/>
  <c r="N100" i="14" s="1"/>
  <c r="G100" i="14"/>
  <c r="M98" i="14"/>
  <c r="N98" i="14" s="1"/>
  <c r="G98" i="14"/>
  <c r="N97" i="14"/>
  <c r="M97" i="14"/>
  <c r="G97" i="14"/>
  <c r="N96" i="14"/>
  <c r="M96" i="14"/>
  <c r="G96" i="14"/>
  <c r="M95" i="14"/>
  <c r="N95" i="14" s="1"/>
  <c r="G95" i="14"/>
  <c r="M94" i="14"/>
  <c r="N94" i="14" s="1"/>
  <c r="G94" i="14"/>
  <c r="M93" i="14"/>
  <c r="N93" i="14" s="1"/>
  <c r="G93" i="14"/>
  <c r="N92" i="14"/>
  <c r="M92" i="14"/>
  <c r="G92" i="14"/>
  <c r="M91" i="14"/>
  <c r="N91" i="14" s="1"/>
  <c r="G91" i="14"/>
  <c r="M90" i="14"/>
  <c r="N90" i="14" s="1"/>
  <c r="G90" i="14"/>
  <c r="N89" i="14"/>
  <c r="M89" i="14"/>
  <c r="G89" i="14"/>
  <c r="N88" i="14"/>
  <c r="M88" i="14"/>
  <c r="G88" i="14"/>
  <c r="M87" i="14"/>
  <c r="N87" i="14" s="1"/>
  <c r="G87" i="14"/>
  <c r="M85" i="14"/>
  <c r="N85" i="14" s="1"/>
  <c r="G85" i="14"/>
  <c r="M84" i="14"/>
  <c r="N84" i="14" s="1"/>
  <c r="G84" i="14"/>
  <c r="N83" i="14"/>
  <c r="M83" i="14"/>
  <c r="G83" i="14"/>
  <c r="M82" i="14"/>
  <c r="N82" i="14" s="1"/>
  <c r="G82" i="14"/>
  <c r="M81" i="14"/>
  <c r="N81" i="14" s="1"/>
  <c r="G81" i="14"/>
  <c r="N80" i="14"/>
  <c r="M80" i="14"/>
  <c r="G80" i="14"/>
  <c r="N79" i="14"/>
  <c r="M79" i="14"/>
  <c r="G79" i="14"/>
  <c r="M78" i="14"/>
  <c r="N78" i="14" s="1"/>
  <c r="G78" i="14"/>
  <c r="M77" i="14"/>
  <c r="N77" i="14" s="1"/>
  <c r="G77" i="14"/>
  <c r="M76" i="14"/>
  <c r="N76" i="14" s="1"/>
  <c r="G76" i="14"/>
  <c r="N75" i="14"/>
  <c r="M75" i="14"/>
  <c r="G75" i="14"/>
  <c r="M74" i="14"/>
  <c r="N74" i="14" s="1"/>
  <c r="G74" i="14"/>
  <c r="M72" i="14"/>
  <c r="N72" i="14" s="1"/>
  <c r="G72" i="14"/>
  <c r="N71" i="14"/>
  <c r="M71" i="14"/>
  <c r="G71" i="14"/>
  <c r="N70" i="14"/>
  <c r="M70" i="14"/>
  <c r="G70" i="14"/>
  <c r="M69" i="14"/>
  <c r="N69" i="14" s="1"/>
  <c r="G69" i="14"/>
  <c r="M68" i="14"/>
  <c r="N68" i="14" s="1"/>
  <c r="G68" i="14"/>
  <c r="M67" i="14"/>
  <c r="N67" i="14" s="1"/>
  <c r="G67" i="14"/>
  <c r="N66" i="14"/>
  <c r="M66" i="14"/>
  <c r="G66" i="14"/>
  <c r="M65" i="14"/>
  <c r="N65" i="14" s="1"/>
  <c r="G65" i="14"/>
  <c r="M64" i="14"/>
  <c r="N64" i="14" s="1"/>
  <c r="G64" i="14"/>
  <c r="N63" i="14"/>
  <c r="M63" i="14"/>
  <c r="G63" i="14"/>
  <c r="N62" i="14"/>
  <c r="M62" i="14"/>
  <c r="G62" i="14"/>
  <c r="M61" i="14"/>
  <c r="N61" i="14" s="1"/>
  <c r="G61" i="14"/>
  <c r="M59" i="14"/>
  <c r="N59" i="14" s="1"/>
  <c r="G59" i="14"/>
  <c r="M58" i="14"/>
  <c r="N58" i="14" s="1"/>
  <c r="G58" i="14"/>
  <c r="N57" i="14"/>
  <c r="M57" i="14"/>
  <c r="G57" i="14"/>
  <c r="M56" i="14"/>
  <c r="N56" i="14" s="1"/>
  <c r="G56" i="14"/>
  <c r="M55" i="14"/>
  <c r="N55" i="14" s="1"/>
  <c r="G55" i="14"/>
  <c r="N54" i="14"/>
  <c r="M54" i="14"/>
  <c r="G54" i="14"/>
  <c r="N53" i="14"/>
  <c r="M53" i="14"/>
  <c r="G53" i="14"/>
  <c r="M52" i="14"/>
  <c r="N52" i="14" s="1"/>
  <c r="G52" i="14"/>
  <c r="M51" i="14"/>
  <c r="N51" i="14" s="1"/>
  <c r="G51" i="14"/>
  <c r="M50" i="14"/>
  <c r="N50" i="14" s="1"/>
  <c r="G50" i="14"/>
  <c r="N49" i="14"/>
  <c r="M49" i="14"/>
  <c r="G49" i="14"/>
  <c r="M48" i="14"/>
  <c r="N48" i="14" s="1"/>
  <c r="G48" i="14"/>
  <c r="M43" i="14"/>
  <c r="N43" i="14" s="1"/>
  <c r="G43" i="14"/>
  <c r="N23" i="14"/>
  <c r="M23" i="14"/>
  <c r="G23" i="14"/>
  <c r="Q188" i="13"/>
  <c r="P188" i="13"/>
  <c r="L188" i="13"/>
  <c r="D188" i="13"/>
  <c r="R188" i="13" s="1"/>
  <c r="Q187" i="13"/>
  <c r="P187" i="13"/>
  <c r="L187" i="13"/>
  <c r="D187" i="13"/>
  <c r="R187" i="13" s="1"/>
  <c r="P186" i="13"/>
  <c r="Q186" i="13" s="1"/>
  <c r="L186" i="13"/>
  <c r="D186" i="13"/>
  <c r="P185" i="13"/>
  <c r="Q185" i="13" s="1"/>
  <c r="L185" i="13"/>
  <c r="D185" i="13"/>
  <c r="R185" i="13" s="1"/>
  <c r="P184" i="13"/>
  <c r="O184" i="13"/>
  <c r="L184" i="13"/>
  <c r="Q184" i="13" s="1"/>
  <c r="D184" i="13"/>
  <c r="P183" i="13"/>
  <c r="Q183" i="13" s="1"/>
  <c r="L183" i="13"/>
  <c r="D183" i="13"/>
  <c r="R183" i="13" s="1"/>
  <c r="P182" i="13"/>
  <c r="Q182" i="13" s="1"/>
  <c r="L182" i="13"/>
  <c r="D182" i="13"/>
  <c r="R182" i="13" s="1"/>
  <c r="P180" i="13"/>
  <c r="L180" i="13"/>
  <c r="Q180" i="13" s="1"/>
  <c r="R180" i="13" s="1"/>
  <c r="D180" i="13"/>
  <c r="P179" i="13"/>
  <c r="L179" i="13"/>
  <c r="Q179" i="13" s="1"/>
  <c r="R179" i="13" s="1"/>
  <c r="F179" i="13"/>
  <c r="D179" i="13"/>
  <c r="P178" i="13"/>
  <c r="F178" i="13"/>
  <c r="L178" i="13" s="1"/>
  <c r="Q178" i="13" s="1"/>
  <c r="D178" i="13"/>
  <c r="P177" i="13"/>
  <c r="F177" i="13"/>
  <c r="L177" i="13" s="1"/>
  <c r="Q177" i="13" s="1"/>
  <c r="D177" i="13"/>
  <c r="R177" i="13" s="1"/>
  <c r="Q176" i="13"/>
  <c r="R176" i="13" s="1"/>
  <c r="P176" i="13"/>
  <c r="L176" i="13"/>
  <c r="F176" i="13"/>
  <c r="D176" i="13"/>
  <c r="P175" i="13"/>
  <c r="L175" i="13"/>
  <c r="Q175" i="13" s="1"/>
  <c r="R175" i="13" s="1"/>
  <c r="F175" i="13"/>
  <c r="D175" i="13"/>
  <c r="P174" i="13"/>
  <c r="F174" i="13"/>
  <c r="L174" i="13" s="1"/>
  <c r="Q174" i="13" s="1"/>
  <c r="D174" i="13"/>
  <c r="P173" i="13"/>
  <c r="F173" i="13"/>
  <c r="L173" i="13" s="1"/>
  <c r="Q173" i="13" s="1"/>
  <c r="D173" i="13"/>
  <c r="R173" i="13" s="1"/>
  <c r="Q172" i="13"/>
  <c r="R172" i="13" s="1"/>
  <c r="P172" i="13"/>
  <c r="L172" i="13"/>
  <c r="F172" i="13"/>
  <c r="D172" i="13"/>
  <c r="P171" i="13"/>
  <c r="L171" i="13"/>
  <c r="Q171" i="13" s="1"/>
  <c r="R171" i="13" s="1"/>
  <c r="D171" i="13"/>
  <c r="P170" i="13"/>
  <c r="L170" i="13"/>
  <c r="Q170" i="13" s="1"/>
  <c r="R170" i="13" s="1"/>
  <c r="D170" i="13"/>
  <c r="Q169" i="13"/>
  <c r="R169" i="13" s="1"/>
  <c r="P169" i="13"/>
  <c r="L169" i="13"/>
  <c r="D169" i="13"/>
  <c r="Q167" i="13"/>
  <c r="P167" i="13"/>
  <c r="L167" i="13"/>
  <c r="D167" i="13"/>
  <c r="R167" i="13" s="1"/>
  <c r="Q166" i="13"/>
  <c r="P166" i="13"/>
  <c r="L166" i="13"/>
  <c r="D166" i="13"/>
  <c r="R166" i="13" s="1"/>
  <c r="P165" i="13"/>
  <c r="Q165" i="13" s="1"/>
  <c r="L165" i="13"/>
  <c r="D165" i="13"/>
  <c r="R165" i="13" s="1"/>
  <c r="P164" i="13"/>
  <c r="Q164" i="13" s="1"/>
  <c r="L164" i="13"/>
  <c r="D164" i="13"/>
  <c r="R164" i="13" s="1"/>
  <c r="P163" i="13"/>
  <c r="L163" i="13"/>
  <c r="Q163" i="13" s="1"/>
  <c r="R163" i="13" s="1"/>
  <c r="D163" i="13"/>
  <c r="P162" i="13"/>
  <c r="L162" i="13"/>
  <c r="Q162" i="13" s="1"/>
  <c r="R162" i="13" s="1"/>
  <c r="D162" i="13"/>
  <c r="P161" i="13"/>
  <c r="L161" i="13"/>
  <c r="Q161" i="13" s="1"/>
  <c r="R161" i="13" s="1"/>
  <c r="D161" i="13"/>
  <c r="Q160" i="13"/>
  <c r="R160" i="13" s="1"/>
  <c r="P160" i="13"/>
  <c r="L160" i="13"/>
  <c r="D160" i="13"/>
  <c r="Q159" i="13"/>
  <c r="P159" i="13"/>
  <c r="L159" i="13"/>
  <c r="D159" i="13"/>
  <c r="R159" i="13" s="1"/>
  <c r="Q158" i="13"/>
  <c r="P158" i="13"/>
  <c r="L158" i="13"/>
  <c r="D158" i="13"/>
  <c r="R158" i="13" s="1"/>
  <c r="P157" i="13"/>
  <c r="Q157" i="13" s="1"/>
  <c r="L157" i="13"/>
  <c r="D157" i="13"/>
  <c r="R157" i="13" s="1"/>
  <c r="P156" i="13"/>
  <c r="Q156" i="13" s="1"/>
  <c r="L156" i="13"/>
  <c r="D156" i="13"/>
  <c r="P154" i="13"/>
  <c r="L154" i="13"/>
  <c r="Q154" i="13" s="1"/>
  <c r="R154" i="13" s="1"/>
  <c r="D154" i="13"/>
  <c r="P153" i="13"/>
  <c r="L153" i="13"/>
  <c r="Q153" i="13" s="1"/>
  <c r="R153" i="13" s="1"/>
  <c r="Q152" i="13"/>
  <c r="P152" i="13"/>
  <c r="L152" i="13"/>
  <c r="D152" i="13"/>
  <c r="R152" i="13" s="1"/>
  <c r="P151" i="13"/>
  <c r="Q151" i="13" s="1"/>
  <c r="L151" i="13"/>
  <c r="D151" i="13"/>
  <c r="R151" i="13" s="1"/>
  <c r="P150" i="13"/>
  <c r="Q150" i="13" s="1"/>
  <c r="L150" i="13"/>
  <c r="D150" i="13"/>
  <c r="P149" i="13"/>
  <c r="L149" i="13"/>
  <c r="Q149" i="13" s="1"/>
  <c r="R149" i="13" s="1"/>
  <c r="D149" i="13"/>
  <c r="P148" i="13"/>
  <c r="L148" i="13"/>
  <c r="Q148" i="13" s="1"/>
  <c r="R148" i="13" s="1"/>
  <c r="D148" i="13"/>
  <c r="P147" i="13"/>
  <c r="L147" i="13"/>
  <c r="Q147" i="13" s="1"/>
  <c r="R147" i="13" s="1"/>
  <c r="D147" i="13"/>
  <c r="Q146" i="13"/>
  <c r="R146" i="13" s="1"/>
  <c r="P146" i="13"/>
  <c r="L146" i="13"/>
  <c r="D146" i="13"/>
  <c r="Q145" i="13"/>
  <c r="P145" i="13"/>
  <c r="L145" i="13"/>
  <c r="D145" i="13"/>
  <c r="R145" i="13" s="1"/>
  <c r="Q144" i="13"/>
  <c r="P144" i="13"/>
  <c r="L144" i="13"/>
  <c r="D144" i="13"/>
  <c r="R144" i="13" s="1"/>
  <c r="P143" i="13"/>
  <c r="Q143" i="13" s="1"/>
  <c r="L143" i="13"/>
  <c r="D143" i="13"/>
  <c r="P141" i="13"/>
  <c r="Q141" i="13" s="1"/>
  <c r="L141" i="13"/>
  <c r="D141" i="13"/>
  <c r="R141" i="13" s="1"/>
  <c r="P140" i="13"/>
  <c r="L140" i="13"/>
  <c r="Q140" i="13" s="1"/>
  <c r="R140" i="13" s="1"/>
  <c r="D140" i="13"/>
  <c r="P139" i="13"/>
  <c r="L139" i="13"/>
  <c r="Q139" i="13" s="1"/>
  <c r="R139" i="13" s="1"/>
  <c r="D139" i="13"/>
  <c r="P138" i="13"/>
  <c r="L138" i="13"/>
  <c r="Q138" i="13" s="1"/>
  <c r="R138" i="13" s="1"/>
  <c r="D138" i="13"/>
  <c r="Q137" i="13"/>
  <c r="R137" i="13" s="1"/>
  <c r="P137" i="13"/>
  <c r="L137" i="13"/>
  <c r="D137" i="13"/>
  <c r="Q136" i="13"/>
  <c r="P136" i="13"/>
  <c r="L136" i="13"/>
  <c r="D136" i="13"/>
  <c r="R136" i="13" s="1"/>
  <c r="Q135" i="13"/>
  <c r="P135" i="13"/>
  <c r="L135" i="13"/>
  <c r="D135" i="13"/>
  <c r="R135" i="13" s="1"/>
  <c r="P134" i="13"/>
  <c r="Q134" i="13" s="1"/>
  <c r="L134" i="13"/>
  <c r="D134" i="13"/>
  <c r="R134" i="13" s="1"/>
  <c r="P133" i="13"/>
  <c r="Q133" i="13" s="1"/>
  <c r="L133" i="13"/>
  <c r="D133" i="13"/>
  <c r="R133" i="13" s="1"/>
  <c r="P132" i="13"/>
  <c r="L132" i="13"/>
  <c r="Q132" i="13" s="1"/>
  <c r="R132" i="13" s="1"/>
  <c r="D132" i="13"/>
  <c r="P131" i="13"/>
  <c r="L131" i="13"/>
  <c r="Q131" i="13" s="1"/>
  <c r="R131" i="13" s="1"/>
  <c r="D131" i="13"/>
  <c r="P130" i="13"/>
  <c r="L130" i="13"/>
  <c r="Q130" i="13" s="1"/>
  <c r="R130" i="13" s="1"/>
  <c r="D130" i="13"/>
  <c r="Q128" i="13"/>
  <c r="R128" i="13" s="1"/>
  <c r="P128" i="13"/>
  <c r="L128" i="13"/>
  <c r="D128" i="13"/>
  <c r="Q127" i="13"/>
  <c r="P127" i="13"/>
  <c r="L127" i="13"/>
  <c r="D127" i="13"/>
  <c r="R127" i="13" s="1"/>
  <c r="Q126" i="13"/>
  <c r="P126" i="13"/>
  <c r="L126" i="13"/>
  <c r="D126" i="13"/>
  <c r="R126" i="13" s="1"/>
  <c r="P125" i="13"/>
  <c r="Q125" i="13" s="1"/>
  <c r="L125" i="13"/>
  <c r="D125" i="13"/>
  <c r="R125" i="13" s="1"/>
  <c r="P124" i="13"/>
  <c r="Q124" i="13" s="1"/>
  <c r="L124" i="13"/>
  <c r="D124" i="13"/>
  <c r="P123" i="13"/>
  <c r="L123" i="13"/>
  <c r="Q123" i="13" s="1"/>
  <c r="R123" i="13" s="1"/>
  <c r="D123" i="13"/>
  <c r="P122" i="13"/>
  <c r="L122" i="13"/>
  <c r="Q122" i="13" s="1"/>
  <c r="R122" i="13" s="1"/>
  <c r="D122" i="13"/>
  <c r="P121" i="13"/>
  <c r="L121" i="13"/>
  <c r="Q121" i="13" s="1"/>
  <c r="R121" i="13" s="1"/>
  <c r="D121" i="13"/>
  <c r="Q120" i="13"/>
  <c r="R120" i="13" s="1"/>
  <c r="P120" i="13"/>
  <c r="L120" i="13"/>
  <c r="D120" i="13"/>
  <c r="Q119" i="13"/>
  <c r="P119" i="13"/>
  <c r="L119" i="13"/>
  <c r="D119" i="13"/>
  <c r="R119" i="13" s="1"/>
  <c r="Q118" i="13"/>
  <c r="P118" i="13"/>
  <c r="L118" i="13"/>
  <c r="D118" i="13"/>
  <c r="R118" i="13" s="1"/>
  <c r="P117" i="13"/>
  <c r="Q117" i="13" s="1"/>
  <c r="L117" i="13"/>
  <c r="D117" i="13"/>
  <c r="P115" i="13"/>
  <c r="L115" i="13"/>
  <c r="Q115" i="13" s="1"/>
  <c r="D115" i="13"/>
  <c r="P114" i="13"/>
  <c r="L114" i="13"/>
  <c r="Q114" i="13" s="1"/>
  <c r="R114" i="13" s="1"/>
  <c r="D114" i="13"/>
  <c r="P113" i="13"/>
  <c r="L113" i="13"/>
  <c r="Q113" i="13" s="1"/>
  <c r="R113" i="13" s="1"/>
  <c r="D113" i="13"/>
  <c r="P112" i="13"/>
  <c r="L112" i="13"/>
  <c r="Q112" i="13" s="1"/>
  <c r="R112" i="13" s="1"/>
  <c r="D112" i="13"/>
  <c r="Q111" i="13"/>
  <c r="R111" i="13" s="1"/>
  <c r="P111" i="13"/>
  <c r="L111" i="13"/>
  <c r="D111" i="13"/>
  <c r="Q110" i="13"/>
  <c r="P110" i="13"/>
  <c r="L110" i="13"/>
  <c r="D110" i="13"/>
  <c r="R110" i="13" s="1"/>
  <c r="Q109" i="13"/>
  <c r="P109" i="13"/>
  <c r="L109" i="13"/>
  <c r="D109" i="13"/>
  <c r="R109" i="13" s="1"/>
  <c r="P108" i="13"/>
  <c r="Q108" i="13" s="1"/>
  <c r="L108" i="13"/>
  <c r="D108" i="13"/>
  <c r="P107" i="13"/>
  <c r="L107" i="13"/>
  <c r="Q107" i="13" s="1"/>
  <c r="D107" i="13"/>
  <c r="P106" i="13"/>
  <c r="L106" i="13"/>
  <c r="Q106" i="13" s="1"/>
  <c r="R106" i="13" s="1"/>
  <c r="D106" i="13"/>
  <c r="P105" i="13"/>
  <c r="L105" i="13"/>
  <c r="Q105" i="13" s="1"/>
  <c r="R105" i="13" s="1"/>
  <c r="D105" i="13"/>
  <c r="P104" i="13"/>
  <c r="L104" i="13"/>
  <c r="Q104" i="13" s="1"/>
  <c r="R104" i="13" s="1"/>
  <c r="D104" i="13"/>
  <c r="Q102" i="13"/>
  <c r="R102" i="13" s="1"/>
  <c r="P102" i="13"/>
  <c r="L102" i="13"/>
  <c r="D102" i="13"/>
  <c r="Q101" i="13"/>
  <c r="P101" i="13"/>
  <c r="L101" i="13"/>
  <c r="D101" i="13"/>
  <c r="R101" i="13" s="1"/>
  <c r="Q100" i="13"/>
  <c r="P100" i="13"/>
  <c r="L100" i="13"/>
  <c r="D100" i="13"/>
  <c r="R100" i="13" s="1"/>
  <c r="P99" i="13"/>
  <c r="Q99" i="13" s="1"/>
  <c r="L99" i="13"/>
  <c r="D99" i="13"/>
  <c r="P98" i="13"/>
  <c r="L98" i="13"/>
  <c r="Q98" i="13" s="1"/>
  <c r="D98" i="13"/>
  <c r="R98" i="13" s="1"/>
  <c r="P97" i="13"/>
  <c r="L97" i="13"/>
  <c r="Q97" i="13" s="1"/>
  <c r="R97" i="13" s="1"/>
  <c r="D97" i="13"/>
  <c r="P96" i="13"/>
  <c r="L96" i="13"/>
  <c r="Q96" i="13" s="1"/>
  <c r="R96" i="13" s="1"/>
  <c r="D96" i="13"/>
  <c r="P95" i="13"/>
  <c r="L95" i="13"/>
  <c r="Q95" i="13" s="1"/>
  <c r="R95" i="13" s="1"/>
  <c r="D95" i="13"/>
  <c r="Q94" i="13"/>
  <c r="R94" i="13" s="1"/>
  <c r="P94" i="13"/>
  <c r="L94" i="13"/>
  <c r="D94" i="13"/>
  <c r="Q93" i="13"/>
  <c r="P93" i="13"/>
  <c r="L93" i="13"/>
  <c r="D93" i="13"/>
  <c r="R93" i="13" s="1"/>
  <c r="Q92" i="13"/>
  <c r="P92" i="13"/>
  <c r="L92" i="13"/>
  <c r="D92" i="13"/>
  <c r="R92" i="13" s="1"/>
  <c r="P91" i="13"/>
  <c r="Q91" i="13" s="1"/>
  <c r="L91" i="13"/>
  <c r="D91" i="13"/>
  <c r="R91" i="13" s="1"/>
  <c r="P89" i="13"/>
  <c r="L89" i="13"/>
  <c r="Q89" i="13" s="1"/>
  <c r="D89" i="13"/>
  <c r="R89" i="13" s="1"/>
  <c r="P88" i="13"/>
  <c r="L88" i="13"/>
  <c r="Q88" i="13" s="1"/>
  <c r="R88" i="13" s="1"/>
  <c r="D88" i="13"/>
  <c r="P87" i="13"/>
  <c r="L87" i="13"/>
  <c r="Q87" i="13" s="1"/>
  <c r="R87" i="13" s="1"/>
  <c r="D87" i="13"/>
  <c r="P86" i="13"/>
  <c r="L86" i="13"/>
  <c r="Q86" i="13" s="1"/>
  <c r="R86" i="13" s="1"/>
  <c r="D86" i="13"/>
  <c r="Q85" i="13"/>
  <c r="R85" i="13" s="1"/>
  <c r="P85" i="13"/>
  <c r="L85" i="13"/>
  <c r="D85" i="13"/>
  <c r="Q84" i="13"/>
  <c r="P84" i="13"/>
  <c r="L84" i="13"/>
  <c r="D84" i="13"/>
  <c r="R84" i="13" s="1"/>
  <c r="Q83" i="13"/>
  <c r="P83" i="13"/>
  <c r="L83" i="13"/>
  <c r="D83" i="13"/>
  <c r="R83" i="13" s="1"/>
  <c r="P82" i="13"/>
  <c r="Q82" i="13" s="1"/>
  <c r="L82" i="13"/>
  <c r="D82" i="13"/>
  <c r="R82" i="13" s="1"/>
  <c r="P81" i="13"/>
  <c r="L81" i="13"/>
  <c r="Q81" i="13" s="1"/>
  <c r="D81" i="13"/>
  <c r="P80" i="13"/>
  <c r="L80" i="13"/>
  <c r="Q80" i="13" s="1"/>
  <c r="R80" i="13" s="1"/>
  <c r="D80" i="13"/>
  <c r="P79" i="13"/>
  <c r="L79" i="13"/>
  <c r="Q79" i="13" s="1"/>
  <c r="R79" i="13" s="1"/>
  <c r="D79" i="13"/>
  <c r="P78" i="13"/>
  <c r="L78" i="13"/>
  <c r="Q78" i="13" s="1"/>
  <c r="R78" i="13" s="1"/>
  <c r="D78" i="13"/>
  <c r="Q76" i="13"/>
  <c r="R76" i="13" s="1"/>
  <c r="P76" i="13"/>
  <c r="L76" i="13"/>
  <c r="D76" i="13"/>
  <c r="Q75" i="13"/>
  <c r="P75" i="13"/>
  <c r="L75" i="13"/>
  <c r="D75" i="13"/>
  <c r="R75" i="13" s="1"/>
  <c r="Q74" i="13"/>
  <c r="P74" i="13"/>
  <c r="L74" i="13"/>
  <c r="D74" i="13"/>
  <c r="R74" i="13" s="1"/>
  <c r="P73" i="13"/>
  <c r="Q73" i="13" s="1"/>
  <c r="L73" i="13"/>
  <c r="D73" i="13"/>
  <c r="P72" i="13"/>
  <c r="L72" i="13"/>
  <c r="Q72" i="13" s="1"/>
  <c r="D72" i="13"/>
  <c r="P71" i="13"/>
  <c r="L71" i="13"/>
  <c r="Q71" i="13" s="1"/>
  <c r="R71" i="13" s="1"/>
  <c r="D71" i="13"/>
  <c r="P70" i="13"/>
  <c r="L70" i="13"/>
  <c r="Q70" i="13" s="1"/>
  <c r="R70" i="13" s="1"/>
  <c r="D70" i="13"/>
  <c r="P69" i="13"/>
  <c r="L69" i="13"/>
  <c r="Q69" i="13" s="1"/>
  <c r="R69" i="13" s="1"/>
  <c r="D69" i="13"/>
  <c r="Q68" i="13"/>
  <c r="R68" i="13" s="1"/>
  <c r="P68" i="13"/>
  <c r="L68" i="13"/>
  <c r="D68" i="13"/>
  <c r="Q67" i="13"/>
  <c r="P67" i="13"/>
  <c r="L67" i="13"/>
  <c r="D67" i="13"/>
  <c r="R67" i="13" s="1"/>
  <c r="Q66" i="13"/>
  <c r="P66" i="13"/>
  <c r="L66" i="13"/>
  <c r="D66" i="13"/>
  <c r="R66" i="13" s="1"/>
  <c r="P65" i="13"/>
  <c r="L65" i="13"/>
  <c r="Q65" i="13" s="1"/>
  <c r="D65" i="13"/>
  <c r="P63" i="13"/>
  <c r="L63" i="13"/>
  <c r="Q63" i="13" s="1"/>
  <c r="D63" i="13"/>
  <c r="P62" i="13"/>
  <c r="L62" i="13"/>
  <c r="Q62" i="13" s="1"/>
  <c r="R62" i="13" s="1"/>
  <c r="D62" i="13"/>
  <c r="P61" i="13"/>
  <c r="L61" i="13"/>
  <c r="Q61" i="13" s="1"/>
  <c r="R61" i="13" s="1"/>
  <c r="D61" i="13"/>
  <c r="P60" i="13"/>
  <c r="L60" i="13"/>
  <c r="Q60" i="13" s="1"/>
  <c r="R60" i="13" s="1"/>
  <c r="D60" i="13"/>
  <c r="Q59" i="13"/>
  <c r="P59" i="13"/>
  <c r="L59" i="13"/>
  <c r="D59" i="13"/>
  <c r="R59" i="13" s="1"/>
  <c r="Q58" i="13"/>
  <c r="P58" i="13"/>
  <c r="L58" i="13"/>
  <c r="D58" i="13"/>
  <c r="R58" i="13" s="1"/>
  <c r="Q57" i="13"/>
  <c r="P57" i="13"/>
  <c r="L57" i="13"/>
  <c r="D57" i="13"/>
  <c r="R57" i="13" s="1"/>
  <c r="P56" i="13"/>
  <c r="L56" i="13"/>
  <c r="Q56" i="13" s="1"/>
  <c r="D56" i="13"/>
  <c r="P55" i="13"/>
  <c r="L55" i="13"/>
  <c r="Q55" i="13" s="1"/>
  <c r="D55" i="13"/>
  <c r="P54" i="13"/>
  <c r="L54" i="13"/>
  <c r="Q54" i="13" s="1"/>
  <c r="R54" i="13" s="1"/>
  <c r="D54" i="13"/>
  <c r="P53" i="13"/>
  <c r="L53" i="13"/>
  <c r="Q53" i="13" s="1"/>
  <c r="R53" i="13" s="1"/>
  <c r="D53" i="13"/>
  <c r="P52" i="13"/>
  <c r="L52" i="13"/>
  <c r="Q52" i="13" s="1"/>
  <c r="R52" i="13" s="1"/>
  <c r="D52" i="13"/>
  <c r="Q47" i="13"/>
  <c r="P47" i="13"/>
  <c r="L47" i="13"/>
  <c r="D47" i="13"/>
  <c r="R47" i="13" s="1"/>
  <c r="Q27" i="13"/>
  <c r="P27" i="13"/>
  <c r="L27" i="13"/>
  <c r="D27" i="13"/>
  <c r="R27" i="13" s="1"/>
  <c r="S20" i="10"/>
  <c r="S21" i="10"/>
  <c r="S22" i="10"/>
  <c r="S23" i="10"/>
  <c r="S25" i="10"/>
  <c r="S26" i="10"/>
  <c r="S27" i="10"/>
  <c r="S28" i="10"/>
  <c r="S30" i="10"/>
  <c r="S31" i="10"/>
  <c r="S32" i="10"/>
  <c r="S33" i="10"/>
  <c r="S35" i="10"/>
  <c r="S36" i="10"/>
  <c r="S37" i="10"/>
  <c r="S38" i="10"/>
  <c r="S40" i="10"/>
  <c r="S41" i="10"/>
  <c r="S42" i="10"/>
  <c r="S43" i="10"/>
  <c r="S45" i="10"/>
  <c r="S46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8" i="10"/>
  <c r="S179" i="10"/>
  <c r="S180" i="10"/>
  <c r="S181" i="10"/>
  <c r="S182" i="10"/>
  <c r="S183" i="10"/>
  <c r="S184" i="10"/>
  <c r="I49" i="10"/>
  <c r="I50" i="10"/>
  <c r="I51" i="10"/>
  <c r="U51" i="10" s="1"/>
  <c r="I52" i="10"/>
  <c r="I53" i="10"/>
  <c r="I54" i="10"/>
  <c r="I55" i="10"/>
  <c r="I56" i="10"/>
  <c r="U56" i="10" s="1"/>
  <c r="I57" i="10"/>
  <c r="I58" i="10"/>
  <c r="I59" i="10"/>
  <c r="U59" i="10" s="1"/>
  <c r="I61" i="10"/>
  <c r="I62" i="10"/>
  <c r="I63" i="10"/>
  <c r="I64" i="10"/>
  <c r="U64" i="10" s="1"/>
  <c r="I65" i="10"/>
  <c r="I66" i="10"/>
  <c r="I67" i="10"/>
  <c r="I68" i="10"/>
  <c r="U68" i="10" s="1"/>
  <c r="I69" i="10"/>
  <c r="I70" i="10"/>
  <c r="I71" i="10"/>
  <c r="I72" i="10"/>
  <c r="U72" i="10" s="1"/>
  <c r="I74" i="10"/>
  <c r="I75" i="10"/>
  <c r="I76" i="10"/>
  <c r="I77" i="10"/>
  <c r="U77" i="10" s="1"/>
  <c r="I78" i="10"/>
  <c r="I48" i="10"/>
  <c r="I19" i="10"/>
  <c r="U184" i="10"/>
  <c r="I184" i="10"/>
  <c r="U183" i="10"/>
  <c r="I183" i="10"/>
  <c r="I182" i="10"/>
  <c r="U182" i="10" s="1"/>
  <c r="U181" i="10"/>
  <c r="I181" i="10"/>
  <c r="U180" i="10"/>
  <c r="I180" i="10"/>
  <c r="I179" i="10"/>
  <c r="U179" i="10" s="1"/>
  <c r="I178" i="10"/>
  <c r="U178" i="10" s="1"/>
  <c r="I176" i="10"/>
  <c r="U176" i="10" s="1"/>
  <c r="R175" i="10"/>
  <c r="K175" i="10"/>
  <c r="J175" i="10"/>
  <c r="I175" i="10"/>
  <c r="U175" i="10" s="1"/>
  <c r="H175" i="10"/>
  <c r="R174" i="10"/>
  <c r="K174" i="10"/>
  <c r="J174" i="10"/>
  <c r="I174" i="10"/>
  <c r="U174" i="10" s="1"/>
  <c r="R173" i="10"/>
  <c r="K173" i="10"/>
  <c r="J173" i="10"/>
  <c r="I173" i="10"/>
  <c r="U173" i="10" s="1"/>
  <c r="R172" i="10"/>
  <c r="I172" i="10"/>
  <c r="U172" i="10" s="1"/>
  <c r="U171" i="10"/>
  <c r="R171" i="10"/>
  <c r="L171" i="10"/>
  <c r="I171" i="10"/>
  <c r="U170" i="10"/>
  <c r="R170" i="10"/>
  <c r="L170" i="10"/>
  <c r="I170" i="10"/>
  <c r="R169" i="10"/>
  <c r="L169" i="10"/>
  <c r="I169" i="10"/>
  <c r="U169" i="10" s="1"/>
  <c r="R168" i="10"/>
  <c r="I168" i="10"/>
  <c r="U168" i="10" s="1"/>
  <c r="R167" i="10"/>
  <c r="I167" i="10"/>
  <c r="U167" i="10" s="1"/>
  <c r="R166" i="10"/>
  <c r="I166" i="10"/>
  <c r="U166" i="10" s="1"/>
  <c r="U165" i="10"/>
  <c r="R165" i="10"/>
  <c r="L165" i="10"/>
  <c r="I165" i="10"/>
  <c r="R163" i="10"/>
  <c r="K163" i="10"/>
  <c r="J163" i="10"/>
  <c r="I163" i="10"/>
  <c r="U163" i="10" s="1"/>
  <c r="R162" i="10"/>
  <c r="K162" i="10"/>
  <c r="J162" i="10"/>
  <c r="I162" i="10"/>
  <c r="U162" i="10" s="1"/>
  <c r="R161" i="10"/>
  <c r="K161" i="10"/>
  <c r="J161" i="10"/>
  <c r="I161" i="10"/>
  <c r="U161" i="10" s="1"/>
  <c r="R160" i="10"/>
  <c r="K160" i="10"/>
  <c r="J160" i="10"/>
  <c r="I160" i="10"/>
  <c r="U160" i="10" s="1"/>
  <c r="R159" i="10"/>
  <c r="K159" i="10"/>
  <c r="J159" i="10"/>
  <c r="I159" i="10"/>
  <c r="U159" i="10" s="1"/>
  <c r="R158" i="10"/>
  <c r="L158" i="10"/>
  <c r="K158" i="10"/>
  <c r="J158" i="10"/>
  <c r="I158" i="10"/>
  <c r="U158" i="10" s="1"/>
  <c r="R157" i="10"/>
  <c r="L157" i="10"/>
  <c r="K157" i="10"/>
  <c r="J157" i="10"/>
  <c r="I157" i="10"/>
  <c r="U157" i="10" s="1"/>
  <c r="R156" i="10"/>
  <c r="L156" i="10"/>
  <c r="K156" i="10"/>
  <c r="J156" i="10"/>
  <c r="I156" i="10"/>
  <c r="U156" i="10" s="1"/>
  <c r="U155" i="10"/>
  <c r="R155" i="10"/>
  <c r="L155" i="10"/>
  <c r="K155" i="10"/>
  <c r="J155" i="10"/>
  <c r="I155" i="10"/>
  <c r="R154" i="10"/>
  <c r="L154" i="10"/>
  <c r="K154" i="10"/>
  <c r="J154" i="10"/>
  <c r="I154" i="10"/>
  <c r="U154" i="10" s="1"/>
  <c r="R153" i="10"/>
  <c r="L153" i="10"/>
  <c r="K153" i="10"/>
  <c r="J153" i="10"/>
  <c r="I153" i="10"/>
  <c r="U153" i="10" s="1"/>
  <c r="U152" i="10"/>
  <c r="R152" i="10"/>
  <c r="L152" i="10"/>
  <c r="K152" i="10"/>
  <c r="J152" i="10"/>
  <c r="I152" i="10"/>
  <c r="R150" i="10"/>
  <c r="L150" i="10"/>
  <c r="K150" i="10"/>
  <c r="J150" i="10"/>
  <c r="I150" i="10"/>
  <c r="U150" i="10" s="1"/>
  <c r="R149" i="10"/>
  <c r="L149" i="10"/>
  <c r="K149" i="10"/>
  <c r="J149" i="10"/>
  <c r="I149" i="10"/>
  <c r="U149" i="10" s="1"/>
  <c r="U148" i="10"/>
  <c r="R148" i="10"/>
  <c r="L148" i="10"/>
  <c r="K148" i="10"/>
  <c r="J148" i="10"/>
  <c r="I148" i="10"/>
  <c r="R147" i="10"/>
  <c r="L147" i="10"/>
  <c r="K147" i="10"/>
  <c r="J147" i="10"/>
  <c r="I147" i="10"/>
  <c r="U147" i="10" s="1"/>
  <c r="R146" i="10"/>
  <c r="L146" i="10"/>
  <c r="K146" i="10"/>
  <c r="J146" i="10"/>
  <c r="I146" i="10"/>
  <c r="U146" i="10" s="1"/>
  <c r="R145" i="10"/>
  <c r="L145" i="10"/>
  <c r="K145" i="10"/>
  <c r="J145" i="10"/>
  <c r="I145" i="10"/>
  <c r="U145" i="10" s="1"/>
  <c r="R144" i="10"/>
  <c r="L144" i="10"/>
  <c r="K144" i="10"/>
  <c r="J144" i="10"/>
  <c r="I144" i="10"/>
  <c r="U144" i="10" s="1"/>
  <c r="R143" i="10"/>
  <c r="L143" i="10"/>
  <c r="K143" i="10"/>
  <c r="J143" i="10"/>
  <c r="I143" i="10"/>
  <c r="U143" i="10" s="1"/>
  <c r="R142" i="10"/>
  <c r="L142" i="10"/>
  <c r="K142" i="10"/>
  <c r="J142" i="10"/>
  <c r="I142" i="10"/>
  <c r="U142" i="10" s="1"/>
  <c r="R141" i="10"/>
  <c r="L141" i="10"/>
  <c r="K141" i="10"/>
  <c r="J141" i="10"/>
  <c r="I141" i="10"/>
  <c r="U141" i="10" s="1"/>
  <c r="U140" i="10"/>
  <c r="R140" i="10"/>
  <c r="L140" i="10"/>
  <c r="K140" i="10"/>
  <c r="J140" i="10"/>
  <c r="I140" i="10"/>
  <c r="R139" i="10"/>
  <c r="L139" i="10"/>
  <c r="K139" i="10"/>
  <c r="J139" i="10"/>
  <c r="I139" i="10"/>
  <c r="U139" i="10" s="1"/>
  <c r="R137" i="10"/>
  <c r="L137" i="10"/>
  <c r="K137" i="10"/>
  <c r="J137" i="10"/>
  <c r="I137" i="10"/>
  <c r="U137" i="10" s="1"/>
  <c r="R136" i="10"/>
  <c r="L136" i="10"/>
  <c r="K136" i="10"/>
  <c r="J136" i="10"/>
  <c r="I136" i="10"/>
  <c r="U136" i="10" s="1"/>
  <c r="U135" i="10"/>
  <c r="R135" i="10"/>
  <c r="L135" i="10"/>
  <c r="K135" i="10"/>
  <c r="J135" i="10"/>
  <c r="I135" i="10"/>
  <c r="R134" i="10"/>
  <c r="L134" i="10"/>
  <c r="K134" i="10"/>
  <c r="J134" i="10"/>
  <c r="I134" i="10"/>
  <c r="U134" i="10" s="1"/>
  <c r="R133" i="10"/>
  <c r="K133" i="10"/>
  <c r="J133" i="10"/>
  <c r="I133" i="10"/>
  <c r="U133" i="10" s="1"/>
  <c r="U132" i="10"/>
  <c r="R132" i="10"/>
  <c r="K132" i="10"/>
  <c r="J132" i="10"/>
  <c r="I132" i="10"/>
  <c r="R131" i="10"/>
  <c r="K131" i="10"/>
  <c r="J131" i="10"/>
  <c r="I131" i="10"/>
  <c r="U131" i="10" s="1"/>
  <c r="R130" i="10"/>
  <c r="K130" i="10"/>
  <c r="J130" i="10"/>
  <c r="I130" i="10"/>
  <c r="U130" i="10" s="1"/>
  <c r="R129" i="10"/>
  <c r="K129" i="10"/>
  <c r="J129" i="10"/>
  <c r="I129" i="10"/>
  <c r="U129" i="10" s="1"/>
  <c r="U128" i="10"/>
  <c r="R128" i="10"/>
  <c r="K128" i="10"/>
  <c r="J128" i="10"/>
  <c r="I128" i="10"/>
  <c r="R127" i="10"/>
  <c r="K127" i="10"/>
  <c r="J127" i="10"/>
  <c r="I127" i="10"/>
  <c r="U127" i="10" s="1"/>
  <c r="I126" i="10"/>
  <c r="U126" i="10" s="1"/>
  <c r="I124" i="10"/>
  <c r="U124" i="10" s="1"/>
  <c r="I123" i="10"/>
  <c r="U123" i="10" s="1"/>
  <c r="I122" i="10"/>
  <c r="U122" i="10" s="1"/>
  <c r="I121" i="10"/>
  <c r="U121" i="10" s="1"/>
  <c r="U120" i="10"/>
  <c r="I120" i="10"/>
  <c r="I119" i="10"/>
  <c r="U119" i="10" s="1"/>
  <c r="I118" i="10"/>
  <c r="U118" i="10" s="1"/>
  <c r="I117" i="10"/>
  <c r="U117" i="10" s="1"/>
  <c r="I116" i="10"/>
  <c r="U116" i="10" s="1"/>
  <c r="I115" i="10"/>
  <c r="U115" i="10" s="1"/>
  <c r="U114" i="10"/>
  <c r="I114" i="10"/>
  <c r="U113" i="10"/>
  <c r="I113" i="10"/>
  <c r="I111" i="10"/>
  <c r="U111" i="10" s="1"/>
  <c r="I110" i="10"/>
  <c r="U110" i="10" s="1"/>
  <c r="I109" i="10"/>
  <c r="U109" i="10" s="1"/>
  <c r="I108" i="10"/>
  <c r="U108" i="10" s="1"/>
  <c r="I107" i="10"/>
  <c r="U107" i="10" s="1"/>
  <c r="I106" i="10"/>
  <c r="U106" i="10" s="1"/>
  <c r="U105" i="10"/>
  <c r="I105" i="10"/>
  <c r="I104" i="10"/>
  <c r="U104" i="10" s="1"/>
  <c r="I103" i="10"/>
  <c r="U103" i="10" s="1"/>
  <c r="I102" i="10"/>
  <c r="U102" i="10" s="1"/>
  <c r="I101" i="10"/>
  <c r="U101" i="10" s="1"/>
  <c r="I100" i="10"/>
  <c r="U100" i="10" s="1"/>
  <c r="I98" i="10"/>
  <c r="U98" i="10" s="1"/>
  <c r="U97" i="10"/>
  <c r="I97" i="10"/>
  <c r="U96" i="10"/>
  <c r="I96" i="10"/>
  <c r="I95" i="10"/>
  <c r="U95" i="10" s="1"/>
  <c r="I94" i="10"/>
  <c r="U94" i="10" s="1"/>
  <c r="I93" i="10"/>
  <c r="U93" i="10" s="1"/>
  <c r="I92" i="10"/>
  <c r="U92" i="10" s="1"/>
  <c r="I91" i="10"/>
  <c r="U91" i="10" s="1"/>
  <c r="I90" i="10"/>
  <c r="U90" i="10" s="1"/>
  <c r="U89" i="10"/>
  <c r="I89" i="10"/>
  <c r="I88" i="10"/>
  <c r="U88" i="10" s="1"/>
  <c r="I87" i="10"/>
  <c r="U87" i="10" s="1"/>
  <c r="I85" i="10"/>
  <c r="U85" i="10" s="1"/>
  <c r="I84" i="10"/>
  <c r="U84" i="10" s="1"/>
  <c r="I83" i="10"/>
  <c r="U83" i="10" s="1"/>
  <c r="I82" i="10"/>
  <c r="U82" i="10" s="1"/>
  <c r="U81" i="10"/>
  <c r="I81" i="10"/>
  <c r="U80" i="10"/>
  <c r="I80" i="10"/>
  <c r="I79" i="10"/>
  <c r="U79" i="10" s="1"/>
  <c r="U78" i="10"/>
  <c r="U76" i="10"/>
  <c r="U75" i="10"/>
  <c r="U74" i="10"/>
  <c r="U71" i="10"/>
  <c r="U70" i="10"/>
  <c r="U69" i="10"/>
  <c r="U67" i="10"/>
  <c r="U66" i="10"/>
  <c r="U65" i="10"/>
  <c r="U63" i="10"/>
  <c r="U62" i="10"/>
  <c r="U61" i="10"/>
  <c r="U58" i="10"/>
  <c r="U57" i="10"/>
  <c r="U55" i="10"/>
  <c r="U54" i="10"/>
  <c r="U53" i="10"/>
  <c r="U52" i="10"/>
  <c r="U50" i="10"/>
  <c r="U49" i="10"/>
  <c r="U48" i="10"/>
  <c r="U43" i="10"/>
  <c r="I43" i="10"/>
  <c r="U23" i="10"/>
  <c r="I23" i="10"/>
  <c r="S19" i="10"/>
  <c r="N189" i="9"/>
  <c r="D189" i="9"/>
  <c r="F189" i="9" s="1"/>
  <c r="H189" i="9" s="1"/>
  <c r="O189" i="9" s="1"/>
  <c r="N188" i="9"/>
  <c r="D188" i="9"/>
  <c r="F188" i="9" s="1"/>
  <c r="H188" i="9" s="1"/>
  <c r="O188" i="9" s="1"/>
  <c r="N187" i="9"/>
  <c r="D187" i="9"/>
  <c r="F187" i="9" s="1"/>
  <c r="H187" i="9" s="1"/>
  <c r="O187" i="9" s="1"/>
  <c r="N186" i="9"/>
  <c r="D186" i="9"/>
  <c r="F186" i="9" s="1"/>
  <c r="H186" i="9" s="1"/>
  <c r="O186" i="9" s="1"/>
  <c r="N185" i="9"/>
  <c r="F185" i="9"/>
  <c r="H185" i="9" s="1"/>
  <c r="O185" i="9" s="1"/>
  <c r="D185" i="9"/>
  <c r="N184" i="9"/>
  <c r="F184" i="9"/>
  <c r="H184" i="9" s="1"/>
  <c r="O184" i="9" s="1"/>
  <c r="D184" i="9"/>
  <c r="N183" i="9"/>
  <c r="F183" i="9"/>
  <c r="H183" i="9" s="1"/>
  <c r="O183" i="9" s="1"/>
  <c r="D183" i="9"/>
  <c r="N181" i="9"/>
  <c r="D181" i="9"/>
  <c r="F181" i="9" s="1"/>
  <c r="H181" i="9" s="1"/>
  <c r="O181" i="9" s="1"/>
  <c r="N180" i="9"/>
  <c r="D180" i="9"/>
  <c r="F180" i="9" s="1"/>
  <c r="H180" i="9" s="1"/>
  <c r="O180" i="9" s="1"/>
  <c r="N179" i="9"/>
  <c r="D179" i="9"/>
  <c r="F179" i="9" s="1"/>
  <c r="H179" i="9" s="1"/>
  <c r="O179" i="9" s="1"/>
  <c r="N178" i="9"/>
  <c r="D178" i="9"/>
  <c r="F178" i="9" s="1"/>
  <c r="H178" i="9" s="1"/>
  <c r="O178" i="9" s="1"/>
  <c r="O177" i="9"/>
  <c r="N177" i="9"/>
  <c r="H177" i="9"/>
  <c r="F177" i="9"/>
  <c r="D177" i="9"/>
  <c r="N176" i="9"/>
  <c r="F176" i="9"/>
  <c r="H176" i="9" s="1"/>
  <c r="O176" i="9" s="1"/>
  <c r="D176" i="9"/>
  <c r="N175" i="9"/>
  <c r="F175" i="9"/>
  <c r="H175" i="9" s="1"/>
  <c r="O175" i="9" s="1"/>
  <c r="D175" i="9"/>
  <c r="N174" i="9"/>
  <c r="F174" i="9"/>
  <c r="H174" i="9" s="1"/>
  <c r="O174" i="9" s="1"/>
  <c r="D174" i="9"/>
  <c r="N173" i="9"/>
  <c r="D173" i="9"/>
  <c r="F173" i="9" s="1"/>
  <c r="H173" i="9" s="1"/>
  <c r="O173" i="9" s="1"/>
  <c r="N172" i="9"/>
  <c r="D172" i="9"/>
  <c r="F172" i="9" s="1"/>
  <c r="H172" i="9" s="1"/>
  <c r="O172" i="9" s="1"/>
  <c r="N171" i="9"/>
  <c r="D171" i="9"/>
  <c r="F171" i="9" s="1"/>
  <c r="H171" i="9" s="1"/>
  <c r="O171" i="9" s="1"/>
  <c r="N170" i="9"/>
  <c r="D170" i="9"/>
  <c r="F170" i="9" s="1"/>
  <c r="H170" i="9" s="1"/>
  <c r="O170" i="9" s="1"/>
  <c r="O168" i="9"/>
  <c r="N168" i="9"/>
  <c r="H168" i="9"/>
  <c r="F168" i="9"/>
  <c r="D168" i="9"/>
  <c r="N167" i="9"/>
  <c r="F167" i="9"/>
  <c r="H167" i="9" s="1"/>
  <c r="O167" i="9" s="1"/>
  <c r="D167" i="9"/>
  <c r="N166" i="9"/>
  <c r="F166" i="9"/>
  <c r="H166" i="9" s="1"/>
  <c r="O166" i="9" s="1"/>
  <c r="D166" i="9"/>
  <c r="N165" i="9"/>
  <c r="F165" i="9"/>
  <c r="H165" i="9" s="1"/>
  <c r="O165" i="9" s="1"/>
  <c r="D165" i="9"/>
  <c r="N164" i="9"/>
  <c r="D164" i="9"/>
  <c r="F164" i="9" s="1"/>
  <c r="H164" i="9" s="1"/>
  <c r="O164" i="9" s="1"/>
  <c r="N163" i="9"/>
  <c r="D163" i="9"/>
  <c r="F163" i="9" s="1"/>
  <c r="H163" i="9" s="1"/>
  <c r="O163" i="9" s="1"/>
  <c r="N162" i="9"/>
  <c r="D162" i="9"/>
  <c r="F162" i="9" s="1"/>
  <c r="H162" i="9" s="1"/>
  <c r="N161" i="9"/>
  <c r="D161" i="9"/>
  <c r="F161" i="9" s="1"/>
  <c r="H161" i="9" s="1"/>
  <c r="N160" i="9"/>
  <c r="D160" i="9"/>
  <c r="F160" i="9" s="1"/>
  <c r="H160" i="9" s="1"/>
  <c r="O160" i="9" s="1"/>
  <c r="N159" i="9"/>
  <c r="D159" i="9"/>
  <c r="F159" i="9" s="1"/>
  <c r="H159" i="9" s="1"/>
  <c r="O159" i="9" s="1"/>
  <c r="N158" i="9"/>
  <c r="D158" i="9"/>
  <c r="F158" i="9" s="1"/>
  <c r="H158" i="9" s="1"/>
  <c r="O158" i="9" s="1"/>
  <c r="N157" i="9"/>
  <c r="D157" i="9"/>
  <c r="F157" i="9" s="1"/>
  <c r="H157" i="9" s="1"/>
  <c r="O157" i="9" s="1"/>
  <c r="N155" i="9"/>
  <c r="D155" i="9"/>
  <c r="F155" i="9" s="1"/>
  <c r="H155" i="9" s="1"/>
  <c r="O155" i="9" s="1"/>
  <c r="N154" i="9"/>
  <c r="D154" i="9"/>
  <c r="F154" i="9" s="1"/>
  <c r="H154" i="9" s="1"/>
  <c r="O154" i="9" s="1"/>
  <c r="N153" i="9"/>
  <c r="D153" i="9"/>
  <c r="F153" i="9" s="1"/>
  <c r="H153" i="9" s="1"/>
  <c r="N152" i="9"/>
  <c r="D152" i="9"/>
  <c r="F152" i="9" s="1"/>
  <c r="H152" i="9" s="1"/>
  <c r="O152" i="9" s="1"/>
  <c r="N151" i="9"/>
  <c r="D151" i="9"/>
  <c r="F151" i="9" s="1"/>
  <c r="H151" i="9" s="1"/>
  <c r="O151" i="9" s="1"/>
  <c r="N150" i="9"/>
  <c r="F150" i="9"/>
  <c r="H150" i="9" s="1"/>
  <c r="O150" i="9" s="1"/>
  <c r="D150" i="9"/>
  <c r="N149" i="9"/>
  <c r="D149" i="9"/>
  <c r="F149" i="9" s="1"/>
  <c r="H149" i="9" s="1"/>
  <c r="O149" i="9" s="1"/>
  <c r="N148" i="9"/>
  <c r="D148" i="9"/>
  <c r="F148" i="9" s="1"/>
  <c r="H148" i="9" s="1"/>
  <c r="O148" i="9" s="1"/>
  <c r="N147" i="9"/>
  <c r="D147" i="9"/>
  <c r="F147" i="9" s="1"/>
  <c r="H147" i="9" s="1"/>
  <c r="O147" i="9" s="1"/>
  <c r="N146" i="9"/>
  <c r="D146" i="9"/>
  <c r="F146" i="9" s="1"/>
  <c r="H146" i="9" s="1"/>
  <c r="N145" i="9"/>
  <c r="D145" i="9"/>
  <c r="F145" i="9" s="1"/>
  <c r="H145" i="9" s="1"/>
  <c r="O145" i="9" s="1"/>
  <c r="N144" i="9"/>
  <c r="D144" i="9"/>
  <c r="F144" i="9" s="1"/>
  <c r="H144" i="9" s="1"/>
  <c r="O144" i="9" s="1"/>
  <c r="N142" i="9"/>
  <c r="D142" i="9"/>
  <c r="F142" i="9" s="1"/>
  <c r="H142" i="9" s="1"/>
  <c r="O142" i="9" s="1"/>
  <c r="N141" i="9"/>
  <c r="D141" i="9"/>
  <c r="F141" i="9" s="1"/>
  <c r="H141" i="9" s="1"/>
  <c r="O141" i="9" s="1"/>
  <c r="N140" i="9"/>
  <c r="D140" i="9"/>
  <c r="F140" i="9" s="1"/>
  <c r="H140" i="9" s="1"/>
  <c r="N139" i="9"/>
  <c r="D139" i="9"/>
  <c r="F139" i="9" s="1"/>
  <c r="H139" i="9" s="1"/>
  <c r="O139" i="9" s="1"/>
  <c r="N138" i="9"/>
  <c r="D138" i="9"/>
  <c r="F138" i="9" s="1"/>
  <c r="H138" i="9" s="1"/>
  <c r="N137" i="9"/>
  <c r="D137" i="9"/>
  <c r="F137" i="9" s="1"/>
  <c r="H137" i="9" s="1"/>
  <c r="O137" i="9" s="1"/>
  <c r="N136" i="9"/>
  <c r="D136" i="9"/>
  <c r="F136" i="9" s="1"/>
  <c r="H136" i="9" s="1"/>
  <c r="O136" i="9" s="1"/>
  <c r="N135" i="9"/>
  <c r="D135" i="9"/>
  <c r="F135" i="9" s="1"/>
  <c r="H135" i="9" s="1"/>
  <c r="O135" i="9" s="1"/>
  <c r="N134" i="9"/>
  <c r="D134" i="9"/>
  <c r="F134" i="9" s="1"/>
  <c r="H134" i="9" s="1"/>
  <c r="N133" i="9"/>
  <c r="F133" i="9"/>
  <c r="H133" i="9" s="1"/>
  <c r="O133" i="9" s="1"/>
  <c r="D133" i="9"/>
  <c r="N132" i="9"/>
  <c r="D132" i="9"/>
  <c r="F132" i="9" s="1"/>
  <c r="H132" i="9" s="1"/>
  <c r="N131" i="9"/>
  <c r="F131" i="9"/>
  <c r="H131" i="9" s="1"/>
  <c r="D131" i="9"/>
  <c r="N129" i="9"/>
  <c r="D129" i="9"/>
  <c r="F129" i="9" s="1"/>
  <c r="H129" i="9" s="1"/>
  <c r="O129" i="9" s="1"/>
  <c r="N128" i="9"/>
  <c r="D128" i="9"/>
  <c r="F128" i="9" s="1"/>
  <c r="H128" i="9" s="1"/>
  <c r="O128" i="9" s="1"/>
  <c r="N127" i="9"/>
  <c r="D127" i="9"/>
  <c r="F127" i="9" s="1"/>
  <c r="H127" i="9" s="1"/>
  <c r="O127" i="9" s="1"/>
  <c r="N126" i="9"/>
  <c r="D126" i="9"/>
  <c r="F126" i="9" s="1"/>
  <c r="H126" i="9" s="1"/>
  <c r="N125" i="9"/>
  <c r="D125" i="9"/>
  <c r="F125" i="9" s="1"/>
  <c r="H125" i="9" s="1"/>
  <c r="O125" i="9" s="1"/>
  <c r="N124" i="9"/>
  <c r="F124" i="9"/>
  <c r="H124" i="9" s="1"/>
  <c r="O124" i="9" s="1"/>
  <c r="D124" i="9"/>
  <c r="N123" i="9"/>
  <c r="D123" i="9"/>
  <c r="F123" i="9" s="1"/>
  <c r="H123" i="9" s="1"/>
  <c r="N122" i="9"/>
  <c r="D122" i="9"/>
  <c r="F122" i="9" s="1"/>
  <c r="H122" i="9" s="1"/>
  <c r="O122" i="9" s="1"/>
  <c r="N121" i="9"/>
  <c r="D121" i="9"/>
  <c r="F121" i="9" s="1"/>
  <c r="H121" i="9" s="1"/>
  <c r="N120" i="9"/>
  <c r="D120" i="9"/>
  <c r="F120" i="9" s="1"/>
  <c r="H120" i="9" s="1"/>
  <c r="N119" i="9"/>
  <c r="D119" i="9"/>
  <c r="F119" i="9" s="1"/>
  <c r="H119" i="9" s="1"/>
  <c r="N118" i="9"/>
  <c r="D118" i="9"/>
  <c r="F118" i="9" s="1"/>
  <c r="H118" i="9" s="1"/>
  <c r="O118" i="9" s="1"/>
  <c r="N116" i="9"/>
  <c r="D116" i="9"/>
  <c r="F116" i="9" s="1"/>
  <c r="H116" i="9" s="1"/>
  <c r="N115" i="9"/>
  <c r="D115" i="9"/>
  <c r="F115" i="9" s="1"/>
  <c r="H115" i="9" s="1"/>
  <c r="O115" i="9" s="1"/>
  <c r="N114" i="9"/>
  <c r="D114" i="9"/>
  <c r="F114" i="9" s="1"/>
  <c r="H114" i="9" s="1"/>
  <c r="N113" i="9"/>
  <c r="D113" i="9"/>
  <c r="F113" i="9" s="1"/>
  <c r="H113" i="9" s="1"/>
  <c r="O113" i="9" s="1"/>
  <c r="N112" i="9"/>
  <c r="D112" i="9"/>
  <c r="F112" i="9" s="1"/>
  <c r="H112" i="9" s="1"/>
  <c r="O112" i="9" s="1"/>
  <c r="N111" i="9"/>
  <c r="D111" i="9"/>
  <c r="F111" i="9" s="1"/>
  <c r="H111" i="9" s="1"/>
  <c r="O111" i="9" s="1"/>
  <c r="N110" i="9"/>
  <c r="D110" i="9"/>
  <c r="F110" i="9" s="1"/>
  <c r="H110" i="9" s="1"/>
  <c r="N109" i="9"/>
  <c r="D109" i="9"/>
  <c r="F109" i="9" s="1"/>
  <c r="H109" i="9" s="1"/>
  <c r="O109" i="9" s="1"/>
  <c r="N108" i="9"/>
  <c r="D108" i="9"/>
  <c r="F108" i="9" s="1"/>
  <c r="H108" i="9" s="1"/>
  <c r="O108" i="9" s="1"/>
  <c r="N107" i="9"/>
  <c r="F107" i="9"/>
  <c r="H107" i="9" s="1"/>
  <c r="O107" i="9" s="1"/>
  <c r="D107" i="9"/>
  <c r="N106" i="9"/>
  <c r="D106" i="9"/>
  <c r="F106" i="9" s="1"/>
  <c r="H106" i="9" s="1"/>
  <c r="O106" i="9" s="1"/>
  <c r="N105" i="9"/>
  <c r="D105" i="9"/>
  <c r="F105" i="9" s="1"/>
  <c r="H105" i="9" s="1"/>
  <c r="N103" i="9"/>
  <c r="D103" i="9"/>
  <c r="F103" i="9" s="1"/>
  <c r="H103" i="9" s="1"/>
  <c r="N102" i="9"/>
  <c r="D102" i="9"/>
  <c r="F102" i="9" s="1"/>
  <c r="H102" i="9" s="1"/>
  <c r="N101" i="9"/>
  <c r="D101" i="9"/>
  <c r="F101" i="9" s="1"/>
  <c r="H101" i="9" s="1"/>
  <c r="O101" i="9" s="1"/>
  <c r="N100" i="9"/>
  <c r="D100" i="9"/>
  <c r="F100" i="9" s="1"/>
  <c r="H100" i="9" s="1"/>
  <c r="N99" i="9"/>
  <c r="D99" i="9"/>
  <c r="F99" i="9" s="1"/>
  <c r="H99" i="9" s="1"/>
  <c r="N98" i="9"/>
  <c r="F98" i="9"/>
  <c r="H98" i="9" s="1"/>
  <c r="D98" i="9"/>
  <c r="N97" i="9"/>
  <c r="D97" i="9"/>
  <c r="F97" i="9" s="1"/>
  <c r="H97" i="9" s="1"/>
  <c r="O97" i="9" s="1"/>
  <c r="N96" i="9"/>
  <c r="D96" i="9"/>
  <c r="F96" i="9" s="1"/>
  <c r="H96" i="9" s="1"/>
  <c r="O96" i="9" s="1"/>
  <c r="N95" i="9"/>
  <c r="D95" i="9"/>
  <c r="F95" i="9" s="1"/>
  <c r="H95" i="9" s="1"/>
  <c r="O95" i="9" s="1"/>
  <c r="N94" i="9"/>
  <c r="D94" i="9"/>
  <c r="F94" i="9" s="1"/>
  <c r="H94" i="9" s="1"/>
  <c r="N93" i="9"/>
  <c r="D93" i="9"/>
  <c r="F93" i="9" s="1"/>
  <c r="H93" i="9" s="1"/>
  <c r="O93" i="9" s="1"/>
  <c r="N92" i="9"/>
  <c r="D92" i="9"/>
  <c r="F92" i="9" s="1"/>
  <c r="H92" i="9" s="1"/>
  <c r="O92" i="9" s="1"/>
  <c r="N90" i="9"/>
  <c r="D90" i="9"/>
  <c r="F90" i="9" s="1"/>
  <c r="H90" i="9" s="1"/>
  <c r="O90" i="9" s="1"/>
  <c r="N89" i="9"/>
  <c r="D89" i="9"/>
  <c r="F89" i="9" s="1"/>
  <c r="H89" i="9" s="1"/>
  <c r="O89" i="9" s="1"/>
  <c r="N88" i="9"/>
  <c r="D88" i="9"/>
  <c r="F88" i="9" s="1"/>
  <c r="H88" i="9" s="1"/>
  <c r="N87" i="9"/>
  <c r="D87" i="9"/>
  <c r="F87" i="9" s="1"/>
  <c r="H87" i="9" s="1"/>
  <c r="N86" i="9"/>
  <c r="D86" i="9"/>
  <c r="F86" i="9" s="1"/>
  <c r="H86" i="9" s="1"/>
  <c r="N85" i="9"/>
  <c r="D85" i="9"/>
  <c r="F85" i="9" s="1"/>
  <c r="H85" i="9" s="1"/>
  <c r="O85" i="9" s="1"/>
  <c r="N84" i="9"/>
  <c r="D84" i="9"/>
  <c r="F84" i="9" s="1"/>
  <c r="H84" i="9" s="1"/>
  <c r="N83" i="9"/>
  <c r="D83" i="9"/>
  <c r="F83" i="9" s="1"/>
  <c r="H83" i="9" s="1"/>
  <c r="N82" i="9"/>
  <c r="D82" i="9"/>
  <c r="F82" i="9" s="1"/>
  <c r="H82" i="9" s="1"/>
  <c r="N81" i="9"/>
  <c r="D81" i="9"/>
  <c r="F81" i="9" s="1"/>
  <c r="H81" i="9" s="1"/>
  <c r="O81" i="9" s="1"/>
  <c r="N80" i="9"/>
  <c r="D80" i="9"/>
  <c r="F80" i="9" s="1"/>
  <c r="H80" i="9" s="1"/>
  <c r="O80" i="9" s="1"/>
  <c r="N79" i="9"/>
  <c r="D79" i="9"/>
  <c r="F79" i="9" s="1"/>
  <c r="H79" i="9" s="1"/>
  <c r="O79" i="9" s="1"/>
  <c r="N77" i="9"/>
  <c r="D77" i="9"/>
  <c r="F77" i="9" s="1"/>
  <c r="H77" i="9" s="1"/>
  <c r="N76" i="9"/>
  <c r="D76" i="9"/>
  <c r="F76" i="9" s="1"/>
  <c r="H76" i="9" s="1"/>
  <c r="O76" i="9" s="1"/>
  <c r="N75" i="9"/>
  <c r="D75" i="9"/>
  <c r="F75" i="9" s="1"/>
  <c r="H75" i="9" s="1"/>
  <c r="O75" i="9" s="1"/>
  <c r="N74" i="9"/>
  <c r="D74" i="9"/>
  <c r="F74" i="9" s="1"/>
  <c r="H74" i="9" s="1"/>
  <c r="O74" i="9" s="1"/>
  <c r="N73" i="9"/>
  <c r="D73" i="9"/>
  <c r="F73" i="9" s="1"/>
  <c r="H73" i="9" s="1"/>
  <c r="N72" i="9"/>
  <c r="F72" i="9"/>
  <c r="H72" i="9" s="1"/>
  <c r="O72" i="9" s="1"/>
  <c r="D72" i="9"/>
  <c r="N71" i="9"/>
  <c r="D71" i="9"/>
  <c r="F71" i="9" s="1"/>
  <c r="H71" i="9" s="1"/>
  <c r="N70" i="9"/>
  <c r="D70" i="9"/>
  <c r="F70" i="9" s="1"/>
  <c r="H70" i="9" s="1"/>
  <c r="N69" i="9"/>
  <c r="D69" i="9"/>
  <c r="F69" i="9" s="1"/>
  <c r="H69" i="9" s="1"/>
  <c r="O69" i="9" s="1"/>
  <c r="N68" i="9"/>
  <c r="D68" i="9"/>
  <c r="F68" i="9" s="1"/>
  <c r="H68" i="9" s="1"/>
  <c r="N67" i="9"/>
  <c r="D67" i="9"/>
  <c r="F67" i="9" s="1"/>
  <c r="H67" i="9" s="1"/>
  <c r="N66" i="9"/>
  <c r="D66" i="9"/>
  <c r="F66" i="9" s="1"/>
  <c r="H66" i="9" s="1"/>
  <c r="N64" i="9"/>
  <c r="D64" i="9"/>
  <c r="F64" i="9" s="1"/>
  <c r="H64" i="9" s="1"/>
  <c r="O64" i="9" s="1"/>
  <c r="N63" i="9"/>
  <c r="D63" i="9"/>
  <c r="F63" i="9" s="1"/>
  <c r="H63" i="9" s="1"/>
  <c r="O63" i="9" s="1"/>
  <c r="N62" i="9"/>
  <c r="D62" i="9"/>
  <c r="F62" i="9" s="1"/>
  <c r="H62" i="9" s="1"/>
  <c r="O62" i="9" s="1"/>
  <c r="N61" i="9"/>
  <c r="D61" i="9"/>
  <c r="F61" i="9" s="1"/>
  <c r="H61" i="9" s="1"/>
  <c r="N60" i="9"/>
  <c r="D60" i="9"/>
  <c r="F60" i="9" s="1"/>
  <c r="H60" i="9" s="1"/>
  <c r="O60" i="9" s="1"/>
  <c r="N59" i="9"/>
  <c r="D59" i="9"/>
  <c r="F59" i="9" s="1"/>
  <c r="H59" i="9" s="1"/>
  <c r="O59" i="9" s="1"/>
  <c r="N58" i="9"/>
  <c r="D58" i="9"/>
  <c r="F58" i="9" s="1"/>
  <c r="H58" i="9" s="1"/>
  <c r="O58" i="9" s="1"/>
  <c r="N57" i="9"/>
  <c r="D57" i="9"/>
  <c r="F57" i="9" s="1"/>
  <c r="H57" i="9" s="1"/>
  <c r="N56" i="9"/>
  <c r="D56" i="9"/>
  <c r="F56" i="9" s="1"/>
  <c r="H56" i="9" s="1"/>
  <c r="O56" i="9" s="1"/>
  <c r="N55" i="9"/>
  <c r="F55" i="9"/>
  <c r="H55" i="9" s="1"/>
  <c r="O55" i="9" s="1"/>
  <c r="D55" i="9"/>
  <c r="N54" i="9"/>
  <c r="D54" i="9"/>
  <c r="F54" i="9" s="1"/>
  <c r="H54" i="9" s="1"/>
  <c r="N53" i="9"/>
  <c r="D53" i="9"/>
  <c r="F53" i="9" s="1"/>
  <c r="H53" i="9" s="1"/>
  <c r="O53" i="9" s="1"/>
  <c r="N48" i="9"/>
  <c r="D48" i="9"/>
  <c r="F48" i="9" s="1"/>
  <c r="H48" i="9" s="1"/>
  <c r="O48" i="9" s="1"/>
  <c r="N28" i="9"/>
  <c r="D28" i="9"/>
  <c r="F28" i="9" s="1"/>
  <c r="H28" i="9" s="1"/>
  <c r="O28" i="9" s="1"/>
  <c r="T186" i="8"/>
  <c r="L186" i="8"/>
  <c r="O186" i="8" s="1"/>
  <c r="V186" i="8" s="1"/>
  <c r="W186" i="8" s="1"/>
  <c r="E186" i="8"/>
  <c r="V185" i="8"/>
  <c r="W185" i="8" s="1"/>
  <c r="T185" i="8"/>
  <c r="O185" i="8"/>
  <c r="L185" i="8"/>
  <c r="E185" i="8"/>
  <c r="T184" i="8"/>
  <c r="O184" i="8"/>
  <c r="V184" i="8" s="1"/>
  <c r="W184" i="8" s="1"/>
  <c r="L184" i="8"/>
  <c r="E184" i="8"/>
  <c r="T183" i="8"/>
  <c r="L183" i="8"/>
  <c r="O183" i="8" s="1"/>
  <c r="V183" i="8" s="1"/>
  <c r="E183" i="8"/>
  <c r="W183" i="8" s="1"/>
  <c r="T182" i="8"/>
  <c r="L182" i="8"/>
  <c r="O182" i="8" s="1"/>
  <c r="V182" i="8" s="1"/>
  <c r="W182" i="8" s="1"/>
  <c r="E182" i="8"/>
  <c r="T181" i="8"/>
  <c r="L181" i="8"/>
  <c r="O181" i="8" s="1"/>
  <c r="V181" i="8" s="1"/>
  <c r="W181" i="8" s="1"/>
  <c r="E181" i="8"/>
  <c r="T180" i="8"/>
  <c r="O180" i="8"/>
  <c r="V180" i="8" s="1"/>
  <c r="W180" i="8" s="1"/>
  <c r="L180" i="8"/>
  <c r="E180" i="8"/>
  <c r="T178" i="8"/>
  <c r="Q178" i="8"/>
  <c r="L178" i="8"/>
  <c r="O178" i="8" s="1"/>
  <c r="V178" i="8" s="1"/>
  <c r="G178" i="8"/>
  <c r="C178" i="8"/>
  <c r="E178" i="8" s="1"/>
  <c r="W178" i="8" s="1"/>
  <c r="Q177" i="8"/>
  <c r="T177" i="8" s="1"/>
  <c r="O177" i="8"/>
  <c r="V177" i="8" s="1"/>
  <c r="L177" i="8"/>
  <c r="G177" i="8"/>
  <c r="C177" i="8"/>
  <c r="B177" i="8"/>
  <c r="E177" i="8" s="1"/>
  <c r="T176" i="8"/>
  <c r="Q176" i="8"/>
  <c r="L176" i="8"/>
  <c r="O176" i="8" s="1"/>
  <c r="V176" i="8" s="1"/>
  <c r="G176" i="8"/>
  <c r="C176" i="8"/>
  <c r="B176" i="8"/>
  <c r="E176" i="8" s="1"/>
  <c r="T175" i="8"/>
  <c r="G175" i="8"/>
  <c r="L175" i="8" s="1"/>
  <c r="O175" i="8" s="1"/>
  <c r="V175" i="8" s="1"/>
  <c r="W175" i="8" s="1"/>
  <c r="E175" i="8"/>
  <c r="T174" i="8"/>
  <c r="L174" i="8"/>
  <c r="O174" i="8" s="1"/>
  <c r="V174" i="8" s="1"/>
  <c r="W174" i="8" s="1"/>
  <c r="G174" i="8"/>
  <c r="E174" i="8"/>
  <c r="T173" i="8"/>
  <c r="G173" i="8"/>
  <c r="L173" i="8" s="1"/>
  <c r="O173" i="8" s="1"/>
  <c r="V173" i="8" s="1"/>
  <c r="E173" i="8"/>
  <c r="W173" i="8" s="1"/>
  <c r="Q172" i="8"/>
  <c r="T172" i="8" s="1"/>
  <c r="O172" i="8"/>
  <c r="V172" i="8" s="1"/>
  <c r="W172" i="8" s="1"/>
  <c r="L172" i="8"/>
  <c r="G172" i="8"/>
  <c r="E172" i="8"/>
  <c r="Q171" i="8"/>
  <c r="T171" i="8" s="1"/>
  <c r="O171" i="8"/>
  <c r="L171" i="8"/>
  <c r="G171" i="8"/>
  <c r="E171" i="8"/>
  <c r="Q170" i="8"/>
  <c r="T170" i="8" s="1"/>
  <c r="O170" i="8"/>
  <c r="V170" i="8" s="1"/>
  <c r="W170" i="8" s="1"/>
  <c r="L170" i="8"/>
  <c r="G170" i="8"/>
  <c r="E170" i="8"/>
  <c r="T169" i="8"/>
  <c r="O169" i="8"/>
  <c r="V169" i="8" s="1"/>
  <c r="W169" i="8" s="1"/>
  <c r="L169" i="8"/>
  <c r="E169" i="8"/>
  <c r="T168" i="8"/>
  <c r="L168" i="8"/>
  <c r="O168" i="8" s="1"/>
  <c r="V168" i="8" s="1"/>
  <c r="E168" i="8"/>
  <c r="W168" i="8" s="1"/>
  <c r="T167" i="8"/>
  <c r="L167" i="8"/>
  <c r="O167" i="8" s="1"/>
  <c r="V167" i="8" s="1"/>
  <c r="W167" i="8" s="1"/>
  <c r="E167" i="8"/>
  <c r="T165" i="8"/>
  <c r="L165" i="8"/>
  <c r="O165" i="8" s="1"/>
  <c r="V165" i="8" s="1"/>
  <c r="W165" i="8" s="1"/>
  <c r="E165" i="8"/>
  <c r="T164" i="8"/>
  <c r="O164" i="8"/>
  <c r="V164" i="8" s="1"/>
  <c r="W164" i="8" s="1"/>
  <c r="L164" i="8"/>
  <c r="E164" i="8"/>
  <c r="T163" i="8"/>
  <c r="L163" i="8"/>
  <c r="O163" i="8" s="1"/>
  <c r="V163" i="8" s="1"/>
  <c r="E163" i="8"/>
  <c r="W163" i="8" s="1"/>
  <c r="T162" i="8"/>
  <c r="L162" i="8"/>
  <c r="O162" i="8" s="1"/>
  <c r="V162" i="8" s="1"/>
  <c r="W162" i="8" s="1"/>
  <c r="E162" i="8"/>
  <c r="T161" i="8"/>
  <c r="L161" i="8"/>
  <c r="O161" i="8" s="1"/>
  <c r="V161" i="8" s="1"/>
  <c r="W161" i="8" s="1"/>
  <c r="E161" i="8"/>
  <c r="T160" i="8"/>
  <c r="O160" i="8"/>
  <c r="V160" i="8" s="1"/>
  <c r="W160" i="8" s="1"/>
  <c r="L160" i="8"/>
  <c r="E160" i="8"/>
  <c r="T159" i="8"/>
  <c r="L159" i="8"/>
  <c r="O159" i="8" s="1"/>
  <c r="E159" i="8"/>
  <c r="T158" i="8"/>
  <c r="L158" i="8"/>
  <c r="O158" i="8" s="1"/>
  <c r="V158" i="8" s="1"/>
  <c r="E158" i="8"/>
  <c r="T157" i="8"/>
  <c r="L157" i="8"/>
  <c r="O157" i="8" s="1"/>
  <c r="V157" i="8" s="1"/>
  <c r="E157" i="8"/>
  <c r="T156" i="8"/>
  <c r="O156" i="8"/>
  <c r="V156" i="8" s="1"/>
  <c r="W156" i="8" s="1"/>
  <c r="L156" i="8"/>
  <c r="E156" i="8"/>
  <c r="T155" i="8"/>
  <c r="L155" i="8"/>
  <c r="O155" i="8" s="1"/>
  <c r="E155" i="8"/>
  <c r="T154" i="8"/>
  <c r="L154" i="8"/>
  <c r="O154" i="8" s="1"/>
  <c r="V154" i="8" s="1"/>
  <c r="E154" i="8"/>
  <c r="T152" i="8"/>
  <c r="L152" i="8"/>
  <c r="O152" i="8" s="1"/>
  <c r="V152" i="8" s="1"/>
  <c r="W152" i="8" s="1"/>
  <c r="E152" i="8"/>
  <c r="T151" i="8"/>
  <c r="O151" i="8"/>
  <c r="V151" i="8" s="1"/>
  <c r="W151" i="8" s="1"/>
  <c r="L151" i="8"/>
  <c r="E151" i="8"/>
  <c r="T150" i="8"/>
  <c r="L150" i="8"/>
  <c r="O150" i="8" s="1"/>
  <c r="E150" i="8"/>
  <c r="T149" i="8"/>
  <c r="L149" i="8"/>
  <c r="O149" i="8" s="1"/>
  <c r="E149" i="8"/>
  <c r="T148" i="8"/>
  <c r="L148" i="8"/>
  <c r="O148" i="8" s="1"/>
  <c r="V148" i="8" s="1"/>
  <c r="E148" i="8"/>
  <c r="T147" i="8"/>
  <c r="O147" i="8"/>
  <c r="V147" i="8" s="1"/>
  <c r="W147" i="8" s="1"/>
  <c r="L147" i="8"/>
  <c r="E147" i="8"/>
  <c r="T146" i="8"/>
  <c r="L146" i="8"/>
  <c r="O146" i="8" s="1"/>
  <c r="E146" i="8"/>
  <c r="T145" i="8"/>
  <c r="L145" i="8"/>
  <c r="O145" i="8" s="1"/>
  <c r="E145" i="8"/>
  <c r="T144" i="8"/>
  <c r="L144" i="8"/>
  <c r="O144" i="8" s="1"/>
  <c r="V144" i="8" s="1"/>
  <c r="W144" i="8" s="1"/>
  <c r="E144" i="8"/>
  <c r="T143" i="8"/>
  <c r="O143" i="8"/>
  <c r="V143" i="8" s="1"/>
  <c r="W143" i="8" s="1"/>
  <c r="L143" i="8"/>
  <c r="E143" i="8"/>
  <c r="T142" i="8"/>
  <c r="L142" i="8"/>
  <c r="O142" i="8" s="1"/>
  <c r="E142" i="8"/>
  <c r="T141" i="8"/>
  <c r="L141" i="8"/>
  <c r="O141" i="8" s="1"/>
  <c r="V141" i="8" s="1"/>
  <c r="W141" i="8" s="1"/>
  <c r="E141" i="8"/>
  <c r="T139" i="8"/>
  <c r="L139" i="8"/>
  <c r="O139" i="8" s="1"/>
  <c r="V139" i="8" s="1"/>
  <c r="W139" i="8" s="1"/>
  <c r="E139" i="8"/>
  <c r="T138" i="8"/>
  <c r="O138" i="8"/>
  <c r="V138" i="8" s="1"/>
  <c r="W138" i="8" s="1"/>
  <c r="L138" i="8"/>
  <c r="E138" i="8"/>
  <c r="T137" i="8"/>
  <c r="L137" i="8"/>
  <c r="O137" i="8" s="1"/>
  <c r="V137" i="8" s="1"/>
  <c r="E137" i="8"/>
  <c r="T136" i="8"/>
  <c r="L136" i="8"/>
  <c r="O136" i="8" s="1"/>
  <c r="V136" i="8" s="1"/>
  <c r="W136" i="8" s="1"/>
  <c r="E136" i="8"/>
  <c r="T135" i="8"/>
  <c r="L135" i="8"/>
  <c r="O135" i="8" s="1"/>
  <c r="V135" i="8" s="1"/>
  <c r="W135" i="8" s="1"/>
  <c r="E135" i="8"/>
  <c r="T134" i="8"/>
  <c r="O134" i="8"/>
  <c r="V134" i="8" s="1"/>
  <c r="W134" i="8" s="1"/>
  <c r="L134" i="8"/>
  <c r="E134" i="8"/>
  <c r="T133" i="8"/>
  <c r="L133" i="8"/>
  <c r="O133" i="8" s="1"/>
  <c r="V133" i="8" s="1"/>
  <c r="E133" i="8"/>
  <c r="W133" i="8" s="1"/>
  <c r="T132" i="8"/>
  <c r="L132" i="8"/>
  <c r="O132" i="8" s="1"/>
  <c r="V132" i="8" s="1"/>
  <c r="E132" i="8"/>
  <c r="T131" i="8"/>
  <c r="L131" i="8"/>
  <c r="O131" i="8" s="1"/>
  <c r="V131" i="8" s="1"/>
  <c r="W131" i="8" s="1"/>
  <c r="E131" i="8"/>
  <c r="T130" i="8"/>
  <c r="O130" i="8"/>
  <c r="V130" i="8" s="1"/>
  <c r="W130" i="8" s="1"/>
  <c r="L130" i="8"/>
  <c r="E130" i="8"/>
  <c r="T129" i="8"/>
  <c r="L129" i="8"/>
  <c r="O129" i="8" s="1"/>
  <c r="E129" i="8"/>
  <c r="T128" i="8"/>
  <c r="L128" i="8"/>
  <c r="O128" i="8" s="1"/>
  <c r="V128" i="8" s="1"/>
  <c r="E128" i="8"/>
  <c r="T126" i="8"/>
  <c r="L126" i="8"/>
  <c r="O126" i="8" s="1"/>
  <c r="V126" i="8" s="1"/>
  <c r="W126" i="8" s="1"/>
  <c r="E126" i="8"/>
  <c r="T125" i="8"/>
  <c r="O125" i="8"/>
  <c r="V125" i="8" s="1"/>
  <c r="W125" i="8" s="1"/>
  <c r="L125" i="8"/>
  <c r="E125" i="8"/>
  <c r="T124" i="8"/>
  <c r="L124" i="8"/>
  <c r="O124" i="8" s="1"/>
  <c r="E124" i="8"/>
  <c r="T123" i="8"/>
  <c r="L123" i="8"/>
  <c r="O123" i="8" s="1"/>
  <c r="E123" i="8"/>
  <c r="T122" i="8"/>
  <c r="L122" i="8"/>
  <c r="O122" i="8" s="1"/>
  <c r="V122" i="8" s="1"/>
  <c r="W122" i="8" s="1"/>
  <c r="E122" i="8"/>
  <c r="T121" i="8"/>
  <c r="O121" i="8"/>
  <c r="V121" i="8" s="1"/>
  <c r="W121" i="8" s="1"/>
  <c r="L121" i="8"/>
  <c r="E121" i="8"/>
  <c r="T120" i="8"/>
  <c r="L120" i="8"/>
  <c r="O120" i="8" s="1"/>
  <c r="E120" i="8"/>
  <c r="T119" i="8"/>
  <c r="L119" i="8"/>
  <c r="O119" i="8" s="1"/>
  <c r="E119" i="8"/>
  <c r="T118" i="8"/>
  <c r="L118" i="8"/>
  <c r="O118" i="8" s="1"/>
  <c r="V118" i="8" s="1"/>
  <c r="E118" i="8"/>
  <c r="T117" i="8"/>
  <c r="O117" i="8"/>
  <c r="V117" i="8" s="1"/>
  <c r="W117" i="8" s="1"/>
  <c r="L117" i="8"/>
  <c r="E117" i="8"/>
  <c r="T116" i="8"/>
  <c r="L116" i="8"/>
  <c r="O116" i="8" s="1"/>
  <c r="E116" i="8"/>
  <c r="T115" i="8"/>
  <c r="L115" i="8"/>
  <c r="O115" i="8" s="1"/>
  <c r="E115" i="8"/>
  <c r="T113" i="8"/>
  <c r="L113" i="8"/>
  <c r="O113" i="8" s="1"/>
  <c r="V113" i="8" s="1"/>
  <c r="E113" i="8"/>
  <c r="T112" i="8"/>
  <c r="L112" i="8"/>
  <c r="O112" i="8" s="1"/>
  <c r="V112" i="8" s="1"/>
  <c r="W112" i="8" s="1"/>
  <c r="E112" i="8"/>
  <c r="T111" i="8"/>
  <c r="L111" i="8"/>
  <c r="O111" i="8" s="1"/>
  <c r="E111" i="8"/>
  <c r="T110" i="8"/>
  <c r="L110" i="8"/>
  <c r="O110" i="8" s="1"/>
  <c r="E110" i="8"/>
  <c r="T109" i="8"/>
  <c r="L109" i="8"/>
  <c r="O109" i="8" s="1"/>
  <c r="E109" i="8"/>
  <c r="T108" i="8"/>
  <c r="L108" i="8"/>
  <c r="O108" i="8" s="1"/>
  <c r="V108" i="8" s="1"/>
  <c r="W108" i="8" s="1"/>
  <c r="E108" i="8"/>
  <c r="T107" i="8"/>
  <c r="L107" i="8"/>
  <c r="O107" i="8" s="1"/>
  <c r="V107" i="8" s="1"/>
  <c r="E107" i="8"/>
  <c r="T106" i="8"/>
  <c r="L106" i="8"/>
  <c r="O106" i="8" s="1"/>
  <c r="V106" i="8" s="1"/>
  <c r="W106" i="8" s="1"/>
  <c r="E106" i="8"/>
  <c r="T105" i="8"/>
  <c r="L105" i="8"/>
  <c r="O105" i="8" s="1"/>
  <c r="V105" i="8" s="1"/>
  <c r="W105" i="8" s="1"/>
  <c r="E105" i="8"/>
  <c r="T104" i="8"/>
  <c r="L104" i="8"/>
  <c r="O104" i="8" s="1"/>
  <c r="V104" i="8" s="1"/>
  <c r="W104" i="8" s="1"/>
  <c r="E104" i="8"/>
  <c r="T103" i="8"/>
  <c r="L103" i="8"/>
  <c r="O103" i="8" s="1"/>
  <c r="V103" i="8" s="1"/>
  <c r="E103" i="8"/>
  <c r="T102" i="8"/>
  <c r="L102" i="8"/>
  <c r="O102" i="8" s="1"/>
  <c r="V102" i="8" s="1"/>
  <c r="W102" i="8" s="1"/>
  <c r="E102" i="8"/>
  <c r="T100" i="8"/>
  <c r="L100" i="8"/>
  <c r="O100" i="8" s="1"/>
  <c r="V100" i="8" s="1"/>
  <c r="W100" i="8" s="1"/>
  <c r="E100" i="8"/>
  <c r="T99" i="8"/>
  <c r="O99" i="8"/>
  <c r="V99" i="8" s="1"/>
  <c r="L99" i="8"/>
  <c r="E99" i="8"/>
  <c r="T98" i="8"/>
  <c r="L98" i="8"/>
  <c r="O98" i="8" s="1"/>
  <c r="V98" i="8" s="1"/>
  <c r="E98" i="8"/>
  <c r="W98" i="8" s="1"/>
  <c r="T97" i="8"/>
  <c r="L97" i="8"/>
  <c r="O97" i="8" s="1"/>
  <c r="V97" i="8" s="1"/>
  <c r="E97" i="8"/>
  <c r="T96" i="8"/>
  <c r="L96" i="8"/>
  <c r="O96" i="8" s="1"/>
  <c r="V96" i="8" s="1"/>
  <c r="W96" i="8" s="1"/>
  <c r="E96" i="8"/>
  <c r="T95" i="8"/>
  <c r="O95" i="8"/>
  <c r="V95" i="8" s="1"/>
  <c r="W95" i="8" s="1"/>
  <c r="L95" i="8"/>
  <c r="E95" i="8"/>
  <c r="T94" i="8"/>
  <c r="L94" i="8"/>
  <c r="O94" i="8" s="1"/>
  <c r="E94" i="8"/>
  <c r="T93" i="8"/>
  <c r="L93" i="8"/>
  <c r="O93" i="8" s="1"/>
  <c r="V93" i="8" s="1"/>
  <c r="E93" i="8"/>
  <c r="T92" i="8"/>
  <c r="L92" i="8"/>
  <c r="O92" i="8" s="1"/>
  <c r="V92" i="8" s="1"/>
  <c r="W92" i="8" s="1"/>
  <c r="E92" i="8"/>
  <c r="T91" i="8"/>
  <c r="O91" i="8"/>
  <c r="V91" i="8" s="1"/>
  <c r="W91" i="8" s="1"/>
  <c r="L91" i="8"/>
  <c r="E91" i="8"/>
  <c r="T90" i="8"/>
  <c r="L90" i="8"/>
  <c r="O90" i="8" s="1"/>
  <c r="E90" i="8"/>
  <c r="T89" i="8"/>
  <c r="L89" i="8"/>
  <c r="O89" i="8" s="1"/>
  <c r="E89" i="8"/>
  <c r="T87" i="8"/>
  <c r="L87" i="8"/>
  <c r="O87" i="8" s="1"/>
  <c r="V87" i="8" s="1"/>
  <c r="E87" i="8"/>
  <c r="T86" i="8"/>
  <c r="O86" i="8"/>
  <c r="V86" i="8" s="1"/>
  <c r="W86" i="8" s="1"/>
  <c r="L86" i="8"/>
  <c r="E86" i="8"/>
  <c r="T85" i="8"/>
  <c r="L85" i="8"/>
  <c r="O85" i="8" s="1"/>
  <c r="E85" i="8"/>
  <c r="T84" i="8"/>
  <c r="L84" i="8"/>
  <c r="O84" i="8" s="1"/>
  <c r="E84" i="8"/>
  <c r="T83" i="8"/>
  <c r="L83" i="8"/>
  <c r="O83" i="8" s="1"/>
  <c r="V83" i="8" s="1"/>
  <c r="E83" i="8"/>
  <c r="T82" i="8"/>
  <c r="L82" i="8"/>
  <c r="O82" i="8" s="1"/>
  <c r="V82" i="8" s="1"/>
  <c r="W82" i="8" s="1"/>
  <c r="E82" i="8"/>
  <c r="T81" i="8"/>
  <c r="L81" i="8"/>
  <c r="O81" i="8" s="1"/>
  <c r="E81" i="8"/>
  <c r="T80" i="8"/>
  <c r="L80" i="8"/>
  <c r="O80" i="8" s="1"/>
  <c r="E80" i="8"/>
  <c r="T79" i="8"/>
  <c r="L79" i="8"/>
  <c r="O79" i="8" s="1"/>
  <c r="E79" i="8"/>
  <c r="T78" i="8"/>
  <c r="L78" i="8"/>
  <c r="O78" i="8" s="1"/>
  <c r="V78" i="8" s="1"/>
  <c r="W78" i="8" s="1"/>
  <c r="E78" i="8"/>
  <c r="T77" i="8"/>
  <c r="L77" i="8"/>
  <c r="O77" i="8" s="1"/>
  <c r="V77" i="8" s="1"/>
  <c r="E77" i="8"/>
  <c r="T76" i="8"/>
  <c r="L76" i="8"/>
  <c r="O76" i="8" s="1"/>
  <c r="E76" i="8"/>
  <c r="T74" i="8"/>
  <c r="L74" i="8"/>
  <c r="O74" i="8" s="1"/>
  <c r="E74" i="8"/>
  <c r="T73" i="8"/>
  <c r="L73" i="8"/>
  <c r="O73" i="8" s="1"/>
  <c r="V73" i="8" s="1"/>
  <c r="W73" i="8" s="1"/>
  <c r="E73" i="8"/>
  <c r="T72" i="8"/>
  <c r="L72" i="8"/>
  <c r="O72" i="8" s="1"/>
  <c r="V72" i="8" s="1"/>
  <c r="E72" i="8"/>
  <c r="T71" i="8"/>
  <c r="L71" i="8"/>
  <c r="O71" i="8" s="1"/>
  <c r="V71" i="8" s="1"/>
  <c r="W71" i="8" s="1"/>
  <c r="E71" i="8"/>
  <c r="T70" i="8"/>
  <c r="L70" i="8"/>
  <c r="O70" i="8" s="1"/>
  <c r="V70" i="8" s="1"/>
  <c r="W70" i="8" s="1"/>
  <c r="E70" i="8"/>
  <c r="T69" i="8"/>
  <c r="L69" i="8"/>
  <c r="O69" i="8" s="1"/>
  <c r="V69" i="8" s="1"/>
  <c r="W69" i="8" s="1"/>
  <c r="E69" i="8"/>
  <c r="T68" i="8"/>
  <c r="L68" i="8"/>
  <c r="O68" i="8" s="1"/>
  <c r="V68" i="8" s="1"/>
  <c r="E68" i="8"/>
  <c r="T67" i="8"/>
  <c r="L67" i="8"/>
  <c r="O67" i="8" s="1"/>
  <c r="V67" i="8" s="1"/>
  <c r="W67" i="8" s="1"/>
  <c r="E67" i="8"/>
  <c r="T66" i="8"/>
  <c r="L66" i="8"/>
  <c r="O66" i="8" s="1"/>
  <c r="V66" i="8" s="1"/>
  <c r="W66" i="8" s="1"/>
  <c r="E66" i="8"/>
  <c r="T65" i="8"/>
  <c r="O65" i="8"/>
  <c r="V65" i="8" s="1"/>
  <c r="L65" i="8"/>
  <c r="E65" i="8"/>
  <c r="T64" i="8"/>
  <c r="L64" i="8"/>
  <c r="O64" i="8" s="1"/>
  <c r="V64" i="8" s="1"/>
  <c r="E64" i="8"/>
  <c r="W64" i="8" s="1"/>
  <c r="T63" i="8"/>
  <c r="L63" i="8"/>
  <c r="O63" i="8" s="1"/>
  <c r="V63" i="8" s="1"/>
  <c r="E63" i="8"/>
  <c r="T61" i="8"/>
  <c r="L61" i="8"/>
  <c r="O61" i="8" s="1"/>
  <c r="V61" i="8" s="1"/>
  <c r="W61" i="8" s="1"/>
  <c r="E61" i="8"/>
  <c r="T60" i="8"/>
  <c r="O60" i="8"/>
  <c r="V60" i="8" s="1"/>
  <c r="W60" i="8" s="1"/>
  <c r="L60" i="8"/>
  <c r="E60" i="8"/>
  <c r="T59" i="8"/>
  <c r="L59" i="8"/>
  <c r="O59" i="8" s="1"/>
  <c r="E59" i="8"/>
  <c r="T58" i="8"/>
  <c r="L58" i="8"/>
  <c r="O58" i="8" s="1"/>
  <c r="V58" i="8" s="1"/>
  <c r="E58" i="8"/>
  <c r="T57" i="8"/>
  <c r="L57" i="8"/>
  <c r="O57" i="8" s="1"/>
  <c r="V57" i="8" s="1"/>
  <c r="W57" i="8" s="1"/>
  <c r="E57" i="8"/>
  <c r="T56" i="8"/>
  <c r="O56" i="8"/>
  <c r="V56" i="8" s="1"/>
  <c r="W56" i="8" s="1"/>
  <c r="L56" i="8"/>
  <c r="E56" i="8"/>
  <c r="T55" i="8"/>
  <c r="L55" i="8"/>
  <c r="O55" i="8" s="1"/>
  <c r="E55" i="8"/>
  <c r="T54" i="8"/>
  <c r="L54" i="8"/>
  <c r="O54" i="8" s="1"/>
  <c r="E54" i="8"/>
  <c r="T53" i="8"/>
  <c r="L53" i="8"/>
  <c r="O53" i="8" s="1"/>
  <c r="V53" i="8" s="1"/>
  <c r="E53" i="8"/>
  <c r="T52" i="8"/>
  <c r="O52" i="8"/>
  <c r="V52" i="8" s="1"/>
  <c r="W52" i="8" s="1"/>
  <c r="L52" i="8"/>
  <c r="E52" i="8"/>
  <c r="T51" i="8"/>
  <c r="L51" i="8"/>
  <c r="O51" i="8" s="1"/>
  <c r="E51" i="8"/>
  <c r="T50" i="8"/>
  <c r="L50" i="8"/>
  <c r="O50" i="8" s="1"/>
  <c r="E50" i="8"/>
  <c r="T45" i="8"/>
  <c r="Q45" i="8"/>
  <c r="G45" i="8"/>
  <c r="L45" i="8" s="1"/>
  <c r="O45" i="8" s="1"/>
  <c r="V45" i="8" s="1"/>
  <c r="C45" i="8"/>
  <c r="E45" i="8" s="1"/>
  <c r="W45" i="8" s="1"/>
  <c r="Q25" i="8"/>
  <c r="T25" i="8" s="1"/>
  <c r="L25" i="8"/>
  <c r="O25" i="8" s="1"/>
  <c r="V25" i="8" s="1"/>
  <c r="G25" i="8"/>
  <c r="C25" i="8"/>
  <c r="E25" i="8" s="1"/>
  <c r="W25" i="8" s="1"/>
  <c r="L186" i="3"/>
  <c r="I186" i="3"/>
  <c r="S186" i="3" s="1"/>
  <c r="L185" i="3"/>
  <c r="S185" i="3" s="1"/>
  <c r="I185" i="3"/>
  <c r="L184" i="3"/>
  <c r="I184" i="3"/>
  <c r="S184" i="3" s="1"/>
  <c r="L183" i="3"/>
  <c r="I183" i="3"/>
  <c r="S183" i="3" s="1"/>
  <c r="S182" i="3"/>
  <c r="L182" i="3"/>
  <c r="I182" i="3"/>
  <c r="S181" i="3"/>
  <c r="L181" i="3"/>
  <c r="I181" i="3"/>
  <c r="L180" i="3"/>
  <c r="I180" i="3"/>
  <c r="S180" i="3" s="1"/>
  <c r="S178" i="3"/>
  <c r="L178" i="3"/>
  <c r="I178" i="3"/>
  <c r="R177" i="3"/>
  <c r="L177" i="3"/>
  <c r="H177" i="3"/>
  <c r="I177" i="3" s="1"/>
  <c r="S177" i="3" s="1"/>
  <c r="S176" i="3"/>
  <c r="R176" i="3"/>
  <c r="L176" i="3"/>
  <c r="I176" i="3"/>
  <c r="H176" i="3"/>
  <c r="R175" i="3"/>
  <c r="L175" i="3"/>
  <c r="S175" i="3" s="1"/>
  <c r="I175" i="3"/>
  <c r="R174" i="3"/>
  <c r="L174" i="3"/>
  <c r="I174" i="3"/>
  <c r="S174" i="3" s="1"/>
  <c r="R173" i="3"/>
  <c r="L173" i="3"/>
  <c r="S173" i="3" s="1"/>
  <c r="I173" i="3"/>
  <c r="R172" i="3"/>
  <c r="L172" i="3"/>
  <c r="I172" i="3"/>
  <c r="S172" i="3" s="1"/>
  <c r="R171" i="3"/>
  <c r="L171" i="3"/>
  <c r="S171" i="3" s="1"/>
  <c r="I171" i="3"/>
  <c r="R170" i="3"/>
  <c r="L170" i="3"/>
  <c r="I170" i="3"/>
  <c r="S170" i="3" s="1"/>
  <c r="R169" i="3"/>
  <c r="L169" i="3"/>
  <c r="S169" i="3" s="1"/>
  <c r="I169" i="3"/>
  <c r="R168" i="3"/>
  <c r="L168" i="3"/>
  <c r="I168" i="3"/>
  <c r="S168" i="3" s="1"/>
  <c r="R167" i="3"/>
  <c r="L167" i="3"/>
  <c r="S167" i="3" s="1"/>
  <c r="I167" i="3"/>
  <c r="R165" i="3"/>
  <c r="L165" i="3"/>
  <c r="I165" i="3"/>
  <c r="S165" i="3" s="1"/>
  <c r="R164" i="3"/>
  <c r="L164" i="3"/>
  <c r="S164" i="3" s="1"/>
  <c r="I164" i="3"/>
  <c r="R163" i="3"/>
  <c r="L163" i="3"/>
  <c r="I163" i="3"/>
  <c r="S163" i="3" s="1"/>
  <c r="R162" i="3"/>
  <c r="L162" i="3"/>
  <c r="S162" i="3" s="1"/>
  <c r="I162" i="3"/>
  <c r="R161" i="3"/>
  <c r="L161" i="3"/>
  <c r="I161" i="3"/>
  <c r="S161" i="3" s="1"/>
  <c r="R160" i="3"/>
  <c r="L160" i="3"/>
  <c r="S160" i="3" s="1"/>
  <c r="I160" i="3"/>
  <c r="R159" i="3"/>
  <c r="L159" i="3"/>
  <c r="I159" i="3"/>
  <c r="R158" i="3"/>
  <c r="L158" i="3"/>
  <c r="S158" i="3" s="1"/>
  <c r="I158" i="3"/>
  <c r="L157" i="3"/>
  <c r="I157" i="3"/>
  <c r="S157" i="3" s="1"/>
  <c r="R156" i="3"/>
  <c r="L156" i="3"/>
  <c r="I156" i="3"/>
  <c r="S155" i="3"/>
  <c r="R155" i="3"/>
  <c r="L155" i="3"/>
  <c r="I155" i="3"/>
  <c r="R154" i="3"/>
  <c r="L154" i="3"/>
  <c r="I154" i="3"/>
  <c r="S154" i="3" s="1"/>
  <c r="R152" i="3"/>
  <c r="L152" i="3"/>
  <c r="S152" i="3" s="1"/>
  <c r="I152" i="3"/>
  <c r="R151" i="3"/>
  <c r="L151" i="3"/>
  <c r="I151" i="3"/>
  <c r="S150" i="3"/>
  <c r="R150" i="3"/>
  <c r="L150" i="3"/>
  <c r="I150" i="3"/>
  <c r="R149" i="3"/>
  <c r="L149" i="3"/>
  <c r="I149" i="3"/>
  <c r="S149" i="3" s="1"/>
  <c r="S148" i="3"/>
  <c r="R148" i="3"/>
  <c r="L148" i="3"/>
  <c r="I148" i="3"/>
  <c r="R147" i="3"/>
  <c r="L147" i="3"/>
  <c r="I147" i="3"/>
  <c r="S147" i="3" s="1"/>
  <c r="S146" i="3"/>
  <c r="R146" i="3"/>
  <c r="L146" i="3"/>
  <c r="I146" i="3"/>
  <c r="R145" i="3"/>
  <c r="L145" i="3"/>
  <c r="I145" i="3"/>
  <c r="R144" i="3"/>
  <c r="L144" i="3"/>
  <c r="I144" i="3"/>
  <c r="S144" i="3" s="1"/>
  <c r="R143" i="3"/>
  <c r="L143" i="3"/>
  <c r="I143" i="3"/>
  <c r="S143" i="3" s="1"/>
  <c r="R142" i="3"/>
  <c r="L142" i="3"/>
  <c r="I142" i="3"/>
  <c r="S142" i="3" s="1"/>
  <c r="R141" i="3"/>
  <c r="L141" i="3"/>
  <c r="I141" i="3"/>
  <c r="S141" i="3" s="1"/>
  <c r="R139" i="3"/>
  <c r="L139" i="3"/>
  <c r="I139" i="3"/>
  <c r="S139" i="3" s="1"/>
  <c r="R138" i="3"/>
  <c r="L138" i="3"/>
  <c r="I138" i="3"/>
  <c r="S137" i="3"/>
  <c r="R137" i="3"/>
  <c r="L137" i="3"/>
  <c r="I137" i="3"/>
  <c r="R136" i="3"/>
  <c r="L136" i="3"/>
  <c r="I136" i="3"/>
  <c r="S136" i="3" s="1"/>
  <c r="R135" i="3"/>
  <c r="L135" i="3"/>
  <c r="S135" i="3" s="1"/>
  <c r="I135" i="3"/>
  <c r="R134" i="3"/>
  <c r="L134" i="3"/>
  <c r="I134" i="3"/>
  <c r="S133" i="3"/>
  <c r="R133" i="3"/>
  <c r="L133" i="3"/>
  <c r="I133" i="3"/>
  <c r="R132" i="3"/>
  <c r="L132" i="3"/>
  <c r="I132" i="3"/>
  <c r="S132" i="3" s="1"/>
  <c r="S131" i="3"/>
  <c r="R131" i="3"/>
  <c r="L131" i="3"/>
  <c r="I131" i="3"/>
  <c r="R130" i="3"/>
  <c r="L130" i="3"/>
  <c r="I130" i="3"/>
  <c r="S130" i="3" s="1"/>
  <c r="S129" i="3"/>
  <c r="R129" i="3"/>
  <c r="L129" i="3"/>
  <c r="I129" i="3"/>
  <c r="L128" i="3"/>
  <c r="I128" i="3"/>
  <c r="S128" i="3" s="1"/>
  <c r="L126" i="3"/>
  <c r="I126" i="3"/>
  <c r="S126" i="3" s="1"/>
  <c r="S125" i="3"/>
  <c r="L125" i="3"/>
  <c r="I125" i="3"/>
  <c r="L124" i="3"/>
  <c r="I124" i="3"/>
  <c r="S124" i="3" s="1"/>
  <c r="L123" i="3"/>
  <c r="I123" i="3"/>
  <c r="S123" i="3" s="1"/>
  <c r="L122" i="3"/>
  <c r="I122" i="3"/>
  <c r="L121" i="3"/>
  <c r="I121" i="3"/>
  <c r="L120" i="3"/>
  <c r="I120" i="3"/>
  <c r="L119" i="3"/>
  <c r="I119" i="3"/>
  <c r="S119" i="3" s="1"/>
  <c r="L118" i="3"/>
  <c r="S118" i="3" s="1"/>
  <c r="I118" i="3"/>
  <c r="L117" i="3"/>
  <c r="S117" i="3" s="1"/>
  <c r="I117" i="3"/>
  <c r="L116" i="3"/>
  <c r="I116" i="3"/>
  <c r="S116" i="3" s="1"/>
  <c r="S115" i="3"/>
  <c r="L115" i="3"/>
  <c r="I115" i="3"/>
  <c r="L113" i="3"/>
  <c r="I113" i="3"/>
  <c r="S113" i="3" s="1"/>
  <c r="R112" i="3"/>
  <c r="L112" i="3"/>
  <c r="I112" i="3"/>
  <c r="R111" i="3"/>
  <c r="L111" i="3"/>
  <c r="I111" i="3"/>
  <c r="L110" i="3"/>
  <c r="I110" i="3"/>
  <c r="L109" i="3"/>
  <c r="I109" i="3"/>
  <c r="S109" i="3" s="1"/>
  <c r="R108" i="3"/>
  <c r="L108" i="3"/>
  <c r="I108" i="3"/>
  <c r="S108" i="3" s="1"/>
  <c r="L107" i="3"/>
  <c r="I107" i="3"/>
  <c r="S107" i="3" s="1"/>
  <c r="L106" i="3"/>
  <c r="I106" i="3"/>
  <c r="S106" i="3" s="1"/>
  <c r="R105" i="3"/>
  <c r="S105" i="3" s="1"/>
  <c r="L105" i="3"/>
  <c r="I105" i="3"/>
  <c r="R104" i="3"/>
  <c r="L104" i="3"/>
  <c r="I104" i="3"/>
  <c r="S104" i="3" s="1"/>
  <c r="R103" i="3"/>
  <c r="L103" i="3"/>
  <c r="I103" i="3"/>
  <c r="R102" i="3"/>
  <c r="L102" i="3"/>
  <c r="I102" i="3"/>
  <c r="L100" i="3"/>
  <c r="I100" i="3"/>
  <c r="L99" i="3"/>
  <c r="I99" i="3"/>
  <c r="L98" i="3"/>
  <c r="I98" i="3"/>
  <c r="L97" i="3"/>
  <c r="I97" i="3"/>
  <c r="S97" i="3" s="1"/>
  <c r="S96" i="3"/>
  <c r="L96" i="3"/>
  <c r="I96" i="3"/>
  <c r="L95" i="3"/>
  <c r="I95" i="3"/>
  <c r="L94" i="3"/>
  <c r="I94" i="3"/>
  <c r="S94" i="3" s="1"/>
  <c r="L93" i="3"/>
  <c r="I93" i="3"/>
  <c r="L92" i="3"/>
  <c r="I92" i="3"/>
  <c r="L91" i="3"/>
  <c r="S91" i="3" s="1"/>
  <c r="I91" i="3"/>
  <c r="L90" i="3"/>
  <c r="I90" i="3"/>
  <c r="S90" i="3" s="1"/>
  <c r="S89" i="3"/>
  <c r="L89" i="3"/>
  <c r="I89" i="3"/>
  <c r="S87" i="3"/>
  <c r="L87" i="3"/>
  <c r="I87" i="3"/>
  <c r="L86" i="3"/>
  <c r="I86" i="3"/>
  <c r="S86" i="3" s="1"/>
  <c r="S85" i="3"/>
  <c r="L85" i="3"/>
  <c r="I85" i="3"/>
  <c r="L84" i="3"/>
  <c r="I84" i="3"/>
  <c r="L83" i="3"/>
  <c r="S83" i="3" s="1"/>
  <c r="I83" i="3"/>
  <c r="L82" i="3"/>
  <c r="I82" i="3"/>
  <c r="S82" i="3" s="1"/>
  <c r="L81" i="3"/>
  <c r="I81" i="3"/>
  <c r="S81" i="3" s="1"/>
  <c r="S80" i="3"/>
  <c r="L80" i="3"/>
  <c r="I80" i="3"/>
  <c r="L79" i="3"/>
  <c r="I79" i="3"/>
  <c r="S79" i="3" s="1"/>
  <c r="L78" i="3"/>
  <c r="I78" i="3"/>
  <c r="S78" i="3" s="1"/>
  <c r="S77" i="3"/>
  <c r="L77" i="3"/>
  <c r="I77" i="3"/>
  <c r="L76" i="3"/>
  <c r="I76" i="3"/>
  <c r="S76" i="3" s="1"/>
  <c r="L74" i="3"/>
  <c r="S74" i="3" s="1"/>
  <c r="I74" i="3"/>
  <c r="L73" i="3"/>
  <c r="I73" i="3"/>
  <c r="S73" i="3" s="1"/>
  <c r="L72" i="3"/>
  <c r="I72" i="3"/>
  <c r="S72" i="3" s="1"/>
  <c r="L71" i="3"/>
  <c r="I71" i="3"/>
  <c r="S71" i="3" s="1"/>
  <c r="L70" i="3"/>
  <c r="I70" i="3"/>
  <c r="S70" i="3" s="1"/>
  <c r="L69" i="3"/>
  <c r="I69" i="3"/>
  <c r="S69" i="3" s="1"/>
  <c r="L68" i="3"/>
  <c r="I68" i="3"/>
  <c r="S68" i="3" s="1"/>
  <c r="L67" i="3"/>
  <c r="I67" i="3"/>
  <c r="S67" i="3" s="1"/>
  <c r="L66" i="3"/>
  <c r="S66" i="3" s="1"/>
  <c r="I66" i="3"/>
  <c r="L65" i="3"/>
  <c r="I65" i="3"/>
  <c r="L64" i="3"/>
  <c r="I64" i="3"/>
  <c r="S64" i="3" s="1"/>
  <c r="L63" i="3"/>
  <c r="I63" i="3"/>
  <c r="S63" i="3" s="1"/>
  <c r="L61" i="3"/>
  <c r="S61" i="3" s="1"/>
  <c r="I61" i="3"/>
  <c r="L60" i="3"/>
  <c r="I60" i="3"/>
  <c r="S60" i="3" s="1"/>
  <c r="L59" i="3"/>
  <c r="I59" i="3"/>
  <c r="S59" i="3" s="1"/>
  <c r="L58" i="3"/>
  <c r="I58" i="3"/>
  <c r="S58" i="3" s="1"/>
  <c r="L57" i="3"/>
  <c r="I57" i="3"/>
  <c r="L56" i="3"/>
  <c r="I56" i="3"/>
  <c r="L55" i="3"/>
  <c r="I55" i="3"/>
  <c r="S55" i="3" s="1"/>
  <c r="L54" i="3"/>
  <c r="S54" i="3" s="1"/>
  <c r="I54" i="3"/>
  <c r="L53" i="3"/>
  <c r="S53" i="3" s="1"/>
  <c r="I53" i="3"/>
  <c r="L52" i="3"/>
  <c r="I52" i="3"/>
  <c r="S52" i="3" s="1"/>
  <c r="L51" i="3"/>
  <c r="S51" i="3" s="1"/>
  <c r="I51" i="3"/>
  <c r="L50" i="3"/>
  <c r="I50" i="3"/>
  <c r="S50" i="3" s="1"/>
  <c r="L45" i="3"/>
  <c r="S45" i="3" s="1"/>
  <c r="I45" i="3"/>
  <c r="R40" i="3"/>
  <c r="L40" i="3"/>
  <c r="I40" i="3"/>
  <c r="S40" i="3" s="1"/>
  <c r="R39" i="3"/>
  <c r="L39" i="3"/>
  <c r="S39" i="3" s="1"/>
  <c r="I39" i="3"/>
  <c r="R38" i="3"/>
  <c r="L38" i="3"/>
  <c r="I38" i="3"/>
  <c r="S38" i="3" s="1"/>
  <c r="R37" i="3"/>
  <c r="L37" i="3"/>
  <c r="S37" i="3" s="1"/>
  <c r="I37" i="3"/>
  <c r="R35" i="3"/>
  <c r="L35" i="3"/>
  <c r="I35" i="3"/>
  <c r="S35" i="3" s="1"/>
  <c r="R34" i="3"/>
  <c r="L34" i="3"/>
  <c r="S34" i="3" s="1"/>
  <c r="I34" i="3"/>
  <c r="R33" i="3"/>
  <c r="L33" i="3"/>
  <c r="I33" i="3"/>
  <c r="S33" i="3" s="1"/>
  <c r="R32" i="3"/>
  <c r="L32" i="3"/>
  <c r="S32" i="3" s="1"/>
  <c r="I32" i="3"/>
  <c r="R30" i="3"/>
  <c r="L30" i="3"/>
  <c r="I30" i="3"/>
  <c r="R29" i="3"/>
  <c r="L29" i="3"/>
  <c r="S29" i="3" s="1"/>
  <c r="I29" i="3"/>
  <c r="R28" i="3"/>
  <c r="L28" i="3"/>
  <c r="I28" i="3"/>
  <c r="R27" i="3"/>
  <c r="L27" i="3"/>
  <c r="S27" i="3" s="1"/>
  <c r="I27" i="3"/>
  <c r="S25" i="3"/>
  <c r="L25" i="3"/>
  <c r="I25" i="3"/>
  <c r="R185" i="2"/>
  <c r="L185" i="2"/>
  <c r="S185" i="2" s="1"/>
  <c r="S184" i="2"/>
  <c r="R184" i="2"/>
  <c r="L184" i="2"/>
  <c r="R183" i="2"/>
  <c r="S183" i="2" s="1"/>
  <c r="L183" i="2"/>
  <c r="R182" i="2"/>
  <c r="L182" i="2"/>
  <c r="S182" i="2" s="1"/>
  <c r="R181" i="2"/>
  <c r="L181" i="2"/>
  <c r="S181" i="2" s="1"/>
  <c r="S180" i="2"/>
  <c r="R180" i="2"/>
  <c r="L180" i="2"/>
  <c r="S179" i="2"/>
  <c r="R179" i="2"/>
  <c r="L179" i="2"/>
  <c r="R177" i="2"/>
  <c r="Q177" i="2"/>
  <c r="L177" i="2"/>
  <c r="S177" i="2" s="1"/>
  <c r="R176" i="2"/>
  <c r="S176" i="2" s="1"/>
  <c r="Q176" i="2"/>
  <c r="L176" i="2"/>
  <c r="B176" i="2"/>
  <c r="R175" i="2"/>
  <c r="S175" i="2" s="1"/>
  <c r="Q175" i="2"/>
  <c r="L175" i="2"/>
  <c r="B175" i="2"/>
  <c r="R174" i="2"/>
  <c r="Q174" i="2"/>
  <c r="L174" i="2"/>
  <c r="B174" i="2"/>
  <c r="S174" i="2" s="1"/>
  <c r="R173" i="2"/>
  <c r="Q173" i="2"/>
  <c r="S173" i="2" s="1"/>
  <c r="L173" i="2"/>
  <c r="B173" i="2"/>
  <c r="R172" i="2"/>
  <c r="Q172" i="2"/>
  <c r="L172" i="2"/>
  <c r="B172" i="2"/>
  <c r="S172" i="2" s="1"/>
  <c r="R171" i="2"/>
  <c r="Q171" i="2"/>
  <c r="L171" i="2"/>
  <c r="B171" i="2"/>
  <c r="S171" i="2" s="1"/>
  <c r="S170" i="2"/>
  <c r="R170" i="2"/>
  <c r="Q170" i="2"/>
  <c r="L170" i="2"/>
  <c r="B170" i="2"/>
  <c r="R169" i="2"/>
  <c r="Q169" i="2"/>
  <c r="L169" i="2"/>
  <c r="B169" i="2"/>
  <c r="S169" i="2" s="1"/>
  <c r="R168" i="2"/>
  <c r="S168" i="2" s="1"/>
  <c r="Q168" i="2"/>
  <c r="L168" i="2"/>
  <c r="B168" i="2"/>
  <c r="R167" i="2"/>
  <c r="S167" i="2" s="1"/>
  <c r="Q167" i="2"/>
  <c r="L167" i="2"/>
  <c r="B167" i="2"/>
  <c r="R166" i="2"/>
  <c r="Q166" i="2"/>
  <c r="L166" i="2"/>
  <c r="B166" i="2"/>
  <c r="S166" i="2" s="1"/>
  <c r="R164" i="2"/>
  <c r="Q164" i="2"/>
  <c r="S164" i="2" s="1"/>
  <c r="L164" i="2"/>
  <c r="B164" i="2"/>
  <c r="R163" i="2"/>
  <c r="Q163" i="2"/>
  <c r="L163" i="2"/>
  <c r="B163" i="2"/>
  <c r="S163" i="2" s="1"/>
  <c r="R162" i="2"/>
  <c r="Q162" i="2"/>
  <c r="L162" i="2"/>
  <c r="B162" i="2"/>
  <c r="S162" i="2" s="1"/>
  <c r="S161" i="2"/>
  <c r="R161" i="2"/>
  <c r="Q161" i="2"/>
  <c r="L161" i="2"/>
  <c r="B161" i="2"/>
  <c r="R160" i="2"/>
  <c r="Q160" i="2"/>
  <c r="L160" i="2"/>
  <c r="B160" i="2"/>
  <c r="S160" i="2" s="1"/>
  <c r="R159" i="2"/>
  <c r="S159" i="2" s="1"/>
  <c r="Q159" i="2"/>
  <c r="L159" i="2"/>
  <c r="B159" i="2"/>
  <c r="R158" i="2"/>
  <c r="Q158" i="2"/>
  <c r="L158" i="2"/>
  <c r="B158" i="2"/>
  <c r="R157" i="2"/>
  <c r="Q157" i="2"/>
  <c r="L157" i="2"/>
  <c r="B157" i="2"/>
  <c r="S157" i="2" s="1"/>
  <c r="R156" i="2"/>
  <c r="Q156" i="2"/>
  <c r="L156" i="2"/>
  <c r="S156" i="2" s="1"/>
  <c r="B156" i="2"/>
  <c r="R155" i="2"/>
  <c r="Q155" i="2"/>
  <c r="L155" i="2"/>
  <c r="B155" i="2"/>
  <c r="S155" i="2" s="1"/>
  <c r="R154" i="2"/>
  <c r="Q154" i="2"/>
  <c r="L154" i="2"/>
  <c r="B154" i="2"/>
  <c r="R153" i="2"/>
  <c r="Q153" i="2"/>
  <c r="L153" i="2"/>
  <c r="S153" i="2" s="1"/>
  <c r="B153" i="2"/>
  <c r="R151" i="2"/>
  <c r="Q151" i="2"/>
  <c r="L151" i="2"/>
  <c r="B151" i="2"/>
  <c r="R150" i="2"/>
  <c r="S150" i="2" s="1"/>
  <c r="Q150" i="2"/>
  <c r="L150" i="2"/>
  <c r="B150" i="2"/>
  <c r="R149" i="2"/>
  <c r="Q149" i="2"/>
  <c r="L149" i="2"/>
  <c r="B149" i="2"/>
  <c r="R148" i="2"/>
  <c r="Q148" i="2"/>
  <c r="L148" i="2"/>
  <c r="B148" i="2"/>
  <c r="R147" i="2"/>
  <c r="Q147" i="2"/>
  <c r="L147" i="2"/>
  <c r="B147" i="2"/>
  <c r="R146" i="2"/>
  <c r="Q146" i="2"/>
  <c r="L146" i="2"/>
  <c r="B146" i="2"/>
  <c r="R145" i="2"/>
  <c r="Q145" i="2"/>
  <c r="L145" i="2"/>
  <c r="B145" i="2"/>
  <c r="S144" i="2"/>
  <c r="R144" i="2"/>
  <c r="Q144" i="2"/>
  <c r="L144" i="2"/>
  <c r="B144" i="2"/>
  <c r="R143" i="2"/>
  <c r="Q143" i="2"/>
  <c r="L143" i="2"/>
  <c r="S143" i="2" s="1"/>
  <c r="B143" i="2"/>
  <c r="R142" i="2"/>
  <c r="Q142" i="2"/>
  <c r="L142" i="2"/>
  <c r="S142" i="2" s="1"/>
  <c r="B142" i="2"/>
  <c r="R141" i="2"/>
  <c r="S141" i="2" s="1"/>
  <c r="Q141" i="2"/>
  <c r="L141" i="2"/>
  <c r="B141" i="2"/>
  <c r="R140" i="2"/>
  <c r="Q140" i="2"/>
  <c r="L140" i="2"/>
  <c r="B140" i="2"/>
  <c r="R138" i="2"/>
  <c r="Q138" i="2"/>
  <c r="M138" i="2"/>
  <c r="L138" i="2"/>
  <c r="B138" i="2"/>
  <c r="R137" i="2"/>
  <c r="Q137" i="2"/>
  <c r="M137" i="2"/>
  <c r="L137" i="2"/>
  <c r="B137" i="2"/>
  <c r="R136" i="2"/>
  <c r="Q136" i="2"/>
  <c r="M136" i="2"/>
  <c r="L136" i="2"/>
  <c r="B136" i="2"/>
  <c r="R135" i="2"/>
  <c r="Q135" i="2"/>
  <c r="M135" i="2"/>
  <c r="L135" i="2"/>
  <c r="B135" i="2"/>
  <c r="S135" i="2" s="1"/>
  <c r="R134" i="2"/>
  <c r="Q134" i="2"/>
  <c r="L134" i="2"/>
  <c r="B134" i="2"/>
  <c r="R133" i="2"/>
  <c r="Q133" i="2"/>
  <c r="L133" i="2"/>
  <c r="B133" i="2"/>
  <c r="S133" i="2" s="1"/>
  <c r="R132" i="2"/>
  <c r="Q132" i="2"/>
  <c r="L132" i="2"/>
  <c r="B132" i="2"/>
  <c r="R131" i="2"/>
  <c r="Q131" i="2"/>
  <c r="L131" i="2"/>
  <c r="S131" i="2" s="1"/>
  <c r="B131" i="2"/>
  <c r="R130" i="2"/>
  <c r="Q130" i="2"/>
  <c r="L130" i="2"/>
  <c r="S130" i="2" s="1"/>
  <c r="B130" i="2"/>
  <c r="R129" i="2"/>
  <c r="Q129" i="2"/>
  <c r="L129" i="2"/>
  <c r="B129" i="2"/>
  <c r="R128" i="2"/>
  <c r="S128" i="2" s="1"/>
  <c r="Q128" i="2"/>
  <c r="L128" i="2"/>
  <c r="B128" i="2"/>
  <c r="L127" i="2"/>
  <c r="S127" i="2" s="1"/>
  <c r="L125" i="2"/>
  <c r="S125" i="2" s="1"/>
  <c r="S124" i="2"/>
  <c r="L124" i="2"/>
  <c r="L123" i="2"/>
  <c r="S123" i="2" s="1"/>
  <c r="L122" i="2"/>
  <c r="S122" i="2" s="1"/>
  <c r="L121" i="2"/>
  <c r="S121" i="2" s="1"/>
  <c r="S120" i="2"/>
  <c r="L120" i="2"/>
  <c r="L119" i="2"/>
  <c r="S119" i="2" s="1"/>
  <c r="L118" i="2"/>
  <c r="S118" i="2" s="1"/>
  <c r="L117" i="2"/>
  <c r="S117" i="2" s="1"/>
  <c r="S116" i="2"/>
  <c r="L116" i="2"/>
  <c r="L115" i="2"/>
  <c r="S115" i="2" s="1"/>
  <c r="S114" i="2"/>
  <c r="L114" i="2"/>
  <c r="Q112" i="2"/>
  <c r="L112" i="2"/>
  <c r="S112" i="2" s="1"/>
  <c r="K112" i="2"/>
  <c r="Q111" i="2"/>
  <c r="L111" i="2"/>
  <c r="S111" i="2" s="1"/>
  <c r="Q110" i="2"/>
  <c r="L110" i="2"/>
  <c r="S110" i="2" s="1"/>
  <c r="Q109" i="2"/>
  <c r="L109" i="2"/>
  <c r="S109" i="2" s="1"/>
  <c r="Q108" i="2"/>
  <c r="L108" i="2"/>
  <c r="S108" i="2" s="1"/>
  <c r="Q107" i="2"/>
  <c r="L107" i="2"/>
  <c r="S107" i="2" s="1"/>
  <c r="Q106" i="2"/>
  <c r="L106" i="2"/>
  <c r="S106" i="2" s="1"/>
  <c r="Q105" i="2"/>
  <c r="L105" i="2"/>
  <c r="S105" i="2" s="1"/>
  <c r="Q104" i="2"/>
  <c r="L104" i="2"/>
  <c r="Q103" i="2"/>
  <c r="S103" i="2" s="1"/>
  <c r="L103" i="2"/>
  <c r="Q102" i="2"/>
  <c r="L102" i="2"/>
  <c r="S102" i="2" s="1"/>
  <c r="Q101" i="2"/>
  <c r="L101" i="2"/>
  <c r="S101" i="2" s="1"/>
  <c r="Q99" i="2"/>
  <c r="L99" i="2"/>
  <c r="S99" i="2" s="1"/>
  <c r="Q98" i="2"/>
  <c r="L98" i="2"/>
  <c r="S98" i="2" s="1"/>
  <c r="Q97" i="2"/>
  <c r="L97" i="2"/>
  <c r="S97" i="2" s="1"/>
  <c r="Q96" i="2"/>
  <c r="L96" i="2"/>
  <c r="S96" i="2" s="1"/>
  <c r="Q95" i="2"/>
  <c r="S95" i="2" s="1"/>
  <c r="L95" i="2"/>
  <c r="Q94" i="2"/>
  <c r="L94" i="2"/>
  <c r="S94" i="2" s="1"/>
  <c r="Q93" i="2"/>
  <c r="L93" i="2"/>
  <c r="S93" i="2" s="1"/>
  <c r="S92" i="2"/>
  <c r="Q92" i="2"/>
  <c r="L92" i="2"/>
  <c r="Q91" i="2"/>
  <c r="L91" i="2"/>
  <c r="S91" i="2" s="1"/>
  <c r="Q90" i="2"/>
  <c r="L90" i="2"/>
  <c r="S90" i="2" s="1"/>
  <c r="Q89" i="2"/>
  <c r="L89" i="2"/>
  <c r="S89" i="2" s="1"/>
  <c r="Q88" i="2"/>
  <c r="L88" i="2"/>
  <c r="S88" i="2" s="1"/>
  <c r="Q86" i="2"/>
  <c r="L86" i="2"/>
  <c r="Q85" i="2"/>
  <c r="L85" i="2"/>
  <c r="S85" i="2" s="1"/>
  <c r="Q84" i="2"/>
  <c r="L84" i="2"/>
  <c r="S84" i="2" s="1"/>
  <c r="Q83" i="2"/>
  <c r="L83" i="2"/>
  <c r="S83" i="2" s="1"/>
  <c r="Q82" i="2"/>
  <c r="L82" i="2"/>
  <c r="S82" i="2" s="1"/>
  <c r="Q81" i="2"/>
  <c r="L81" i="2"/>
  <c r="S81" i="2" s="1"/>
  <c r="S80" i="2"/>
  <c r="Q80" i="2"/>
  <c r="L80" i="2"/>
  <c r="L79" i="2"/>
  <c r="S79" i="2" s="1"/>
  <c r="Q78" i="2"/>
  <c r="L78" i="2"/>
  <c r="S78" i="2" s="1"/>
  <c r="Q77" i="2"/>
  <c r="L77" i="2"/>
  <c r="S77" i="2" s="1"/>
  <c r="H77" i="2"/>
  <c r="Q76" i="2"/>
  <c r="H76" i="2"/>
  <c r="L76" i="2" s="1"/>
  <c r="S76" i="2" s="1"/>
  <c r="E76" i="2"/>
  <c r="Q75" i="2"/>
  <c r="H75" i="2"/>
  <c r="E75" i="2"/>
  <c r="L75" i="2" s="1"/>
  <c r="S75" i="2" s="1"/>
  <c r="Q73" i="2"/>
  <c r="S73" i="2" s="1"/>
  <c r="L73" i="2"/>
  <c r="H73" i="2"/>
  <c r="Q72" i="2"/>
  <c r="L72" i="2"/>
  <c r="S72" i="2" s="1"/>
  <c r="H72" i="2"/>
  <c r="Q71" i="2"/>
  <c r="L71" i="2"/>
  <c r="H71" i="2"/>
  <c r="Q70" i="2"/>
  <c r="L70" i="2"/>
  <c r="S70" i="2" s="1"/>
  <c r="H70" i="2"/>
  <c r="Q69" i="2"/>
  <c r="L69" i="2"/>
  <c r="H69" i="2"/>
  <c r="Q68" i="2"/>
  <c r="L68" i="2"/>
  <c r="S68" i="2" s="1"/>
  <c r="Q67" i="2"/>
  <c r="L67" i="2"/>
  <c r="S67" i="2" s="1"/>
  <c r="S66" i="2"/>
  <c r="Q66" i="2"/>
  <c r="L66" i="2"/>
  <c r="Q65" i="2"/>
  <c r="L65" i="2"/>
  <c r="S65" i="2" s="1"/>
  <c r="Q64" i="2"/>
  <c r="S64" i="2" s="1"/>
  <c r="L64" i="2"/>
  <c r="Q63" i="2"/>
  <c r="L63" i="2"/>
  <c r="S63" i="2" s="1"/>
  <c r="Q62" i="2"/>
  <c r="L62" i="2"/>
  <c r="S62" i="2" s="1"/>
  <c r="Q60" i="2"/>
  <c r="L60" i="2"/>
  <c r="S60" i="2" s="1"/>
  <c r="Q59" i="2"/>
  <c r="L59" i="2"/>
  <c r="S59" i="2" s="1"/>
  <c r="Q58" i="2"/>
  <c r="L58" i="2"/>
  <c r="S58" i="2" s="1"/>
  <c r="S57" i="2"/>
  <c r="Q57" i="2"/>
  <c r="L57" i="2"/>
  <c r="Q56" i="2"/>
  <c r="S56" i="2" s="1"/>
  <c r="L56" i="2"/>
  <c r="Q55" i="2"/>
  <c r="L55" i="2"/>
  <c r="L54" i="2"/>
  <c r="S54" i="2" s="1"/>
  <c r="Q53" i="2"/>
  <c r="S53" i="2" s="1"/>
  <c r="L53" i="2"/>
  <c r="Q52" i="2"/>
  <c r="L52" i="2"/>
  <c r="Q51" i="2"/>
  <c r="L51" i="2"/>
  <c r="S51" i="2" s="1"/>
  <c r="Q50" i="2"/>
  <c r="L50" i="2"/>
  <c r="S50" i="2" s="1"/>
  <c r="S49" i="2"/>
  <c r="Q49" i="2"/>
  <c r="L49" i="2"/>
  <c r="R44" i="2"/>
  <c r="Q44" i="2"/>
  <c r="L44" i="2"/>
  <c r="B44" i="2"/>
  <c r="S44" i="2" s="1"/>
  <c r="S43" i="2"/>
  <c r="R43" i="2"/>
  <c r="Q43" i="2"/>
  <c r="L43" i="2"/>
  <c r="B43" i="2"/>
  <c r="R42" i="2"/>
  <c r="Q42" i="2"/>
  <c r="L42" i="2"/>
  <c r="S42" i="2" s="1"/>
  <c r="B42" i="2"/>
  <c r="R41" i="2"/>
  <c r="Q41" i="2"/>
  <c r="L41" i="2"/>
  <c r="S41" i="2" s="1"/>
  <c r="B41" i="2"/>
  <c r="R39" i="2"/>
  <c r="S39" i="2" s="1"/>
  <c r="Q39" i="2"/>
  <c r="L39" i="2"/>
  <c r="B39" i="2"/>
  <c r="R38" i="2"/>
  <c r="Q38" i="2"/>
  <c r="L38" i="2"/>
  <c r="B38" i="2"/>
  <c r="S38" i="2" s="1"/>
  <c r="R37" i="2"/>
  <c r="Q37" i="2"/>
  <c r="L37" i="2"/>
  <c r="B37" i="2"/>
  <c r="S37" i="2" s="1"/>
  <c r="R36" i="2"/>
  <c r="Q36" i="2"/>
  <c r="L36" i="2"/>
  <c r="B36" i="2"/>
  <c r="S36" i="2" s="1"/>
  <c r="R34" i="2"/>
  <c r="Q34" i="2"/>
  <c r="L34" i="2"/>
  <c r="B34" i="2"/>
  <c r="S34" i="2" s="1"/>
  <c r="S33" i="2"/>
  <c r="R33" i="2"/>
  <c r="Q33" i="2"/>
  <c r="L33" i="2"/>
  <c r="B33" i="2"/>
  <c r="R32" i="2"/>
  <c r="Q32" i="2"/>
  <c r="L32" i="2"/>
  <c r="S32" i="2" s="1"/>
  <c r="B32" i="2"/>
  <c r="R31" i="2"/>
  <c r="Q31" i="2"/>
  <c r="L31" i="2"/>
  <c r="S31" i="2" s="1"/>
  <c r="B31" i="2"/>
  <c r="R29" i="2"/>
  <c r="Q29" i="2"/>
  <c r="M29" i="2"/>
  <c r="L29" i="2"/>
  <c r="B29" i="2"/>
  <c r="R28" i="2"/>
  <c r="Q28" i="2"/>
  <c r="M28" i="2"/>
  <c r="S28" i="2" s="1"/>
  <c r="L28" i="2"/>
  <c r="B28" i="2"/>
  <c r="R27" i="2"/>
  <c r="Q27" i="2"/>
  <c r="L27" i="2"/>
  <c r="B27" i="2"/>
  <c r="S26" i="2"/>
  <c r="R26" i="2"/>
  <c r="Q26" i="2"/>
  <c r="L26" i="2"/>
  <c r="B26" i="2"/>
  <c r="R24" i="2"/>
  <c r="Q24" i="2"/>
  <c r="L24" i="2"/>
  <c r="S24" i="2" s="1"/>
  <c r="P189" i="1"/>
  <c r="K189" i="1"/>
  <c r="M189" i="1" s="1"/>
  <c r="H189" i="1"/>
  <c r="J189" i="1" s="1"/>
  <c r="G189" i="1"/>
  <c r="F189" i="1"/>
  <c r="P188" i="1"/>
  <c r="K188" i="1"/>
  <c r="M188" i="1" s="1"/>
  <c r="H188" i="1"/>
  <c r="J188" i="1" s="1"/>
  <c r="Q188" i="1" s="1"/>
  <c r="G188" i="1"/>
  <c r="F188" i="1"/>
  <c r="P187" i="1"/>
  <c r="K187" i="1"/>
  <c r="M187" i="1" s="1"/>
  <c r="H187" i="1"/>
  <c r="J187" i="1" s="1"/>
  <c r="Q187" i="1" s="1"/>
  <c r="G187" i="1"/>
  <c r="F187" i="1"/>
  <c r="P186" i="1"/>
  <c r="K186" i="1"/>
  <c r="M186" i="1" s="1"/>
  <c r="H186" i="1"/>
  <c r="J186" i="1" s="1"/>
  <c r="Q186" i="1" s="1"/>
  <c r="G186" i="1"/>
  <c r="F186" i="1"/>
  <c r="P185" i="1"/>
  <c r="K185" i="1"/>
  <c r="M185" i="1" s="1"/>
  <c r="H185" i="1"/>
  <c r="J185" i="1" s="1"/>
  <c r="G185" i="1"/>
  <c r="F185" i="1"/>
  <c r="P184" i="1"/>
  <c r="K184" i="1"/>
  <c r="M184" i="1" s="1"/>
  <c r="H184" i="1"/>
  <c r="J184" i="1" s="1"/>
  <c r="G184" i="1"/>
  <c r="F184" i="1"/>
  <c r="P183" i="1"/>
  <c r="K183" i="1"/>
  <c r="M183" i="1" s="1"/>
  <c r="H183" i="1"/>
  <c r="J183" i="1" s="1"/>
  <c r="G183" i="1"/>
  <c r="F183" i="1"/>
  <c r="P181" i="1"/>
  <c r="K181" i="1"/>
  <c r="M181" i="1" s="1"/>
  <c r="H181" i="1"/>
  <c r="J181" i="1" s="1"/>
  <c r="Q181" i="1" s="1"/>
  <c r="G181" i="1"/>
  <c r="F181" i="1"/>
  <c r="P180" i="1"/>
  <c r="K180" i="1"/>
  <c r="M180" i="1" s="1"/>
  <c r="G180" i="1"/>
  <c r="E180" i="1"/>
  <c r="F180" i="1" s="1"/>
  <c r="H180" i="1" s="1"/>
  <c r="J180" i="1" s="1"/>
  <c r="P179" i="1"/>
  <c r="M179" i="1"/>
  <c r="K179" i="1"/>
  <c r="G179" i="1"/>
  <c r="F179" i="1"/>
  <c r="H179" i="1" s="1"/>
  <c r="J179" i="1" s="1"/>
  <c r="Q179" i="1" s="1"/>
  <c r="E179" i="1"/>
  <c r="P178" i="1"/>
  <c r="K178" i="1"/>
  <c r="M178" i="1" s="1"/>
  <c r="G178" i="1"/>
  <c r="F178" i="1"/>
  <c r="H178" i="1" s="1"/>
  <c r="J178" i="1" s="1"/>
  <c r="Q178" i="1" s="1"/>
  <c r="E178" i="1"/>
  <c r="P177" i="1"/>
  <c r="M177" i="1"/>
  <c r="K177" i="1"/>
  <c r="G177" i="1"/>
  <c r="E177" i="1"/>
  <c r="F177" i="1" s="1"/>
  <c r="H177" i="1" s="1"/>
  <c r="J177" i="1" s="1"/>
  <c r="Q177" i="1" s="1"/>
  <c r="P176" i="1"/>
  <c r="K176" i="1"/>
  <c r="M176" i="1" s="1"/>
  <c r="G176" i="1"/>
  <c r="F176" i="1"/>
  <c r="H176" i="1" s="1"/>
  <c r="J176" i="1" s="1"/>
  <c r="Q176" i="1" s="1"/>
  <c r="E176" i="1"/>
  <c r="P175" i="1"/>
  <c r="K175" i="1"/>
  <c r="M175" i="1" s="1"/>
  <c r="G175" i="1"/>
  <c r="E175" i="1"/>
  <c r="F175" i="1" s="1"/>
  <c r="H175" i="1" s="1"/>
  <c r="J175" i="1" s="1"/>
  <c r="Q175" i="1" s="1"/>
  <c r="P174" i="1"/>
  <c r="K174" i="1"/>
  <c r="M174" i="1" s="1"/>
  <c r="G174" i="1"/>
  <c r="F174" i="1"/>
  <c r="H174" i="1" s="1"/>
  <c r="J174" i="1" s="1"/>
  <c r="Q174" i="1" s="1"/>
  <c r="E174" i="1"/>
  <c r="P173" i="1"/>
  <c r="M173" i="1"/>
  <c r="K173" i="1"/>
  <c r="G173" i="1"/>
  <c r="E173" i="1"/>
  <c r="F173" i="1" s="1"/>
  <c r="H173" i="1" s="1"/>
  <c r="J173" i="1" s="1"/>
  <c r="Q173" i="1" s="1"/>
  <c r="P172" i="1"/>
  <c r="M172" i="1"/>
  <c r="G172" i="1"/>
  <c r="E172" i="1"/>
  <c r="F172" i="1" s="1"/>
  <c r="H172" i="1" s="1"/>
  <c r="J172" i="1" s="1"/>
  <c r="Q172" i="1" s="1"/>
  <c r="P171" i="1"/>
  <c r="M171" i="1"/>
  <c r="G171" i="1"/>
  <c r="F171" i="1"/>
  <c r="H171" i="1" s="1"/>
  <c r="J171" i="1" s="1"/>
  <c r="Q171" i="1" s="1"/>
  <c r="E171" i="1"/>
  <c r="P170" i="1"/>
  <c r="M170" i="1"/>
  <c r="G170" i="1"/>
  <c r="F170" i="1"/>
  <c r="H170" i="1" s="1"/>
  <c r="J170" i="1" s="1"/>
  <c r="Q170" i="1" s="1"/>
  <c r="E170" i="1"/>
  <c r="P168" i="1"/>
  <c r="M168" i="1"/>
  <c r="G168" i="1"/>
  <c r="F168" i="1"/>
  <c r="H168" i="1" s="1"/>
  <c r="J168" i="1" s="1"/>
  <c r="Q168" i="1" s="1"/>
  <c r="E168" i="1"/>
  <c r="P167" i="1"/>
  <c r="M167" i="1"/>
  <c r="G167" i="1"/>
  <c r="F167" i="1"/>
  <c r="H167" i="1" s="1"/>
  <c r="J167" i="1" s="1"/>
  <c r="Q167" i="1" s="1"/>
  <c r="E167" i="1"/>
  <c r="P166" i="1"/>
  <c r="M166" i="1"/>
  <c r="G166" i="1"/>
  <c r="F166" i="1"/>
  <c r="H166" i="1" s="1"/>
  <c r="J166" i="1" s="1"/>
  <c r="Q166" i="1" s="1"/>
  <c r="E166" i="1"/>
  <c r="P165" i="1"/>
  <c r="M165" i="1"/>
  <c r="G165" i="1"/>
  <c r="E165" i="1"/>
  <c r="F165" i="1" s="1"/>
  <c r="H165" i="1" s="1"/>
  <c r="J165" i="1" s="1"/>
  <c r="Q165" i="1" s="1"/>
  <c r="P164" i="1"/>
  <c r="M164" i="1"/>
  <c r="G164" i="1"/>
  <c r="F164" i="1"/>
  <c r="H164" i="1" s="1"/>
  <c r="J164" i="1" s="1"/>
  <c r="Q164" i="1" s="1"/>
  <c r="E164" i="1"/>
  <c r="P163" i="1"/>
  <c r="M163" i="1"/>
  <c r="G163" i="1"/>
  <c r="E163" i="1"/>
  <c r="F163" i="1" s="1"/>
  <c r="H163" i="1" s="1"/>
  <c r="J163" i="1" s="1"/>
  <c r="Q163" i="1" s="1"/>
  <c r="P162" i="1"/>
  <c r="M162" i="1"/>
  <c r="G162" i="1"/>
  <c r="F162" i="1"/>
  <c r="H162" i="1" s="1"/>
  <c r="J162" i="1" s="1"/>
  <c r="E162" i="1"/>
  <c r="P161" i="1"/>
  <c r="M161" i="1"/>
  <c r="G161" i="1"/>
  <c r="E161" i="1"/>
  <c r="F161" i="1" s="1"/>
  <c r="H161" i="1" s="1"/>
  <c r="J161" i="1" s="1"/>
  <c r="Q161" i="1" s="1"/>
  <c r="P160" i="1"/>
  <c r="M160" i="1"/>
  <c r="G160" i="1"/>
  <c r="F160" i="1"/>
  <c r="H160" i="1" s="1"/>
  <c r="J160" i="1" s="1"/>
  <c r="Q160" i="1" s="1"/>
  <c r="E160" i="1"/>
  <c r="P159" i="1"/>
  <c r="M159" i="1"/>
  <c r="G159" i="1"/>
  <c r="F159" i="1"/>
  <c r="H159" i="1" s="1"/>
  <c r="J159" i="1" s="1"/>
  <c r="E159" i="1"/>
  <c r="P158" i="1"/>
  <c r="M158" i="1"/>
  <c r="G158" i="1"/>
  <c r="F158" i="1"/>
  <c r="H158" i="1" s="1"/>
  <c r="J158" i="1" s="1"/>
  <c r="E158" i="1"/>
  <c r="P157" i="1"/>
  <c r="M157" i="1"/>
  <c r="G157" i="1"/>
  <c r="F157" i="1"/>
  <c r="H157" i="1" s="1"/>
  <c r="J157" i="1" s="1"/>
  <c r="E157" i="1"/>
  <c r="P155" i="1"/>
  <c r="M155" i="1"/>
  <c r="Q155" i="1" s="1"/>
  <c r="G155" i="1"/>
  <c r="F155" i="1"/>
  <c r="H155" i="1" s="1"/>
  <c r="E155" i="1"/>
  <c r="P154" i="1"/>
  <c r="M154" i="1"/>
  <c r="Q154" i="1" s="1"/>
  <c r="G154" i="1"/>
  <c r="E154" i="1"/>
  <c r="F154" i="1" s="1"/>
  <c r="H154" i="1" s="1"/>
  <c r="P153" i="1"/>
  <c r="M153" i="1"/>
  <c r="G153" i="1"/>
  <c r="F153" i="1"/>
  <c r="H153" i="1" s="1"/>
  <c r="E153" i="1"/>
  <c r="Q152" i="1"/>
  <c r="P152" i="1"/>
  <c r="M152" i="1"/>
  <c r="H152" i="1"/>
  <c r="F152" i="1"/>
  <c r="P151" i="1"/>
  <c r="Q151" i="1" s="1"/>
  <c r="M151" i="1"/>
  <c r="F151" i="1"/>
  <c r="H151" i="1" s="1"/>
  <c r="P150" i="1"/>
  <c r="M150" i="1"/>
  <c r="Q150" i="1" s="1"/>
  <c r="G150" i="1"/>
  <c r="E150" i="1"/>
  <c r="F150" i="1" s="1"/>
  <c r="H150" i="1" s="1"/>
  <c r="P149" i="1"/>
  <c r="M149" i="1"/>
  <c r="L149" i="1"/>
  <c r="G149" i="1"/>
  <c r="F149" i="1"/>
  <c r="H149" i="1" s="1"/>
  <c r="J149" i="1" s="1"/>
  <c r="E149" i="1"/>
  <c r="P148" i="1"/>
  <c r="L148" i="1"/>
  <c r="M148" i="1" s="1"/>
  <c r="G148" i="1"/>
  <c r="E148" i="1"/>
  <c r="F148" i="1" s="1"/>
  <c r="H148" i="1" s="1"/>
  <c r="J148" i="1" s="1"/>
  <c r="P147" i="1"/>
  <c r="L147" i="1"/>
  <c r="M147" i="1" s="1"/>
  <c r="G147" i="1"/>
  <c r="E147" i="1"/>
  <c r="F147" i="1" s="1"/>
  <c r="H147" i="1" s="1"/>
  <c r="J147" i="1" s="1"/>
  <c r="Q147" i="1" s="1"/>
  <c r="P146" i="1"/>
  <c r="M146" i="1"/>
  <c r="L146" i="1"/>
  <c r="G146" i="1"/>
  <c r="F146" i="1"/>
  <c r="H146" i="1" s="1"/>
  <c r="J146" i="1" s="1"/>
  <c r="E146" i="1"/>
  <c r="P145" i="1"/>
  <c r="L145" i="1"/>
  <c r="K145" i="1"/>
  <c r="M145" i="1" s="1"/>
  <c r="G145" i="1"/>
  <c r="E145" i="1"/>
  <c r="F145" i="1" s="1"/>
  <c r="H145" i="1" s="1"/>
  <c r="J145" i="1" s="1"/>
  <c r="P144" i="1"/>
  <c r="L144" i="1"/>
  <c r="K144" i="1"/>
  <c r="M144" i="1" s="1"/>
  <c r="G144" i="1"/>
  <c r="E144" i="1"/>
  <c r="F144" i="1" s="1"/>
  <c r="H144" i="1" s="1"/>
  <c r="J144" i="1" s="1"/>
  <c r="Q144" i="1" s="1"/>
  <c r="P142" i="1"/>
  <c r="G142" i="1"/>
  <c r="F142" i="1"/>
  <c r="H142" i="1" s="1"/>
  <c r="J142" i="1" s="1"/>
  <c r="E142" i="1"/>
  <c r="P141" i="1"/>
  <c r="L141" i="1"/>
  <c r="K141" i="1"/>
  <c r="M141" i="1" s="1"/>
  <c r="G141" i="1"/>
  <c r="F141" i="1"/>
  <c r="H141" i="1" s="1"/>
  <c r="J141" i="1" s="1"/>
  <c r="Q141" i="1" s="1"/>
  <c r="E141" i="1"/>
  <c r="P140" i="1"/>
  <c r="L140" i="1"/>
  <c r="K140" i="1"/>
  <c r="M140" i="1" s="1"/>
  <c r="G140" i="1"/>
  <c r="E140" i="1"/>
  <c r="F140" i="1" s="1"/>
  <c r="H140" i="1" s="1"/>
  <c r="J140" i="1" s="1"/>
  <c r="P139" i="1"/>
  <c r="L139" i="1"/>
  <c r="K139" i="1"/>
  <c r="M139" i="1" s="1"/>
  <c r="G139" i="1"/>
  <c r="F139" i="1"/>
  <c r="H139" i="1" s="1"/>
  <c r="J139" i="1" s="1"/>
  <c r="E139" i="1"/>
  <c r="P138" i="1"/>
  <c r="M138" i="1"/>
  <c r="L138" i="1"/>
  <c r="K138" i="1"/>
  <c r="G138" i="1"/>
  <c r="F138" i="1"/>
  <c r="H138" i="1" s="1"/>
  <c r="J138" i="1" s="1"/>
  <c r="E138" i="1"/>
  <c r="P137" i="1"/>
  <c r="L137" i="1"/>
  <c r="K137" i="1"/>
  <c r="M137" i="1" s="1"/>
  <c r="G137" i="1"/>
  <c r="F137" i="1"/>
  <c r="H137" i="1" s="1"/>
  <c r="J137" i="1" s="1"/>
  <c r="Q137" i="1" s="1"/>
  <c r="E137" i="1"/>
  <c r="P136" i="1"/>
  <c r="L136" i="1"/>
  <c r="K136" i="1"/>
  <c r="M136" i="1" s="1"/>
  <c r="G136" i="1"/>
  <c r="E136" i="1"/>
  <c r="F136" i="1" s="1"/>
  <c r="H136" i="1" s="1"/>
  <c r="J136" i="1" s="1"/>
  <c r="P135" i="1"/>
  <c r="L135" i="1"/>
  <c r="K135" i="1"/>
  <c r="M135" i="1" s="1"/>
  <c r="G135" i="1"/>
  <c r="E135" i="1"/>
  <c r="F135" i="1" s="1"/>
  <c r="H135" i="1" s="1"/>
  <c r="J135" i="1" s="1"/>
  <c r="P134" i="1"/>
  <c r="M134" i="1"/>
  <c r="K134" i="1"/>
  <c r="G134" i="1"/>
  <c r="E134" i="1"/>
  <c r="F134" i="1" s="1"/>
  <c r="H134" i="1" s="1"/>
  <c r="J134" i="1" s="1"/>
  <c r="Q134" i="1" s="1"/>
  <c r="P133" i="1"/>
  <c r="K133" i="1"/>
  <c r="M133" i="1" s="1"/>
  <c r="G133" i="1"/>
  <c r="F133" i="1"/>
  <c r="H133" i="1" s="1"/>
  <c r="J133" i="1" s="1"/>
  <c r="E133" i="1"/>
  <c r="P132" i="1"/>
  <c r="K132" i="1"/>
  <c r="M132" i="1" s="1"/>
  <c r="G132" i="1"/>
  <c r="E132" i="1"/>
  <c r="F132" i="1" s="1"/>
  <c r="H132" i="1" s="1"/>
  <c r="J132" i="1" s="1"/>
  <c r="P131" i="1"/>
  <c r="M131" i="1"/>
  <c r="F131" i="1"/>
  <c r="H131" i="1" s="1"/>
  <c r="J131" i="1" s="1"/>
  <c r="P129" i="1"/>
  <c r="M129" i="1"/>
  <c r="F129" i="1"/>
  <c r="H129" i="1" s="1"/>
  <c r="J129" i="1" s="1"/>
  <c r="Q129" i="1" s="1"/>
  <c r="P128" i="1"/>
  <c r="M128" i="1"/>
  <c r="F128" i="1"/>
  <c r="H128" i="1" s="1"/>
  <c r="J128" i="1" s="1"/>
  <c r="P127" i="1"/>
  <c r="M127" i="1"/>
  <c r="F127" i="1"/>
  <c r="H127" i="1" s="1"/>
  <c r="J127" i="1" s="1"/>
  <c r="Q127" i="1" s="1"/>
  <c r="P126" i="1"/>
  <c r="M126" i="1"/>
  <c r="F126" i="1"/>
  <c r="H126" i="1" s="1"/>
  <c r="J126" i="1" s="1"/>
  <c r="Q126" i="1" s="1"/>
  <c r="P125" i="1"/>
  <c r="M125" i="1"/>
  <c r="F125" i="1"/>
  <c r="H125" i="1" s="1"/>
  <c r="J125" i="1" s="1"/>
  <c r="P124" i="1"/>
  <c r="M124" i="1"/>
  <c r="F124" i="1"/>
  <c r="H124" i="1" s="1"/>
  <c r="J124" i="1" s="1"/>
  <c r="P123" i="1"/>
  <c r="M123" i="1"/>
  <c r="F123" i="1"/>
  <c r="H123" i="1" s="1"/>
  <c r="J123" i="1" s="1"/>
  <c r="P122" i="1"/>
  <c r="M122" i="1"/>
  <c r="F122" i="1"/>
  <c r="H122" i="1" s="1"/>
  <c r="J122" i="1" s="1"/>
  <c r="P121" i="1"/>
  <c r="M121" i="1"/>
  <c r="F121" i="1"/>
  <c r="H121" i="1" s="1"/>
  <c r="J121" i="1" s="1"/>
  <c r="Q121" i="1" s="1"/>
  <c r="P120" i="1"/>
  <c r="M120" i="1"/>
  <c r="F120" i="1"/>
  <c r="H120" i="1" s="1"/>
  <c r="J120" i="1" s="1"/>
  <c r="P119" i="1"/>
  <c r="M119" i="1"/>
  <c r="F119" i="1"/>
  <c r="H119" i="1" s="1"/>
  <c r="J119" i="1" s="1"/>
  <c r="Q119" i="1" s="1"/>
  <c r="P118" i="1"/>
  <c r="M118" i="1"/>
  <c r="F118" i="1"/>
  <c r="H118" i="1" s="1"/>
  <c r="J118" i="1" s="1"/>
  <c r="Q118" i="1" s="1"/>
  <c r="P116" i="1"/>
  <c r="M116" i="1"/>
  <c r="F116" i="1"/>
  <c r="H116" i="1" s="1"/>
  <c r="J116" i="1" s="1"/>
  <c r="P115" i="1"/>
  <c r="M115" i="1"/>
  <c r="F115" i="1"/>
  <c r="H115" i="1" s="1"/>
  <c r="J115" i="1" s="1"/>
  <c r="P114" i="1"/>
  <c r="M114" i="1"/>
  <c r="F114" i="1"/>
  <c r="H114" i="1" s="1"/>
  <c r="J114" i="1" s="1"/>
  <c r="P113" i="1"/>
  <c r="M113" i="1"/>
  <c r="F113" i="1"/>
  <c r="H113" i="1" s="1"/>
  <c r="J113" i="1" s="1"/>
  <c r="P112" i="1"/>
  <c r="M112" i="1"/>
  <c r="F112" i="1"/>
  <c r="H112" i="1" s="1"/>
  <c r="J112" i="1" s="1"/>
  <c r="Q112" i="1" s="1"/>
  <c r="P111" i="1"/>
  <c r="M111" i="1"/>
  <c r="F111" i="1"/>
  <c r="H111" i="1" s="1"/>
  <c r="J111" i="1" s="1"/>
  <c r="P110" i="1"/>
  <c r="M110" i="1"/>
  <c r="F110" i="1"/>
  <c r="H110" i="1" s="1"/>
  <c r="J110" i="1" s="1"/>
  <c r="P109" i="1"/>
  <c r="M109" i="1"/>
  <c r="F109" i="1"/>
  <c r="H109" i="1" s="1"/>
  <c r="J109" i="1" s="1"/>
  <c r="Q109" i="1" s="1"/>
  <c r="P108" i="1"/>
  <c r="M108" i="1"/>
  <c r="F108" i="1"/>
  <c r="H108" i="1" s="1"/>
  <c r="J108" i="1" s="1"/>
  <c r="Q108" i="1" s="1"/>
  <c r="P107" i="1"/>
  <c r="M107" i="1"/>
  <c r="F107" i="1"/>
  <c r="H107" i="1" s="1"/>
  <c r="J107" i="1" s="1"/>
  <c r="P106" i="1"/>
  <c r="M106" i="1"/>
  <c r="F106" i="1"/>
  <c r="H106" i="1" s="1"/>
  <c r="J106" i="1" s="1"/>
  <c r="P105" i="1"/>
  <c r="M105" i="1"/>
  <c r="F105" i="1"/>
  <c r="H105" i="1" s="1"/>
  <c r="J105" i="1" s="1"/>
  <c r="P103" i="1"/>
  <c r="M103" i="1"/>
  <c r="F103" i="1"/>
  <c r="H103" i="1" s="1"/>
  <c r="J103" i="1" s="1"/>
  <c r="Q103" i="1" s="1"/>
  <c r="P102" i="1"/>
  <c r="M102" i="1"/>
  <c r="F102" i="1"/>
  <c r="H102" i="1" s="1"/>
  <c r="J102" i="1" s="1"/>
  <c r="P101" i="1"/>
  <c r="M101" i="1"/>
  <c r="F101" i="1"/>
  <c r="H101" i="1" s="1"/>
  <c r="J101" i="1" s="1"/>
  <c r="P100" i="1"/>
  <c r="M100" i="1"/>
  <c r="F100" i="1"/>
  <c r="H100" i="1" s="1"/>
  <c r="J100" i="1" s="1"/>
  <c r="Q100" i="1" s="1"/>
  <c r="P99" i="1"/>
  <c r="M99" i="1"/>
  <c r="H99" i="1"/>
  <c r="J99" i="1" s="1"/>
  <c r="Q99" i="1" s="1"/>
  <c r="F99" i="1"/>
  <c r="P98" i="1"/>
  <c r="M98" i="1"/>
  <c r="F98" i="1"/>
  <c r="H98" i="1" s="1"/>
  <c r="J98" i="1" s="1"/>
  <c r="Q98" i="1" s="1"/>
  <c r="P97" i="1"/>
  <c r="M97" i="1"/>
  <c r="F97" i="1"/>
  <c r="H97" i="1" s="1"/>
  <c r="J97" i="1" s="1"/>
  <c r="Q97" i="1" s="1"/>
  <c r="P96" i="1"/>
  <c r="M96" i="1"/>
  <c r="F96" i="1"/>
  <c r="H96" i="1" s="1"/>
  <c r="J96" i="1" s="1"/>
  <c r="P95" i="1"/>
  <c r="M95" i="1"/>
  <c r="F95" i="1"/>
  <c r="H95" i="1" s="1"/>
  <c r="J95" i="1" s="1"/>
  <c r="Q95" i="1" s="1"/>
  <c r="P94" i="1"/>
  <c r="M94" i="1"/>
  <c r="F94" i="1"/>
  <c r="H94" i="1" s="1"/>
  <c r="J94" i="1" s="1"/>
  <c r="P93" i="1"/>
  <c r="M93" i="1"/>
  <c r="F93" i="1"/>
  <c r="H93" i="1" s="1"/>
  <c r="J93" i="1" s="1"/>
  <c r="P92" i="1"/>
  <c r="M92" i="1"/>
  <c r="F92" i="1"/>
  <c r="H92" i="1" s="1"/>
  <c r="J92" i="1" s="1"/>
  <c r="P90" i="1"/>
  <c r="M90" i="1"/>
  <c r="F90" i="1"/>
  <c r="H90" i="1" s="1"/>
  <c r="J90" i="1" s="1"/>
  <c r="Q90" i="1" s="1"/>
  <c r="P89" i="1"/>
  <c r="M89" i="1"/>
  <c r="F89" i="1"/>
  <c r="H89" i="1" s="1"/>
  <c r="J89" i="1" s="1"/>
  <c r="Q89" i="1" s="1"/>
  <c r="P88" i="1"/>
  <c r="M88" i="1"/>
  <c r="F88" i="1"/>
  <c r="H88" i="1" s="1"/>
  <c r="J88" i="1" s="1"/>
  <c r="P87" i="1"/>
  <c r="M87" i="1"/>
  <c r="F87" i="1"/>
  <c r="H87" i="1" s="1"/>
  <c r="J87" i="1" s="1"/>
  <c r="P86" i="1"/>
  <c r="M86" i="1"/>
  <c r="F86" i="1"/>
  <c r="H86" i="1" s="1"/>
  <c r="J86" i="1" s="1"/>
  <c r="P85" i="1"/>
  <c r="M85" i="1"/>
  <c r="F85" i="1"/>
  <c r="H85" i="1" s="1"/>
  <c r="J85" i="1" s="1"/>
  <c r="P84" i="1"/>
  <c r="M84" i="1"/>
  <c r="F84" i="1"/>
  <c r="H84" i="1" s="1"/>
  <c r="J84" i="1" s="1"/>
  <c r="Q84" i="1" s="1"/>
  <c r="P83" i="1"/>
  <c r="M83" i="1"/>
  <c r="F83" i="1"/>
  <c r="H83" i="1" s="1"/>
  <c r="J83" i="1" s="1"/>
  <c r="Q83" i="1" s="1"/>
  <c r="P82" i="1"/>
  <c r="M82" i="1"/>
  <c r="F82" i="1"/>
  <c r="H82" i="1" s="1"/>
  <c r="J82" i="1" s="1"/>
  <c r="Q82" i="1" s="1"/>
  <c r="P81" i="1"/>
  <c r="M81" i="1"/>
  <c r="F81" i="1"/>
  <c r="H81" i="1" s="1"/>
  <c r="J81" i="1" s="1"/>
  <c r="Q81" i="1" s="1"/>
  <c r="P80" i="1"/>
  <c r="M80" i="1"/>
  <c r="F80" i="1"/>
  <c r="H80" i="1" s="1"/>
  <c r="J80" i="1" s="1"/>
  <c r="P79" i="1"/>
  <c r="M79" i="1"/>
  <c r="F79" i="1"/>
  <c r="H79" i="1" s="1"/>
  <c r="J79" i="1" s="1"/>
  <c r="P78" i="1"/>
  <c r="P77" i="1"/>
  <c r="M77" i="1"/>
  <c r="F77" i="1"/>
  <c r="H77" i="1" s="1"/>
  <c r="J77" i="1" s="1"/>
  <c r="Q77" i="1" s="1"/>
  <c r="P76" i="1"/>
  <c r="M76" i="1"/>
  <c r="F76" i="1"/>
  <c r="H76" i="1" s="1"/>
  <c r="J76" i="1" s="1"/>
  <c r="Q76" i="1" s="1"/>
  <c r="P75" i="1"/>
  <c r="M75" i="1"/>
  <c r="H75" i="1"/>
  <c r="J75" i="1" s="1"/>
  <c r="Q75" i="1" s="1"/>
  <c r="F75" i="1"/>
  <c r="P74" i="1"/>
  <c r="M74" i="1"/>
  <c r="F74" i="1"/>
  <c r="H74" i="1" s="1"/>
  <c r="J74" i="1" s="1"/>
  <c r="Q74" i="1" s="1"/>
  <c r="P73" i="1"/>
  <c r="M73" i="1"/>
  <c r="F73" i="1"/>
  <c r="H73" i="1" s="1"/>
  <c r="J73" i="1" s="1"/>
  <c r="Q73" i="1" s="1"/>
  <c r="P72" i="1"/>
  <c r="M72" i="1"/>
  <c r="F72" i="1"/>
  <c r="H72" i="1" s="1"/>
  <c r="J72" i="1" s="1"/>
  <c r="P71" i="1"/>
  <c r="M71" i="1"/>
  <c r="F71" i="1"/>
  <c r="H71" i="1" s="1"/>
  <c r="J71" i="1" s="1"/>
  <c r="Q71" i="1" s="1"/>
  <c r="P70" i="1"/>
  <c r="M70" i="1"/>
  <c r="H70" i="1"/>
  <c r="J70" i="1" s="1"/>
  <c r="Q70" i="1" s="1"/>
  <c r="F70" i="1"/>
  <c r="P69" i="1"/>
  <c r="M69" i="1"/>
  <c r="F69" i="1"/>
  <c r="H69" i="1" s="1"/>
  <c r="J69" i="1" s="1"/>
  <c r="P68" i="1"/>
  <c r="M68" i="1"/>
  <c r="F68" i="1"/>
  <c r="H68" i="1" s="1"/>
  <c r="J68" i="1" s="1"/>
  <c r="P67" i="1"/>
  <c r="M67" i="1"/>
  <c r="F67" i="1"/>
  <c r="H67" i="1" s="1"/>
  <c r="J67" i="1" s="1"/>
  <c r="Q67" i="1" s="1"/>
  <c r="P66" i="1"/>
  <c r="M66" i="1"/>
  <c r="H66" i="1"/>
  <c r="J66" i="1" s="1"/>
  <c r="Q66" i="1" s="1"/>
  <c r="F66" i="1"/>
  <c r="P65" i="1"/>
  <c r="P64" i="1"/>
  <c r="M64" i="1"/>
  <c r="F64" i="1"/>
  <c r="H64" i="1" s="1"/>
  <c r="J64" i="1" s="1"/>
  <c r="Q64" i="1" s="1"/>
  <c r="P63" i="1"/>
  <c r="M63" i="1"/>
  <c r="F63" i="1"/>
  <c r="H63" i="1" s="1"/>
  <c r="J63" i="1" s="1"/>
  <c r="Q63" i="1" s="1"/>
  <c r="P62" i="1"/>
  <c r="M62" i="1"/>
  <c r="F62" i="1"/>
  <c r="H62" i="1" s="1"/>
  <c r="J62" i="1" s="1"/>
  <c r="P61" i="1"/>
  <c r="M61" i="1"/>
  <c r="F61" i="1"/>
  <c r="H61" i="1" s="1"/>
  <c r="J61" i="1" s="1"/>
  <c r="P60" i="1"/>
  <c r="M60" i="1"/>
  <c r="F60" i="1"/>
  <c r="H60" i="1" s="1"/>
  <c r="J60" i="1" s="1"/>
  <c r="P59" i="1"/>
  <c r="M59" i="1"/>
  <c r="F59" i="1"/>
  <c r="H59" i="1" s="1"/>
  <c r="J59" i="1" s="1"/>
  <c r="P58" i="1"/>
  <c r="M58" i="1"/>
  <c r="F58" i="1"/>
  <c r="H58" i="1" s="1"/>
  <c r="J58" i="1" s="1"/>
  <c r="Q58" i="1" s="1"/>
  <c r="P57" i="1"/>
  <c r="M57" i="1"/>
  <c r="F57" i="1"/>
  <c r="H57" i="1" s="1"/>
  <c r="J57" i="1" s="1"/>
  <c r="Q57" i="1" s="1"/>
  <c r="P56" i="1"/>
  <c r="M56" i="1"/>
  <c r="F56" i="1"/>
  <c r="H56" i="1" s="1"/>
  <c r="J56" i="1" s="1"/>
  <c r="Q56" i="1" s="1"/>
  <c r="P55" i="1"/>
  <c r="M55" i="1"/>
  <c r="F55" i="1"/>
  <c r="H55" i="1" s="1"/>
  <c r="J55" i="1" s="1"/>
  <c r="Q55" i="1" s="1"/>
  <c r="P54" i="1"/>
  <c r="M54" i="1"/>
  <c r="F54" i="1"/>
  <c r="H54" i="1" s="1"/>
  <c r="J54" i="1" s="1"/>
  <c r="P53" i="1"/>
  <c r="M53" i="1"/>
  <c r="F53" i="1"/>
  <c r="H53" i="1" s="1"/>
  <c r="J53" i="1" s="1"/>
  <c r="P48" i="1"/>
  <c r="K48" i="1"/>
  <c r="M48" i="1" s="1"/>
  <c r="G48" i="1"/>
  <c r="F48" i="1"/>
  <c r="H48" i="1" s="1"/>
  <c r="J48" i="1" s="1"/>
  <c r="P47" i="1"/>
  <c r="K47" i="1"/>
  <c r="M47" i="1" s="1"/>
  <c r="G47" i="1"/>
  <c r="F47" i="1"/>
  <c r="H47" i="1" s="1"/>
  <c r="J47" i="1" s="1"/>
  <c r="E47" i="1"/>
  <c r="Q46" i="1"/>
  <c r="Q45" i="1"/>
  <c r="Q38" i="1"/>
  <c r="M38" i="1"/>
  <c r="P28" i="1"/>
  <c r="K28" i="1"/>
  <c r="M28" i="1" s="1"/>
  <c r="G28" i="1"/>
  <c r="F28" i="1"/>
  <c r="H28" i="1" s="1"/>
  <c r="J28" i="1" s="1"/>
  <c r="Q28" i="1" s="1"/>
  <c r="E28" i="1"/>
  <c r="P27" i="1"/>
  <c r="K27" i="1"/>
  <c r="M27" i="1" s="1"/>
  <c r="G27" i="1"/>
  <c r="E27" i="1"/>
  <c r="F27" i="1" s="1"/>
  <c r="H27" i="1" s="1"/>
  <c r="J27" i="1" s="1"/>
  <c r="Q27" i="1" s="1"/>
  <c r="R108" i="13" l="1"/>
  <c r="R115" i="13"/>
  <c r="R65" i="13"/>
  <c r="R72" i="13"/>
  <c r="R55" i="13"/>
  <c r="R117" i="13"/>
  <c r="R124" i="13"/>
  <c r="R156" i="13"/>
  <c r="R73" i="13"/>
  <c r="R81" i="13"/>
  <c r="R143" i="13"/>
  <c r="R150" i="13"/>
  <c r="R186" i="13"/>
  <c r="R99" i="13"/>
  <c r="R107" i="13"/>
  <c r="R178" i="13"/>
  <c r="R184" i="13"/>
  <c r="R56" i="13"/>
  <c r="R63" i="13"/>
  <c r="R174" i="13"/>
  <c r="O57" i="9"/>
  <c r="O61" i="9"/>
  <c r="O73" i="9"/>
  <c r="O77" i="9"/>
  <c r="O94" i="9"/>
  <c r="O110" i="9"/>
  <c r="O114" i="9"/>
  <c r="O126" i="9"/>
  <c r="O134" i="9"/>
  <c r="O138" i="9"/>
  <c r="O146" i="9"/>
  <c r="O153" i="9"/>
  <c r="O54" i="9"/>
  <c r="O66" i="9"/>
  <c r="O70" i="9"/>
  <c r="O82" i="9"/>
  <c r="O86" i="9"/>
  <c r="O98" i="9"/>
  <c r="O102" i="9"/>
  <c r="O119" i="9"/>
  <c r="O123" i="9"/>
  <c r="O131" i="9"/>
  <c r="O161" i="9"/>
  <c r="O67" i="9"/>
  <c r="O71" i="9"/>
  <c r="O83" i="9"/>
  <c r="O87" i="9"/>
  <c r="O99" i="9"/>
  <c r="O103" i="9"/>
  <c r="O120" i="9"/>
  <c r="O132" i="9"/>
  <c r="O162" i="9"/>
  <c r="O68" i="9"/>
  <c r="O84" i="9"/>
  <c r="O88" i="9"/>
  <c r="O100" i="9"/>
  <c r="O105" i="9"/>
  <c r="O116" i="9"/>
  <c r="O121" i="9"/>
  <c r="O140" i="9"/>
  <c r="V51" i="8"/>
  <c r="W72" i="8"/>
  <c r="V74" i="8"/>
  <c r="W74" i="8" s="1"/>
  <c r="V80" i="8"/>
  <c r="W80" i="8" s="1"/>
  <c r="V85" i="8"/>
  <c r="W107" i="8"/>
  <c r="V109" i="8"/>
  <c r="W109" i="8" s="1"/>
  <c r="V115" i="8"/>
  <c r="W115" i="8" s="1"/>
  <c r="V120" i="8"/>
  <c r="V149" i="8"/>
  <c r="W149" i="8" s="1"/>
  <c r="V155" i="8"/>
  <c r="V142" i="8"/>
  <c r="W142" i="8" s="1"/>
  <c r="V54" i="8"/>
  <c r="W54" i="8" s="1"/>
  <c r="V59" i="8"/>
  <c r="W59" i="8" s="1"/>
  <c r="W83" i="8"/>
  <c r="V89" i="8"/>
  <c r="W89" i="8" s="1"/>
  <c r="V94" i="8"/>
  <c r="W94" i="8" s="1"/>
  <c r="W118" i="8"/>
  <c r="V123" i="8"/>
  <c r="W123" i="8" s="1"/>
  <c r="V129" i="8"/>
  <c r="W129" i="8" s="1"/>
  <c r="W158" i="8"/>
  <c r="W65" i="8"/>
  <c r="V76" i="8"/>
  <c r="W76" i="8" s="1"/>
  <c r="V81" i="8"/>
  <c r="W81" i="8" s="1"/>
  <c r="W99" i="8"/>
  <c r="V110" i="8"/>
  <c r="W110" i="8" s="1"/>
  <c r="V116" i="8"/>
  <c r="W116" i="8" s="1"/>
  <c r="V145" i="8"/>
  <c r="W145" i="8" s="1"/>
  <c r="V150" i="8"/>
  <c r="W150" i="8" s="1"/>
  <c r="W63" i="8"/>
  <c r="W97" i="8"/>
  <c r="W124" i="8"/>
  <c r="W132" i="8"/>
  <c r="V50" i="8"/>
  <c r="W50" i="8" s="1"/>
  <c r="V55" i="8"/>
  <c r="W55" i="8" s="1"/>
  <c r="W77" i="8"/>
  <c r="V79" i="8"/>
  <c r="W79" i="8" s="1"/>
  <c r="V84" i="8"/>
  <c r="W84" i="8" s="1"/>
  <c r="V90" i="8"/>
  <c r="W90" i="8" s="1"/>
  <c r="W113" i="8"/>
  <c r="V119" i="8"/>
  <c r="W119" i="8" s="1"/>
  <c r="V124" i="8"/>
  <c r="W148" i="8"/>
  <c r="W154" i="8"/>
  <c r="V159" i="8"/>
  <c r="W159" i="8" s="1"/>
  <c r="V111" i="8"/>
  <c r="W111" i="8" s="1"/>
  <c r="V146" i="8"/>
  <c r="W146" i="8" s="1"/>
  <c r="W53" i="8"/>
  <c r="W58" i="8"/>
  <c r="W87" i="8"/>
  <c r="W93" i="8"/>
  <c r="W128" i="8"/>
  <c r="W157" i="8"/>
  <c r="W68" i="8"/>
  <c r="W103" i="8"/>
  <c r="W137" i="8"/>
  <c r="W177" i="8"/>
  <c r="V171" i="8"/>
  <c r="W171" i="8" s="1"/>
  <c r="W176" i="8"/>
  <c r="W51" i="8"/>
  <c r="W85" i="8"/>
  <c r="W120" i="8"/>
  <c r="W155" i="8"/>
  <c r="S92" i="3"/>
  <c r="S56" i="3"/>
  <c r="S93" i="3"/>
  <c r="S99" i="3"/>
  <c r="S103" i="3"/>
  <c r="S112" i="3"/>
  <c r="S120" i="3"/>
  <c r="S145" i="3"/>
  <c r="S100" i="3"/>
  <c r="S110" i="3"/>
  <c r="S57" i="3"/>
  <c r="S65" i="3"/>
  <c r="S102" i="3"/>
  <c r="S111" i="3"/>
  <c r="S121" i="3"/>
  <c r="S138" i="3"/>
  <c r="S156" i="3"/>
  <c r="S159" i="3"/>
  <c r="S122" i="3"/>
  <c r="S84" i="3"/>
  <c r="S95" i="3"/>
  <c r="S98" i="3"/>
  <c r="S134" i="3"/>
  <c r="S151" i="3"/>
  <c r="S28" i="3"/>
  <c r="S30" i="3"/>
  <c r="S52" i="2"/>
  <c r="S145" i="2"/>
  <c r="S147" i="2"/>
  <c r="S151" i="2"/>
  <c r="S71" i="2"/>
  <c r="S154" i="2"/>
  <c r="S69" i="2"/>
  <c r="S132" i="2"/>
  <c r="S134" i="2"/>
  <c r="S140" i="2"/>
  <c r="S149" i="2"/>
  <c r="S86" i="2"/>
  <c r="S136" i="2"/>
  <c r="S146" i="2"/>
  <c r="S148" i="2"/>
  <c r="S158" i="2"/>
  <c r="S55" i="2"/>
  <c r="S137" i="2"/>
  <c r="S104" i="2"/>
  <c r="S129" i="2"/>
  <c r="S138" i="2"/>
  <c r="S27" i="2"/>
  <c r="S29" i="2"/>
  <c r="Q158" i="1"/>
  <c r="Q53" i="1"/>
  <c r="Q61" i="1"/>
  <c r="Q69" i="1"/>
  <c r="Q79" i="1"/>
  <c r="Q87" i="1"/>
  <c r="Q93" i="1"/>
  <c r="Q107" i="1"/>
  <c r="Q115" i="1"/>
  <c r="Q124" i="1"/>
  <c r="Q149" i="1"/>
  <c r="Q96" i="1"/>
  <c r="Q101" i="1"/>
  <c r="Q110" i="1"/>
  <c r="Q59" i="1"/>
  <c r="Q85" i="1"/>
  <c r="Q105" i="1"/>
  <c r="Q113" i="1"/>
  <c r="Q122" i="1"/>
  <c r="Q131" i="1"/>
  <c r="Q133" i="1"/>
  <c r="Q146" i="1"/>
  <c r="Q157" i="1"/>
  <c r="Q162" i="1"/>
  <c r="Q54" i="1"/>
  <c r="Q62" i="1"/>
  <c r="Q72" i="1"/>
  <c r="Q80" i="1"/>
  <c r="Q88" i="1"/>
  <c r="Q94" i="1"/>
  <c r="Q116" i="1"/>
  <c r="Q125" i="1"/>
  <c r="Q102" i="1"/>
  <c r="Q111" i="1"/>
  <c r="Q120" i="1"/>
  <c r="Q128" i="1"/>
  <c r="Q138" i="1"/>
  <c r="Q142" i="1"/>
  <c r="Q159" i="1"/>
  <c r="Q60" i="1"/>
  <c r="Q68" i="1"/>
  <c r="Q86" i="1"/>
  <c r="Q92" i="1"/>
  <c r="Q106" i="1"/>
  <c r="Q114" i="1"/>
  <c r="Q123" i="1"/>
  <c r="Q153" i="1"/>
  <c r="Q47" i="1"/>
  <c r="Q136" i="1"/>
  <c r="Q140" i="1"/>
  <c r="Q185" i="1"/>
  <c r="Q135" i="1"/>
  <c r="Q139" i="1"/>
  <c r="Q148" i="1"/>
  <c r="Q180" i="1"/>
  <c r="Q184" i="1"/>
  <c r="Q48" i="1"/>
  <c r="Q145" i="1"/>
  <c r="Q189" i="1"/>
  <c r="Q132" i="1"/>
  <c r="Q183" i="1"/>
  <c r="G180" i="21" l="1"/>
  <c r="F180" i="21"/>
  <c r="E180" i="21"/>
  <c r="I180" i="21" s="1"/>
  <c r="D180" i="21"/>
  <c r="H180" i="21" s="1"/>
  <c r="C180" i="21"/>
  <c r="B180" i="21"/>
  <c r="J177" i="20"/>
  <c r="F177" i="20"/>
  <c r="K177" i="20" s="1"/>
  <c r="L200" i="19"/>
  <c r="I200" i="19"/>
  <c r="F200" i="19"/>
  <c r="M200" i="19" s="1"/>
  <c r="O200" i="19" s="1"/>
  <c r="L182" i="18" l="1"/>
  <c r="N182" i="18" s="1"/>
  <c r="H182" i="18"/>
  <c r="O184" i="15"/>
  <c r="H184" i="15"/>
  <c r="H259" i="12" l="1"/>
  <c r="G259" i="12"/>
  <c r="F259" i="12"/>
  <c r="I259" i="12" s="1"/>
  <c r="E259" i="12"/>
  <c r="D259" i="12"/>
  <c r="B259" i="12"/>
  <c r="K258" i="11"/>
  <c r="J258" i="11"/>
  <c r="F258" i="11"/>
  <c r="C258" i="11"/>
  <c r="O143" i="7"/>
  <c r="O143" i="6"/>
  <c r="S186" i="5"/>
  <c r="R186" i="5"/>
  <c r="Q186" i="5"/>
  <c r="M186" i="5"/>
  <c r="K186" i="5"/>
  <c r="E186" i="5"/>
  <c r="D186" i="5"/>
  <c r="B186" i="5"/>
  <c r="U187" i="4"/>
  <c r="T187" i="4"/>
  <c r="Q187" i="4"/>
  <c r="P187" i="4"/>
  <c r="J187" i="4"/>
  <c r="I187" i="4"/>
  <c r="C187" i="4"/>
  <c r="L258" i="11" l="1"/>
  <c r="C54" i="24" l="1"/>
  <c r="B54" i="24"/>
  <c r="L37" i="19" l="1"/>
  <c r="I37" i="19"/>
  <c r="F37" i="19"/>
  <c r="L199" i="19"/>
  <c r="I199" i="19"/>
  <c r="F199" i="19"/>
  <c r="L198" i="19"/>
  <c r="I198" i="19"/>
  <c r="F198" i="19"/>
  <c r="L197" i="19"/>
  <c r="I197" i="19"/>
  <c r="F197" i="19"/>
  <c r="L196" i="19"/>
  <c r="I196" i="19"/>
  <c r="F196" i="19"/>
  <c r="L195" i="19"/>
  <c r="I195" i="19"/>
  <c r="F195" i="19"/>
  <c r="L194" i="19"/>
  <c r="I194" i="19"/>
  <c r="F194" i="19"/>
  <c r="M194" i="19" s="1"/>
  <c r="O194" i="19" s="1"/>
  <c r="L192" i="19"/>
  <c r="I192" i="19"/>
  <c r="F192" i="19"/>
  <c r="L191" i="19"/>
  <c r="I191" i="19"/>
  <c r="F191" i="19"/>
  <c r="L190" i="19"/>
  <c r="I190" i="19"/>
  <c r="F190" i="19"/>
  <c r="L189" i="19"/>
  <c r="I189" i="19"/>
  <c r="F189" i="19"/>
  <c r="L188" i="19"/>
  <c r="I188" i="19"/>
  <c r="F188" i="19"/>
  <c r="L187" i="19"/>
  <c r="I187" i="19"/>
  <c r="F187" i="19"/>
  <c r="L186" i="19"/>
  <c r="I186" i="19"/>
  <c r="F186" i="19"/>
  <c r="L185" i="19"/>
  <c r="I185" i="19"/>
  <c r="F185" i="19"/>
  <c r="M185" i="19" s="1"/>
  <c r="O185" i="19" s="1"/>
  <c r="L184" i="19"/>
  <c r="I184" i="19"/>
  <c r="F184" i="19"/>
  <c r="L183" i="19"/>
  <c r="I183" i="19"/>
  <c r="F183" i="19"/>
  <c r="L182" i="19"/>
  <c r="I182" i="19"/>
  <c r="F182" i="19"/>
  <c r="L181" i="19"/>
  <c r="I181" i="19"/>
  <c r="F181" i="19"/>
  <c r="L179" i="19"/>
  <c r="I179" i="19"/>
  <c r="F179" i="19"/>
  <c r="L178" i="19"/>
  <c r="I178" i="19"/>
  <c r="F178" i="19"/>
  <c r="L177" i="19"/>
  <c r="I177" i="19"/>
  <c r="F177" i="19"/>
  <c r="L176" i="19"/>
  <c r="I176" i="19"/>
  <c r="F176" i="19"/>
  <c r="M176" i="19" s="1"/>
  <c r="O176" i="19" s="1"/>
  <c r="L175" i="19"/>
  <c r="I175" i="19"/>
  <c r="F175" i="19"/>
  <c r="L174" i="19"/>
  <c r="I174" i="19"/>
  <c r="F174" i="19"/>
  <c r="L173" i="19"/>
  <c r="I173" i="19"/>
  <c r="F173" i="19"/>
  <c r="L172" i="19"/>
  <c r="I172" i="19"/>
  <c r="F172" i="19"/>
  <c r="L171" i="19"/>
  <c r="I171" i="19"/>
  <c r="F171" i="19"/>
  <c r="L170" i="19"/>
  <c r="I170" i="19"/>
  <c r="F170" i="19"/>
  <c r="L169" i="19"/>
  <c r="I169" i="19"/>
  <c r="F169" i="19"/>
  <c r="L168" i="19"/>
  <c r="I168" i="19"/>
  <c r="F168" i="19"/>
  <c r="L166" i="19"/>
  <c r="I166" i="19"/>
  <c r="F166" i="19"/>
  <c r="L165" i="19"/>
  <c r="I165" i="19"/>
  <c r="F165" i="19"/>
  <c r="L164" i="19"/>
  <c r="I164" i="19"/>
  <c r="F164" i="19"/>
  <c r="L163" i="19"/>
  <c r="I163" i="19"/>
  <c r="F163" i="19"/>
  <c r="L162" i="19"/>
  <c r="I162" i="19"/>
  <c r="F162" i="19"/>
  <c r="L161" i="19"/>
  <c r="I161" i="19"/>
  <c r="F161" i="19"/>
  <c r="L160" i="19"/>
  <c r="I160" i="19"/>
  <c r="F160" i="19"/>
  <c r="L159" i="19"/>
  <c r="I159" i="19"/>
  <c r="F159" i="19"/>
  <c r="L158" i="19"/>
  <c r="I158" i="19"/>
  <c r="F158" i="19"/>
  <c r="L157" i="19"/>
  <c r="I157" i="19"/>
  <c r="F157" i="19"/>
  <c r="L156" i="19"/>
  <c r="I156" i="19"/>
  <c r="F156" i="19"/>
  <c r="L155" i="19"/>
  <c r="I155" i="19"/>
  <c r="F155" i="19"/>
  <c r="L153" i="19"/>
  <c r="I153" i="19"/>
  <c r="F153" i="19"/>
  <c r="L152" i="19"/>
  <c r="I152" i="19"/>
  <c r="F152" i="19"/>
  <c r="L151" i="19"/>
  <c r="I151" i="19"/>
  <c r="F151" i="19"/>
  <c r="L150" i="19"/>
  <c r="I150" i="19"/>
  <c r="F150" i="19"/>
  <c r="L149" i="19"/>
  <c r="I149" i="19"/>
  <c r="F149" i="19"/>
  <c r="L148" i="19"/>
  <c r="I148" i="19"/>
  <c r="F148" i="19"/>
  <c r="L147" i="19"/>
  <c r="I147" i="19"/>
  <c r="F147" i="19"/>
  <c r="L146" i="19"/>
  <c r="I146" i="19"/>
  <c r="F146" i="19"/>
  <c r="L145" i="19"/>
  <c r="I145" i="19"/>
  <c r="F145" i="19"/>
  <c r="L144" i="19"/>
  <c r="I144" i="19"/>
  <c r="F144" i="19"/>
  <c r="L143" i="19"/>
  <c r="I143" i="19"/>
  <c r="F143" i="19"/>
  <c r="L142" i="19"/>
  <c r="I142" i="19"/>
  <c r="F142" i="19"/>
  <c r="M142" i="19" s="1"/>
  <c r="O142" i="19" s="1"/>
  <c r="L140" i="19"/>
  <c r="I140" i="19"/>
  <c r="F140" i="19"/>
  <c r="L139" i="19"/>
  <c r="I139" i="19"/>
  <c r="F139" i="19"/>
  <c r="L138" i="19"/>
  <c r="I138" i="19"/>
  <c r="F138" i="19"/>
  <c r="L137" i="19"/>
  <c r="I137" i="19"/>
  <c r="F137" i="19"/>
  <c r="L136" i="19"/>
  <c r="I136" i="19"/>
  <c r="F136" i="19"/>
  <c r="L135" i="19"/>
  <c r="I135" i="19"/>
  <c r="F135" i="19"/>
  <c r="L134" i="19"/>
  <c r="I134" i="19"/>
  <c r="F134" i="19"/>
  <c r="L133" i="19"/>
  <c r="I133" i="19"/>
  <c r="F133" i="19"/>
  <c r="L132" i="19"/>
  <c r="I132" i="19"/>
  <c r="F132" i="19"/>
  <c r="L131" i="19"/>
  <c r="I131" i="19"/>
  <c r="F131" i="19"/>
  <c r="L130" i="19"/>
  <c r="I130" i="19"/>
  <c r="F130" i="19"/>
  <c r="L129" i="19"/>
  <c r="I129" i="19"/>
  <c r="F129" i="19"/>
  <c r="L127" i="19"/>
  <c r="I127" i="19"/>
  <c r="F127" i="19"/>
  <c r="L126" i="19"/>
  <c r="I126" i="19"/>
  <c r="F126" i="19"/>
  <c r="L125" i="19"/>
  <c r="I125" i="19"/>
  <c r="F125" i="19"/>
  <c r="L124" i="19"/>
  <c r="I124" i="19"/>
  <c r="F124" i="19"/>
  <c r="L123" i="19"/>
  <c r="I123" i="19"/>
  <c r="F123" i="19"/>
  <c r="L122" i="19"/>
  <c r="I122" i="19"/>
  <c r="F122" i="19"/>
  <c r="L121" i="19"/>
  <c r="I121" i="19"/>
  <c r="F121" i="19"/>
  <c r="L120" i="19"/>
  <c r="I120" i="19"/>
  <c r="F120" i="19"/>
  <c r="L119" i="19"/>
  <c r="I119" i="19"/>
  <c r="F119" i="19"/>
  <c r="L118" i="19"/>
  <c r="I118" i="19"/>
  <c r="F118" i="19"/>
  <c r="L117" i="19"/>
  <c r="I117" i="19"/>
  <c r="F117" i="19"/>
  <c r="L116" i="19"/>
  <c r="I116" i="19"/>
  <c r="F116" i="19"/>
  <c r="L114" i="19"/>
  <c r="I114" i="19"/>
  <c r="F114" i="19"/>
  <c r="L113" i="19"/>
  <c r="I113" i="19"/>
  <c r="F113" i="19"/>
  <c r="L112" i="19"/>
  <c r="I112" i="19"/>
  <c r="F112" i="19"/>
  <c r="L111" i="19"/>
  <c r="I111" i="19"/>
  <c r="F111" i="19"/>
  <c r="L110" i="19"/>
  <c r="I110" i="19"/>
  <c r="F110" i="19"/>
  <c r="L109" i="19"/>
  <c r="I109" i="19"/>
  <c r="F109" i="19"/>
  <c r="L108" i="19"/>
  <c r="I108" i="19"/>
  <c r="F108" i="19"/>
  <c r="L107" i="19"/>
  <c r="I107" i="19"/>
  <c r="F107" i="19"/>
  <c r="L106" i="19"/>
  <c r="I106" i="19"/>
  <c r="F106" i="19"/>
  <c r="L105" i="19"/>
  <c r="I105" i="19"/>
  <c r="F105" i="19"/>
  <c r="L104" i="19"/>
  <c r="I104" i="19"/>
  <c r="F104" i="19"/>
  <c r="L103" i="19"/>
  <c r="I103" i="19"/>
  <c r="F103" i="19"/>
  <c r="L101" i="19"/>
  <c r="I101" i="19"/>
  <c r="F101" i="19"/>
  <c r="L100" i="19"/>
  <c r="I100" i="19"/>
  <c r="F100" i="19"/>
  <c r="L99" i="19"/>
  <c r="I99" i="19"/>
  <c r="F99" i="19"/>
  <c r="L98" i="19"/>
  <c r="I98" i="19"/>
  <c r="F98" i="19"/>
  <c r="M98" i="19" s="1"/>
  <c r="O98" i="19" s="1"/>
  <c r="L97" i="19"/>
  <c r="I97" i="19"/>
  <c r="F97" i="19"/>
  <c r="L96" i="19"/>
  <c r="I96" i="19"/>
  <c r="F96" i="19"/>
  <c r="L95" i="19"/>
  <c r="I95" i="19"/>
  <c r="F95" i="19"/>
  <c r="L94" i="19"/>
  <c r="I94" i="19"/>
  <c r="F94" i="19"/>
  <c r="L93" i="19"/>
  <c r="I93" i="19"/>
  <c r="F93" i="19"/>
  <c r="L92" i="19"/>
  <c r="I92" i="19"/>
  <c r="F92" i="19"/>
  <c r="L91" i="19"/>
  <c r="I91" i="19"/>
  <c r="F91" i="19"/>
  <c r="L90" i="19"/>
  <c r="I90" i="19"/>
  <c r="F90" i="19"/>
  <c r="M90" i="19" s="1"/>
  <c r="O90" i="19" s="1"/>
  <c r="L88" i="19"/>
  <c r="I88" i="19"/>
  <c r="F88" i="19"/>
  <c r="L87" i="19"/>
  <c r="I87" i="19"/>
  <c r="F87" i="19"/>
  <c r="L86" i="19"/>
  <c r="I86" i="19"/>
  <c r="F86" i="19"/>
  <c r="L85" i="19"/>
  <c r="I85" i="19"/>
  <c r="F85" i="19"/>
  <c r="L84" i="19"/>
  <c r="I84" i="19"/>
  <c r="F84" i="19"/>
  <c r="L83" i="19"/>
  <c r="I83" i="19"/>
  <c r="F83" i="19"/>
  <c r="L82" i="19"/>
  <c r="I82" i="19"/>
  <c r="F82" i="19"/>
  <c r="L81" i="19"/>
  <c r="I81" i="19"/>
  <c r="F81" i="19"/>
  <c r="M81" i="19" s="1"/>
  <c r="O81" i="19" s="1"/>
  <c r="L80" i="19"/>
  <c r="I80" i="19"/>
  <c r="F80" i="19"/>
  <c r="L79" i="19"/>
  <c r="I79" i="19"/>
  <c r="F79" i="19"/>
  <c r="L78" i="19"/>
  <c r="I78" i="19"/>
  <c r="F78" i="19"/>
  <c r="L77" i="19"/>
  <c r="I77" i="19"/>
  <c r="F77" i="19"/>
  <c r="L75" i="19"/>
  <c r="I75" i="19"/>
  <c r="F75" i="19"/>
  <c r="L74" i="19"/>
  <c r="I74" i="19"/>
  <c r="F74" i="19"/>
  <c r="L73" i="19"/>
  <c r="I73" i="19"/>
  <c r="F73" i="19"/>
  <c r="L72" i="19"/>
  <c r="I72" i="19"/>
  <c r="F72" i="19"/>
  <c r="L71" i="19"/>
  <c r="I71" i="19"/>
  <c r="F71" i="19"/>
  <c r="L70" i="19"/>
  <c r="I70" i="19"/>
  <c r="F70" i="19"/>
  <c r="L69" i="19"/>
  <c r="I69" i="19"/>
  <c r="F69" i="19"/>
  <c r="L68" i="19"/>
  <c r="I68" i="19"/>
  <c r="F68" i="19"/>
  <c r="L67" i="19"/>
  <c r="I67" i="19"/>
  <c r="F67" i="19"/>
  <c r="L66" i="19"/>
  <c r="I66" i="19"/>
  <c r="F66" i="19"/>
  <c r="L65" i="19"/>
  <c r="I65" i="19"/>
  <c r="F65" i="19"/>
  <c r="L64" i="19"/>
  <c r="I64" i="19"/>
  <c r="F64" i="19"/>
  <c r="L62" i="19"/>
  <c r="I62" i="19"/>
  <c r="F62" i="19"/>
  <c r="L61" i="19"/>
  <c r="I61" i="19"/>
  <c r="F61" i="19"/>
  <c r="L49" i="19"/>
  <c r="I49" i="19"/>
  <c r="F49" i="19"/>
  <c r="L48" i="19"/>
  <c r="I48" i="19"/>
  <c r="F48" i="19"/>
  <c r="L47" i="19"/>
  <c r="I47" i="19"/>
  <c r="F47" i="19"/>
  <c r="L46" i="19"/>
  <c r="I46" i="19"/>
  <c r="F46" i="19"/>
  <c r="L44" i="19"/>
  <c r="I44" i="19"/>
  <c r="F44" i="19"/>
  <c r="L43" i="19"/>
  <c r="I43" i="19"/>
  <c r="F43" i="19"/>
  <c r="M43" i="19" s="1"/>
  <c r="O43" i="19" s="1"/>
  <c r="L42" i="19"/>
  <c r="I42" i="19"/>
  <c r="F42" i="19"/>
  <c r="L41" i="19"/>
  <c r="I41" i="19"/>
  <c r="F41" i="19"/>
  <c r="L38" i="19"/>
  <c r="I38" i="19"/>
  <c r="F38" i="19"/>
  <c r="L36" i="19"/>
  <c r="I36" i="19"/>
  <c r="F36" i="19"/>
  <c r="L35" i="19"/>
  <c r="I35" i="19"/>
  <c r="F35" i="19"/>
  <c r="L34" i="19"/>
  <c r="I34" i="19"/>
  <c r="F34" i="19"/>
  <c r="L33" i="19"/>
  <c r="I33" i="19"/>
  <c r="F33" i="19"/>
  <c r="L32" i="19"/>
  <c r="I32" i="19"/>
  <c r="F32" i="19"/>
  <c r="M46" i="19" l="1"/>
  <c r="O46" i="19" s="1"/>
  <c r="M92" i="19"/>
  <c r="O92" i="19" s="1"/>
  <c r="M100" i="19"/>
  <c r="O100" i="19" s="1"/>
  <c r="M106" i="19"/>
  <c r="O106" i="19" s="1"/>
  <c r="M109" i="19"/>
  <c r="O109" i="19" s="1"/>
  <c r="M114" i="19"/>
  <c r="O114" i="19" s="1"/>
  <c r="M123" i="19"/>
  <c r="O123" i="19" s="1"/>
  <c r="M178" i="19"/>
  <c r="O178" i="19" s="1"/>
  <c r="M187" i="19"/>
  <c r="O187" i="19" s="1"/>
  <c r="M196" i="19"/>
  <c r="O196" i="19" s="1"/>
  <c r="M113" i="19"/>
  <c r="O113" i="19" s="1"/>
  <c r="M73" i="19"/>
  <c r="O73" i="19" s="1"/>
  <c r="M82" i="19"/>
  <c r="O82" i="19" s="1"/>
  <c r="M91" i="19"/>
  <c r="O91" i="19" s="1"/>
  <c r="M99" i="19"/>
  <c r="O99" i="19" s="1"/>
  <c r="M143" i="19"/>
  <c r="O143" i="19" s="1"/>
  <c r="M177" i="19"/>
  <c r="O177" i="19" s="1"/>
  <c r="M181" i="19"/>
  <c r="O181" i="19" s="1"/>
  <c r="M186" i="19"/>
  <c r="O186" i="19" s="1"/>
  <c r="M189" i="19"/>
  <c r="O189" i="19" s="1"/>
  <c r="M195" i="19"/>
  <c r="O195" i="19" s="1"/>
  <c r="M199" i="19"/>
  <c r="O199" i="19" s="1"/>
  <c r="M37" i="19"/>
  <c r="O37" i="19" s="1"/>
  <c r="M35" i="19"/>
  <c r="O35" i="19" s="1"/>
  <c r="M38" i="19"/>
  <c r="O38" i="19" s="1"/>
  <c r="M42" i="19"/>
  <c r="O42" i="19" s="1"/>
  <c r="M49" i="19"/>
  <c r="O49" i="19" s="1"/>
  <c r="M62" i="19"/>
  <c r="O62" i="19" s="1"/>
  <c r="M132" i="19"/>
  <c r="O132" i="19" s="1"/>
  <c r="M147" i="19"/>
  <c r="O147" i="19" s="1"/>
  <c r="M149" i="19"/>
  <c r="O149" i="19" s="1"/>
  <c r="M153" i="19"/>
  <c r="O153" i="19" s="1"/>
  <c r="M158" i="19"/>
  <c r="O158" i="19" s="1"/>
  <c r="M164" i="19"/>
  <c r="O164" i="19" s="1"/>
  <c r="M166" i="19"/>
  <c r="O166" i="19" s="1"/>
  <c r="M173" i="19"/>
  <c r="O173" i="19" s="1"/>
  <c r="M175" i="19"/>
  <c r="O175" i="19" s="1"/>
  <c r="M182" i="19"/>
  <c r="O182" i="19" s="1"/>
  <c r="M184" i="19"/>
  <c r="O184" i="19" s="1"/>
  <c r="M190" i="19"/>
  <c r="O190" i="19" s="1"/>
  <c r="M192" i="19"/>
  <c r="O192" i="19" s="1"/>
  <c r="M198" i="19"/>
  <c r="O198" i="19" s="1"/>
  <c r="M32" i="19"/>
  <c r="O32" i="19" s="1"/>
  <c r="M36" i="19"/>
  <c r="O36" i="19" s="1"/>
  <c r="M48" i="19"/>
  <c r="O48" i="19" s="1"/>
  <c r="M61" i="19"/>
  <c r="O61" i="19" s="1"/>
  <c r="M69" i="19"/>
  <c r="O69" i="19" s="1"/>
  <c r="M71" i="19"/>
  <c r="O71" i="19" s="1"/>
  <c r="M80" i="19"/>
  <c r="O80" i="19" s="1"/>
  <c r="M84" i="19"/>
  <c r="O84" i="19" s="1"/>
  <c r="M86" i="19"/>
  <c r="O86" i="19" s="1"/>
  <c r="M88" i="19"/>
  <c r="O88" i="19" s="1"/>
  <c r="M95" i="19"/>
  <c r="O95" i="19" s="1"/>
  <c r="M97" i="19"/>
  <c r="O97" i="19" s="1"/>
  <c r="M108" i="19"/>
  <c r="O108" i="19" s="1"/>
  <c r="M129" i="19"/>
  <c r="O129" i="19" s="1"/>
  <c r="M131" i="19"/>
  <c r="O131" i="19" s="1"/>
  <c r="M138" i="19"/>
  <c r="O138" i="19" s="1"/>
  <c r="M140" i="19"/>
  <c r="O140" i="19" s="1"/>
  <c r="M151" i="19"/>
  <c r="O151" i="19" s="1"/>
  <c r="M152" i="19"/>
  <c r="O152" i="19" s="1"/>
  <c r="M159" i="19"/>
  <c r="O159" i="19" s="1"/>
  <c r="M160" i="19"/>
  <c r="O160" i="19" s="1"/>
  <c r="M168" i="19"/>
  <c r="O168" i="19" s="1"/>
  <c r="M169" i="19"/>
  <c r="O169" i="19" s="1"/>
  <c r="M170" i="19"/>
  <c r="O170" i="19" s="1"/>
  <c r="M172" i="19"/>
  <c r="O172" i="19" s="1"/>
  <c r="M174" i="19"/>
  <c r="O174" i="19" s="1"/>
  <c r="M179" i="19"/>
  <c r="O179" i="19" s="1"/>
  <c r="M183" i="19"/>
  <c r="O183" i="19" s="1"/>
  <c r="M188" i="19"/>
  <c r="O188" i="19" s="1"/>
  <c r="M191" i="19"/>
  <c r="O191" i="19" s="1"/>
  <c r="M197" i="19"/>
  <c r="O197" i="19" s="1"/>
  <c r="M72" i="19"/>
  <c r="O72" i="19" s="1"/>
  <c r="M78" i="19"/>
  <c r="O78" i="19" s="1"/>
  <c r="M83" i="19"/>
  <c r="O83" i="19" s="1"/>
  <c r="M105" i="19"/>
  <c r="O105" i="19" s="1"/>
  <c r="M120" i="19"/>
  <c r="O120" i="19" s="1"/>
  <c r="M150" i="19"/>
  <c r="O150" i="19" s="1"/>
  <c r="M156" i="19"/>
  <c r="O156" i="19" s="1"/>
  <c r="M161" i="19"/>
  <c r="O161" i="19" s="1"/>
  <c r="M70" i="19"/>
  <c r="O70" i="19" s="1"/>
  <c r="M85" i="19"/>
  <c r="O85" i="19" s="1"/>
  <c r="M116" i="19"/>
  <c r="O116" i="19" s="1"/>
  <c r="M121" i="19"/>
  <c r="O121" i="19" s="1"/>
  <c r="M126" i="19"/>
  <c r="O126" i="19" s="1"/>
  <c r="M134" i="19"/>
  <c r="O134" i="19" s="1"/>
  <c r="M148" i="19"/>
  <c r="O148" i="19" s="1"/>
  <c r="M163" i="19"/>
  <c r="O163" i="19" s="1"/>
  <c r="M65" i="19"/>
  <c r="O65" i="19" s="1"/>
  <c r="M79" i="19"/>
  <c r="O79" i="19" s="1"/>
  <c r="M94" i="19"/>
  <c r="O94" i="19" s="1"/>
  <c r="M119" i="19"/>
  <c r="O119" i="19" s="1"/>
  <c r="M124" i="19"/>
  <c r="O124" i="19" s="1"/>
  <c r="M130" i="19"/>
  <c r="O130" i="19" s="1"/>
  <c r="M135" i="19"/>
  <c r="O135" i="19" s="1"/>
  <c r="M137" i="19"/>
  <c r="O137" i="19" s="1"/>
  <c r="M103" i="19"/>
  <c r="O103" i="19" s="1"/>
  <c r="M66" i="19"/>
  <c r="O66" i="19" s="1"/>
  <c r="M68" i="19"/>
  <c r="O68" i="19" s="1"/>
  <c r="M104" i="19"/>
  <c r="O104" i="19" s="1"/>
  <c r="M117" i="19"/>
  <c r="O117" i="19" s="1"/>
  <c r="M133" i="19"/>
  <c r="O133" i="19" s="1"/>
  <c r="M144" i="19"/>
  <c r="O144" i="19" s="1"/>
  <c r="M146" i="19"/>
  <c r="O146" i="19" s="1"/>
  <c r="M165" i="19"/>
  <c r="O165" i="19" s="1"/>
  <c r="M111" i="19"/>
  <c r="O111" i="19" s="1"/>
  <c r="M64" i="19"/>
  <c r="O64" i="19" s="1"/>
  <c r="M74" i="19"/>
  <c r="O74" i="19" s="1"/>
  <c r="M77" i="19"/>
  <c r="O77" i="19" s="1"/>
  <c r="M96" i="19"/>
  <c r="O96" i="19" s="1"/>
  <c r="M107" i="19"/>
  <c r="O107" i="19" s="1"/>
  <c r="M112" i="19"/>
  <c r="O112" i="19" s="1"/>
  <c r="M118" i="19"/>
  <c r="O118" i="19" s="1"/>
  <c r="M125" i="19"/>
  <c r="O125" i="19" s="1"/>
  <c r="M139" i="19"/>
  <c r="O139" i="19" s="1"/>
  <c r="M155" i="19"/>
  <c r="O155" i="19" s="1"/>
  <c r="M44" i="19"/>
  <c r="O44" i="19" s="1"/>
  <c r="M34" i="19"/>
  <c r="O34" i="19" s="1"/>
  <c r="M33" i="19"/>
  <c r="O33" i="19" s="1"/>
  <c r="M41" i="19"/>
  <c r="O41" i="19" s="1"/>
  <c r="M87" i="19"/>
  <c r="O87" i="19" s="1"/>
  <c r="M122" i="19"/>
  <c r="O122" i="19" s="1"/>
  <c r="M157" i="19"/>
  <c r="O157" i="19" s="1"/>
  <c r="M67" i="19"/>
  <c r="O67" i="19" s="1"/>
  <c r="M101" i="19"/>
  <c r="O101" i="19" s="1"/>
  <c r="M136" i="19"/>
  <c r="O136" i="19" s="1"/>
  <c r="M171" i="19"/>
  <c r="O171" i="19" s="1"/>
  <c r="M47" i="19"/>
  <c r="O47" i="19" s="1"/>
  <c r="M93" i="19"/>
  <c r="O93" i="19" s="1"/>
  <c r="M127" i="19"/>
  <c r="O127" i="19" s="1"/>
  <c r="M162" i="19"/>
  <c r="O162" i="19" s="1"/>
  <c r="M75" i="19"/>
  <c r="O75" i="19" s="1"/>
  <c r="M110" i="19"/>
  <c r="O110" i="19" s="1"/>
  <c r="M145" i="19"/>
  <c r="O145" i="19" s="1"/>
  <c r="M23" i="16" l="1"/>
  <c r="M22" i="16"/>
  <c r="M21" i="16"/>
  <c r="M20" i="16"/>
  <c r="M16" i="16"/>
  <c r="H16" i="16"/>
  <c r="M15" i="16"/>
  <c r="H15" i="16"/>
  <c r="O183" i="15"/>
  <c r="H183" i="15"/>
  <c r="O182" i="15"/>
  <c r="E182" i="15"/>
  <c r="H182" i="15" s="1"/>
  <c r="O181" i="15"/>
  <c r="E181" i="15"/>
  <c r="H181" i="15" s="1"/>
  <c r="O180" i="15"/>
  <c r="E180" i="15"/>
  <c r="H180" i="15" s="1"/>
  <c r="O179" i="15"/>
  <c r="H179" i="15"/>
  <c r="O178" i="15"/>
  <c r="H178" i="15"/>
  <c r="O176" i="15"/>
  <c r="H176" i="15"/>
  <c r="O175" i="15"/>
  <c r="H175" i="15"/>
  <c r="O174" i="15"/>
  <c r="H174" i="15"/>
  <c r="O173" i="15"/>
  <c r="H173" i="15"/>
  <c r="O172" i="15"/>
  <c r="H172" i="15"/>
  <c r="O171" i="15"/>
  <c r="H171" i="15"/>
  <c r="O170" i="15"/>
  <c r="H170" i="15"/>
  <c r="O169" i="15"/>
  <c r="H169" i="15"/>
  <c r="O168" i="15"/>
  <c r="H168" i="15"/>
  <c r="O167" i="15"/>
  <c r="H167" i="15"/>
  <c r="O166" i="15"/>
  <c r="H166" i="15"/>
  <c r="O165" i="15"/>
  <c r="H165" i="15"/>
  <c r="O163" i="15"/>
  <c r="H163" i="15"/>
  <c r="O162" i="15"/>
  <c r="H162" i="15"/>
  <c r="O161" i="15"/>
  <c r="H161" i="15"/>
  <c r="O160" i="15"/>
  <c r="H160" i="15"/>
  <c r="O159" i="15"/>
  <c r="H159" i="15"/>
  <c r="O158" i="15"/>
  <c r="H158" i="15"/>
  <c r="O157" i="15"/>
  <c r="H157" i="15"/>
  <c r="O156" i="15"/>
  <c r="H156" i="15"/>
  <c r="O155" i="15"/>
  <c r="H155" i="15"/>
  <c r="O154" i="15"/>
  <c r="H154" i="15"/>
  <c r="O153" i="15"/>
  <c r="H153" i="15"/>
  <c r="O152" i="15"/>
  <c r="H152" i="15"/>
  <c r="O150" i="15"/>
  <c r="H150" i="15"/>
  <c r="L149" i="15"/>
  <c r="O149" i="15" s="1"/>
  <c r="E149" i="15"/>
  <c r="H149" i="15" s="1"/>
  <c r="O148" i="15"/>
  <c r="H148" i="15"/>
  <c r="O147" i="15"/>
  <c r="H147" i="15"/>
  <c r="O146" i="15"/>
  <c r="H146" i="15"/>
  <c r="O145" i="15"/>
  <c r="H145" i="15"/>
  <c r="O144" i="15"/>
  <c r="H144" i="15"/>
  <c r="O143" i="15"/>
  <c r="H143" i="15"/>
  <c r="O142" i="15"/>
  <c r="H142" i="15"/>
  <c r="O141" i="15"/>
  <c r="H141" i="15"/>
  <c r="O140" i="15"/>
  <c r="H140" i="15"/>
  <c r="O139" i="15"/>
  <c r="H139" i="15"/>
  <c r="O137" i="15"/>
  <c r="H137" i="15"/>
  <c r="O136" i="15"/>
  <c r="H136" i="15"/>
  <c r="O135" i="15"/>
  <c r="H135" i="15"/>
  <c r="O134" i="15"/>
  <c r="H134" i="15"/>
  <c r="O133" i="15"/>
  <c r="H133" i="15"/>
  <c r="O132" i="15"/>
  <c r="H132" i="15"/>
  <c r="O131" i="15"/>
  <c r="H131" i="15"/>
  <c r="O130" i="15"/>
  <c r="H130" i="15"/>
  <c r="O129" i="15"/>
  <c r="H129" i="15"/>
  <c r="O128" i="15"/>
  <c r="H128" i="15"/>
  <c r="O127" i="15"/>
  <c r="H127" i="15"/>
  <c r="O126" i="15"/>
  <c r="H126" i="15"/>
  <c r="O124" i="15"/>
  <c r="H124" i="15"/>
  <c r="O123" i="15"/>
  <c r="H123" i="15"/>
  <c r="O122" i="15"/>
  <c r="H122" i="15"/>
  <c r="O121" i="15"/>
  <c r="H121" i="15"/>
  <c r="O120" i="15"/>
  <c r="H120" i="15"/>
  <c r="O119" i="15"/>
  <c r="H119" i="15"/>
  <c r="O118" i="15"/>
  <c r="H118" i="15"/>
  <c r="O117" i="15"/>
  <c r="H117" i="15"/>
  <c r="O116" i="15"/>
  <c r="H116" i="15"/>
  <c r="O115" i="15"/>
  <c r="H115" i="15"/>
  <c r="O114" i="15"/>
  <c r="H114" i="15"/>
  <c r="O113" i="15"/>
  <c r="H113" i="15"/>
  <c r="O111" i="15"/>
  <c r="H111" i="15"/>
  <c r="O110" i="15"/>
  <c r="H110" i="15"/>
  <c r="O109" i="15"/>
  <c r="H109" i="15"/>
  <c r="O108" i="15"/>
  <c r="H108" i="15"/>
  <c r="O107" i="15"/>
  <c r="H107" i="15"/>
  <c r="O106" i="15"/>
  <c r="H106" i="15"/>
  <c r="O105" i="15"/>
  <c r="H105" i="15"/>
  <c r="O104" i="15"/>
  <c r="H104" i="15"/>
  <c r="O103" i="15"/>
  <c r="H103" i="15"/>
  <c r="O102" i="15"/>
  <c r="H102" i="15"/>
  <c r="O101" i="15"/>
  <c r="H101" i="15"/>
  <c r="O100" i="15"/>
  <c r="H100" i="15"/>
  <c r="O98" i="15"/>
  <c r="H98" i="15"/>
  <c r="O97" i="15"/>
  <c r="H97" i="15"/>
  <c r="O96" i="15"/>
  <c r="H96" i="15"/>
  <c r="O95" i="15"/>
  <c r="H95" i="15"/>
  <c r="O94" i="15"/>
  <c r="H94" i="15"/>
  <c r="O93" i="15"/>
  <c r="H93" i="15"/>
  <c r="O92" i="15"/>
  <c r="H92" i="15"/>
  <c r="O91" i="15"/>
  <c r="H91" i="15"/>
  <c r="O90" i="15"/>
  <c r="H90" i="15"/>
  <c r="O89" i="15"/>
  <c r="H89" i="15"/>
  <c r="O88" i="15"/>
  <c r="H88" i="15"/>
  <c r="O87" i="15"/>
  <c r="H87" i="15"/>
  <c r="O85" i="15"/>
  <c r="H85" i="15"/>
  <c r="O84" i="15"/>
  <c r="H84" i="15"/>
  <c r="O83" i="15"/>
  <c r="H83" i="15"/>
  <c r="O82" i="15"/>
  <c r="H82" i="15"/>
  <c r="O81" i="15"/>
  <c r="H81" i="15"/>
  <c r="O80" i="15"/>
  <c r="H80" i="15"/>
  <c r="O79" i="15"/>
  <c r="H79" i="15"/>
  <c r="O78" i="15"/>
  <c r="H78" i="15"/>
  <c r="O77" i="15"/>
  <c r="H77" i="15"/>
  <c r="O76" i="15"/>
  <c r="H76" i="15"/>
  <c r="O75" i="15"/>
  <c r="H75" i="15"/>
  <c r="O74" i="15"/>
  <c r="H74" i="15"/>
  <c r="O72" i="15"/>
  <c r="H72" i="15"/>
  <c r="O71" i="15"/>
  <c r="H71" i="15"/>
  <c r="O70" i="15"/>
  <c r="H70" i="15"/>
  <c r="O69" i="15"/>
  <c r="H69" i="15"/>
  <c r="O68" i="15"/>
  <c r="H68" i="15"/>
  <c r="O67" i="15"/>
  <c r="H67" i="15"/>
  <c r="O66" i="15"/>
  <c r="H66" i="15"/>
  <c r="O65" i="15"/>
  <c r="H65" i="15"/>
  <c r="O64" i="15"/>
  <c r="H64" i="15"/>
  <c r="O63" i="15"/>
  <c r="H63" i="15"/>
  <c r="O62" i="15"/>
  <c r="H62" i="15"/>
  <c r="O61" i="15"/>
  <c r="H61" i="15"/>
  <c r="O59" i="15"/>
  <c r="H59" i="15"/>
  <c r="O58" i="15"/>
  <c r="H58" i="15"/>
  <c r="O57" i="15"/>
  <c r="H57" i="15"/>
  <c r="O56" i="15"/>
  <c r="H56" i="15"/>
  <c r="O55" i="15"/>
  <c r="H55" i="15"/>
  <c r="O54" i="15"/>
  <c r="H54" i="15"/>
  <c r="O53" i="15"/>
  <c r="H53" i="15"/>
  <c r="O52" i="15"/>
  <c r="H52" i="15"/>
  <c r="O51" i="15"/>
  <c r="H51" i="15"/>
  <c r="O50" i="15"/>
  <c r="H50" i="15"/>
  <c r="O49" i="15"/>
  <c r="H49" i="15"/>
  <c r="O48" i="15"/>
  <c r="H48" i="15"/>
  <c r="O15" i="15"/>
  <c r="H15" i="15"/>
  <c r="O14" i="15"/>
  <c r="H14" i="15"/>
  <c r="E19" i="17" l="1"/>
  <c r="F19" i="17" s="1"/>
  <c r="E18" i="17"/>
  <c r="F18" i="17" s="1"/>
  <c r="E17" i="17"/>
  <c r="F17" i="17" s="1"/>
  <c r="E16" i="17"/>
  <c r="F16" i="17" s="1"/>
  <c r="E15" i="17"/>
  <c r="F15" i="17" s="1"/>
  <c r="E14" i="17"/>
  <c r="F14" i="17" s="1"/>
  <c r="E13" i="17"/>
  <c r="F13" i="17" s="1"/>
  <c r="E12" i="17"/>
  <c r="F12" i="17" s="1"/>
  <c r="F11" i="17"/>
  <c r="M15" i="14" l="1"/>
  <c r="G15" i="14"/>
  <c r="M14" i="14"/>
  <c r="G14" i="14"/>
  <c r="P19" i="13"/>
  <c r="L19" i="13"/>
  <c r="D19" i="13"/>
  <c r="P18" i="13"/>
  <c r="L18" i="13"/>
  <c r="D18" i="13"/>
  <c r="H258" i="12"/>
  <c r="G258" i="12"/>
  <c r="F258" i="12"/>
  <c r="E258" i="12"/>
  <c r="D258" i="12"/>
  <c r="B258" i="12"/>
  <c r="H43" i="12"/>
  <c r="G43" i="12"/>
  <c r="F43" i="12"/>
  <c r="E43" i="12"/>
  <c r="D43" i="12"/>
  <c r="B43" i="12"/>
  <c r="K42" i="11"/>
  <c r="J42" i="11"/>
  <c r="F42" i="11"/>
  <c r="C42" i="11"/>
  <c r="K257" i="11"/>
  <c r="J257" i="11"/>
  <c r="F257" i="11"/>
  <c r="C257" i="11"/>
  <c r="U22" i="10"/>
  <c r="N20" i="9"/>
  <c r="D20" i="9"/>
  <c r="F20" i="9" s="1"/>
  <c r="H20" i="9" s="1"/>
  <c r="N19" i="9"/>
  <c r="D19" i="9"/>
  <c r="F19" i="9" s="1"/>
  <c r="H19" i="9" s="1"/>
  <c r="Q18" i="13" l="1"/>
  <c r="R18" i="13" s="1"/>
  <c r="O19" i="9"/>
  <c r="O20" i="9"/>
  <c r="L257" i="11"/>
  <c r="L42" i="11"/>
  <c r="Q19" i="13"/>
  <c r="I43" i="12"/>
  <c r="N14" i="14"/>
  <c r="N15" i="14"/>
  <c r="R19" i="13"/>
  <c r="I258" i="12"/>
  <c r="O142" i="7" l="1"/>
  <c r="O141" i="7"/>
  <c r="O140" i="7"/>
  <c r="O139" i="7"/>
  <c r="O138" i="7"/>
  <c r="O137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6" i="7"/>
  <c r="O95" i="7"/>
  <c r="O94" i="7"/>
  <c r="O93" i="7"/>
  <c r="O92" i="7"/>
  <c r="O91" i="7"/>
  <c r="O90" i="7"/>
  <c r="O89" i="7"/>
  <c r="O88" i="7"/>
  <c r="O87" i="7"/>
  <c r="O86" i="7"/>
  <c r="O85" i="7"/>
  <c r="O83" i="7"/>
  <c r="O82" i="7"/>
  <c r="O81" i="7"/>
  <c r="O80" i="7"/>
  <c r="O79" i="7"/>
  <c r="O78" i="7"/>
  <c r="O77" i="7"/>
  <c r="O76" i="7"/>
  <c r="O75" i="7"/>
  <c r="O74" i="7"/>
  <c r="O73" i="7"/>
  <c r="O72" i="7"/>
  <c r="O70" i="7"/>
  <c r="O69" i="7"/>
  <c r="O68" i="7"/>
  <c r="O67" i="7"/>
  <c r="O66" i="7"/>
  <c r="O65" i="7"/>
  <c r="O64" i="7"/>
  <c r="O63" i="7"/>
  <c r="O62" i="7"/>
  <c r="O61" i="7"/>
  <c r="O60" i="7"/>
  <c r="O59" i="7"/>
  <c r="O57" i="7"/>
  <c r="O56" i="7"/>
  <c r="O55" i="7"/>
  <c r="O54" i="7"/>
  <c r="O53" i="7"/>
  <c r="O52" i="7"/>
  <c r="O51" i="7"/>
  <c r="O50" i="7"/>
  <c r="O49" i="7"/>
  <c r="O48" i="7"/>
  <c r="O47" i="7"/>
  <c r="O46" i="7"/>
  <c r="O44" i="7"/>
  <c r="R185" i="5" l="1"/>
  <c r="Q185" i="5"/>
  <c r="M185" i="5"/>
  <c r="K185" i="5"/>
  <c r="E185" i="5"/>
  <c r="D185" i="5"/>
  <c r="B185" i="5"/>
  <c r="R184" i="5"/>
  <c r="Q184" i="5"/>
  <c r="M184" i="5"/>
  <c r="K184" i="5"/>
  <c r="E184" i="5"/>
  <c r="D184" i="5"/>
  <c r="B184" i="5"/>
  <c r="R183" i="5"/>
  <c r="Q183" i="5"/>
  <c r="M183" i="5"/>
  <c r="K183" i="5"/>
  <c r="E183" i="5"/>
  <c r="D183" i="5"/>
  <c r="B183" i="5"/>
  <c r="R182" i="5"/>
  <c r="Q182" i="5"/>
  <c r="M182" i="5"/>
  <c r="K182" i="5"/>
  <c r="E182" i="5"/>
  <c r="D182" i="5"/>
  <c r="B182" i="5"/>
  <c r="R181" i="5"/>
  <c r="Q181" i="5"/>
  <c r="M181" i="5"/>
  <c r="K181" i="5"/>
  <c r="E181" i="5"/>
  <c r="D181" i="5"/>
  <c r="B181" i="5"/>
  <c r="R180" i="5"/>
  <c r="Q180" i="5"/>
  <c r="M180" i="5"/>
  <c r="K180" i="5"/>
  <c r="E180" i="5"/>
  <c r="D180" i="5"/>
  <c r="B180" i="5"/>
  <c r="R48" i="5"/>
  <c r="Q48" i="5"/>
  <c r="M48" i="5"/>
  <c r="K48" i="5"/>
  <c r="E48" i="5"/>
  <c r="D48" i="5"/>
  <c r="B48" i="5"/>
  <c r="R47" i="5"/>
  <c r="Q47" i="5"/>
  <c r="M47" i="5"/>
  <c r="K47" i="5"/>
  <c r="E47" i="5"/>
  <c r="D47" i="5"/>
  <c r="B47" i="5"/>
  <c r="S48" i="5" l="1"/>
  <c r="S47" i="5"/>
  <c r="S180" i="5"/>
  <c r="S182" i="5"/>
  <c r="S184" i="5"/>
  <c r="S181" i="5"/>
  <c r="S183" i="5"/>
  <c r="S185" i="5"/>
  <c r="R24" i="3"/>
  <c r="L24" i="3"/>
  <c r="I24" i="3"/>
  <c r="R23" i="3"/>
  <c r="L23" i="3"/>
  <c r="S23" i="3" s="1"/>
  <c r="I23" i="3"/>
  <c r="R22" i="3"/>
  <c r="L22" i="3"/>
  <c r="I22" i="3"/>
  <c r="S22" i="3" s="1"/>
  <c r="L21" i="3"/>
  <c r="I21" i="3"/>
  <c r="S21" i="3" s="1"/>
  <c r="L20" i="3"/>
  <c r="I20" i="3"/>
  <c r="L19" i="3"/>
  <c r="I19" i="3"/>
  <c r="L18" i="3"/>
  <c r="I18" i="3"/>
  <c r="S18" i="3" s="1"/>
  <c r="L17" i="3"/>
  <c r="I17" i="3"/>
  <c r="L16" i="3"/>
  <c r="I16" i="3"/>
  <c r="R23" i="2"/>
  <c r="Q23" i="2"/>
  <c r="L23" i="2"/>
  <c r="B23" i="2"/>
  <c r="R22" i="2"/>
  <c r="Q22" i="2"/>
  <c r="L22" i="2"/>
  <c r="B22" i="2"/>
  <c r="R21" i="2"/>
  <c r="Q21" i="2"/>
  <c r="M21" i="2"/>
  <c r="L21" i="2"/>
  <c r="B21" i="2"/>
  <c r="L20" i="2"/>
  <c r="S20" i="2" s="1"/>
  <c r="Q19" i="2"/>
  <c r="K19" i="2"/>
  <c r="L19" i="2" s="1"/>
  <c r="Q18" i="2"/>
  <c r="L18" i="2"/>
  <c r="Q17" i="2"/>
  <c r="L17" i="2"/>
  <c r="Q16" i="2"/>
  <c r="H16" i="2"/>
  <c r="L16" i="2" s="1"/>
  <c r="S16" i="2" s="1"/>
  <c r="Q15" i="2"/>
  <c r="L15" i="2"/>
  <c r="S15" i="2" s="1"/>
  <c r="S23" i="2" l="1"/>
  <c r="S21" i="2"/>
  <c r="S17" i="2"/>
  <c r="S18" i="2"/>
  <c r="S19" i="2"/>
  <c r="S22" i="2"/>
  <c r="S20" i="3"/>
  <c r="S24" i="3"/>
  <c r="S16" i="3"/>
  <c r="S17" i="3"/>
  <c r="S19" i="3"/>
  <c r="M26" i="1" l="1"/>
  <c r="Q26" i="1" s="1"/>
  <c r="P25" i="1"/>
  <c r="G25" i="1"/>
  <c r="E25" i="1"/>
  <c r="F25" i="1" s="1"/>
  <c r="P24" i="1"/>
  <c r="M24" i="1"/>
  <c r="F24" i="1"/>
  <c r="H24" i="1" s="1"/>
  <c r="J24" i="1" s="1"/>
  <c r="P23" i="1"/>
  <c r="M23" i="1"/>
  <c r="F23" i="1"/>
  <c r="H23" i="1" s="1"/>
  <c r="J23" i="1" s="1"/>
  <c r="Q24" i="1" l="1"/>
  <c r="H25" i="1"/>
  <c r="J25" i="1" s="1"/>
  <c r="Q25" i="1" s="1"/>
  <c r="Q23" i="1"/>
  <c r="H257" i="12" l="1"/>
  <c r="G257" i="12"/>
  <c r="F257" i="12"/>
  <c r="E257" i="12"/>
  <c r="D257" i="12"/>
  <c r="B257" i="12"/>
  <c r="I257" i="12" l="1"/>
  <c r="K256" i="11"/>
  <c r="J256" i="11"/>
  <c r="C256" i="11"/>
  <c r="L256" i="11" l="1"/>
  <c r="C53" i="24"/>
  <c r="B53" i="24"/>
  <c r="H42" i="12" l="1"/>
  <c r="G42" i="12"/>
  <c r="F42" i="12"/>
  <c r="E42" i="12"/>
  <c r="D42" i="12"/>
  <c r="B42" i="12"/>
  <c r="I42" i="12" s="1"/>
  <c r="H255" i="12"/>
  <c r="G255" i="12"/>
  <c r="F255" i="12"/>
  <c r="E255" i="12"/>
  <c r="D255" i="12"/>
  <c r="B255" i="12"/>
  <c r="I255" i="12" l="1"/>
  <c r="K254" i="11"/>
  <c r="J254" i="11"/>
  <c r="E254" i="11"/>
  <c r="C254" i="11"/>
  <c r="L254" i="11" s="1"/>
  <c r="K41" i="11"/>
  <c r="J41" i="11"/>
  <c r="E41" i="11"/>
  <c r="C41" i="11"/>
  <c r="L41" i="11" l="1"/>
  <c r="R25" i="5" l="1"/>
  <c r="Q25" i="5"/>
  <c r="M25" i="5"/>
  <c r="K25" i="5"/>
  <c r="E25" i="5"/>
  <c r="D25" i="5"/>
  <c r="B25" i="5"/>
  <c r="H254" i="12"/>
  <c r="G254" i="12"/>
  <c r="F254" i="12"/>
  <c r="E254" i="12"/>
  <c r="D254" i="12"/>
  <c r="B254" i="12"/>
  <c r="K253" i="11"/>
  <c r="J253" i="11"/>
  <c r="E253" i="11"/>
  <c r="C253" i="11"/>
  <c r="L253" i="11" l="1"/>
  <c r="I254" i="12"/>
  <c r="S25" i="5"/>
  <c r="R178" i="5" l="1"/>
  <c r="Q178" i="5"/>
  <c r="M178" i="5"/>
  <c r="K178" i="5"/>
  <c r="E178" i="5"/>
  <c r="D178" i="5"/>
  <c r="B178" i="5"/>
  <c r="R177" i="5"/>
  <c r="Q177" i="5"/>
  <c r="M177" i="5"/>
  <c r="K177" i="5"/>
  <c r="E177" i="5"/>
  <c r="D177" i="5"/>
  <c r="B177" i="5"/>
  <c r="R176" i="5"/>
  <c r="Q176" i="5"/>
  <c r="M176" i="5"/>
  <c r="K176" i="5"/>
  <c r="E176" i="5"/>
  <c r="D176" i="5"/>
  <c r="C176" i="5"/>
  <c r="B176" i="5"/>
  <c r="R175" i="5"/>
  <c r="Q175" i="5"/>
  <c r="M175" i="5"/>
  <c r="K175" i="5"/>
  <c r="E175" i="5"/>
  <c r="D175" i="5"/>
  <c r="B175" i="5"/>
  <c r="R174" i="5"/>
  <c r="Q174" i="5"/>
  <c r="M174" i="5"/>
  <c r="K174" i="5"/>
  <c r="E174" i="5"/>
  <c r="D174" i="5"/>
  <c r="B174" i="5"/>
  <c r="R173" i="5"/>
  <c r="Q173" i="5"/>
  <c r="M173" i="5"/>
  <c r="K173" i="5"/>
  <c r="E173" i="5"/>
  <c r="D173" i="5"/>
  <c r="B173" i="5"/>
  <c r="R172" i="5"/>
  <c r="Q172" i="5"/>
  <c r="K172" i="5"/>
  <c r="E172" i="5"/>
  <c r="D172" i="5"/>
  <c r="B172" i="5"/>
  <c r="R171" i="5"/>
  <c r="Q171" i="5"/>
  <c r="K171" i="5"/>
  <c r="E171" i="5"/>
  <c r="D171" i="5"/>
  <c r="B171" i="5"/>
  <c r="R170" i="5"/>
  <c r="Q170" i="5"/>
  <c r="K170" i="5"/>
  <c r="E170" i="5"/>
  <c r="D170" i="5"/>
  <c r="B170" i="5"/>
  <c r="S169" i="5"/>
  <c r="S168" i="5"/>
  <c r="S167" i="5"/>
  <c r="S178" i="5" l="1"/>
  <c r="S171" i="5"/>
  <c r="S170" i="5"/>
  <c r="S172" i="5"/>
  <c r="S174" i="5"/>
  <c r="S173" i="5"/>
  <c r="S175" i="5"/>
  <c r="S176" i="5"/>
  <c r="S177" i="5"/>
  <c r="H253" i="12" l="1"/>
  <c r="G253" i="12"/>
  <c r="F253" i="12"/>
  <c r="E253" i="12"/>
  <c r="D253" i="12"/>
  <c r="B253" i="12"/>
  <c r="I253" i="12" l="1"/>
  <c r="K20" i="11" l="1"/>
  <c r="J20" i="11"/>
  <c r="E20" i="11"/>
  <c r="C20" i="11"/>
  <c r="K252" i="11"/>
  <c r="J252" i="11"/>
  <c r="E252" i="11"/>
  <c r="C252" i="11"/>
  <c r="L252" i="11" l="1"/>
  <c r="L20" i="11"/>
  <c r="H251" i="12" l="1"/>
  <c r="G251" i="12"/>
  <c r="F251" i="12"/>
  <c r="E251" i="12"/>
  <c r="D251" i="12"/>
  <c r="B251" i="12"/>
  <c r="H250" i="12"/>
  <c r="G250" i="12"/>
  <c r="F250" i="12"/>
  <c r="E250" i="12"/>
  <c r="D250" i="12"/>
  <c r="B250" i="12"/>
  <c r="H249" i="12"/>
  <c r="G249" i="12"/>
  <c r="F249" i="12"/>
  <c r="E249" i="12"/>
  <c r="D249" i="12"/>
  <c r="B249" i="12"/>
  <c r="H248" i="12"/>
  <c r="G248" i="12"/>
  <c r="F248" i="12"/>
  <c r="E248" i="12"/>
  <c r="D248" i="12"/>
  <c r="B248" i="12"/>
  <c r="K250" i="11"/>
  <c r="J250" i="11"/>
  <c r="E250" i="11"/>
  <c r="C250" i="11"/>
  <c r="K249" i="11"/>
  <c r="J249" i="11"/>
  <c r="E249" i="11"/>
  <c r="C249" i="11"/>
  <c r="K248" i="11"/>
  <c r="J248" i="11"/>
  <c r="E248" i="11"/>
  <c r="C248" i="11"/>
  <c r="K247" i="11"/>
  <c r="J247" i="11"/>
  <c r="E247" i="11"/>
  <c r="C247" i="11"/>
  <c r="I250" i="12" l="1"/>
  <c r="I249" i="12"/>
  <c r="L250" i="11"/>
  <c r="I251" i="12"/>
  <c r="L249" i="11"/>
  <c r="L247" i="11"/>
  <c r="I248" i="12"/>
  <c r="L248" i="11"/>
  <c r="F121" i="12" l="1"/>
  <c r="E121" i="12"/>
  <c r="D121" i="12"/>
  <c r="H120" i="12"/>
  <c r="G120" i="12"/>
  <c r="F120" i="12"/>
  <c r="E120" i="12"/>
  <c r="D120" i="12"/>
  <c r="H119" i="12"/>
  <c r="G119" i="12"/>
  <c r="F119" i="12"/>
  <c r="E119" i="12"/>
  <c r="D119" i="12"/>
  <c r="H118" i="12"/>
  <c r="G118" i="12"/>
  <c r="F118" i="12"/>
  <c r="E118" i="12"/>
  <c r="D118" i="12"/>
  <c r="H117" i="12"/>
  <c r="G117" i="12"/>
  <c r="F117" i="12"/>
  <c r="E117" i="12"/>
  <c r="D117" i="12"/>
  <c r="H116" i="12"/>
  <c r="G116" i="12"/>
  <c r="F116" i="12"/>
  <c r="E116" i="12"/>
  <c r="D116" i="12"/>
  <c r="H115" i="12"/>
  <c r="G115" i="12"/>
  <c r="F115" i="12"/>
  <c r="E115" i="12"/>
  <c r="D115" i="12"/>
  <c r="F114" i="12"/>
  <c r="I114" i="12" s="1"/>
  <c r="H113" i="12"/>
  <c r="G113" i="12"/>
  <c r="F113" i="12"/>
  <c r="E113" i="12"/>
  <c r="D113" i="12"/>
  <c r="H112" i="12"/>
  <c r="G112" i="12"/>
  <c r="F112" i="12"/>
  <c r="E112" i="12"/>
  <c r="D112" i="12"/>
  <c r="H111" i="12"/>
  <c r="G111" i="12"/>
  <c r="F111" i="12"/>
  <c r="E111" i="12"/>
  <c r="D111" i="12"/>
  <c r="F110" i="12"/>
  <c r="I110" i="12" s="1"/>
  <c r="I113" i="12" l="1"/>
  <c r="I121" i="12"/>
  <c r="I118" i="12"/>
  <c r="I112" i="12"/>
  <c r="I111" i="12"/>
  <c r="I115" i="12"/>
  <c r="I116" i="12"/>
  <c r="I117" i="12"/>
  <c r="I119" i="12"/>
  <c r="I120" i="12"/>
  <c r="H247" i="12" l="1"/>
  <c r="G247" i="12"/>
  <c r="F247" i="12"/>
  <c r="E247" i="12"/>
  <c r="D247" i="12"/>
  <c r="B247" i="12"/>
  <c r="K246" i="11"/>
  <c r="J246" i="11"/>
  <c r="E246" i="11"/>
  <c r="C246" i="11"/>
  <c r="L246" i="11" l="1"/>
  <c r="I247" i="12"/>
  <c r="H246" i="12" l="1"/>
  <c r="G246" i="12"/>
  <c r="F246" i="12"/>
  <c r="E246" i="12"/>
  <c r="D246" i="12"/>
  <c r="B246" i="12"/>
  <c r="I246" i="12" l="1"/>
  <c r="K245" i="11" l="1"/>
  <c r="J245" i="11"/>
  <c r="E245" i="11"/>
  <c r="C245" i="11"/>
  <c r="L245" i="11" l="1"/>
  <c r="S21" i="5"/>
  <c r="S20" i="5"/>
  <c r="S23" i="5"/>
  <c r="S27" i="5"/>
  <c r="S24" i="5"/>
  <c r="F196" i="26"/>
  <c r="C34" i="24"/>
  <c r="B34" i="24"/>
  <c r="L31" i="19"/>
  <c r="I31" i="19"/>
  <c r="F31" i="19"/>
  <c r="L28" i="19"/>
  <c r="I28" i="19"/>
  <c r="F28" i="19"/>
  <c r="L27" i="19"/>
  <c r="I27" i="19"/>
  <c r="F27" i="19"/>
  <c r="L26" i="19"/>
  <c r="I26" i="19"/>
  <c r="F26" i="19"/>
  <c r="L25" i="19"/>
  <c r="I25" i="19"/>
  <c r="F25" i="19"/>
  <c r="L24" i="19"/>
  <c r="I24" i="19"/>
  <c r="F24" i="19"/>
  <c r="L23" i="19"/>
  <c r="I23" i="19"/>
  <c r="F23" i="19"/>
  <c r="L22" i="19"/>
  <c r="I22" i="19"/>
  <c r="F22" i="19"/>
  <c r="L21" i="19"/>
  <c r="I21" i="19"/>
  <c r="F21" i="19"/>
  <c r="L20" i="19"/>
  <c r="I20" i="19"/>
  <c r="F20" i="19"/>
  <c r="K19" i="19"/>
  <c r="J19" i="19"/>
  <c r="H19" i="19"/>
  <c r="G19" i="19"/>
  <c r="E19" i="19"/>
  <c r="C19" i="19"/>
  <c r="L18" i="19"/>
  <c r="I18" i="19"/>
  <c r="F18" i="19"/>
  <c r="L17" i="19"/>
  <c r="I17" i="19"/>
  <c r="F17" i="19"/>
  <c r="L16" i="19"/>
  <c r="I16" i="19"/>
  <c r="F16" i="19"/>
  <c r="U19" i="10"/>
  <c r="I20" i="10"/>
  <c r="U20" i="10" s="1"/>
  <c r="I21" i="10"/>
  <c r="U21" i="10" s="1"/>
  <c r="I18" i="10"/>
  <c r="U18" i="10" s="1"/>
  <c r="S18" i="10"/>
  <c r="I242" i="12"/>
  <c r="I241" i="12"/>
  <c r="I240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0" i="12"/>
  <c r="H159" i="12"/>
  <c r="G159" i="12"/>
  <c r="F159" i="12"/>
  <c r="E159" i="12"/>
  <c r="D159" i="12"/>
  <c r="H158" i="12"/>
  <c r="G158" i="12"/>
  <c r="F158" i="12"/>
  <c r="E158" i="12"/>
  <c r="D158" i="12"/>
  <c r="H157" i="12"/>
  <c r="G157" i="12"/>
  <c r="F157" i="12"/>
  <c r="E157" i="12"/>
  <c r="D157" i="12"/>
  <c r="B157" i="12"/>
  <c r="H156" i="12"/>
  <c r="G156" i="12"/>
  <c r="F156" i="12"/>
  <c r="E156" i="12"/>
  <c r="D156" i="12"/>
  <c r="B156" i="12"/>
  <c r="H155" i="12"/>
  <c r="G155" i="12"/>
  <c r="F155" i="12"/>
  <c r="E155" i="12"/>
  <c r="D155" i="12"/>
  <c r="H154" i="12"/>
  <c r="G154" i="12"/>
  <c r="F154" i="12"/>
  <c r="E154" i="12"/>
  <c r="D154" i="12"/>
  <c r="H153" i="12"/>
  <c r="G153" i="12"/>
  <c r="F153" i="12"/>
  <c r="E153" i="12"/>
  <c r="D153" i="12"/>
  <c r="H152" i="12"/>
  <c r="G152" i="12"/>
  <c r="F152" i="12"/>
  <c r="E152" i="12"/>
  <c r="D152" i="12"/>
  <c r="H151" i="12"/>
  <c r="G151" i="12"/>
  <c r="F151" i="12"/>
  <c r="E151" i="12"/>
  <c r="D151" i="12"/>
  <c r="H150" i="12"/>
  <c r="G150" i="12"/>
  <c r="F150" i="12"/>
  <c r="E150" i="12"/>
  <c r="D150" i="12"/>
  <c r="H149" i="12"/>
  <c r="G149" i="12"/>
  <c r="F149" i="12"/>
  <c r="E149" i="12"/>
  <c r="D149" i="12"/>
  <c r="H147" i="12"/>
  <c r="G147" i="12"/>
  <c r="F147" i="12"/>
  <c r="E147" i="12"/>
  <c r="D147" i="12"/>
  <c r="H146" i="12"/>
  <c r="G146" i="12"/>
  <c r="F146" i="12"/>
  <c r="E146" i="12"/>
  <c r="D146" i="12"/>
  <c r="H145" i="12"/>
  <c r="G145" i="12"/>
  <c r="F145" i="12"/>
  <c r="E145" i="12"/>
  <c r="D145" i="12"/>
  <c r="H144" i="12"/>
  <c r="G144" i="12"/>
  <c r="F144" i="12"/>
  <c r="E144" i="12"/>
  <c r="D144" i="12"/>
  <c r="H143" i="12"/>
  <c r="G143" i="12"/>
  <c r="F143" i="12"/>
  <c r="E143" i="12"/>
  <c r="D143" i="12"/>
  <c r="H142" i="12"/>
  <c r="G142" i="12"/>
  <c r="F142" i="12"/>
  <c r="E142" i="12"/>
  <c r="D142" i="12"/>
  <c r="H141" i="12"/>
  <c r="G141" i="12"/>
  <c r="F141" i="12"/>
  <c r="E141" i="12"/>
  <c r="D141" i="12"/>
  <c r="H140" i="12"/>
  <c r="G140" i="12"/>
  <c r="F140" i="12"/>
  <c r="E140" i="12"/>
  <c r="D140" i="12"/>
  <c r="H139" i="12"/>
  <c r="G139" i="12"/>
  <c r="F139" i="12"/>
  <c r="E139" i="12"/>
  <c r="D139" i="12"/>
  <c r="H138" i="12"/>
  <c r="G138" i="12"/>
  <c r="F138" i="12"/>
  <c r="E138" i="12"/>
  <c r="D138" i="12"/>
  <c r="H137" i="12"/>
  <c r="G137" i="12"/>
  <c r="F137" i="12"/>
  <c r="E137" i="12"/>
  <c r="D137" i="12"/>
  <c r="H136" i="12"/>
  <c r="G136" i="12"/>
  <c r="F136" i="12"/>
  <c r="E136" i="12"/>
  <c r="D136" i="12"/>
  <c r="H134" i="12"/>
  <c r="G134" i="12"/>
  <c r="F134" i="12"/>
  <c r="E134" i="12"/>
  <c r="D134" i="12"/>
  <c r="H133" i="12"/>
  <c r="G133" i="12"/>
  <c r="F133" i="12"/>
  <c r="E133" i="12"/>
  <c r="D133" i="12"/>
  <c r="H132" i="12"/>
  <c r="G132" i="12"/>
  <c r="F132" i="12"/>
  <c r="E132" i="12"/>
  <c r="D132" i="12"/>
  <c r="H131" i="12"/>
  <c r="G131" i="12"/>
  <c r="F131" i="12"/>
  <c r="E131" i="12"/>
  <c r="D131" i="12"/>
  <c r="H130" i="12"/>
  <c r="G130" i="12"/>
  <c r="F130" i="12"/>
  <c r="E130" i="12"/>
  <c r="D130" i="12"/>
  <c r="H129" i="12"/>
  <c r="G129" i="12"/>
  <c r="F129" i="12"/>
  <c r="E129" i="12"/>
  <c r="D129" i="12"/>
  <c r="I128" i="12"/>
  <c r="H127" i="12"/>
  <c r="G127" i="12"/>
  <c r="F127" i="12"/>
  <c r="E127" i="12"/>
  <c r="D127" i="12"/>
  <c r="H126" i="12"/>
  <c r="G126" i="12"/>
  <c r="F126" i="12"/>
  <c r="E126" i="12"/>
  <c r="D126" i="12"/>
  <c r="H125" i="12"/>
  <c r="G125" i="12"/>
  <c r="F125" i="12"/>
  <c r="E125" i="12"/>
  <c r="D125" i="12"/>
  <c r="H124" i="12"/>
  <c r="G124" i="12"/>
  <c r="F124" i="12"/>
  <c r="E124" i="12"/>
  <c r="D124" i="12"/>
  <c r="H123" i="12"/>
  <c r="G123" i="12"/>
  <c r="F123" i="12"/>
  <c r="E123" i="12"/>
  <c r="D123" i="12"/>
  <c r="H108" i="12"/>
  <c r="G108" i="12"/>
  <c r="F108" i="12"/>
  <c r="E108" i="12"/>
  <c r="D108" i="12"/>
  <c r="H107" i="12"/>
  <c r="G107" i="12"/>
  <c r="F107" i="12"/>
  <c r="E107" i="12"/>
  <c r="D107" i="12"/>
  <c r="H106" i="12"/>
  <c r="G106" i="12"/>
  <c r="F106" i="12"/>
  <c r="E106" i="12"/>
  <c r="D106" i="12"/>
  <c r="H105" i="12"/>
  <c r="G105" i="12"/>
  <c r="F105" i="12"/>
  <c r="E105" i="12"/>
  <c r="D105" i="12"/>
  <c r="H104" i="12"/>
  <c r="G104" i="12"/>
  <c r="F104" i="12"/>
  <c r="E104" i="12"/>
  <c r="D104" i="12"/>
  <c r="H103" i="12"/>
  <c r="G103" i="12"/>
  <c r="F103" i="12"/>
  <c r="E103" i="12"/>
  <c r="D103" i="12"/>
  <c r="H102" i="12"/>
  <c r="G102" i="12"/>
  <c r="F102" i="12"/>
  <c r="E102" i="12"/>
  <c r="D102" i="12"/>
  <c r="H101" i="12"/>
  <c r="G101" i="12"/>
  <c r="F101" i="12"/>
  <c r="E101" i="12"/>
  <c r="D101" i="12"/>
  <c r="H100" i="12"/>
  <c r="G100" i="12"/>
  <c r="F100" i="12"/>
  <c r="E100" i="12"/>
  <c r="D100" i="12"/>
  <c r="H99" i="12"/>
  <c r="G99" i="12"/>
  <c r="F99" i="12"/>
  <c r="E99" i="12"/>
  <c r="D99" i="12"/>
  <c r="H98" i="12"/>
  <c r="G98" i="12"/>
  <c r="F98" i="12"/>
  <c r="E98" i="12"/>
  <c r="D98" i="12"/>
  <c r="H97" i="12"/>
  <c r="G97" i="12"/>
  <c r="F97" i="12"/>
  <c r="E97" i="12"/>
  <c r="D97" i="12"/>
  <c r="H95" i="12"/>
  <c r="G95" i="12"/>
  <c r="F95" i="12"/>
  <c r="E95" i="12"/>
  <c r="D95" i="12"/>
  <c r="H94" i="12"/>
  <c r="G94" i="12"/>
  <c r="F94" i="12"/>
  <c r="E94" i="12"/>
  <c r="D94" i="12"/>
  <c r="H93" i="12"/>
  <c r="G93" i="12"/>
  <c r="F93" i="12"/>
  <c r="E93" i="12"/>
  <c r="D93" i="12"/>
  <c r="H92" i="12"/>
  <c r="G92" i="12"/>
  <c r="F92" i="12"/>
  <c r="E92" i="12"/>
  <c r="D92" i="12"/>
  <c r="H91" i="12"/>
  <c r="G91" i="12"/>
  <c r="F91" i="12"/>
  <c r="E91" i="12"/>
  <c r="D91" i="12"/>
  <c r="H90" i="12"/>
  <c r="G90" i="12"/>
  <c r="F90" i="12"/>
  <c r="E90" i="12"/>
  <c r="D90" i="12"/>
  <c r="H89" i="12"/>
  <c r="G89" i="12"/>
  <c r="F89" i="12"/>
  <c r="E89" i="12"/>
  <c r="D89" i="12"/>
  <c r="H88" i="12"/>
  <c r="G88" i="12"/>
  <c r="F88" i="12"/>
  <c r="E88" i="12"/>
  <c r="D88" i="12"/>
  <c r="B88" i="12"/>
  <c r="H87" i="12"/>
  <c r="G87" i="12"/>
  <c r="F87" i="12"/>
  <c r="E87" i="12"/>
  <c r="D87" i="12"/>
  <c r="H86" i="12"/>
  <c r="G86" i="12"/>
  <c r="F86" i="12"/>
  <c r="E86" i="12"/>
  <c r="D86" i="12"/>
  <c r="B86" i="12"/>
  <c r="H85" i="12"/>
  <c r="G85" i="12"/>
  <c r="F85" i="12"/>
  <c r="E85" i="12"/>
  <c r="D85" i="12"/>
  <c r="B85" i="12"/>
  <c r="H84" i="12"/>
  <c r="G84" i="12"/>
  <c r="F84" i="12"/>
  <c r="E84" i="12"/>
  <c r="D84" i="12"/>
  <c r="B84" i="12"/>
  <c r="H82" i="12"/>
  <c r="G82" i="12"/>
  <c r="F82" i="12"/>
  <c r="E82" i="12"/>
  <c r="D82" i="12"/>
  <c r="B82" i="12"/>
  <c r="H81" i="12"/>
  <c r="G81" i="12"/>
  <c r="F81" i="12"/>
  <c r="E81" i="12"/>
  <c r="D81" i="12"/>
  <c r="B81" i="12"/>
  <c r="H80" i="12"/>
  <c r="G80" i="12"/>
  <c r="F80" i="12"/>
  <c r="E80" i="12"/>
  <c r="D80" i="12"/>
  <c r="B80" i="12"/>
  <c r="H79" i="12"/>
  <c r="G79" i="12"/>
  <c r="F79" i="12"/>
  <c r="E79" i="12"/>
  <c r="D79" i="12"/>
  <c r="B79" i="12"/>
  <c r="H78" i="12"/>
  <c r="G78" i="12"/>
  <c r="F78" i="12"/>
  <c r="E78" i="12"/>
  <c r="D78" i="12"/>
  <c r="B78" i="12"/>
  <c r="H77" i="12"/>
  <c r="G77" i="12"/>
  <c r="F77" i="12"/>
  <c r="E77" i="12"/>
  <c r="D77" i="12"/>
  <c r="B77" i="12"/>
  <c r="H76" i="12"/>
  <c r="G76" i="12"/>
  <c r="F76" i="12"/>
  <c r="E76" i="12"/>
  <c r="D76" i="12"/>
  <c r="B76" i="12"/>
  <c r="H75" i="12"/>
  <c r="G75" i="12"/>
  <c r="F75" i="12"/>
  <c r="E75" i="12"/>
  <c r="D75" i="12"/>
  <c r="B75" i="12"/>
  <c r="H74" i="12"/>
  <c r="G74" i="12"/>
  <c r="F74" i="12"/>
  <c r="E74" i="12"/>
  <c r="D74" i="12"/>
  <c r="B74" i="12"/>
  <c r="H73" i="12"/>
  <c r="G73" i="12"/>
  <c r="F73" i="12"/>
  <c r="E73" i="12"/>
  <c r="D73" i="12"/>
  <c r="B73" i="12"/>
  <c r="H72" i="12"/>
  <c r="G72" i="12"/>
  <c r="F72" i="12"/>
  <c r="E72" i="12"/>
  <c r="D72" i="12"/>
  <c r="B72" i="12"/>
  <c r="H71" i="12"/>
  <c r="G71" i="12"/>
  <c r="F71" i="12"/>
  <c r="E71" i="12"/>
  <c r="D71" i="12"/>
  <c r="B71" i="12"/>
  <c r="H69" i="12"/>
  <c r="G69" i="12"/>
  <c r="F69" i="12"/>
  <c r="E69" i="12"/>
  <c r="D69" i="12"/>
  <c r="B69" i="12"/>
  <c r="H68" i="12"/>
  <c r="G68" i="12"/>
  <c r="F68" i="12"/>
  <c r="E68" i="12"/>
  <c r="D68" i="12"/>
  <c r="B68" i="12"/>
  <c r="H67" i="12"/>
  <c r="G67" i="12"/>
  <c r="F67" i="12"/>
  <c r="E67" i="12"/>
  <c r="D67" i="12"/>
  <c r="B67" i="12"/>
  <c r="H66" i="12"/>
  <c r="G66" i="12"/>
  <c r="F66" i="12"/>
  <c r="E66" i="12"/>
  <c r="D66" i="12"/>
  <c r="B66" i="12"/>
  <c r="I65" i="12"/>
  <c r="H64" i="12"/>
  <c r="G64" i="12"/>
  <c r="F64" i="12"/>
  <c r="E64" i="12"/>
  <c r="D64" i="12"/>
  <c r="B64" i="12"/>
  <c r="H63" i="12"/>
  <c r="G63" i="12"/>
  <c r="F63" i="12"/>
  <c r="E63" i="12"/>
  <c r="D63" i="12"/>
  <c r="B63" i="12"/>
  <c r="H62" i="12"/>
  <c r="G62" i="12"/>
  <c r="F62" i="12"/>
  <c r="E62" i="12"/>
  <c r="D62" i="12"/>
  <c r="B62" i="12"/>
  <c r="H61" i="12"/>
  <c r="G61" i="12"/>
  <c r="F61" i="12"/>
  <c r="E61" i="12"/>
  <c r="D61" i="12"/>
  <c r="B61" i="12"/>
  <c r="H60" i="12"/>
  <c r="G60" i="12"/>
  <c r="F60" i="12"/>
  <c r="E60" i="12"/>
  <c r="D60" i="12"/>
  <c r="B60" i="12"/>
  <c r="H59" i="12"/>
  <c r="G59" i="12"/>
  <c r="F59" i="12"/>
  <c r="E59" i="12"/>
  <c r="D59" i="12"/>
  <c r="B59" i="12"/>
  <c r="H58" i="12"/>
  <c r="G58" i="12"/>
  <c r="F58" i="12"/>
  <c r="E58" i="12"/>
  <c r="D58" i="12"/>
  <c r="B58" i="12"/>
  <c r="H56" i="12"/>
  <c r="G56" i="12"/>
  <c r="F56" i="12"/>
  <c r="E56" i="12"/>
  <c r="D56" i="12"/>
  <c r="B56" i="12"/>
  <c r="H55" i="12"/>
  <c r="G55" i="12"/>
  <c r="F55" i="12"/>
  <c r="E55" i="12"/>
  <c r="D55" i="12"/>
  <c r="B55" i="12"/>
  <c r="H54" i="12"/>
  <c r="G54" i="12"/>
  <c r="F54" i="12"/>
  <c r="E54" i="12"/>
  <c r="D54" i="12"/>
  <c r="B54" i="12"/>
  <c r="H53" i="12"/>
  <c r="G53" i="12"/>
  <c r="F53" i="12"/>
  <c r="E53" i="12"/>
  <c r="D53" i="12"/>
  <c r="B53" i="12"/>
  <c r="H52" i="12"/>
  <c r="G52" i="12"/>
  <c r="F52" i="12"/>
  <c r="E52" i="12"/>
  <c r="D52" i="12"/>
  <c r="C52" i="12"/>
  <c r="B52" i="12"/>
  <c r="H51" i="12"/>
  <c r="G51" i="12"/>
  <c r="F51" i="12"/>
  <c r="E51" i="12"/>
  <c r="D51" i="12"/>
  <c r="C51" i="12"/>
  <c r="B51" i="12"/>
  <c r="H50" i="12"/>
  <c r="G50" i="12"/>
  <c r="F50" i="12"/>
  <c r="E50" i="12"/>
  <c r="D50" i="12"/>
  <c r="C50" i="12"/>
  <c r="B50" i="12"/>
  <c r="H49" i="12"/>
  <c r="G49" i="12"/>
  <c r="F49" i="12"/>
  <c r="E49" i="12"/>
  <c r="D49" i="12"/>
  <c r="C49" i="12"/>
  <c r="B49" i="12"/>
  <c r="H48" i="12"/>
  <c r="G48" i="12"/>
  <c r="F48" i="12"/>
  <c r="E48" i="12"/>
  <c r="D48" i="12"/>
  <c r="C48" i="12"/>
  <c r="B48" i="12"/>
  <c r="H47" i="12"/>
  <c r="G47" i="12"/>
  <c r="F47" i="12"/>
  <c r="E47" i="12"/>
  <c r="D47" i="12"/>
  <c r="C47" i="12"/>
  <c r="B47" i="12"/>
  <c r="H46" i="12"/>
  <c r="G46" i="12"/>
  <c r="F46" i="12"/>
  <c r="E46" i="12"/>
  <c r="D46" i="12"/>
  <c r="C46" i="12"/>
  <c r="B46" i="12"/>
  <c r="H45" i="12"/>
  <c r="G45" i="12"/>
  <c r="F45" i="12"/>
  <c r="E45" i="12"/>
  <c r="D45" i="12"/>
  <c r="C45" i="12"/>
  <c r="B45" i="12"/>
  <c r="I37" i="12"/>
  <c r="H12" i="12"/>
  <c r="G12" i="12"/>
  <c r="F12" i="12"/>
  <c r="E12" i="12"/>
  <c r="D12" i="12"/>
  <c r="L241" i="11"/>
  <c r="L240" i="11"/>
  <c r="L239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59" i="11"/>
  <c r="K158" i="11"/>
  <c r="J158" i="11"/>
  <c r="I158" i="11"/>
  <c r="F158" i="11"/>
  <c r="C158" i="11"/>
  <c r="K157" i="11"/>
  <c r="J157" i="11"/>
  <c r="I157" i="11"/>
  <c r="F157" i="11"/>
  <c r="E157" i="11"/>
  <c r="C157" i="11"/>
  <c r="K156" i="11"/>
  <c r="J156" i="11"/>
  <c r="I156" i="11"/>
  <c r="F156" i="11"/>
  <c r="E156" i="11"/>
  <c r="C156" i="11"/>
  <c r="K155" i="11"/>
  <c r="J155" i="11"/>
  <c r="I155" i="11"/>
  <c r="F155" i="11"/>
  <c r="E155" i="11"/>
  <c r="C155" i="11"/>
  <c r="K154" i="11"/>
  <c r="J154" i="11"/>
  <c r="I154" i="11"/>
  <c r="F154" i="11"/>
  <c r="E154" i="11"/>
  <c r="C154" i="11"/>
  <c r="K153" i="11"/>
  <c r="J153" i="11"/>
  <c r="I153" i="11"/>
  <c r="F153" i="11"/>
  <c r="E153" i="11"/>
  <c r="C153" i="11"/>
  <c r="K152" i="11"/>
  <c r="J152" i="11"/>
  <c r="I152" i="11"/>
  <c r="F152" i="11"/>
  <c r="E152" i="11"/>
  <c r="C152" i="11"/>
  <c r="K151" i="11"/>
  <c r="J151" i="11"/>
  <c r="I151" i="11"/>
  <c r="F151" i="11"/>
  <c r="E151" i="11"/>
  <c r="C151" i="11"/>
  <c r="K150" i="11"/>
  <c r="J150" i="11"/>
  <c r="I150" i="11"/>
  <c r="F150" i="11"/>
  <c r="E150" i="11"/>
  <c r="C150" i="11"/>
  <c r="K149" i="11"/>
  <c r="J149" i="11"/>
  <c r="I149" i="11"/>
  <c r="F149" i="11"/>
  <c r="E149" i="11"/>
  <c r="C149" i="11"/>
  <c r="K148" i="11"/>
  <c r="J148" i="11"/>
  <c r="I148" i="11"/>
  <c r="F148" i="11"/>
  <c r="E148" i="11"/>
  <c r="C148" i="11"/>
  <c r="K146" i="11"/>
  <c r="J146" i="11"/>
  <c r="I146" i="11"/>
  <c r="F146" i="11"/>
  <c r="E146" i="11"/>
  <c r="C146" i="11"/>
  <c r="K145" i="11"/>
  <c r="J145" i="11"/>
  <c r="I145" i="11"/>
  <c r="F145" i="11"/>
  <c r="E145" i="11"/>
  <c r="C145" i="11"/>
  <c r="K144" i="11"/>
  <c r="J144" i="11"/>
  <c r="I144" i="11"/>
  <c r="F144" i="11"/>
  <c r="E144" i="11"/>
  <c r="C144" i="11"/>
  <c r="K143" i="11"/>
  <c r="J143" i="11"/>
  <c r="I143" i="11"/>
  <c r="F143" i="11"/>
  <c r="E143" i="11"/>
  <c r="C143" i="11"/>
  <c r="K142" i="11"/>
  <c r="J142" i="11"/>
  <c r="I142" i="11"/>
  <c r="F142" i="11"/>
  <c r="E142" i="11"/>
  <c r="C142" i="11"/>
  <c r="K141" i="11"/>
  <c r="J141" i="11"/>
  <c r="I141" i="11"/>
  <c r="F141" i="11"/>
  <c r="E141" i="11"/>
  <c r="C141" i="11"/>
  <c r="K140" i="11"/>
  <c r="J140" i="11"/>
  <c r="I140" i="11"/>
  <c r="F140" i="11"/>
  <c r="E140" i="11"/>
  <c r="C140" i="11"/>
  <c r="K139" i="11"/>
  <c r="J139" i="11"/>
  <c r="I139" i="11"/>
  <c r="F139" i="11"/>
  <c r="E139" i="11"/>
  <c r="C139" i="11"/>
  <c r="K138" i="11"/>
  <c r="J138" i="11"/>
  <c r="I138" i="11"/>
  <c r="F138" i="11"/>
  <c r="E138" i="11"/>
  <c r="C138" i="11"/>
  <c r="K137" i="11"/>
  <c r="J137" i="11"/>
  <c r="I137" i="11"/>
  <c r="F137" i="11"/>
  <c r="E137" i="11"/>
  <c r="C137" i="11"/>
  <c r="K136" i="11"/>
  <c r="J136" i="11"/>
  <c r="I136" i="11"/>
  <c r="F136" i="11"/>
  <c r="E136" i="11"/>
  <c r="C136" i="11"/>
  <c r="K135" i="11"/>
  <c r="J135" i="11"/>
  <c r="I135" i="11"/>
  <c r="F135" i="11"/>
  <c r="E135" i="11"/>
  <c r="C135" i="11"/>
  <c r="K133" i="11"/>
  <c r="J133" i="11"/>
  <c r="I133" i="11"/>
  <c r="F133" i="11"/>
  <c r="E133" i="11"/>
  <c r="C133" i="11"/>
  <c r="K132" i="11"/>
  <c r="J132" i="11"/>
  <c r="I132" i="11"/>
  <c r="H132" i="11"/>
  <c r="F132" i="11"/>
  <c r="E132" i="11"/>
  <c r="D132" i="11"/>
  <c r="C132" i="11"/>
  <c r="K131" i="11"/>
  <c r="J131" i="11"/>
  <c r="I131" i="11"/>
  <c r="F131" i="11"/>
  <c r="D131" i="11"/>
  <c r="C131" i="11"/>
  <c r="K130" i="11"/>
  <c r="J130" i="11"/>
  <c r="I130" i="11"/>
  <c r="F130" i="11"/>
  <c r="D130" i="11"/>
  <c r="C130" i="11"/>
  <c r="K129" i="11"/>
  <c r="J129" i="11"/>
  <c r="I129" i="11"/>
  <c r="F129" i="11"/>
  <c r="D129" i="11"/>
  <c r="C129" i="11"/>
  <c r="K128" i="11"/>
  <c r="J128" i="11"/>
  <c r="I128" i="11"/>
  <c r="F128" i="11"/>
  <c r="D128" i="11"/>
  <c r="C128" i="11"/>
  <c r="F127" i="11"/>
  <c r="L127" i="11" s="1"/>
  <c r="K126" i="11"/>
  <c r="J126" i="11"/>
  <c r="I126" i="11"/>
  <c r="F126" i="11"/>
  <c r="D126" i="11"/>
  <c r="C126" i="11"/>
  <c r="K125" i="11"/>
  <c r="J125" i="11"/>
  <c r="I125" i="11"/>
  <c r="H125" i="11"/>
  <c r="F125" i="11"/>
  <c r="D125" i="11"/>
  <c r="C125" i="11"/>
  <c r="K124" i="11"/>
  <c r="J124" i="11"/>
  <c r="I124" i="11"/>
  <c r="H124" i="11"/>
  <c r="F124" i="11"/>
  <c r="D124" i="11"/>
  <c r="C124" i="11"/>
  <c r="K123" i="11"/>
  <c r="J123" i="11"/>
  <c r="I123" i="11"/>
  <c r="F123" i="11"/>
  <c r="D123" i="11"/>
  <c r="C123" i="11"/>
  <c r="K122" i="11"/>
  <c r="J122" i="11"/>
  <c r="I122" i="11"/>
  <c r="D122" i="11"/>
  <c r="C122" i="11"/>
  <c r="K120" i="11"/>
  <c r="J120" i="11"/>
  <c r="I120" i="11"/>
  <c r="H120" i="11"/>
  <c r="D120" i="11"/>
  <c r="C120" i="11"/>
  <c r="K119" i="11"/>
  <c r="J119" i="11"/>
  <c r="I119" i="11"/>
  <c r="H119" i="11"/>
  <c r="D119" i="11"/>
  <c r="C119" i="11"/>
  <c r="K118" i="11"/>
  <c r="J118" i="11"/>
  <c r="I118" i="11"/>
  <c r="H118" i="11"/>
  <c r="C118" i="11"/>
  <c r="K117" i="11"/>
  <c r="J117" i="11"/>
  <c r="I117" i="11"/>
  <c r="H117" i="11"/>
  <c r="C117" i="11"/>
  <c r="K116" i="11"/>
  <c r="J116" i="11"/>
  <c r="I116" i="11"/>
  <c r="H116" i="11"/>
  <c r="C116" i="11"/>
  <c r="K115" i="11"/>
  <c r="J115" i="11"/>
  <c r="I115" i="11"/>
  <c r="H115" i="11"/>
  <c r="C115" i="11"/>
  <c r="K114" i="11"/>
  <c r="J114" i="11"/>
  <c r="I114" i="11"/>
  <c r="H114" i="11"/>
  <c r="C114" i="11"/>
  <c r="K113" i="11"/>
  <c r="J113" i="11"/>
  <c r="I113" i="11"/>
  <c r="H113" i="11"/>
  <c r="C113" i="11"/>
  <c r="K112" i="11"/>
  <c r="J112" i="11"/>
  <c r="I112" i="11"/>
  <c r="C112" i="11"/>
  <c r="K111" i="11"/>
  <c r="J111" i="11"/>
  <c r="I111" i="11"/>
  <c r="H111" i="11"/>
  <c r="C111" i="11"/>
  <c r="K110" i="11"/>
  <c r="J110" i="11"/>
  <c r="I110" i="11"/>
  <c r="H110" i="11"/>
  <c r="C110" i="11"/>
  <c r="K109" i="11"/>
  <c r="J109" i="11"/>
  <c r="I109" i="11"/>
  <c r="H109" i="11"/>
  <c r="C109" i="11"/>
  <c r="K107" i="11"/>
  <c r="J107" i="11"/>
  <c r="I107" i="11"/>
  <c r="H107" i="11"/>
  <c r="C107" i="11"/>
  <c r="K106" i="11"/>
  <c r="J106" i="11"/>
  <c r="I106" i="11"/>
  <c r="H106" i="11"/>
  <c r="C106" i="11"/>
  <c r="K105" i="11"/>
  <c r="J105" i="11"/>
  <c r="I105" i="11"/>
  <c r="H105" i="11"/>
  <c r="C105" i="11"/>
  <c r="K104" i="11"/>
  <c r="J104" i="11"/>
  <c r="I104" i="11"/>
  <c r="H104" i="11"/>
  <c r="C104" i="11"/>
  <c r="K103" i="11"/>
  <c r="J103" i="11"/>
  <c r="I103" i="11"/>
  <c r="H103" i="11"/>
  <c r="C103" i="11"/>
  <c r="K102" i="11"/>
  <c r="J102" i="11"/>
  <c r="I102" i="11"/>
  <c r="H102" i="11"/>
  <c r="C102" i="11"/>
  <c r="K101" i="11"/>
  <c r="J101" i="11"/>
  <c r="I101" i="11"/>
  <c r="H101" i="11"/>
  <c r="D101" i="11"/>
  <c r="C101" i="11"/>
  <c r="K100" i="11"/>
  <c r="J100" i="11"/>
  <c r="I100" i="11"/>
  <c r="H100" i="11"/>
  <c r="D100" i="11"/>
  <c r="C100" i="11"/>
  <c r="K99" i="11"/>
  <c r="J99" i="11"/>
  <c r="I99" i="11"/>
  <c r="H99" i="11"/>
  <c r="D99" i="11"/>
  <c r="C99" i="11"/>
  <c r="K98" i="11"/>
  <c r="J98" i="11"/>
  <c r="I98" i="11"/>
  <c r="H98" i="11"/>
  <c r="D98" i="11"/>
  <c r="C98" i="11"/>
  <c r="K97" i="11"/>
  <c r="J97" i="11"/>
  <c r="I97" i="11"/>
  <c r="H97" i="11"/>
  <c r="D97" i="11"/>
  <c r="C97" i="11"/>
  <c r="K96" i="11"/>
  <c r="J96" i="11"/>
  <c r="I96" i="11"/>
  <c r="H96" i="11"/>
  <c r="D96" i="11"/>
  <c r="C96" i="11"/>
  <c r="K94" i="11"/>
  <c r="J94" i="11"/>
  <c r="I94" i="11"/>
  <c r="H94" i="11"/>
  <c r="F94" i="11"/>
  <c r="D94" i="11"/>
  <c r="C94" i="11"/>
  <c r="K93" i="11"/>
  <c r="J93" i="11"/>
  <c r="I93" i="11"/>
  <c r="H93" i="11"/>
  <c r="F93" i="11"/>
  <c r="D93" i="11"/>
  <c r="C93" i="11"/>
  <c r="K92" i="11"/>
  <c r="J92" i="11"/>
  <c r="I92" i="11"/>
  <c r="H92" i="11"/>
  <c r="F92" i="11"/>
  <c r="D92" i="11"/>
  <c r="C92" i="11"/>
  <c r="K91" i="11"/>
  <c r="J91" i="11"/>
  <c r="I91" i="11"/>
  <c r="H91" i="11"/>
  <c r="F91" i="11"/>
  <c r="C91" i="11"/>
  <c r="K90" i="11"/>
  <c r="J90" i="11"/>
  <c r="I90" i="11"/>
  <c r="H90" i="11"/>
  <c r="G90" i="11"/>
  <c r="F90" i="11"/>
  <c r="C90" i="11"/>
  <c r="K89" i="11"/>
  <c r="J89" i="11"/>
  <c r="I89" i="11"/>
  <c r="H89" i="11"/>
  <c r="G89" i="11"/>
  <c r="F89" i="11"/>
  <c r="C89" i="11"/>
  <c r="K88" i="11"/>
  <c r="J88" i="11"/>
  <c r="I88" i="11"/>
  <c r="H88" i="11"/>
  <c r="G88" i="11"/>
  <c r="F88" i="11"/>
  <c r="C88" i="11"/>
  <c r="K87" i="11"/>
  <c r="J87" i="11"/>
  <c r="I87" i="11"/>
  <c r="H87" i="11"/>
  <c r="G87" i="11"/>
  <c r="F87" i="11"/>
  <c r="C87" i="11"/>
  <c r="K86" i="11"/>
  <c r="J86" i="11"/>
  <c r="I86" i="11"/>
  <c r="H86" i="11"/>
  <c r="G86" i="11"/>
  <c r="F86" i="11"/>
  <c r="C86" i="11"/>
  <c r="K85" i="11"/>
  <c r="J85" i="11"/>
  <c r="I85" i="11"/>
  <c r="H85" i="11"/>
  <c r="G85" i="11"/>
  <c r="F85" i="11"/>
  <c r="C85" i="11"/>
  <c r="K84" i="11"/>
  <c r="J84" i="11"/>
  <c r="I84" i="11"/>
  <c r="H84" i="11"/>
  <c r="G84" i="11"/>
  <c r="F84" i="11"/>
  <c r="C84" i="11"/>
  <c r="K83" i="11"/>
  <c r="J83" i="11"/>
  <c r="I83" i="11"/>
  <c r="H83" i="11"/>
  <c r="G83" i="11"/>
  <c r="F83" i="11"/>
  <c r="C83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K68" i="11"/>
  <c r="J68" i="11"/>
  <c r="I68" i="11"/>
  <c r="H68" i="11"/>
  <c r="G68" i="11"/>
  <c r="F68" i="11"/>
  <c r="C68" i="11"/>
  <c r="K67" i="11"/>
  <c r="J67" i="11"/>
  <c r="I67" i="11"/>
  <c r="H67" i="11"/>
  <c r="G67" i="11"/>
  <c r="F67" i="11"/>
  <c r="D67" i="11"/>
  <c r="C67" i="11"/>
  <c r="K66" i="11"/>
  <c r="J66" i="11"/>
  <c r="I66" i="11"/>
  <c r="H66" i="11"/>
  <c r="G66" i="11"/>
  <c r="F66" i="11"/>
  <c r="C66" i="11"/>
  <c r="K65" i="11"/>
  <c r="J65" i="11"/>
  <c r="I65" i="11"/>
  <c r="H65" i="11"/>
  <c r="G65" i="11"/>
  <c r="F65" i="11"/>
  <c r="C65" i="11"/>
  <c r="L64" i="11"/>
  <c r="K63" i="11"/>
  <c r="J63" i="11"/>
  <c r="I63" i="11"/>
  <c r="H63" i="11"/>
  <c r="G63" i="11"/>
  <c r="F63" i="11"/>
  <c r="E63" i="11"/>
  <c r="D63" i="11"/>
  <c r="C63" i="11"/>
  <c r="K62" i="11"/>
  <c r="J62" i="11"/>
  <c r="I62" i="11"/>
  <c r="H62" i="11"/>
  <c r="G62" i="11"/>
  <c r="F62" i="11"/>
  <c r="E62" i="11"/>
  <c r="D62" i="11"/>
  <c r="C62" i="11"/>
  <c r="K61" i="11"/>
  <c r="J61" i="11"/>
  <c r="I61" i="11"/>
  <c r="H61" i="11"/>
  <c r="G61" i="11"/>
  <c r="F61" i="11"/>
  <c r="E61" i="11"/>
  <c r="D61" i="11"/>
  <c r="C61" i="11"/>
  <c r="K60" i="11"/>
  <c r="J60" i="11"/>
  <c r="I60" i="11"/>
  <c r="H60" i="11"/>
  <c r="G60" i="11"/>
  <c r="F60" i="11"/>
  <c r="E60" i="11"/>
  <c r="D60" i="11"/>
  <c r="C60" i="11"/>
  <c r="K59" i="11"/>
  <c r="J59" i="11"/>
  <c r="I59" i="11"/>
  <c r="H59" i="11"/>
  <c r="G59" i="11"/>
  <c r="F59" i="11"/>
  <c r="E59" i="11"/>
  <c r="D59" i="11"/>
  <c r="C59" i="11"/>
  <c r="K58" i="11"/>
  <c r="J58" i="11"/>
  <c r="I58" i="11"/>
  <c r="H58" i="11"/>
  <c r="G58" i="11"/>
  <c r="F58" i="11"/>
  <c r="E58" i="11"/>
  <c r="D58" i="11"/>
  <c r="C58" i="11"/>
  <c r="K57" i="11"/>
  <c r="J57" i="11"/>
  <c r="I57" i="11"/>
  <c r="H57" i="11"/>
  <c r="G57" i="11"/>
  <c r="F57" i="11"/>
  <c r="E57" i="11"/>
  <c r="D57" i="11"/>
  <c r="C57" i="11"/>
  <c r="K55" i="11"/>
  <c r="J55" i="11"/>
  <c r="I55" i="11"/>
  <c r="H55" i="11"/>
  <c r="G55" i="11"/>
  <c r="F55" i="11"/>
  <c r="E55" i="11"/>
  <c r="D55" i="11"/>
  <c r="C55" i="11"/>
  <c r="K54" i="11"/>
  <c r="J54" i="11"/>
  <c r="I54" i="11"/>
  <c r="H54" i="11"/>
  <c r="G54" i="11"/>
  <c r="F54" i="11"/>
  <c r="E54" i="11"/>
  <c r="D54" i="11"/>
  <c r="C54" i="11"/>
  <c r="K53" i="11"/>
  <c r="J53" i="11"/>
  <c r="I53" i="11"/>
  <c r="H53" i="11"/>
  <c r="G53" i="11"/>
  <c r="F53" i="11"/>
  <c r="E53" i="11"/>
  <c r="D53" i="11"/>
  <c r="C53" i="11"/>
  <c r="K52" i="11"/>
  <c r="J52" i="11"/>
  <c r="I52" i="11"/>
  <c r="H52" i="11"/>
  <c r="G52" i="11"/>
  <c r="F52" i="11"/>
  <c r="E52" i="11"/>
  <c r="D52" i="11"/>
  <c r="C52" i="11"/>
  <c r="K51" i="11"/>
  <c r="J51" i="11"/>
  <c r="I51" i="11"/>
  <c r="H51" i="11"/>
  <c r="G51" i="11"/>
  <c r="F51" i="11"/>
  <c r="E51" i="11"/>
  <c r="D51" i="11"/>
  <c r="C51" i="11"/>
  <c r="K50" i="11"/>
  <c r="J50" i="11"/>
  <c r="I50" i="11"/>
  <c r="H50" i="11"/>
  <c r="G50" i="11"/>
  <c r="F50" i="11"/>
  <c r="E50" i="11"/>
  <c r="D50" i="11"/>
  <c r="C50" i="11"/>
  <c r="K49" i="11"/>
  <c r="J49" i="11"/>
  <c r="I49" i="11"/>
  <c r="H49" i="11"/>
  <c r="G49" i="11"/>
  <c r="F49" i="11"/>
  <c r="E49" i="11"/>
  <c r="D49" i="11"/>
  <c r="C49" i="11"/>
  <c r="K48" i="11"/>
  <c r="J48" i="11"/>
  <c r="I48" i="11"/>
  <c r="H48" i="11"/>
  <c r="G48" i="11"/>
  <c r="F48" i="11"/>
  <c r="E48" i="11"/>
  <c r="D48" i="11"/>
  <c r="C48" i="11"/>
  <c r="K47" i="11"/>
  <c r="J47" i="11"/>
  <c r="I47" i="11"/>
  <c r="H47" i="11"/>
  <c r="G47" i="11"/>
  <c r="F47" i="11"/>
  <c r="E47" i="11"/>
  <c r="D47" i="11"/>
  <c r="C47" i="11"/>
  <c r="K46" i="11"/>
  <c r="I46" i="11"/>
  <c r="H46" i="11"/>
  <c r="G46" i="11"/>
  <c r="F46" i="11"/>
  <c r="E46" i="11"/>
  <c r="D46" i="11"/>
  <c r="C46" i="11"/>
  <c r="K45" i="11"/>
  <c r="J45" i="11"/>
  <c r="I45" i="11"/>
  <c r="H45" i="11"/>
  <c r="G45" i="11"/>
  <c r="F45" i="11"/>
  <c r="E45" i="11"/>
  <c r="D45" i="11"/>
  <c r="C45" i="11"/>
  <c r="K44" i="11"/>
  <c r="J44" i="11"/>
  <c r="I44" i="11"/>
  <c r="H44" i="11"/>
  <c r="F44" i="11"/>
  <c r="E44" i="11"/>
  <c r="D44" i="11"/>
  <c r="C44" i="11"/>
  <c r="L36" i="11"/>
  <c r="K12" i="11"/>
  <c r="J12" i="11"/>
  <c r="I12" i="11"/>
  <c r="F12" i="11"/>
  <c r="E12" i="11"/>
  <c r="C12" i="11"/>
  <c r="K11" i="11"/>
  <c r="J11" i="11"/>
  <c r="I11" i="11"/>
  <c r="F11" i="11"/>
  <c r="E11" i="11"/>
  <c r="C11" i="11"/>
  <c r="L109" i="11"/>
  <c r="S17" i="10"/>
  <c r="I17" i="10"/>
  <c r="U17" i="10" s="1"/>
  <c r="S16" i="10"/>
  <c r="I16" i="10"/>
  <c r="U16" i="10" s="1"/>
  <c r="S15" i="10"/>
  <c r="I15" i="10"/>
  <c r="U15" i="10" s="1"/>
  <c r="S14" i="10"/>
  <c r="I14" i="10"/>
  <c r="U14" i="10" s="1"/>
  <c r="S165" i="5"/>
  <c r="S164" i="5"/>
  <c r="S163" i="5"/>
  <c r="S162" i="5"/>
  <c r="S161" i="5"/>
  <c r="S160" i="5"/>
  <c r="S159" i="5"/>
  <c r="S158" i="5"/>
  <c r="S157" i="5"/>
  <c r="S156" i="5"/>
  <c r="S155" i="5"/>
  <c r="S154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6" i="5"/>
  <c r="S125" i="5"/>
  <c r="S124" i="5"/>
  <c r="S123" i="5"/>
  <c r="S122" i="5"/>
  <c r="S121" i="5"/>
  <c r="S119" i="5"/>
  <c r="S118" i="5"/>
  <c r="S117" i="5"/>
  <c r="S116" i="5"/>
  <c r="S115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0" i="5"/>
  <c r="S99" i="5"/>
  <c r="S98" i="5"/>
  <c r="S97" i="5"/>
  <c r="S96" i="5"/>
  <c r="S95" i="5"/>
  <c r="S94" i="5"/>
  <c r="S93" i="5"/>
  <c r="S92" i="5"/>
  <c r="S91" i="5"/>
  <c r="S90" i="5"/>
  <c r="S89" i="5"/>
  <c r="S87" i="5"/>
  <c r="R86" i="5"/>
  <c r="O86" i="5"/>
  <c r="R85" i="5"/>
  <c r="O85" i="5"/>
  <c r="R84" i="5"/>
  <c r="O84" i="5"/>
  <c r="R83" i="5"/>
  <c r="O83" i="5"/>
  <c r="R82" i="5"/>
  <c r="O82" i="5"/>
  <c r="R81" i="5"/>
  <c r="O81" i="5"/>
  <c r="R80" i="5"/>
  <c r="O80" i="5"/>
  <c r="R79" i="5"/>
  <c r="O79" i="5"/>
  <c r="R78" i="5"/>
  <c r="O78" i="5"/>
  <c r="R77" i="5"/>
  <c r="O77" i="5"/>
  <c r="R76" i="5"/>
  <c r="O76" i="5"/>
  <c r="R74" i="5"/>
  <c r="S74" i="5" s="1"/>
  <c r="O74" i="5"/>
  <c r="R73" i="5"/>
  <c r="O73" i="5"/>
  <c r="R72" i="5"/>
  <c r="O72" i="5"/>
  <c r="R71" i="5"/>
  <c r="O71" i="5"/>
  <c r="R70" i="5"/>
  <c r="O70" i="5"/>
  <c r="R69" i="5"/>
  <c r="O69" i="5"/>
  <c r="R68" i="5"/>
  <c r="O68" i="5"/>
  <c r="R67" i="5"/>
  <c r="O67" i="5"/>
  <c r="R66" i="5"/>
  <c r="O66" i="5"/>
  <c r="R65" i="5"/>
  <c r="O65" i="5"/>
  <c r="R64" i="5"/>
  <c r="O64" i="5"/>
  <c r="S64" i="5" s="1"/>
  <c r="R63" i="5"/>
  <c r="O63" i="5"/>
  <c r="R61" i="5"/>
  <c r="O61" i="5"/>
  <c r="R60" i="5"/>
  <c r="O60" i="5"/>
  <c r="R59" i="5"/>
  <c r="O59" i="5"/>
  <c r="R58" i="5"/>
  <c r="O58" i="5"/>
  <c r="R57" i="5"/>
  <c r="O57" i="5"/>
  <c r="R56" i="5"/>
  <c r="O56" i="5"/>
  <c r="R55" i="5"/>
  <c r="O55" i="5"/>
  <c r="R54" i="5"/>
  <c r="O54" i="5"/>
  <c r="R53" i="5"/>
  <c r="O53" i="5"/>
  <c r="R52" i="5"/>
  <c r="O52" i="5"/>
  <c r="R51" i="5"/>
  <c r="O51" i="5"/>
  <c r="S51" i="5" s="1"/>
  <c r="R50" i="5"/>
  <c r="O50" i="5"/>
  <c r="R19" i="5"/>
  <c r="O19" i="5"/>
  <c r="R18" i="5"/>
  <c r="S18" i="5" s="1"/>
  <c r="O18" i="5"/>
  <c r="R17" i="5"/>
  <c r="O17" i="5"/>
  <c r="R16" i="5"/>
  <c r="O16" i="5"/>
  <c r="S16" i="5" s="1"/>
  <c r="S83" i="5"/>
  <c r="W49" i="2"/>
  <c r="S60" i="5"/>
  <c r="I45" i="12"/>
  <c r="L88" i="11" l="1"/>
  <c r="L96" i="11"/>
  <c r="L103" i="11"/>
  <c r="L126" i="11"/>
  <c r="L131" i="11"/>
  <c r="L141" i="11"/>
  <c r="I125" i="12"/>
  <c r="I129" i="12"/>
  <c r="I134" i="12"/>
  <c r="I138" i="12"/>
  <c r="I146" i="12"/>
  <c r="I155" i="12"/>
  <c r="I132" i="12"/>
  <c r="I141" i="12"/>
  <c r="I150" i="12"/>
  <c r="I95" i="12"/>
  <c r="I104" i="12"/>
  <c r="I136" i="12"/>
  <c r="I159" i="12"/>
  <c r="I79" i="12"/>
  <c r="I102" i="12"/>
  <c r="M27" i="19"/>
  <c r="O27" i="19" s="1"/>
  <c r="S55" i="5"/>
  <c r="S68" i="5"/>
  <c r="S73" i="5"/>
  <c r="S82" i="5"/>
  <c r="S85" i="5"/>
  <c r="S86" i="5"/>
  <c r="L63" i="11"/>
  <c r="L91" i="11"/>
  <c r="L106" i="11"/>
  <c r="L117" i="11"/>
  <c r="L125" i="11"/>
  <c r="L137" i="11"/>
  <c r="L158" i="11"/>
  <c r="L59" i="11"/>
  <c r="L60" i="11"/>
  <c r="L118" i="11"/>
  <c r="L132" i="11"/>
  <c r="L142" i="11"/>
  <c r="L146" i="11"/>
  <c r="L151" i="11"/>
  <c r="L155" i="11"/>
  <c r="I46" i="12"/>
  <c r="I75" i="12"/>
  <c r="I82" i="12"/>
  <c r="I88" i="12"/>
  <c r="I90" i="12"/>
  <c r="I105" i="12"/>
  <c r="S58" i="5"/>
  <c r="S79" i="5"/>
  <c r="L62" i="11"/>
  <c r="L87" i="11"/>
  <c r="L94" i="11"/>
  <c r="L102" i="11"/>
  <c r="L111" i="11"/>
  <c r="L113" i="11"/>
  <c r="L116" i="11"/>
  <c r="L130" i="11"/>
  <c r="L135" i="11"/>
  <c r="L139" i="11"/>
  <c r="L144" i="11"/>
  <c r="L149" i="11"/>
  <c r="L152" i="11"/>
  <c r="I47" i="12"/>
  <c r="I53" i="12"/>
  <c r="I59" i="12"/>
  <c r="I77" i="12"/>
  <c r="I94" i="12"/>
  <c r="I124" i="12"/>
  <c r="I127" i="12"/>
  <c r="I130" i="12"/>
  <c r="I139" i="12"/>
  <c r="I140" i="12"/>
  <c r="I149" i="12"/>
  <c r="I154" i="12"/>
  <c r="I156" i="12"/>
  <c r="I157" i="12"/>
  <c r="L145" i="11"/>
  <c r="L150" i="11"/>
  <c r="L154" i="11"/>
  <c r="M17" i="19"/>
  <c r="O17" i="19" s="1"/>
  <c r="L19" i="19"/>
  <c r="L93" i="11"/>
  <c r="L101" i="11"/>
  <c r="L119" i="11"/>
  <c r="L123" i="11"/>
  <c r="L128" i="11"/>
  <c r="L133" i="11"/>
  <c r="L138" i="11"/>
  <c r="L65" i="11"/>
  <c r="I123" i="12"/>
  <c r="I144" i="12"/>
  <c r="I153" i="12"/>
  <c r="I48" i="12"/>
  <c r="I62" i="12"/>
  <c r="I54" i="12"/>
  <c r="I106" i="12"/>
  <c r="S53" i="5"/>
  <c r="S57" i="5"/>
  <c r="S66" i="5"/>
  <c r="S70" i="5"/>
  <c r="S50" i="5"/>
  <c r="S54" i="5"/>
  <c r="S80" i="5"/>
  <c r="S84" i="5"/>
  <c r="L45" i="11"/>
  <c r="L55" i="11"/>
  <c r="L67" i="11"/>
  <c r="I101" i="12"/>
  <c r="I143" i="12"/>
  <c r="I152" i="12"/>
  <c r="I158" i="12"/>
  <c r="M18" i="19"/>
  <c r="O18" i="19" s="1"/>
  <c r="M25" i="19"/>
  <c r="O25" i="19" s="1"/>
  <c r="L12" i="11"/>
  <c r="L49" i="11"/>
  <c r="L58" i="11"/>
  <c r="L136" i="11"/>
  <c r="L140" i="11"/>
  <c r="L153" i="11"/>
  <c r="I67" i="12"/>
  <c r="I103" i="12"/>
  <c r="I131" i="12"/>
  <c r="I137" i="12"/>
  <c r="I145" i="12"/>
  <c r="L11" i="11"/>
  <c r="L51" i="11"/>
  <c r="L129" i="11"/>
  <c r="L143" i="11"/>
  <c r="L148" i="11"/>
  <c r="L156" i="11"/>
  <c r="I71" i="12"/>
  <c r="I84" i="12"/>
  <c r="I108" i="12"/>
  <c r="I126" i="12"/>
  <c r="I133" i="12"/>
  <c r="I142" i="12"/>
  <c r="I147" i="12"/>
  <c r="I151" i="12"/>
  <c r="S56" i="5"/>
  <c r="L44" i="11"/>
  <c r="I56" i="12"/>
  <c r="S71" i="5"/>
  <c r="S72" i="5"/>
  <c r="L46" i="11"/>
  <c r="L47" i="11"/>
  <c r="L48" i="11"/>
  <c r="L52" i="11"/>
  <c r="L54" i="11"/>
  <c r="L83" i="11"/>
  <c r="L84" i="11"/>
  <c r="L85" i="11"/>
  <c r="L86" i="11"/>
  <c r="L89" i="11"/>
  <c r="L90" i="11"/>
  <c r="L92" i="11"/>
  <c r="L97" i="11"/>
  <c r="L98" i="11"/>
  <c r="I73" i="12"/>
  <c r="I74" i="12"/>
  <c r="I76" i="12"/>
  <c r="I78" i="12"/>
  <c r="I80" i="12"/>
  <c r="I81" i="12"/>
  <c r="I85" i="12"/>
  <c r="I19" i="19"/>
  <c r="M20" i="19"/>
  <c r="O20" i="19" s="1"/>
  <c r="M22" i="19"/>
  <c r="O22" i="19" s="1"/>
  <c r="S17" i="5"/>
  <c r="S19" i="5"/>
  <c r="S61" i="5"/>
  <c r="S63" i="5"/>
  <c r="S65" i="5"/>
  <c r="S77" i="5"/>
  <c r="S78" i="5"/>
  <c r="I50" i="12"/>
  <c r="I52" i="12"/>
  <c r="I55" i="12"/>
  <c r="I58" i="12"/>
  <c r="I60" i="12"/>
  <c r="I63" i="12"/>
  <c r="S52" i="5"/>
  <c r="L50" i="11"/>
  <c r="L53" i="11"/>
  <c r="L99" i="11"/>
  <c r="L100" i="11"/>
  <c r="L104" i="11"/>
  <c r="L105" i="11"/>
  <c r="L107" i="11"/>
  <c r="L110" i="11"/>
  <c r="L112" i="11"/>
  <c r="L114" i="11"/>
  <c r="L115" i="11"/>
  <c r="L120" i="11"/>
  <c r="L122" i="11"/>
  <c r="L124" i="11"/>
  <c r="S59" i="5"/>
  <c r="S67" i="5"/>
  <c r="S69" i="5"/>
  <c r="S76" i="5"/>
  <c r="S81" i="5"/>
  <c r="L57" i="11"/>
  <c r="L61" i="11"/>
  <c r="L66" i="11"/>
  <c r="L68" i="11"/>
  <c r="L157" i="11"/>
  <c r="I12" i="12"/>
  <c r="I49" i="12"/>
  <c r="I64" i="12"/>
  <c r="M24" i="19"/>
  <c r="O24" i="19" s="1"/>
  <c r="I68" i="12"/>
  <c r="I69" i="12"/>
  <c r="I87" i="12"/>
  <c r="I89" i="12"/>
  <c r="I91" i="12"/>
  <c r="I93" i="12"/>
  <c r="I97" i="12"/>
  <c r="I98" i="12"/>
  <c r="I99" i="12"/>
  <c r="I100" i="12"/>
  <c r="F19" i="19"/>
  <c r="M26" i="19"/>
  <c r="O26" i="19" s="1"/>
  <c r="M28" i="19"/>
  <c r="O28" i="19" s="1"/>
  <c r="I51" i="12"/>
  <c r="I61" i="12"/>
  <c r="I66" i="12"/>
  <c r="I72" i="12"/>
  <c r="I86" i="12"/>
  <c r="I92" i="12"/>
  <c r="I107" i="12"/>
  <c r="M16" i="19"/>
  <c r="O16" i="19" s="1"/>
  <c r="M21" i="19"/>
  <c r="O21" i="19" s="1"/>
  <c r="M23" i="19"/>
  <c r="O23" i="19" s="1"/>
  <c r="M31" i="19"/>
  <c r="O31" i="19" s="1"/>
  <c r="M19" i="19" l="1"/>
  <c r="O19" i="19" s="1"/>
</calcChain>
</file>

<file path=xl/sharedStrings.xml><?xml version="1.0" encoding="utf-8"?>
<sst xmlns="http://schemas.openxmlformats.org/spreadsheetml/2006/main" count="11245" uniqueCount="740">
  <si>
    <t xml:space="preserve"> </t>
  </si>
  <si>
    <t>Avoirs</t>
  </si>
  <si>
    <t xml:space="preserve">   Total</t>
  </si>
  <si>
    <t>réserve FMI</t>
  </si>
  <si>
    <t>2008</t>
  </si>
  <si>
    <t>2009</t>
  </si>
  <si>
    <t>II.1</t>
  </si>
  <si>
    <t>2010</t>
  </si>
  <si>
    <t>2011</t>
  </si>
  <si>
    <t>Total</t>
  </si>
  <si>
    <t>2012</t>
  </si>
  <si>
    <t>2013</t>
  </si>
  <si>
    <t xml:space="preserve">             Description</t>
  </si>
  <si>
    <t>2014</t>
  </si>
  <si>
    <t>2015</t>
  </si>
  <si>
    <t>2016</t>
  </si>
  <si>
    <t>CENTRAL BANK</t>
  </si>
  <si>
    <t>COMMERCIAL BANKS</t>
  </si>
  <si>
    <t>MICROFINANCE INSTITUTIONS</t>
  </si>
  <si>
    <t>gold</t>
  </si>
  <si>
    <t>Monetary</t>
  </si>
  <si>
    <t>SDRs</t>
  </si>
  <si>
    <t>Reserve</t>
  </si>
  <si>
    <t>position in IMF</t>
  </si>
  <si>
    <t>Foreign currency</t>
  </si>
  <si>
    <t>(Cash+deposits)</t>
  </si>
  <si>
    <t>Foreign assets</t>
  </si>
  <si>
    <t>other foreign</t>
  </si>
  <si>
    <t>assets</t>
  </si>
  <si>
    <t>Foreign</t>
  </si>
  <si>
    <t>liabilities</t>
  </si>
  <si>
    <t>Net foreign</t>
  </si>
  <si>
    <t>NET FOREIGN</t>
  </si>
  <si>
    <t>ASSETS</t>
  </si>
  <si>
    <t>Period</t>
  </si>
  <si>
    <t>Official Reserves</t>
  </si>
  <si>
    <t>2017 January</t>
  </si>
  <si>
    <t xml:space="preserve">         February</t>
  </si>
  <si>
    <t xml:space="preserve">         March</t>
  </si>
  <si>
    <t>2016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</si>
  <si>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</si>
  <si>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</si>
  <si>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</si>
  <si>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</si>
  <si>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</si>
  <si>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</si>
  <si>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</si>
  <si>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</si>
  <si>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</si>
  <si>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</si>
  <si>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</si>
  <si>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>2015 January</t>
  </si>
  <si>
    <t xml:space="preserve">2015 February        </t>
  </si>
  <si>
    <t>2015 March</t>
  </si>
  <si>
    <t>2014 January</t>
  </si>
  <si>
    <t>2013 January</t>
  </si>
  <si>
    <t>2012 January</t>
  </si>
  <si>
    <t>2011 January</t>
  </si>
  <si>
    <t>2010 January</t>
  </si>
  <si>
    <t>2009 January</t>
  </si>
  <si>
    <t>2008 January</t>
  </si>
  <si>
    <t>2014 March</t>
  </si>
  <si>
    <t xml:space="preserve">         June</t>
  </si>
  <si>
    <t xml:space="preserve">         September</t>
  </si>
  <si>
    <t xml:space="preserve">         December</t>
  </si>
  <si>
    <t>2016 March</t>
  </si>
  <si>
    <t>2017 March</t>
  </si>
  <si>
    <t>NET FOREIGN ASSETS</t>
  </si>
  <si>
    <t>II.2.1</t>
  </si>
  <si>
    <t xml:space="preserve"> Créances</t>
  </si>
  <si>
    <t>Créances sur</t>
  </si>
  <si>
    <t xml:space="preserve"> sur les</t>
  </si>
  <si>
    <t>les administrations</t>
  </si>
  <si>
    <t xml:space="preserve">   Autres</t>
  </si>
  <si>
    <t>TOTAL</t>
  </si>
  <si>
    <t xml:space="preserve"> établissements</t>
  </si>
  <si>
    <t>locales</t>
  </si>
  <si>
    <t xml:space="preserve"> financiers</t>
  </si>
  <si>
    <t xml:space="preserve"> Avances </t>
  </si>
  <si>
    <t xml:space="preserve">     Avances </t>
  </si>
  <si>
    <t xml:space="preserve">       Avances</t>
  </si>
  <si>
    <t xml:space="preserve">Bons et </t>
  </si>
  <si>
    <t xml:space="preserve">     spéciales</t>
  </si>
  <si>
    <t xml:space="preserve">    B.E.I.</t>
  </si>
  <si>
    <t xml:space="preserve">   particu-</t>
  </si>
  <si>
    <t xml:space="preserve">       ordinaires</t>
  </si>
  <si>
    <t>Obligations</t>
  </si>
  <si>
    <t xml:space="preserve">   avances</t>
  </si>
  <si>
    <t>-</t>
  </si>
  <si>
    <t xml:space="preserve">2010 </t>
  </si>
  <si>
    <t>Source: BRB</t>
  </si>
  <si>
    <t xml:space="preserve">           Description</t>
  </si>
  <si>
    <t>Gross</t>
  </si>
  <si>
    <t>Fereign</t>
  </si>
  <si>
    <t>Assets</t>
  </si>
  <si>
    <t>Ordinary</t>
  </si>
  <si>
    <t>advances</t>
  </si>
  <si>
    <t>Special</t>
  </si>
  <si>
    <t>credit</t>
  </si>
  <si>
    <t>Reschedules</t>
  </si>
  <si>
    <t>claims</t>
  </si>
  <si>
    <t>Claims on Government</t>
  </si>
  <si>
    <t>MONTHLY BALANCE SHEETS OF THE BANK OF THE REPUBLIC OF BURUNDI</t>
  </si>
  <si>
    <t>Claims</t>
  </si>
  <si>
    <t>on</t>
  </si>
  <si>
    <t>Banking</t>
  </si>
  <si>
    <t>sector</t>
  </si>
  <si>
    <t>Claims on</t>
  </si>
  <si>
    <t>Public</t>
  </si>
  <si>
    <t>corporations</t>
  </si>
  <si>
    <t>non-financial</t>
  </si>
  <si>
    <t>Other</t>
  </si>
  <si>
    <t xml:space="preserve">Private </t>
  </si>
  <si>
    <t>(In million of BIF)</t>
  </si>
  <si>
    <t>II.2.2</t>
  </si>
  <si>
    <t>reserves</t>
  </si>
  <si>
    <t xml:space="preserve">  </t>
  </si>
  <si>
    <t xml:space="preserve">        Total</t>
  </si>
  <si>
    <t>microfinances</t>
  </si>
  <si>
    <t xml:space="preserve">2008 </t>
  </si>
  <si>
    <t xml:space="preserve">2009 </t>
  </si>
  <si>
    <t xml:space="preserve">2011   </t>
  </si>
  <si>
    <t xml:space="preserve">            Description</t>
  </si>
  <si>
    <t>Currency</t>
  </si>
  <si>
    <t>in circulation</t>
  </si>
  <si>
    <t>out of central</t>
  </si>
  <si>
    <t>bank</t>
  </si>
  <si>
    <t>Bank</t>
  </si>
  <si>
    <t>deposits</t>
  </si>
  <si>
    <t>Monetary base</t>
  </si>
  <si>
    <t>Withdrawal</t>
  </si>
  <si>
    <t>liquidity</t>
  </si>
  <si>
    <t>Import</t>
  </si>
  <si>
    <t xml:space="preserve">Liabilities </t>
  </si>
  <si>
    <t>to</t>
  </si>
  <si>
    <t>non-residents</t>
  </si>
  <si>
    <t>Equity</t>
  </si>
  <si>
    <t>and</t>
  </si>
  <si>
    <t>Result</t>
  </si>
  <si>
    <t>Liabilities</t>
  </si>
  <si>
    <t>LIABILITIES</t>
  </si>
  <si>
    <t>financial</t>
  </si>
  <si>
    <t>corporation</t>
  </si>
  <si>
    <t>government</t>
  </si>
  <si>
    <t>Local</t>
  </si>
  <si>
    <t>Treasury</t>
  </si>
  <si>
    <t>Governmental</t>
  </si>
  <si>
    <t>agency</t>
  </si>
  <si>
    <t xml:space="preserve">            LIABILITIES</t>
  </si>
  <si>
    <t>Microfinance</t>
  </si>
  <si>
    <t>Government sector deposits</t>
  </si>
  <si>
    <t xml:space="preserve">   II.3.1</t>
  </si>
  <si>
    <t>SITUATION CONSOLIDEE DES BANQUES COMMERCIALES</t>
  </si>
  <si>
    <t xml:space="preserve">  Créances</t>
  </si>
  <si>
    <t xml:space="preserve">  sur</t>
  </si>
  <si>
    <t xml:space="preserve">Avance </t>
  </si>
  <si>
    <t>l'admini-</t>
  </si>
  <si>
    <t>Certificats</t>
  </si>
  <si>
    <t>consor-</t>
  </si>
  <si>
    <t xml:space="preserve">       aux</t>
  </si>
  <si>
    <t>stration</t>
  </si>
  <si>
    <t>du Trésor</t>
  </si>
  <si>
    <t>tiale</t>
  </si>
  <si>
    <t>C.C.P.</t>
  </si>
  <si>
    <t>Centrale</t>
  </si>
  <si>
    <t xml:space="preserve">                 Description</t>
  </si>
  <si>
    <t>Reserves</t>
  </si>
  <si>
    <t>foreign</t>
  </si>
  <si>
    <t>bills</t>
  </si>
  <si>
    <t xml:space="preserve">                           Claims on central government</t>
  </si>
  <si>
    <t>bonds</t>
  </si>
  <si>
    <t>on local</t>
  </si>
  <si>
    <t>Claim</t>
  </si>
  <si>
    <t>central bank</t>
  </si>
  <si>
    <t>on other</t>
  </si>
  <si>
    <t>intermediaries</t>
  </si>
  <si>
    <t>on public</t>
  </si>
  <si>
    <t>on private</t>
  </si>
  <si>
    <t>Source: Compiled from informations provided by commercail banks</t>
  </si>
  <si>
    <t xml:space="preserve">   II.3.2</t>
  </si>
  <si>
    <t xml:space="preserve"> Engagements</t>
  </si>
  <si>
    <t>Résultat</t>
  </si>
  <si>
    <t xml:space="preserve">  envers</t>
  </si>
  <si>
    <t xml:space="preserve"> la Banque</t>
  </si>
  <si>
    <t xml:space="preserve">   </t>
  </si>
  <si>
    <t xml:space="preserve">Demand </t>
  </si>
  <si>
    <t xml:space="preserve">Time and </t>
  </si>
  <si>
    <t>saving</t>
  </si>
  <si>
    <t>currency</t>
  </si>
  <si>
    <t>of residents</t>
  </si>
  <si>
    <t>Microfinance institutions' deposits</t>
  </si>
  <si>
    <t xml:space="preserve">demand </t>
  </si>
  <si>
    <t xml:space="preserve">time </t>
  </si>
  <si>
    <t xml:space="preserve"> deposits</t>
  </si>
  <si>
    <t>Loans</t>
  </si>
  <si>
    <t xml:space="preserve">  from</t>
  </si>
  <si>
    <t xml:space="preserve"> Central bank</t>
  </si>
  <si>
    <t>Central</t>
  </si>
  <si>
    <t>agencies</t>
  </si>
  <si>
    <t xml:space="preserve">   Foreign</t>
  </si>
  <si>
    <t xml:space="preserve">  Equity and </t>
  </si>
  <si>
    <t>Net inter-</t>
  </si>
  <si>
    <t xml:space="preserve">    liabilities</t>
  </si>
  <si>
    <t xml:space="preserve">  reserves</t>
  </si>
  <si>
    <t xml:space="preserve"> balances</t>
  </si>
  <si>
    <t xml:space="preserve">   II.4.1</t>
  </si>
  <si>
    <t xml:space="preserve">     Avoirs</t>
  </si>
  <si>
    <t xml:space="preserve">                           Créances sur le Trésor</t>
  </si>
  <si>
    <t xml:space="preserve">      exté-</t>
  </si>
  <si>
    <t xml:space="preserve">     rieurs</t>
  </si>
  <si>
    <t xml:space="preserve"> admini-</t>
  </si>
  <si>
    <t xml:space="preserve">  Bons</t>
  </si>
  <si>
    <t xml:space="preserve">  Obligations</t>
  </si>
  <si>
    <t xml:space="preserve"> strations</t>
  </si>
  <si>
    <t xml:space="preserve">  locales</t>
  </si>
  <si>
    <t xml:space="preserve">   II.4.2</t>
  </si>
  <si>
    <t xml:space="preserve">  Centrale</t>
  </si>
  <si>
    <t>Microfinances</t>
  </si>
  <si>
    <t xml:space="preserve">   II.5.1</t>
  </si>
  <si>
    <t xml:space="preserve">    TOTAL</t>
  </si>
  <si>
    <t xml:space="preserve"> B.R.B.</t>
  </si>
  <si>
    <t xml:space="preserve">  Total</t>
  </si>
  <si>
    <t>du</t>
  </si>
  <si>
    <t xml:space="preserve">    Total</t>
  </si>
  <si>
    <t xml:space="preserve"> Solde des</t>
  </si>
  <si>
    <t xml:space="preserve"> créances &amp;</t>
  </si>
  <si>
    <t xml:space="preserve">     engagements </t>
  </si>
  <si>
    <t xml:space="preserve">      des </t>
  </si>
  <si>
    <t>établissements</t>
  </si>
  <si>
    <t>financiers</t>
  </si>
  <si>
    <t>II.6</t>
  </si>
  <si>
    <t xml:space="preserve">  circulation</t>
  </si>
  <si>
    <t>II.7.2</t>
  </si>
  <si>
    <t>:</t>
  </si>
  <si>
    <t>2010 December</t>
  </si>
  <si>
    <t>Commercial</t>
  </si>
  <si>
    <t>banks</t>
  </si>
  <si>
    <t>commercial</t>
  </si>
  <si>
    <t xml:space="preserve">Claims </t>
  </si>
  <si>
    <t>private</t>
  </si>
  <si>
    <t>Guarantee</t>
  </si>
  <si>
    <t>from</t>
  </si>
  <si>
    <t>other financial</t>
  </si>
  <si>
    <t xml:space="preserve">Central </t>
  </si>
  <si>
    <t>Net</t>
  </si>
  <si>
    <t>intra-microfinance</t>
  </si>
  <si>
    <t>institutions</t>
  </si>
  <si>
    <t>balances</t>
  </si>
  <si>
    <t xml:space="preserve">   commercial</t>
  </si>
  <si>
    <t>MONETARY SURVEY</t>
  </si>
  <si>
    <t xml:space="preserve">     NET FOREIGN ASSETS</t>
  </si>
  <si>
    <t>Government</t>
  </si>
  <si>
    <t>Rescheduled</t>
  </si>
  <si>
    <t xml:space="preserve">Total </t>
  </si>
  <si>
    <t>Overdraft</t>
  </si>
  <si>
    <t>bills and bonds</t>
  </si>
  <si>
    <t>Net claims on government</t>
  </si>
  <si>
    <t>DOMESTIC CREDIT</t>
  </si>
  <si>
    <t xml:space="preserve">      Claims on economy</t>
  </si>
  <si>
    <t>claims on</t>
  </si>
  <si>
    <t>public</t>
  </si>
  <si>
    <t>non financial</t>
  </si>
  <si>
    <t xml:space="preserve">          Description</t>
  </si>
  <si>
    <t xml:space="preserve">          February</t>
  </si>
  <si>
    <t xml:space="preserve">                   Description</t>
  </si>
  <si>
    <t>Broad money M3</t>
  </si>
  <si>
    <t>Broad money M2</t>
  </si>
  <si>
    <t>Norrow money</t>
  </si>
  <si>
    <t>Quasi</t>
  </si>
  <si>
    <t xml:space="preserve"> money</t>
  </si>
  <si>
    <t xml:space="preserve"> Currency in</t>
  </si>
  <si>
    <t xml:space="preserve">    Demand</t>
  </si>
  <si>
    <t>Time  and</t>
  </si>
  <si>
    <t>circulation</t>
  </si>
  <si>
    <t xml:space="preserve">   deposits</t>
  </si>
  <si>
    <t>out of</t>
  </si>
  <si>
    <t>Other iterms net</t>
  </si>
  <si>
    <t xml:space="preserve">  Import</t>
  </si>
  <si>
    <t>Share and</t>
  </si>
  <si>
    <t xml:space="preserve"> other equity</t>
  </si>
  <si>
    <t xml:space="preserve">Net </t>
  </si>
  <si>
    <t>various</t>
  </si>
  <si>
    <t>deposit</t>
  </si>
  <si>
    <t>Corporations</t>
  </si>
  <si>
    <t>intra-Other</t>
  </si>
  <si>
    <t>Depository</t>
  </si>
  <si>
    <t>II.5.2</t>
  </si>
  <si>
    <t>MONETARY BASE</t>
  </si>
  <si>
    <t>COUNTERPARTS OF MONETARY BASE</t>
  </si>
  <si>
    <t>BROAD</t>
  </si>
  <si>
    <t>MONEY</t>
  </si>
  <si>
    <t>MULTIPLIER</t>
  </si>
  <si>
    <t>(M3)</t>
  </si>
  <si>
    <t xml:space="preserve">  Currency in</t>
  </si>
  <si>
    <t xml:space="preserve">    Bank</t>
  </si>
  <si>
    <t xml:space="preserve">  Other </t>
  </si>
  <si>
    <t xml:space="preserve">Net foreign </t>
  </si>
  <si>
    <t xml:space="preserve">Net claims  </t>
  </si>
  <si>
    <t>Other items net</t>
  </si>
  <si>
    <t xml:space="preserve"> Financial  </t>
  </si>
  <si>
    <t xml:space="preserve"> nonfinancial</t>
  </si>
  <si>
    <t xml:space="preserve">  Deposits</t>
  </si>
  <si>
    <t xml:space="preserve">on  </t>
  </si>
  <si>
    <t xml:space="preserve">commercial </t>
  </si>
  <si>
    <t>other</t>
  </si>
  <si>
    <t xml:space="preserve"> public </t>
  </si>
  <si>
    <t xml:space="preserve"> private sector</t>
  </si>
  <si>
    <t xml:space="preserve">   liquidity</t>
  </si>
  <si>
    <t xml:space="preserve">  (out of BRB)</t>
  </si>
  <si>
    <t xml:space="preserve"> financial</t>
  </si>
  <si>
    <r>
      <t xml:space="preserve">2011      </t>
    </r>
    <r>
      <rPr>
        <vertAlign val="superscript"/>
        <sz val="10"/>
        <rFont val="Helv"/>
      </rPr>
      <t xml:space="preserve"> </t>
    </r>
  </si>
  <si>
    <t>EVOLUTION OF MONETARY BASE, BROAD MONEY AND THE MONEY MULTIPLIER</t>
  </si>
  <si>
    <t xml:space="preserve">Claims on </t>
  </si>
  <si>
    <t xml:space="preserve">      Claims on</t>
  </si>
  <si>
    <t>banking</t>
  </si>
  <si>
    <t>central</t>
  </si>
  <si>
    <t>local</t>
  </si>
  <si>
    <t>governmental</t>
  </si>
  <si>
    <t xml:space="preserve">        public</t>
  </si>
  <si>
    <t xml:space="preserve">institutions </t>
  </si>
  <si>
    <t xml:space="preserve">      nonfinancial</t>
  </si>
  <si>
    <t xml:space="preserve">   sector</t>
  </si>
  <si>
    <t xml:space="preserve">       corporations</t>
  </si>
  <si>
    <t xml:space="preserve">Gross </t>
  </si>
  <si>
    <t>CONSOLIDATED BALANCE SHEETS OF OTHER FINANCIAL INTERMEDIARIES</t>
  </si>
  <si>
    <t>CONSOLIDATED BALANCE SHEETS OF COMMERCIAL BANKS</t>
  </si>
  <si>
    <t>CONSOLIDATED BALANCE SHEETS OF MICROFINANCE INSTITUTIONS</t>
  </si>
  <si>
    <t xml:space="preserve">              Description</t>
  </si>
  <si>
    <t xml:space="preserve">ASSETS </t>
  </si>
  <si>
    <t>II.7.1</t>
  </si>
  <si>
    <t>2007 January</t>
  </si>
  <si>
    <t>2006 January</t>
  </si>
  <si>
    <t>2005 January</t>
  </si>
  <si>
    <t>2004 January</t>
  </si>
  <si>
    <t>2003 January</t>
  </si>
  <si>
    <t>2002 January</t>
  </si>
  <si>
    <t xml:space="preserve">LIABILITIES </t>
  </si>
  <si>
    <t>Commitments to</t>
  </si>
  <si>
    <t>Gouvernemental</t>
  </si>
  <si>
    <t xml:space="preserve">    Borrowings</t>
  </si>
  <si>
    <t>Equity and</t>
  </si>
  <si>
    <t xml:space="preserve"> Banking sector</t>
  </si>
  <si>
    <t xml:space="preserve">     liabilities</t>
  </si>
  <si>
    <t>capital</t>
  </si>
  <si>
    <t xml:space="preserve">Other </t>
  </si>
  <si>
    <t>II.8.1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</si>
  <si>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</si>
  <si>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</si>
  <si>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r>
      <t>2013</t>
    </r>
    <r>
      <rPr>
        <vertAlign val="superscript"/>
        <sz val="10"/>
        <rFont val="Helv"/>
      </rPr>
      <t/>
    </r>
  </si>
  <si>
    <r>
      <t>2014</t>
    </r>
    <r>
      <rPr>
        <vertAlign val="superscript"/>
        <sz val="10"/>
        <rFont val="Helv"/>
      </rPr>
      <t/>
    </r>
  </si>
  <si>
    <r>
      <t>2015</t>
    </r>
    <r>
      <rPr>
        <vertAlign val="superscript"/>
        <sz val="10"/>
        <rFont val="Helv"/>
      </rPr>
      <t/>
    </r>
  </si>
  <si>
    <t>.</t>
  </si>
  <si>
    <t xml:space="preserve">   II.8.2</t>
  </si>
  <si>
    <t xml:space="preserve">         Description</t>
  </si>
  <si>
    <t xml:space="preserve">           NET FOREIGN ASSETS</t>
  </si>
  <si>
    <t xml:space="preserve">DOMESTIC CREDIT </t>
  </si>
  <si>
    <t xml:space="preserve">  Foreign</t>
  </si>
  <si>
    <t xml:space="preserve"> Net foreign</t>
  </si>
  <si>
    <t xml:space="preserve">                                          Net claims on Government</t>
  </si>
  <si>
    <t xml:space="preserve">    Claims on economy</t>
  </si>
  <si>
    <t xml:space="preserve">Loans and </t>
  </si>
  <si>
    <t xml:space="preserve">  Treasury  </t>
  </si>
  <si>
    <t xml:space="preserve">Special </t>
  </si>
  <si>
    <t xml:space="preserve">Rescheduled </t>
  </si>
  <si>
    <t xml:space="preserve">   Governmental </t>
  </si>
  <si>
    <t xml:space="preserve">   Local </t>
  </si>
  <si>
    <t xml:space="preserve"> Claims on</t>
  </si>
  <si>
    <t xml:space="preserve">   Claims on</t>
  </si>
  <si>
    <t>Advances</t>
  </si>
  <si>
    <t>bills and</t>
  </si>
  <si>
    <t xml:space="preserve">    deposits</t>
  </si>
  <si>
    <t xml:space="preserve">  agency</t>
  </si>
  <si>
    <t xml:space="preserve">  deposits</t>
  </si>
  <si>
    <t>CONSOLIDATED BALANCE SHEET OF FINANCIAL SYSTEM</t>
  </si>
  <si>
    <t xml:space="preserve">                     Description</t>
  </si>
  <si>
    <t xml:space="preserve">            Due commitments</t>
  </si>
  <si>
    <t>Other items,net</t>
  </si>
  <si>
    <t xml:space="preserve"> LIABILITIES</t>
  </si>
  <si>
    <t xml:space="preserve">  Currency</t>
  </si>
  <si>
    <t>Demand</t>
  </si>
  <si>
    <t>Time</t>
  </si>
  <si>
    <t xml:space="preserve">Foreign </t>
  </si>
  <si>
    <t xml:space="preserve">  Financial institutions</t>
  </si>
  <si>
    <t xml:space="preserve"> Import</t>
  </si>
  <si>
    <t xml:space="preserve">  in circulation</t>
  </si>
  <si>
    <t xml:space="preserve">         deposits and</t>
  </si>
  <si>
    <t>fund</t>
  </si>
  <si>
    <t xml:space="preserve">  out of </t>
  </si>
  <si>
    <t xml:space="preserve">      deposits</t>
  </si>
  <si>
    <t>borrowing</t>
  </si>
  <si>
    <t>other equity</t>
  </si>
  <si>
    <t xml:space="preserve">   financial system</t>
  </si>
  <si>
    <t>share and</t>
  </si>
  <si>
    <t xml:space="preserve">Public </t>
  </si>
  <si>
    <t>allocated</t>
  </si>
  <si>
    <t>to loans</t>
  </si>
  <si>
    <t xml:space="preserve">Net balance of </t>
  </si>
  <si>
    <t>claims and liabilities</t>
  </si>
  <si>
    <t xml:space="preserve"> intra-financial </t>
  </si>
  <si>
    <t xml:space="preserve"> II.10.1</t>
  </si>
  <si>
    <r>
      <t>2011</t>
    </r>
    <r>
      <rPr>
        <vertAlign val="superscript"/>
        <sz val="10"/>
        <rFont val="Helv"/>
      </rPr>
      <t xml:space="preserve"> </t>
    </r>
  </si>
  <si>
    <r>
      <t>2016</t>
    </r>
    <r>
      <rPr>
        <vertAlign val="superscript"/>
        <sz val="10"/>
        <rFont val="Helv"/>
      </rPr>
      <t/>
    </r>
  </si>
  <si>
    <t xml:space="preserve">          Mai</t>
  </si>
  <si>
    <t>II.9</t>
  </si>
  <si>
    <t>(en millions de BIF)</t>
  </si>
  <si>
    <t xml:space="preserve"> circulation</t>
  </si>
  <si>
    <t>BANKING SECTOR LIQUIDITY</t>
  </si>
  <si>
    <t xml:space="preserve">Net Foreign </t>
  </si>
  <si>
    <t>Net claims on</t>
  </si>
  <si>
    <t>Total autonomous</t>
  </si>
  <si>
    <t>Refinancing</t>
  </si>
  <si>
    <t xml:space="preserve">          central</t>
  </si>
  <si>
    <t>factors</t>
  </si>
  <si>
    <t xml:space="preserve">operations </t>
  </si>
  <si>
    <t xml:space="preserve">  liquidity</t>
  </si>
  <si>
    <t>items</t>
  </si>
  <si>
    <t>BANKING DEPOSITS BY HOLDER</t>
  </si>
  <si>
    <t xml:space="preserve">(In million of BIF) </t>
  </si>
  <si>
    <t xml:space="preserve">                 Demand deposits</t>
  </si>
  <si>
    <t>Households</t>
  </si>
  <si>
    <t xml:space="preserve">nonfinancial </t>
  </si>
  <si>
    <t>nonfinancial</t>
  </si>
  <si>
    <t>accounts</t>
  </si>
  <si>
    <t>Time deposits</t>
  </si>
  <si>
    <t>Demand deposits</t>
  </si>
  <si>
    <t xml:space="preserve">non-financial </t>
  </si>
  <si>
    <t xml:space="preserve"> II.10.2</t>
  </si>
  <si>
    <t>BANKING DEPOSITS IN FOREIGN CURRENCY BY HOLDER</t>
  </si>
  <si>
    <t>II.11</t>
  </si>
  <si>
    <t>r</t>
  </si>
  <si>
    <t>{MODIFIE}{CALCUL}~{BAS}</t>
  </si>
  <si>
    <t>/XG\R~</t>
  </si>
  <si>
    <t>^c</t>
  </si>
  <si>
    <t>{MODIFIE}{HOME}^~{BAS}</t>
  </si>
  <si>
    <t>Dépôts à</t>
  </si>
  <si>
    <t xml:space="preserve">                           DEPOTS A PREAVIS</t>
  </si>
  <si>
    <t>vue</t>
  </si>
  <si>
    <t xml:space="preserve">Emprunts </t>
  </si>
  <si>
    <t>GENERAL</t>
  </si>
  <si>
    <t>rémunérés</t>
  </si>
  <si>
    <t xml:space="preserve">    </t>
  </si>
  <si>
    <t>1 mois</t>
  </si>
  <si>
    <t>obligataires</t>
  </si>
  <si>
    <t>au plus</t>
  </si>
  <si>
    <t/>
  </si>
  <si>
    <t>Passbook</t>
  </si>
  <si>
    <t xml:space="preserve">TIME DEPOSITS  </t>
  </si>
  <si>
    <t>SAVING NOTES</t>
  </si>
  <si>
    <t>account</t>
  </si>
  <si>
    <t>DEPOSITS</t>
  </si>
  <si>
    <t>CURRENCY TERM</t>
  </si>
  <si>
    <t xml:space="preserve">      DEPOSITS</t>
  </si>
  <si>
    <t xml:space="preserve"> Not more than</t>
  </si>
  <si>
    <t xml:space="preserve"> 1month</t>
  </si>
  <si>
    <t xml:space="preserve"> 1year</t>
  </si>
  <si>
    <t>2 years</t>
  </si>
  <si>
    <t>DEPOSITS AND OTHER TIME RESOURCES OF COMMERCIAL BANKS AT THE END OF PERIOD(1)</t>
  </si>
  <si>
    <t>( In million of BIF)</t>
  </si>
  <si>
    <t>FOREIGN</t>
  </si>
  <si>
    <t xml:space="preserve">TOTAL TERM </t>
  </si>
  <si>
    <t>More than</t>
  </si>
  <si>
    <t>II.12</t>
  </si>
  <si>
    <t xml:space="preserve">                      </t>
  </si>
  <si>
    <t>/XG\C~</t>
  </si>
  <si>
    <t>SIGNATURE</t>
  </si>
  <si>
    <t>total</t>
  </si>
  <si>
    <t xml:space="preserve">1995 </t>
  </si>
  <si>
    <t xml:space="preserve">1996 </t>
  </si>
  <si>
    <t>1997(1)</t>
  </si>
  <si>
    <t>1998</t>
  </si>
  <si>
    <t>1999</t>
  </si>
  <si>
    <t>2000</t>
  </si>
  <si>
    <t>2001</t>
  </si>
  <si>
    <t>2002</t>
  </si>
  <si>
    <t xml:space="preserve">2003 </t>
  </si>
  <si>
    <t>2004</t>
  </si>
  <si>
    <t>2005</t>
  </si>
  <si>
    <t>2006</t>
  </si>
  <si>
    <t>2007</t>
  </si>
  <si>
    <t xml:space="preserve">BANKING SYSTEM RISK </t>
  </si>
  <si>
    <t xml:space="preserve">     (In million of BIF)</t>
  </si>
  <si>
    <t xml:space="preserve">LOANS </t>
  </si>
  <si>
    <t>COMMITMENTS</t>
  </si>
  <si>
    <t>LOANS</t>
  </si>
  <si>
    <t>BY</t>
  </si>
  <si>
    <t>OF</t>
  </si>
  <si>
    <t>RISKS</t>
  </si>
  <si>
    <t>Short -term loans</t>
  </si>
  <si>
    <t xml:space="preserve">              Medium -term loans</t>
  </si>
  <si>
    <t xml:space="preserve">             Long- term loans</t>
  </si>
  <si>
    <t xml:space="preserve">                Description</t>
  </si>
  <si>
    <t>Exports</t>
  </si>
  <si>
    <t>Imports</t>
  </si>
  <si>
    <t>Cash</t>
  </si>
  <si>
    <t>lending</t>
  </si>
  <si>
    <t>mobilization</t>
  </si>
  <si>
    <t>after</t>
  </si>
  <si>
    <t>Housing</t>
  </si>
  <si>
    <t>Equipment</t>
  </si>
  <si>
    <t>and others</t>
  </si>
  <si>
    <t>shipment</t>
  </si>
  <si>
    <t xml:space="preserve">     and various</t>
  </si>
  <si>
    <t xml:space="preserve">    and various</t>
  </si>
  <si>
    <t>II.13</t>
  </si>
  <si>
    <t>Agriculture</t>
  </si>
  <si>
    <t xml:space="preserve">TOTAL </t>
  </si>
  <si>
    <t>constructions</t>
  </si>
  <si>
    <t xml:space="preserve"> LOANS BY ACTIVITY SECTOR ( 1)</t>
  </si>
  <si>
    <t>Industry</t>
  </si>
  <si>
    <t>Trade</t>
  </si>
  <si>
    <t>Hostelry and</t>
  </si>
  <si>
    <t>Craft</t>
  </si>
  <si>
    <t>Coffee</t>
  </si>
  <si>
    <t>Tourism</t>
  </si>
  <si>
    <t>(1): Including loans to central government, government agencies and local government</t>
  </si>
  <si>
    <t>(1): Including governmental sector deposits</t>
  </si>
  <si>
    <t>II.14</t>
  </si>
  <si>
    <t xml:space="preserve">2011 </t>
  </si>
  <si>
    <t xml:space="preserve">      Description</t>
  </si>
  <si>
    <t xml:space="preserve">                                                    LOANS PER TERM AND PERFORMANCE  (1)                                                                     </t>
  </si>
  <si>
    <t>Short- term</t>
  </si>
  <si>
    <t>Medium -term</t>
  </si>
  <si>
    <t>Long- term</t>
  </si>
  <si>
    <t>Performing</t>
  </si>
  <si>
    <t>Non performing</t>
  </si>
  <si>
    <t xml:space="preserve">loans </t>
  </si>
  <si>
    <t>loans</t>
  </si>
  <si>
    <t xml:space="preserve"> Performing</t>
  </si>
  <si>
    <t>II.15</t>
  </si>
  <si>
    <t>1995</t>
  </si>
  <si>
    <t>1996</t>
  </si>
  <si>
    <t>1997</t>
  </si>
  <si>
    <t>ce macro elimine les formules</t>
  </si>
  <si>
    <t>II.16</t>
  </si>
  <si>
    <t>Epargne à</t>
  </si>
  <si>
    <t>la source</t>
  </si>
  <si>
    <t>2003</t>
  </si>
  <si>
    <t>II.17</t>
  </si>
  <si>
    <t>CERTIFICATS  DU TRESOR</t>
  </si>
  <si>
    <t>Certificats du Trésor</t>
  </si>
  <si>
    <t xml:space="preserve">Certificats du Trésor </t>
  </si>
  <si>
    <t>à 1 mois</t>
  </si>
  <si>
    <t>à 3 mois</t>
  </si>
  <si>
    <t>II.19</t>
  </si>
  <si>
    <t xml:space="preserve">      </t>
  </si>
  <si>
    <t>-La facilité de prêt marginal s'octroie au dernier taux d'apport de liquidité majoré d'un point de pourcentage à partir de juillet 2006.</t>
  </si>
  <si>
    <t xml:space="preserve">-La facilité de prêt marginal s'octroie au taux moyen pondéré des opérations interbancaires en BIF du mois précedent,majoré </t>
  </si>
  <si>
    <t>de 3 points à partir d'avril 2009.</t>
  </si>
  <si>
    <t xml:space="preserve"> WEIGHTED AVERAGE LENDING RATES CHARGED BY COMMERCIAL BANKS</t>
  </si>
  <si>
    <t xml:space="preserve"> (annual rate in percentage,at the end of period )</t>
  </si>
  <si>
    <t>SHORT- TERM</t>
  </si>
  <si>
    <t>MEDIUM- TERM</t>
  </si>
  <si>
    <t>Overall</t>
  </si>
  <si>
    <t>Export</t>
  </si>
  <si>
    <t>Others</t>
  </si>
  <si>
    <t>Average</t>
  </si>
  <si>
    <t>average</t>
  </si>
  <si>
    <t>and various</t>
  </si>
  <si>
    <t xml:space="preserve">  WEIGHTED AVERAGE DEPOSIT RATES OFFERED BY COMMERCIAL BANKS</t>
  </si>
  <si>
    <t xml:space="preserve">    (annual rate in percentage,at the end of period)</t>
  </si>
  <si>
    <t xml:space="preserve">NOTICE DEPOSITS </t>
  </si>
  <si>
    <t>SAVING CASH NOTES</t>
  </si>
  <si>
    <t>deposits (1)</t>
  </si>
  <si>
    <t xml:space="preserve">Free Saving </t>
  </si>
  <si>
    <t xml:space="preserve">   OVERALL</t>
  </si>
  <si>
    <t>notes</t>
  </si>
  <si>
    <t xml:space="preserve"> AVERAGE</t>
  </si>
  <si>
    <t>Not more than</t>
  </si>
  <si>
    <t xml:space="preserve">more than </t>
  </si>
  <si>
    <t>1 month</t>
  </si>
  <si>
    <t>1 year</t>
  </si>
  <si>
    <t>Operations</t>
  </si>
  <si>
    <t xml:space="preserve">   Overall</t>
  </si>
  <si>
    <t>number</t>
  </si>
  <si>
    <t xml:space="preserve">    amount</t>
  </si>
  <si>
    <t>(Thousands of BIF )</t>
  </si>
  <si>
    <t>ACTIVITIES OF THE CLEARING HOUSE (1)</t>
  </si>
  <si>
    <t xml:space="preserve"> AVERAGE INTEREST RATES OF GOVERNMENT SECURITIES AT THE END OF PERIOD </t>
  </si>
  <si>
    <t xml:space="preserve"> (annual rate in percentage)</t>
  </si>
  <si>
    <t>TREASURY BILLS</t>
  </si>
  <si>
    <t>TREASURY BONDS (Coupon interest rate)</t>
  </si>
  <si>
    <t xml:space="preserve">Treasury bills </t>
  </si>
  <si>
    <t>Treasury bonds</t>
  </si>
  <si>
    <t xml:space="preserve">Treasury bonds </t>
  </si>
  <si>
    <t>at 13 weeks</t>
  </si>
  <si>
    <t>at 26 weeks</t>
  </si>
  <si>
    <t xml:space="preserve">  at 52 weeks</t>
  </si>
  <si>
    <t xml:space="preserve"> at not more than </t>
  </si>
  <si>
    <t>3 to 4 years</t>
  </si>
  <si>
    <t>at 5 years and more</t>
  </si>
  <si>
    <t>INTEREST RATE ON REFINANCING OPERATIONS</t>
  </si>
  <si>
    <t>(annual rate in percentage)</t>
  </si>
  <si>
    <t>Interest rate of normal liquidity providing</t>
  </si>
  <si>
    <t>Interest rate of marginal lending facility</t>
  </si>
  <si>
    <t>LONG TERME</t>
  </si>
  <si>
    <t>(1) : all demand deposits being not remunered,the average interest rate is computed on the basis of the only remunerated deposits.</t>
  </si>
  <si>
    <t xml:space="preserve">(1) Participate in clearing house: </t>
  </si>
  <si>
    <t>-  B.R.B.</t>
  </si>
  <si>
    <t>-  commercial Banks</t>
  </si>
  <si>
    <t>-  post administration (C.C.P)</t>
  </si>
  <si>
    <t>-The marginal lending facility rate is the weighted average rate of interbank operations in BIF of previous month plus 3 points since April 2009</t>
  </si>
  <si>
    <t>II.18</t>
  </si>
  <si>
    <t xml:space="preserve">         April</t>
  </si>
  <si>
    <t>2015  April</t>
  </si>
  <si>
    <t>2015 April</t>
  </si>
  <si>
    <t>(p): Provisoire</t>
  </si>
  <si>
    <t xml:space="preserve">         May</t>
  </si>
  <si>
    <t xml:space="preserve">           May</t>
  </si>
  <si>
    <t xml:space="preserve">            May</t>
  </si>
  <si>
    <t>2015  May</t>
  </si>
  <si>
    <t>2015 May</t>
  </si>
  <si>
    <t>2015   May</t>
  </si>
  <si>
    <t xml:space="preserve"> 2015 May</t>
  </si>
  <si>
    <t xml:space="preserve">            June</t>
  </si>
  <si>
    <t xml:space="preserve">         July</t>
  </si>
  <si>
    <t>2015 Jully</t>
  </si>
  <si>
    <t xml:space="preserve">            July</t>
  </si>
  <si>
    <t>2015  Jully</t>
  </si>
  <si>
    <t>2015  July</t>
  </si>
  <si>
    <t xml:space="preserve">          July</t>
  </si>
  <si>
    <t xml:space="preserve">         August</t>
  </si>
  <si>
    <t>2015 August</t>
  </si>
  <si>
    <t xml:space="preserve">            August</t>
  </si>
  <si>
    <t>2015  August</t>
  </si>
  <si>
    <t xml:space="preserve"> 2015 August</t>
  </si>
  <si>
    <t xml:space="preserve">        August</t>
  </si>
  <si>
    <t xml:space="preserve">            September</t>
  </si>
  <si>
    <t xml:space="preserve">        June</t>
  </si>
  <si>
    <t xml:space="preserve">          April </t>
  </si>
  <si>
    <t xml:space="preserve">           June</t>
  </si>
  <si>
    <t xml:space="preserve">        September</t>
  </si>
  <si>
    <t>2015 October</t>
  </si>
  <si>
    <t xml:space="preserve">         October</t>
  </si>
  <si>
    <t xml:space="preserve">            October</t>
  </si>
  <si>
    <t>2015  October</t>
  </si>
  <si>
    <t xml:space="preserve">        October</t>
  </si>
  <si>
    <t>2014 September</t>
  </si>
  <si>
    <t xml:space="preserve">Source : Commercial banks </t>
  </si>
  <si>
    <t>Source: Other financial intermediairies</t>
  </si>
  <si>
    <t>Source: Monetary Survey and the Balance sheets of Other financial intermediaries.</t>
  </si>
  <si>
    <t>Source: BRB and Commercial banks</t>
  </si>
  <si>
    <t>Source: Commercial banks</t>
  </si>
  <si>
    <t>Source : Commercial banks</t>
  </si>
  <si>
    <t>Source : BRB</t>
  </si>
  <si>
    <r>
      <t>2014 1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</si>
  <si>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 xml:space="preserve">          2</t>
    </r>
    <r>
      <rPr>
        <vertAlign val="superscript"/>
        <sz val="10"/>
        <rFont val="Helv"/>
      </rPr>
      <t>nd</t>
    </r>
    <r>
      <rPr>
        <sz val="10"/>
        <rFont val="Helv"/>
      </rPr>
      <t xml:space="preserve"> quarter</t>
    </r>
  </si>
  <si>
    <r>
      <t xml:space="preserve">          3</t>
    </r>
    <r>
      <rPr>
        <vertAlign val="superscript"/>
        <sz val="10"/>
        <rFont val="Helv"/>
      </rPr>
      <t>rd</t>
    </r>
    <r>
      <rPr>
        <sz val="10"/>
        <rFont val="Helv"/>
      </rPr>
      <t xml:space="preserve"> quarter</t>
    </r>
  </si>
  <si>
    <r>
      <t xml:space="preserve">          4</t>
    </r>
    <r>
      <rPr>
        <vertAlign val="superscript"/>
        <sz val="10"/>
        <rFont val="Helv"/>
      </rPr>
      <t>th</t>
    </r>
    <r>
      <rPr>
        <sz val="10"/>
        <rFont val="Helv"/>
      </rPr>
      <t xml:space="preserve"> quarter</t>
    </r>
  </si>
  <si>
    <r>
      <t>2015 1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</si>
  <si>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>2016 1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</si>
  <si>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>2017 1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</si>
  <si>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t>N.B: The marginal lending facility rate is the weighted average rate of treasury bills at 13 weeks plus 3 points since September 12,2011.</t>
  </si>
  <si>
    <t>(p): Provisional</t>
  </si>
  <si>
    <t xml:space="preserve">         November</t>
  </si>
  <si>
    <t>2015 November</t>
  </si>
  <si>
    <t xml:space="preserve">            November</t>
  </si>
  <si>
    <t xml:space="preserve">        November</t>
  </si>
  <si>
    <t xml:space="preserve">Source: Commercial banks and Other financial intermediaries </t>
  </si>
  <si>
    <t>Source: Financial statement of BRB , Commercial banks and deposit taking  Microfinance Institutions</t>
  </si>
  <si>
    <t xml:space="preserve">Source: Deposit taking microfinance institutions </t>
  </si>
  <si>
    <t>Source: Financial statement of BRB, Commercial banks, Deposit taking microfinance institutions (from December 2010) and CCP</t>
  </si>
  <si>
    <t>Source: Commercial banks, Other financial intermediaries and Deposit taking microfinance institutions (from December 2010)</t>
  </si>
  <si>
    <t xml:space="preserve">            December</t>
  </si>
  <si>
    <t xml:space="preserve">        December</t>
  </si>
  <si>
    <t>2014 December</t>
  </si>
  <si>
    <t>2015 December</t>
  </si>
  <si>
    <t>2015  December</t>
  </si>
  <si>
    <t>2014  December</t>
  </si>
  <si>
    <r>
      <t>2014 4</t>
    </r>
    <r>
      <rPr>
        <vertAlign val="superscript"/>
        <sz val="10"/>
        <rFont val="Helv"/>
      </rPr>
      <t>th</t>
    </r>
    <r>
      <rPr>
        <sz val="10"/>
        <rFont val="Helv"/>
      </rPr>
      <t xml:space="preserve"> quarter</t>
    </r>
  </si>
  <si>
    <t>2017</t>
  </si>
  <si>
    <r>
      <t>2018 January</t>
    </r>
    <r>
      <rPr>
        <vertAlign val="superscript"/>
        <sz val="11"/>
        <rFont val="Helv"/>
      </rPr>
      <t>(p)</t>
    </r>
  </si>
  <si>
    <t>2018 January</t>
  </si>
  <si>
    <t xml:space="preserve">           September</t>
  </si>
  <si>
    <t xml:space="preserve">           December</t>
  </si>
  <si>
    <r>
      <t>2018 January</t>
    </r>
    <r>
      <rPr>
        <vertAlign val="superscript"/>
        <sz val="10"/>
        <rFont val="Helv"/>
      </rPr>
      <t>(p)</t>
    </r>
  </si>
  <si>
    <r>
      <t>2017</t>
    </r>
    <r>
      <rPr>
        <vertAlign val="superscript"/>
        <sz val="10"/>
        <rFont val="Helv"/>
      </rPr>
      <t/>
    </r>
  </si>
  <si>
    <t xml:space="preserve">           February</t>
  </si>
  <si>
    <t xml:space="preserve">2016 February        </t>
  </si>
  <si>
    <r>
      <t xml:space="preserve">          February</t>
    </r>
    <r>
      <rPr>
        <vertAlign val="superscript"/>
        <sz val="11"/>
        <rFont val="Helv"/>
      </rPr>
      <t>(p)</t>
    </r>
  </si>
  <si>
    <r>
      <t xml:space="preserve">           February</t>
    </r>
    <r>
      <rPr>
        <vertAlign val="superscript"/>
        <sz val="10"/>
        <rFont val="Helv"/>
      </rPr>
      <t>(p)</t>
    </r>
  </si>
  <si>
    <r>
      <t xml:space="preserve">           February</t>
    </r>
    <r>
      <rPr>
        <vertAlign val="superscript"/>
        <sz val="11"/>
        <rFont val="Helv"/>
      </rPr>
      <t>(p)</t>
    </r>
  </si>
  <si>
    <t>2016 February</t>
  </si>
  <si>
    <t xml:space="preserve">2016  February        </t>
  </si>
  <si>
    <t xml:space="preserve">           March</t>
  </si>
  <si>
    <t>2018 March</t>
  </si>
  <si>
    <r>
      <t xml:space="preserve">          March</t>
    </r>
    <r>
      <rPr>
        <vertAlign val="superscript"/>
        <sz val="11"/>
        <rFont val="Helv"/>
      </rPr>
      <t>(p)</t>
    </r>
  </si>
  <si>
    <r>
      <t xml:space="preserve">           March</t>
    </r>
    <r>
      <rPr>
        <vertAlign val="superscript"/>
        <sz val="10"/>
        <rFont val="Helv"/>
      </rPr>
      <t>(p)</t>
    </r>
  </si>
  <si>
    <r>
      <t xml:space="preserve">          February</t>
    </r>
    <r>
      <rPr>
        <vertAlign val="superscript"/>
        <sz val="10"/>
        <rFont val="Helv"/>
      </rPr>
      <t>(p)</t>
    </r>
  </si>
  <si>
    <r>
      <t xml:space="preserve">          March</t>
    </r>
    <r>
      <rPr>
        <vertAlign val="superscript"/>
        <sz val="10"/>
        <rFont val="Helv"/>
      </rPr>
      <t>(p)</t>
    </r>
  </si>
  <si>
    <r>
      <t xml:space="preserve">           March</t>
    </r>
    <r>
      <rPr>
        <vertAlign val="superscript"/>
        <sz val="11"/>
        <rFont val="Helv"/>
      </rPr>
      <t>(p)</t>
    </r>
  </si>
  <si>
    <r>
      <t>2018 1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</si>
  <si>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t>2016  April</t>
  </si>
  <si>
    <t>2016 April</t>
  </si>
  <si>
    <t xml:space="preserve">           April</t>
  </si>
  <si>
    <t xml:space="preserve">          April (P)</t>
  </si>
  <si>
    <t xml:space="preserve">          April (p)</t>
  </si>
  <si>
    <r>
      <t xml:space="preserve">           April </t>
    </r>
    <r>
      <rPr>
        <vertAlign val="superscript"/>
        <sz val="10"/>
        <rFont val="Helv"/>
      </rPr>
      <t>(p)</t>
    </r>
  </si>
  <si>
    <r>
      <t xml:space="preserve">          April</t>
    </r>
    <r>
      <rPr>
        <vertAlign val="superscript"/>
        <sz val="10"/>
        <rFont val="Helv"/>
      </rPr>
      <t>(p)</t>
    </r>
  </si>
  <si>
    <t>2016   April</t>
  </si>
  <si>
    <r>
      <t xml:space="preserve">           April </t>
    </r>
    <r>
      <rPr>
        <vertAlign val="superscript"/>
        <sz val="11"/>
        <rFont val="Helv"/>
      </rPr>
      <t>(p)</t>
    </r>
  </si>
  <si>
    <t>2016 May</t>
  </si>
  <si>
    <t>2016  May</t>
  </si>
  <si>
    <t xml:space="preserve">          May(p)</t>
  </si>
  <si>
    <t>2018 March(p)</t>
  </si>
  <si>
    <t xml:space="preserve">          May (p)</t>
  </si>
  <si>
    <r>
      <t>2018  January</t>
    </r>
    <r>
      <rPr>
        <vertAlign val="superscript"/>
        <sz val="10"/>
        <rFont val="Helv"/>
      </rPr>
      <t>(p)</t>
    </r>
  </si>
  <si>
    <r>
      <t xml:space="preserve">          May</t>
    </r>
    <r>
      <rPr>
        <vertAlign val="superscript"/>
        <sz val="10"/>
        <rFont val="Helv"/>
      </rPr>
      <t>(p)</t>
    </r>
  </si>
  <si>
    <t>2016   May</t>
  </si>
  <si>
    <r>
      <t xml:space="preserve">           May</t>
    </r>
    <r>
      <rPr>
        <vertAlign val="superscript"/>
        <sz val="10"/>
        <rFont val="Helv"/>
      </rPr>
      <t>(p)</t>
    </r>
  </si>
  <si>
    <r>
      <t xml:space="preserve">           May </t>
    </r>
    <r>
      <rPr>
        <vertAlign val="superscript"/>
        <sz val="11"/>
        <rFont val="Helv"/>
      </rPr>
      <t>(p)</t>
    </r>
  </si>
  <si>
    <t>2014 June</t>
  </si>
  <si>
    <t>2016 June</t>
  </si>
  <si>
    <t>2015 September</t>
  </si>
  <si>
    <t>2016  June</t>
  </si>
  <si>
    <t>2013 March</t>
  </si>
  <si>
    <t xml:space="preserve">          June(p)</t>
  </si>
  <si>
    <t xml:space="preserve">          June (p)</t>
  </si>
  <si>
    <t xml:space="preserve">         June(p)</t>
  </si>
  <si>
    <r>
      <t>2018  January</t>
    </r>
    <r>
      <rPr>
        <vertAlign val="superscript"/>
        <sz val="11"/>
        <rFont val="Helv"/>
      </rPr>
      <t>(p)</t>
    </r>
  </si>
  <si>
    <t>2018   January</t>
  </si>
  <si>
    <t>2018  March</t>
  </si>
  <si>
    <r>
      <t xml:space="preserve">           June</t>
    </r>
    <r>
      <rPr>
        <vertAlign val="superscript"/>
        <sz val="10"/>
        <rFont val="Helv"/>
      </rPr>
      <t>(p)</t>
    </r>
  </si>
  <si>
    <t>2015  March</t>
  </si>
  <si>
    <t>2016  March</t>
  </si>
  <si>
    <r>
      <t xml:space="preserve">           June </t>
    </r>
    <r>
      <rPr>
        <vertAlign val="superscript"/>
        <sz val="11"/>
        <rFont val="Helv"/>
      </rPr>
      <t>(p)</t>
    </r>
  </si>
  <si>
    <t xml:space="preserve">           April (p)</t>
  </si>
  <si>
    <t xml:space="preserve">           May (p)</t>
  </si>
  <si>
    <t xml:space="preserve">           June (p)</t>
  </si>
  <si>
    <t>(P): provisional</t>
  </si>
  <si>
    <t xml:space="preserve">         June (p)</t>
  </si>
  <si>
    <t>2016 July</t>
  </si>
  <si>
    <r>
      <t xml:space="preserve">           July </t>
    </r>
    <r>
      <rPr>
        <vertAlign val="superscript"/>
        <sz val="11"/>
        <rFont val="Helv"/>
      </rPr>
      <t>(p)</t>
    </r>
  </si>
  <si>
    <r>
      <t xml:space="preserve">           July</t>
    </r>
    <r>
      <rPr>
        <vertAlign val="superscript"/>
        <sz val="10"/>
        <rFont val="Helv"/>
      </rPr>
      <t>(p)</t>
    </r>
  </si>
  <si>
    <t xml:space="preserve">           July</t>
  </si>
  <si>
    <t xml:space="preserve">          July(p)</t>
  </si>
  <si>
    <t>2016  July</t>
  </si>
  <si>
    <t xml:space="preserve">          July (p)</t>
  </si>
  <si>
    <t xml:space="preserve">           July (p)</t>
  </si>
  <si>
    <t xml:space="preserve">         June </t>
  </si>
  <si>
    <t>2016 Jully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</si>
</sst>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_);\(#,##0.0\)"/>
    <numFmt numFmtId="173" formatCode="0_)"/>
    <numFmt numFmtId="174" formatCode="General_)"/>
    <numFmt numFmtId="175" formatCode="0.0_)"/>
    <numFmt numFmtId="176" formatCode="0.0"/>
    <numFmt numFmtId="177" formatCode="0.0_ ;\-0.0\ "/>
    <numFmt numFmtId="178" formatCode="#,##0.0_ ;\-#,##0.0\ "/>
    <numFmt numFmtId="179" formatCode="#,##0.0"/>
    <numFmt numFmtId="180" formatCode="#,##0.0;[Red]#,##0.0"/>
    <numFmt numFmtId="181" formatCode="_-* #,##0.0\ _F_-;\-* #,##0.0\ _F_-;_-* &quot;-&quot;??\ _F_-;_-@_-"/>
    <numFmt numFmtId="182" formatCode="_-* #,##0\ _F_-;\-* #,##0\ _F_-;_-* &quot;-&quot;??\ _F_-;_-@_-"/>
    <numFmt numFmtId="183" formatCode="0.00_)"/>
    <numFmt numFmtId="184" formatCode="#,##0_ ;\-#,##0\ "/>
    <numFmt numFmtId="185" formatCode="&quot;   &quot;@"/>
    <numFmt numFmtId="186" formatCode="&quot;      &quot;@"/>
    <numFmt numFmtId="187" formatCode="&quot;         &quot;@"/>
    <numFmt numFmtId="188" formatCode="&quot;            &quot;@"/>
    <numFmt numFmtId="189" formatCode="&quot;               &quot;@"/>
    <numFmt numFmtId="190" formatCode="#,##0;[Red]\(#,##0\)"/>
    <numFmt numFmtId="191" formatCode="_ * #,##0.00_ ;_ * \-#,##0.00_ ;_ * &quot;-&quot;??_ ;_ @_ "/>
    <numFmt numFmtId="192" formatCode="_-[$€-2]* #,##0.00_-;\-[$€-2]* #,##0.00_-;_-[$€-2]* &quot;-&quot;??_-"/>
    <numFmt numFmtId="193" formatCode="_-* #,##0.00\ [$€]_-;\-* #,##0.00\ [$€]_-;_-* &quot;-&quot;??\ [$€]_-;_-@_-"/>
    <numFmt numFmtId="194" formatCode="#,#00"/>
    <numFmt numFmtId="195" formatCode="#,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&quot;$&quot;#,#00"/>
    <numFmt numFmtId="200" formatCode="&quot;$&quot;#,"/>
    <numFmt numFmtId="201" formatCode="[&gt;=0.05]#,##0.0;[&lt;=-0.05]\-#,##0.0;?\-\-"/>
    <numFmt numFmtId="202" formatCode="#,##0.0000_);\(#,##0.0000\)"/>
  </numFmts>
  <fonts count="57">
    <font>
      <sz val="12"/>
      <name val="Helv"/>
    </font>
    <font>
      <sz val="11"/>
      <name val="Courier New"/>
      <family val="3"/>
    </font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sz val="11"/>
      <name val="Helv"/>
    </font>
    <font>
      <sz val="10"/>
      <color indexed="8"/>
      <name val="Helv"/>
    </font>
    <font>
      <vertAlign val="superscript"/>
      <sz val="10"/>
      <name val="Helv"/>
    </font>
    <font>
      <b/>
      <sz val="12"/>
      <name val="Helv"/>
    </font>
    <font>
      <sz val="10"/>
      <name val="Arial"/>
      <family val="2"/>
    </font>
    <font>
      <b/>
      <i/>
      <sz val="10"/>
      <name val="Helv"/>
    </font>
    <font>
      <sz val="11"/>
      <name val="Tms Rmn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Helv"/>
    </font>
    <font>
      <sz val="10"/>
      <color theme="1"/>
      <name val="Helv"/>
    </font>
    <font>
      <sz val="14"/>
      <name val="Helv"/>
    </font>
    <font>
      <vertAlign val="superscript"/>
      <sz val="11"/>
      <name val="Helv"/>
    </font>
    <font>
      <sz val="11"/>
      <color rgb="FFFF0000"/>
      <name val="Helv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57">
    <xf numFmtId="172" fontId="0" fillId="0" borderId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4" fillId="0" borderId="1">
      <protection hidden="1"/>
    </xf>
    <xf numFmtId="0" fontId="15" fillId="3" borderId="1" applyNumberFormat="0" applyFont="0" applyBorder="0" applyAlignment="0" applyProtection="0">
      <protection hidden="1"/>
    </xf>
    <xf numFmtId="0" fontId="10" fillId="0" borderId="0"/>
    <xf numFmtId="0" fontId="16" fillId="0" borderId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0" fontId="19" fillId="4" borderId="2">
      <alignment horizontal="right" vertical="center"/>
    </xf>
    <xf numFmtId="0" fontId="20" fillId="4" borderId="2">
      <alignment horizontal="right" vertical="center"/>
    </xf>
    <xf numFmtId="0" fontId="10" fillId="4" borderId="3"/>
    <xf numFmtId="0" fontId="10" fillId="4" borderId="3"/>
    <xf numFmtId="0" fontId="10" fillId="4" borderId="3"/>
    <xf numFmtId="0" fontId="10" fillId="4" borderId="3"/>
    <xf numFmtId="0" fontId="10" fillId="4" borderId="3"/>
    <xf numFmtId="0" fontId="10" fillId="4" borderId="3"/>
    <xf numFmtId="0" fontId="10" fillId="4" borderId="3"/>
    <xf numFmtId="0" fontId="10" fillId="4" borderId="3"/>
    <xf numFmtId="0" fontId="10" fillId="4" borderId="3"/>
    <xf numFmtId="0" fontId="10" fillId="4" borderId="3"/>
    <xf numFmtId="0" fontId="21" fillId="5" borderId="2">
      <alignment horizontal="center" vertical="center"/>
    </xf>
    <xf numFmtId="0" fontId="19" fillId="4" borderId="2">
      <alignment horizontal="right" vertical="center"/>
    </xf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22" fillId="4" borderId="2">
      <alignment horizontal="left" vertical="center"/>
    </xf>
    <xf numFmtId="0" fontId="22" fillId="4" borderId="4">
      <alignment vertical="center"/>
    </xf>
    <xf numFmtId="0" fontId="23" fillId="4" borderId="5">
      <alignment vertical="center"/>
    </xf>
    <xf numFmtId="0" fontId="22" fillId="4" borderId="2"/>
    <xf numFmtId="0" fontId="20" fillId="4" borderId="2">
      <alignment horizontal="right" vertical="center"/>
    </xf>
    <xf numFmtId="0" fontId="24" fillId="6" borderId="2">
      <alignment horizontal="left" vertical="center"/>
    </xf>
    <xf numFmtId="0" fontId="24" fillId="6" borderId="2">
      <alignment horizontal="left" vertical="center"/>
    </xf>
    <xf numFmtId="0" fontId="25" fillId="4" borderId="2">
      <alignment horizontal="left" vertical="center"/>
    </xf>
    <xf numFmtId="0" fontId="26" fillId="4" borderId="3"/>
    <xf numFmtId="0" fontId="21" fillId="7" borderId="2">
      <alignment horizontal="left" vertical="center"/>
    </xf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45" fillId="2" borderId="6" applyNumberFormat="0" applyFon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29" fillId="0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4" fontId="2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31" fillId="0" borderId="0"/>
    <xf numFmtId="0" fontId="17" fillId="0" borderId="0">
      <protection locked="0"/>
    </xf>
    <xf numFmtId="194" fontId="17" fillId="0" borderId="0">
      <protection locked="0"/>
    </xf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94" fontId="17" fillId="0" borderId="0">
      <protection locked="0"/>
    </xf>
    <xf numFmtId="38" fontId="32" fillId="7" borderId="0" applyNumberFormat="0" applyBorder="0" applyAlignment="0" applyProtection="0"/>
    <xf numFmtId="0" fontId="33" fillId="0" borderId="7" applyNumberFormat="0" applyAlignment="0" applyProtection="0">
      <alignment horizontal="left" vertical="center"/>
    </xf>
    <xf numFmtId="0" fontId="33" fillId="0" borderId="8">
      <alignment horizontal="left" vertical="center"/>
    </xf>
    <xf numFmtId="195" fontId="34" fillId="0" borderId="0">
      <protection locked="0"/>
    </xf>
    <xf numFmtId="195" fontId="34" fillId="0" borderId="0"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79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0" fontId="32" fillId="4" borderId="2" applyNumberFormat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0" fillId="0" borderId="1">
      <alignment horizontal="left"/>
      <protection locked="0"/>
    </xf>
    <xf numFmtId="1" fontId="27" fillId="0" borderId="0" applyNumberFormat="0" applyAlignment="0">
      <alignment horizontal="center"/>
    </xf>
    <xf numFmtId="173" fontId="41" fillId="0" borderId="0" applyNumberFormat="0">
      <alignment horizontal="centerContinuous"/>
    </xf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0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1" fillId="0" borderId="0" applyFont="0" applyFill="0" applyBorder="0" applyAlignment="0" applyProtection="0"/>
    <xf numFmtId="198" fontId="17" fillId="0" borderId="0">
      <protection locked="0"/>
    </xf>
    <xf numFmtId="16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5" fillId="0" borderId="0" applyFont="0" applyFill="0" applyBorder="0" applyAlignment="0" applyProtection="0"/>
    <xf numFmtId="199" fontId="17" fillId="0" borderId="0">
      <protection locked="0"/>
    </xf>
    <xf numFmtId="200" fontId="17" fillId="0" borderId="0">
      <protection locked="0"/>
    </xf>
    <xf numFmtId="0" fontId="42" fillId="0" borderId="0"/>
    <xf numFmtId="0" fontId="43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2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2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4" fontId="2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2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2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175" fontId="4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0" fontId="10" fillId="0" borderId="0"/>
    <xf numFmtId="0" fontId="2" fillId="0" borderId="0"/>
    <xf numFmtId="174" fontId="2" fillId="0" borderId="0"/>
    <xf numFmtId="0" fontId="10" fillId="0" borderId="0"/>
    <xf numFmtId="0" fontId="2" fillId="0" borderId="0"/>
    <xf numFmtId="0" fontId="10" fillId="0" borderId="0"/>
    <xf numFmtId="174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2" fillId="0" borderId="0"/>
    <xf numFmtId="0" fontId="10" fillId="0" borderId="0"/>
    <xf numFmtId="174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2" fillId="0" borderId="0"/>
    <xf numFmtId="0" fontId="10" fillId="0" borderId="0"/>
    <xf numFmtId="0" fontId="49" fillId="0" borderId="0"/>
    <xf numFmtId="0" fontId="2" fillId="0" borderId="0"/>
    <xf numFmtId="0" fontId="10" fillId="0" borderId="0"/>
    <xf numFmtId="0" fontId="10" fillId="0" borderId="0"/>
    <xf numFmtId="0" fontId="49" fillId="0" borderId="0"/>
    <xf numFmtId="174" fontId="2" fillId="0" borderId="0"/>
    <xf numFmtId="0" fontId="45" fillId="0" borderId="0"/>
    <xf numFmtId="174" fontId="2" fillId="0" borderId="0"/>
    <xf numFmtId="0" fontId="49" fillId="0" borderId="0"/>
    <xf numFmtId="0" fontId="10" fillId="0" borderId="0"/>
    <xf numFmtId="0" fontId="49" fillId="0" borderId="0"/>
    <xf numFmtId="0" fontId="45" fillId="0" borderId="0"/>
    <xf numFmtId="174" fontId="2" fillId="0" borderId="0"/>
    <xf numFmtId="0" fontId="49" fillId="0" borderId="0"/>
    <xf numFmtId="0" fontId="10" fillId="0" borderId="0"/>
    <xf numFmtId="0" fontId="49" fillId="0" borderId="0"/>
    <xf numFmtId="0" fontId="45" fillId="0" borderId="0"/>
    <xf numFmtId="174" fontId="2" fillId="0" borderId="0"/>
    <xf numFmtId="0" fontId="49" fillId="0" borderId="0"/>
    <xf numFmtId="0" fontId="49" fillId="0" borderId="0"/>
    <xf numFmtId="174" fontId="2" fillId="0" borderId="0"/>
    <xf numFmtId="0" fontId="2" fillId="0" borderId="0"/>
    <xf numFmtId="174" fontId="2" fillId="0" borderId="0"/>
    <xf numFmtId="0" fontId="45" fillId="0" borderId="0"/>
    <xf numFmtId="174" fontId="2" fillId="0" borderId="0"/>
    <xf numFmtId="0" fontId="49" fillId="0" borderId="0"/>
    <xf numFmtId="0" fontId="49" fillId="0" borderId="0"/>
    <xf numFmtId="174" fontId="2" fillId="0" borderId="0"/>
    <xf numFmtId="0" fontId="2" fillId="0" borderId="0"/>
    <xf numFmtId="174" fontId="2" fillId="0" borderId="0"/>
    <xf numFmtId="0" fontId="45" fillId="0" borderId="0"/>
    <xf numFmtId="174" fontId="2" fillId="0" borderId="0"/>
    <xf numFmtId="0" fontId="49" fillId="0" borderId="0"/>
    <xf numFmtId="0" fontId="49" fillId="0" borderId="0"/>
    <xf numFmtId="0" fontId="10" fillId="0" borderId="0"/>
    <xf numFmtId="0" fontId="2" fillId="0" borderId="0"/>
    <xf numFmtId="0" fontId="10" fillId="0" borderId="0"/>
    <xf numFmtId="0" fontId="45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2" fillId="0" borderId="0"/>
    <xf numFmtId="0" fontId="45" fillId="0" borderId="0"/>
    <xf numFmtId="174" fontId="2" fillId="0" borderId="0"/>
    <xf numFmtId="174" fontId="2" fillId="0" borderId="0"/>
    <xf numFmtId="0" fontId="2" fillId="0" borderId="0"/>
    <xf numFmtId="0" fontId="10" fillId="0" borderId="0"/>
    <xf numFmtId="0" fontId="45" fillId="0" borderId="0"/>
    <xf numFmtId="174" fontId="2" fillId="0" borderId="0"/>
    <xf numFmtId="0" fontId="2" fillId="0" borderId="0"/>
    <xf numFmtId="0" fontId="10" fillId="0" borderId="0"/>
    <xf numFmtId="0" fontId="45" fillId="0" borderId="0"/>
    <xf numFmtId="174" fontId="2" fillId="0" borderId="0"/>
    <xf numFmtId="0" fontId="2" fillId="0" borderId="0"/>
    <xf numFmtId="0" fontId="10" fillId="0" borderId="0"/>
    <xf numFmtId="0" fontId="45" fillId="0" borderId="0"/>
    <xf numFmtId="174" fontId="2" fillId="0" borderId="0"/>
    <xf numFmtId="0" fontId="2" fillId="0" borderId="0"/>
    <xf numFmtId="0" fontId="10" fillId="0" borderId="0"/>
    <xf numFmtId="0" fontId="45" fillId="0" borderId="0"/>
    <xf numFmtId="174" fontId="2" fillId="0" borderId="0"/>
    <xf numFmtId="0" fontId="2" fillId="0" borderId="0"/>
    <xf numFmtId="0" fontId="10" fillId="0" borderId="0"/>
    <xf numFmtId="0" fontId="45" fillId="0" borderId="0"/>
    <xf numFmtId="174" fontId="2" fillId="0" borderId="0"/>
    <xf numFmtId="0" fontId="10" fillId="0" borderId="0"/>
    <xf numFmtId="0" fontId="45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2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172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2" fontId="2" fillId="0" borderId="0"/>
    <xf numFmtId="0" fontId="10" fillId="0" borderId="0"/>
    <xf numFmtId="0" fontId="10" fillId="0" borderId="0"/>
    <xf numFmtId="0" fontId="2" fillId="0" borderId="0"/>
    <xf numFmtId="201" fontId="27" fillId="0" borderId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17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2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5" fontId="2" fillId="0" borderId="0"/>
    <xf numFmtId="175" fontId="2" fillId="0" borderId="0"/>
    <xf numFmtId="172" fontId="2" fillId="0" borderId="0"/>
    <xf numFmtId="175" fontId="2" fillId="0" borderId="0"/>
    <xf numFmtId="0" fontId="10" fillId="0" borderId="0"/>
    <xf numFmtId="0" fontId="56" fillId="0" borderId="0" applyNumberFormat="0" applyBorder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2" fillId="0" borderId="0"/>
    <xf numFmtId="175" fontId="2" fillId="0" borderId="0"/>
  </cellStyleXfs>
  <cellXfs count="1286">
    <xf numFmtId="172" fontId="0" fillId="0" borderId="0" xfId="0"/>
    <xf numFmtId="179" fontId="3" fillId="0" borderId="1" xfId="276" applyNumberFormat="1" applyFont="1" applyBorder="1" applyAlignment="1" applyProtection="1">
      <alignment horizontal="right"/>
    </xf>
    <xf numFmtId="181" fontId="3" fillId="0" borderId="1" xfId="276" applyNumberFormat="1" applyFont="1" applyFill="1" applyBorder="1" applyAlignment="1" applyProtection="1">
      <alignment horizontal="right"/>
    </xf>
    <xf numFmtId="181" fontId="3" fillId="0" borderId="11" xfId="276" applyNumberFormat="1" applyFont="1" applyFill="1" applyBorder="1" applyAlignment="1" applyProtection="1">
      <alignment horizontal="left"/>
    </xf>
    <xf numFmtId="179" fontId="3" fillId="0" borderId="14" xfId="276" applyNumberFormat="1" applyFont="1" applyBorder="1" applyAlignment="1" applyProtection="1">
      <alignment horizontal="right"/>
    </xf>
    <xf numFmtId="181" fontId="3" fillId="0" borderId="1" xfId="276" applyNumberFormat="1" applyFont="1" applyBorder="1" applyAlignment="1" applyProtection="1">
      <alignment horizontal="right"/>
    </xf>
    <xf numFmtId="179" fontId="3" fillId="0" borderId="1" xfId="276" applyNumberFormat="1" applyFont="1" applyBorder="1" applyAlignment="1" applyProtection="1">
      <alignment horizontal="right" wrapText="1" readingOrder="1"/>
    </xf>
    <xf numFmtId="181" fontId="3" fillId="0" borderId="0" xfId="276" applyNumberFormat="1" applyFont="1" applyBorder="1" applyAlignment="1" applyProtection="1">
      <alignment horizontal="right"/>
    </xf>
    <xf numFmtId="173" fontId="3" fillId="0" borderId="1" xfId="276" applyNumberFormat="1" applyFont="1" applyBorder="1" applyAlignment="1" applyProtection="1">
      <alignment horizontal="centerContinuous"/>
    </xf>
    <xf numFmtId="173" fontId="3" fillId="0" borderId="1" xfId="276" applyNumberFormat="1" applyFont="1" applyBorder="1" applyAlignment="1" applyProtection="1">
      <alignment horizontal="right"/>
    </xf>
    <xf numFmtId="179" fontId="3" fillId="0" borderId="1" xfId="276" applyNumberFormat="1" applyFont="1" applyFill="1" applyBorder="1" applyAlignment="1" applyProtection="1">
      <alignment horizontal="right"/>
    </xf>
    <xf numFmtId="183" fontId="3" fillId="0" borderId="0" xfId="276" applyNumberFormat="1" applyFont="1"/>
    <xf numFmtId="182" fontId="3" fillId="0" borderId="11" xfId="276" applyNumberFormat="1" applyFont="1" applyBorder="1" applyAlignment="1" applyProtection="1">
      <alignment horizontal="fill"/>
    </xf>
    <xf numFmtId="182" fontId="3" fillId="0" borderId="0" xfId="276" applyNumberFormat="1" applyFont="1" applyAlignment="1">
      <alignment horizontal="center"/>
    </xf>
    <xf numFmtId="182" fontId="3" fillId="0" borderId="0" xfId="276" applyNumberFormat="1" applyFont="1" applyBorder="1"/>
    <xf numFmtId="182" fontId="3" fillId="0" borderId="14" xfId="276" applyNumberFormat="1" applyFont="1" applyBorder="1" applyAlignment="1">
      <alignment horizontal="center"/>
    </xf>
    <xf numFmtId="182" fontId="4" fillId="0" borderId="12" xfId="276" applyNumberFormat="1" applyFont="1" applyBorder="1" applyAlignment="1">
      <alignment horizontal="right"/>
    </xf>
    <xf numFmtId="182" fontId="4" fillId="0" borderId="0" xfId="276" applyNumberFormat="1" applyFont="1" applyBorder="1"/>
    <xf numFmtId="182" fontId="4" fillId="0" borderId="14" xfId="276" applyNumberFormat="1" applyFont="1" applyBorder="1" applyAlignment="1">
      <alignment horizontal="center"/>
    </xf>
    <xf numFmtId="182" fontId="3" fillId="0" borderId="9" xfId="276" applyNumberFormat="1" applyFont="1" applyBorder="1" applyAlignment="1" applyProtection="1">
      <alignment horizontal="fill"/>
    </xf>
    <xf numFmtId="182" fontId="3" fillId="0" borderId="16" xfId="276" applyNumberFormat="1" applyFont="1" applyBorder="1" applyAlignment="1" applyProtection="1">
      <alignment horizontal="center"/>
    </xf>
    <xf numFmtId="182" fontId="3" fillId="0" borderId="17" xfId="276" applyNumberFormat="1" applyFont="1" applyBorder="1" applyAlignment="1">
      <alignment horizontal="center"/>
    </xf>
    <xf numFmtId="182" fontId="3" fillId="0" borderId="12" xfId="276" applyNumberFormat="1" applyFont="1" applyBorder="1" applyAlignment="1">
      <alignment horizontal="center"/>
    </xf>
    <xf numFmtId="182" fontId="3" fillId="0" borderId="1" xfId="276" applyNumberFormat="1" applyFont="1" applyBorder="1" applyAlignment="1" applyProtection="1">
      <alignment horizontal="center"/>
    </xf>
    <xf numFmtId="182" fontId="3" fillId="0" borderId="14" xfId="276" quotePrefix="1" applyNumberFormat="1" applyFont="1" applyBorder="1" applyAlignment="1" applyProtection="1">
      <alignment horizontal="center" vertical="center"/>
    </xf>
    <xf numFmtId="182" fontId="3" fillId="0" borderId="1" xfId="276" applyNumberFormat="1" applyFont="1" applyBorder="1" applyAlignment="1">
      <alignment horizontal="center"/>
    </xf>
    <xf numFmtId="184" fontId="3" fillId="0" borderId="14" xfId="276" applyNumberFormat="1" applyFont="1" applyBorder="1" applyAlignment="1">
      <alignment horizontal="center" vertical="center"/>
    </xf>
    <xf numFmtId="182" fontId="3" fillId="0" borderId="14" xfId="276" applyNumberFormat="1" applyFont="1" applyBorder="1" applyAlignment="1" applyProtection="1">
      <alignment horizontal="center"/>
    </xf>
    <xf numFmtId="184" fontId="3" fillId="0" borderId="1" xfId="276" applyNumberFormat="1" applyFont="1" applyBorder="1" applyAlignment="1" applyProtection="1">
      <alignment horizontal="right"/>
    </xf>
    <xf numFmtId="184" fontId="3" fillId="0" borderId="1" xfId="276" applyNumberFormat="1" applyFont="1" applyBorder="1" applyAlignment="1">
      <alignment horizontal="right"/>
    </xf>
    <xf numFmtId="184" fontId="3" fillId="0" borderId="0" xfId="276" applyNumberFormat="1" applyFont="1" applyBorder="1" applyAlignment="1">
      <alignment horizontal="right"/>
    </xf>
    <xf numFmtId="184" fontId="3" fillId="0" borderId="14" xfId="276" applyNumberFormat="1" applyFont="1" applyBorder="1" applyAlignment="1">
      <alignment horizontal="right"/>
    </xf>
    <xf numFmtId="182" fontId="3" fillId="0" borderId="11" xfId="276" applyNumberFormat="1" applyFont="1" applyBorder="1"/>
    <xf numFmtId="182" fontId="3" fillId="0" borderId="0" xfId="276" applyNumberFormat="1" applyFont="1" applyAlignment="1" applyProtection="1">
      <alignment horizontal="center"/>
    </xf>
    <xf numFmtId="182" fontId="3" fillId="0" borderId="0" xfId="276" applyNumberFormat="1" applyFont="1"/>
    <xf numFmtId="182" fontId="3" fillId="0" borderId="0" xfId="276" applyNumberFormat="1" applyFont="1" applyProtection="1"/>
    <xf numFmtId="182" fontId="4" fillId="0" borderId="14" xfId="276" applyNumberFormat="1" applyFont="1" applyBorder="1" applyAlignment="1">
      <alignment horizontal="right"/>
    </xf>
    <xf numFmtId="182" fontId="3" fillId="0" borderId="0" xfId="276" applyNumberFormat="1" applyFont="1" applyBorder="1" applyAlignment="1">
      <alignment horizontal="center"/>
    </xf>
    <xf numFmtId="182" fontId="3" fillId="0" borderId="11" xfId="276" applyNumberFormat="1" applyFont="1" applyBorder="1" applyAlignment="1">
      <alignment horizontal="center"/>
    </xf>
    <xf numFmtId="182" fontId="3" fillId="0" borderId="9" xfId="276" applyNumberFormat="1" applyFont="1" applyBorder="1" applyAlignment="1" applyProtection="1">
      <alignment horizontal="center"/>
    </xf>
    <xf numFmtId="182" fontId="3" fillId="0" borderId="13" xfId="276" applyNumberFormat="1" applyFont="1" applyBorder="1" applyAlignment="1">
      <alignment horizontal="center"/>
    </xf>
    <xf numFmtId="182" fontId="3" fillId="0" borderId="9" xfId="276" applyNumberFormat="1" applyFont="1" applyBorder="1" applyAlignment="1">
      <alignment horizontal="center"/>
    </xf>
    <xf numFmtId="182" fontId="3" fillId="0" borderId="17" xfId="276" applyNumberFormat="1" applyFont="1" applyBorder="1" applyAlignment="1" applyProtection="1">
      <alignment horizontal="center"/>
    </xf>
    <xf numFmtId="182" fontId="3" fillId="0" borderId="18" xfId="276" applyNumberFormat="1" applyFont="1" applyBorder="1" applyAlignment="1">
      <alignment horizontal="center"/>
    </xf>
    <xf numFmtId="182" fontId="3" fillId="0" borderId="18" xfId="276" applyNumberFormat="1" applyFont="1" applyBorder="1" applyAlignment="1" applyProtection="1">
      <alignment horizontal="center"/>
    </xf>
    <xf numFmtId="2" fontId="3" fillId="0" borderId="17" xfId="276" applyNumberFormat="1" applyFont="1" applyBorder="1" applyAlignment="1">
      <alignment horizontal="center"/>
    </xf>
    <xf numFmtId="2" fontId="3" fillId="0" borderId="10" xfId="276" applyNumberFormat="1" applyFont="1" applyBorder="1" applyAlignment="1">
      <alignment horizontal="center"/>
    </xf>
    <xf numFmtId="2" fontId="3" fillId="0" borderId="1" xfId="276" applyNumberFormat="1" applyFont="1" applyBorder="1" applyAlignment="1" applyProtection="1">
      <alignment horizontal="right"/>
    </xf>
    <xf numFmtId="2" fontId="3" fillId="0" borderId="13" xfId="276" applyNumberFormat="1" applyFont="1" applyBorder="1" applyAlignment="1">
      <alignment horizontal="right"/>
    </xf>
    <xf numFmtId="2" fontId="3" fillId="0" borderId="1" xfId="276" applyNumberFormat="1" applyFont="1" applyBorder="1" applyAlignment="1">
      <alignment horizontal="right"/>
    </xf>
    <xf numFmtId="2" fontId="3" fillId="0" borderId="0" xfId="276" applyNumberFormat="1" applyFont="1" applyBorder="1" applyAlignment="1">
      <alignment horizontal="right"/>
    </xf>
    <xf numFmtId="2" fontId="3" fillId="0" borderId="14" xfId="276" applyNumberFormat="1" applyFont="1" applyBorder="1" applyAlignment="1">
      <alignment horizontal="right"/>
    </xf>
    <xf numFmtId="2" fontId="3" fillId="0" borderId="18" xfId="276" applyNumberFormat="1" applyFont="1" applyBorder="1" applyAlignment="1" applyProtection="1">
      <alignment horizontal="right"/>
    </xf>
    <xf numFmtId="2" fontId="3" fillId="0" borderId="15" xfId="276" applyNumberFormat="1" applyFont="1" applyBorder="1" applyAlignment="1">
      <alignment horizontal="right"/>
    </xf>
    <xf numFmtId="2" fontId="3" fillId="0" borderId="0" xfId="276" applyNumberFormat="1" applyFont="1" applyBorder="1" applyAlignment="1" applyProtection="1">
      <alignment horizontal="right"/>
    </xf>
    <xf numFmtId="182" fontId="3" fillId="0" borderId="11" xfId="276" applyNumberFormat="1" applyFont="1" applyBorder="1" applyAlignment="1" applyProtection="1">
      <alignment horizontal="center"/>
    </xf>
    <xf numFmtId="182" fontId="3" fillId="0" borderId="9" xfId="276" applyNumberFormat="1" applyFont="1" applyBorder="1"/>
    <xf numFmtId="182" fontId="3" fillId="0" borderId="0" xfId="276" applyNumberFormat="1" applyFont="1" applyBorder="1" applyAlignment="1" applyProtection="1">
      <alignment horizontal="fill"/>
    </xf>
    <xf numFmtId="182" fontId="4" fillId="0" borderId="11" xfId="276" applyNumberFormat="1" applyFont="1" applyBorder="1" applyAlignment="1">
      <alignment horizontal="right"/>
    </xf>
    <xf numFmtId="182" fontId="3" fillId="0" borderId="16" xfId="276" applyNumberFormat="1" applyFont="1" applyBorder="1" applyAlignment="1" applyProtection="1">
      <alignment horizontal="fill"/>
    </xf>
    <xf numFmtId="182" fontId="4" fillId="0" borderId="1" xfId="276" applyNumberFormat="1" applyFont="1" applyBorder="1" applyAlignment="1" applyProtection="1">
      <alignment horizontal="center"/>
    </xf>
    <xf numFmtId="2" fontId="3" fillId="0" borderId="1" xfId="276" applyNumberFormat="1" applyFont="1" applyBorder="1" applyAlignment="1" applyProtection="1">
      <alignment horizontal="center"/>
    </xf>
    <xf numFmtId="181" fontId="3" fillId="0" borderId="0" xfId="276" applyNumberFormat="1" applyFont="1"/>
    <xf numFmtId="184" fontId="2" fillId="0" borderId="1" xfId="276" applyNumberFormat="1" applyFont="1" applyBorder="1" applyAlignment="1" applyProtection="1">
      <alignment horizontal="right"/>
    </xf>
    <xf numFmtId="172" fontId="3" fillId="0" borderId="10" xfId="0" applyNumberFormat="1" applyFont="1" applyBorder="1" applyAlignment="1" applyProtection="1">
      <alignment horizontal="fill"/>
    </xf>
    <xf numFmtId="172" fontId="3" fillId="0" borderId="11" xfId="0" applyNumberFormat="1" applyFont="1" applyBorder="1" applyAlignment="1" applyProtection="1">
      <alignment horizontal="fill"/>
    </xf>
    <xf numFmtId="172" fontId="3" fillId="0" borderId="11" xfId="0" applyNumberFormat="1" applyFont="1" applyFill="1" applyBorder="1" applyAlignment="1" applyProtection="1">
      <alignment horizontal="fill"/>
    </xf>
    <xf numFmtId="172" fontId="3" fillId="0" borderId="11" xfId="0" applyNumberFormat="1" applyFont="1" applyBorder="1" applyAlignment="1" applyProtection="1">
      <alignment horizontal="center"/>
    </xf>
    <xf numFmtId="172" fontId="3" fillId="0" borderId="12" xfId="0" applyNumberFormat="1" applyFont="1" applyBorder="1" applyAlignment="1" applyProtection="1">
      <alignment horizontal="fill"/>
    </xf>
    <xf numFmtId="172" fontId="3" fillId="0" borderId="0" xfId="0" applyFont="1"/>
    <xf numFmtId="172" fontId="3" fillId="0" borderId="13" xfId="0" applyFont="1" applyBorder="1"/>
    <xf numFmtId="172" fontId="3" fillId="0" borderId="0" xfId="0" applyFont="1" applyBorder="1"/>
    <xf numFmtId="172" fontId="3" fillId="0" borderId="0" xfId="0" applyNumberFormat="1" applyFont="1" applyFill="1" applyBorder="1" applyAlignment="1" applyProtection="1">
      <alignment horizontal="left"/>
    </xf>
    <xf numFmtId="172" fontId="3" fillId="0" borderId="0" xfId="0" applyFont="1" applyBorder="1" applyAlignment="1">
      <alignment horizontal="center"/>
    </xf>
    <xf numFmtId="172" fontId="4" fillId="0" borderId="14" xfId="0" applyNumberFormat="1" applyFont="1" applyBorder="1" applyAlignment="1" applyProtection="1">
      <alignment horizontal="left"/>
    </xf>
    <xf numFmtId="172" fontId="3" fillId="0" borderId="15" xfId="0" applyNumberFormat="1" applyFont="1" applyBorder="1" applyAlignment="1" applyProtection="1">
      <alignment horizontal="fill"/>
    </xf>
    <xf numFmtId="172" fontId="3" fillId="0" borderId="9" xfId="0" applyNumberFormat="1" applyFont="1" applyBorder="1" applyAlignment="1" applyProtection="1">
      <alignment horizontal="fill"/>
    </xf>
    <xf numFmtId="172" fontId="3" fillId="0" borderId="9" xfId="0" applyNumberFormat="1" applyFont="1" applyFill="1" applyBorder="1" applyAlignment="1" applyProtection="1">
      <alignment horizontal="fill"/>
    </xf>
    <xf numFmtId="172" fontId="3" fillId="0" borderId="9" xfId="0" applyNumberFormat="1" applyFont="1" applyBorder="1" applyAlignment="1" applyProtection="1">
      <alignment horizontal="center"/>
    </xf>
    <xf numFmtId="172" fontId="3" fillId="0" borderId="16" xfId="0" applyNumberFormat="1" applyFont="1" applyBorder="1" applyAlignment="1" applyProtection="1">
      <alignment horizontal="fill"/>
    </xf>
    <xf numFmtId="172" fontId="3" fillId="0" borderId="1" xfId="0" applyFont="1" applyBorder="1"/>
    <xf numFmtId="172" fontId="3" fillId="0" borderId="0" xfId="0" applyFont="1" applyFill="1" applyBorder="1"/>
    <xf numFmtId="172" fontId="3" fillId="0" borderId="14" xfId="0" applyFont="1" applyBorder="1"/>
    <xf numFmtId="172" fontId="3" fillId="0" borderId="14" xfId="0" applyFont="1" applyBorder="1" applyAlignment="1">
      <alignment horizontal="center"/>
    </xf>
    <xf numFmtId="172" fontId="4" fillId="0" borderId="1" xfId="0" applyFont="1" applyBorder="1"/>
    <xf numFmtId="172" fontId="4" fillId="0" borderId="14" xfId="0" applyNumberFormat="1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left"/>
    </xf>
    <xf numFmtId="172" fontId="3" fillId="0" borderId="13" xfId="0" applyNumberFormat="1" applyFont="1" applyBorder="1" applyAlignment="1" applyProtection="1">
      <alignment horizontal="left"/>
    </xf>
    <xf numFmtId="172" fontId="3" fillId="10" borderId="0" xfId="0" applyFont="1" applyFill="1"/>
    <xf numFmtId="172" fontId="4" fillId="0" borderId="1" xfId="0" applyNumberFormat="1" applyFont="1" applyBorder="1" applyAlignment="1" applyProtection="1">
      <alignment horizontal="fill"/>
    </xf>
    <xf numFmtId="172" fontId="3" fillId="0" borderId="0" xfId="0" applyNumberFormat="1" applyFont="1" applyBorder="1" applyAlignment="1" applyProtection="1">
      <alignment horizontal="fill"/>
    </xf>
    <xf numFmtId="172" fontId="3" fillId="0" borderId="0" xfId="0" applyNumberFormat="1" applyFont="1" applyFill="1" applyBorder="1" applyAlignment="1" applyProtection="1">
      <alignment horizontal="fill"/>
    </xf>
    <xf numFmtId="172" fontId="3" fillId="0" borderId="14" xfId="0" applyNumberFormat="1" applyFont="1" applyBorder="1" applyAlignment="1" applyProtection="1">
      <alignment horizontal="fill"/>
    </xf>
    <xf numFmtId="172" fontId="3" fillId="0" borderId="16" xfId="0" applyNumberFormat="1" applyFont="1" applyBorder="1" applyAlignment="1" applyProtection="1">
      <alignment horizontal="center"/>
    </xf>
    <xf numFmtId="172" fontId="4" fillId="0" borderId="13" xfId="0" applyFont="1" applyBorder="1"/>
    <xf numFmtId="172" fontId="3" fillId="0" borderId="10" xfId="0" applyFont="1" applyBorder="1"/>
    <xf numFmtId="172" fontId="3" fillId="0" borderId="11" xfId="0" applyFont="1" applyBorder="1"/>
    <xf numFmtId="172" fontId="3" fillId="0" borderId="11" xfId="0" applyFont="1" applyBorder="1" applyAlignment="1">
      <alignment horizontal="center" vertical="center"/>
    </xf>
    <xf numFmtId="172" fontId="3" fillId="0" borderId="12" xfId="0" applyFont="1" applyBorder="1"/>
    <xf numFmtId="172" fontId="3" fillId="0" borderId="12" xfId="0" applyFont="1" applyFill="1" applyBorder="1"/>
    <xf numFmtId="172" fontId="3" fillId="0" borderId="17" xfId="0" applyFont="1" applyBorder="1"/>
    <xf numFmtId="172" fontId="3" fillId="0" borderId="17" xfId="0" applyFont="1" applyBorder="1" applyAlignment="1">
      <alignment horizontal="center"/>
    </xf>
    <xf numFmtId="172" fontId="3" fillId="0" borderId="15" xfId="0" applyFont="1" applyBorder="1"/>
    <xf numFmtId="172" fontId="3" fillId="0" borderId="9" xfId="0" applyNumberFormat="1" applyFont="1" applyBorder="1" applyAlignment="1" applyProtection="1">
      <alignment horizontal="left"/>
    </xf>
    <xf numFmtId="172" fontId="3" fillId="0" borderId="9" xfId="0" applyFont="1" applyBorder="1"/>
    <xf numFmtId="174" fontId="3" fillId="0" borderId="14" xfId="0" applyNumberFormat="1" applyFont="1" applyFill="1" applyBorder="1" applyAlignment="1" applyProtection="1">
      <alignment horizontal="center" vertical="center"/>
    </xf>
    <xf numFmtId="172" fontId="3" fillId="0" borderId="1" xfId="0" applyNumberFormat="1" applyFont="1" applyBorder="1" applyAlignment="1" applyProtection="1">
      <alignment horizontal="center" vertical="center"/>
    </xf>
    <xf numFmtId="172" fontId="3" fillId="0" borderId="0" xfId="0" applyNumberFormat="1" applyFont="1" applyBorder="1" applyAlignment="1" applyProtection="1">
      <alignment horizontal="center"/>
    </xf>
    <xf numFmtId="172" fontId="3" fillId="0" borderId="17" xfId="0" applyNumberFormat="1" applyFont="1" applyBorder="1" applyAlignment="1" applyProtection="1">
      <alignment horizontal="center" vertical="center"/>
    </xf>
    <xf numFmtId="172" fontId="3" fillId="0" borderId="17" xfId="0" applyNumberFormat="1" applyFont="1" applyBorder="1" applyAlignment="1" applyProtection="1">
      <alignment horizontal="center"/>
    </xf>
    <xf numFmtId="174" fontId="3" fillId="0" borderId="1" xfId="0" applyNumberFormat="1" applyFont="1" applyBorder="1" applyAlignment="1" applyProtection="1">
      <alignment horizontal="center" vertical="center"/>
    </xf>
    <xf numFmtId="174" fontId="3" fillId="0" borderId="0" xfId="0" applyNumberFormat="1" applyFont="1" applyBorder="1" applyAlignment="1" applyProtection="1">
      <alignment horizontal="centerContinuous"/>
    </xf>
    <xf numFmtId="172" fontId="3" fillId="0" borderId="1" xfId="0" applyFont="1" applyBorder="1" applyAlignment="1">
      <alignment horizontal="center" vertical="center"/>
    </xf>
    <xf numFmtId="172" fontId="3" fillId="0" borderId="1" xfId="0" applyNumberFormat="1" applyFont="1" applyBorder="1" applyAlignment="1" applyProtection="1">
      <alignment horizontal="left"/>
    </xf>
    <xf numFmtId="172" fontId="3" fillId="0" borderId="14" xfId="0" applyFont="1" applyFill="1" applyBorder="1"/>
    <xf numFmtId="172" fontId="3" fillId="0" borderId="1" xfId="0" applyNumberFormat="1" applyFont="1" applyBorder="1" applyAlignment="1" applyProtection="1">
      <alignment horizontal="center"/>
    </xf>
    <xf numFmtId="172" fontId="3" fillId="0" borderId="14" xfId="0" applyNumberFormat="1" applyFont="1" applyBorder="1" applyAlignment="1" applyProtection="1">
      <alignment horizontal="center" vertical="center"/>
    </xf>
    <xf numFmtId="172" fontId="3" fillId="0" borderId="0" xfId="0" applyNumberFormat="1" applyFont="1" applyBorder="1" applyAlignment="1" applyProtection="1">
      <alignment horizontal="center" vertical="center"/>
    </xf>
    <xf numFmtId="172" fontId="3" fillId="0" borderId="13" xfId="0" applyNumberFormat="1" applyFont="1" applyBorder="1" applyAlignment="1" applyProtection="1">
      <alignment horizontal="center" vertical="center"/>
    </xf>
    <xf numFmtId="172" fontId="3" fillId="0" borderId="14" xfId="0" applyNumberFormat="1" applyFont="1" applyFill="1" applyBorder="1" applyAlignment="1" applyProtection="1">
      <alignment horizontal="left"/>
    </xf>
    <xf numFmtId="172" fontId="3" fillId="0" borderId="1" xfId="0" applyFont="1" applyBorder="1" applyAlignment="1">
      <alignment horizontal="center"/>
    </xf>
    <xf numFmtId="172" fontId="3" fillId="0" borderId="18" xfId="0" applyFont="1" applyBorder="1"/>
    <xf numFmtId="172" fontId="3" fillId="0" borderId="16" xfId="0" applyFont="1" applyBorder="1"/>
    <xf numFmtId="172" fontId="3" fillId="0" borderId="18" xfId="0" applyNumberFormat="1" applyFont="1" applyBorder="1" applyAlignment="1" applyProtection="1">
      <alignment horizontal="left"/>
    </xf>
    <xf numFmtId="172" fontId="3" fillId="0" borderId="16" xfId="0" applyFont="1" applyFill="1" applyBorder="1"/>
    <xf numFmtId="172" fontId="3" fillId="0" borderId="18" xfId="0" applyFont="1" applyBorder="1" applyAlignment="1">
      <alignment horizontal="center"/>
    </xf>
    <xf numFmtId="172" fontId="3" fillId="0" borderId="17" xfId="0" applyNumberFormat="1" applyFont="1" applyBorder="1" applyAlignment="1" applyProtection="1">
      <alignment horizontal="fill"/>
    </xf>
    <xf numFmtId="172" fontId="3" fillId="0" borderId="1" xfId="0" quotePrefix="1" applyNumberFormat="1" applyFont="1" applyFill="1" applyBorder="1" applyAlignment="1" applyProtection="1">
      <alignment horizontal="left"/>
    </xf>
    <xf numFmtId="179" fontId="3" fillId="0" borderId="14" xfId="0" applyNumberFormat="1" applyFont="1" applyBorder="1" applyAlignment="1" applyProtection="1">
      <alignment horizontal="right"/>
    </xf>
    <xf numFmtId="179" fontId="3" fillId="0" borderId="0" xfId="0" applyNumberFormat="1" applyFont="1" applyBorder="1" applyAlignment="1" applyProtection="1">
      <alignment horizontal="right"/>
    </xf>
    <xf numFmtId="179" fontId="3" fillId="0" borderId="1" xfId="0" applyNumberFormat="1" applyFont="1" applyBorder="1" applyAlignment="1" applyProtection="1">
      <alignment horizontal="right"/>
    </xf>
    <xf numFmtId="172" fontId="3" fillId="10" borderId="1" xfId="0" applyNumberFormat="1" applyFont="1" applyFill="1" applyBorder="1" applyAlignment="1" applyProtection="1">
      <alignment horizontal="right"/>
    </xf>
    <xf numFmtId="179" fontId="3" fillId="0" borderId="0" xfId="0" applyNumberFormat="1" applyFont="1"/>
    <xf numFmtId="179" fontId="3" fillId="0" borderId="0" xfId="0" applyNumberFormat="1" applyFont="1" applyFill="1" applyBorder="1" applyAlignment="1" applyProtection="1">
      <alignment horizontal="right"/>
    </xf>
    <xf numFmtId="172" fontId="3" fillId="10" borderId="1" xfId="0" quotePrefix="1" applyNumberFormat="1" applyFont="1" applyFill="1" applyBorder="1" applyAlignment="1" applyProtection="1">
      <alignment horizontal="left"/>
    </xf>
    <xf numFmtId="179" fontId="3" fillId="10" borderId="14" xfId="0" applyNumberFormat="1" applyFont="1" applyFill="1" applyBorder="1" applyAlignment="1" applyProtection="1">
      <alignment horizontal="right"/>
    </xf>
    <xf numFmtId="179" fontId="3" fillId="10" borderId="0" xfId="0" applyNumberFormat="1" applyFont="1" applyFill="1" applyBorder="1" applyAlignment="1" applyProtection="1">
      <alignment horizontal="right"/>
    </xf>
    <xf numFmtId="179" fontId="3" fillId="10" borderId="1" xfId="0" applyNumberFormat="1" applyFont="1" applyFill="1" applyBorder="1" applyAlignment="1" applyProtection="1">
      <alignment horizontal="right"/>
    </xf>
    <xf numFmtId="172" fontId="3" fillId="0" borderId="1" xfId="0" quotePrefix="1" applyNumberFormat="1" applyFont="1" applyBorder="1" applyAlignment="1" applyProtection="1">
      <alignment horizontal="left"/>
    </xf>
    <xf numFmtId="172" fontId="51" fillId="0" borderId="0" xfId="0" applyFont="1"/>
    <xf numFmtId="179" fontId="3" fillId="0" borderId="1" xfId="0" applyNumberFormat="1" applyFont="1" applyFill="1" applyBorder="1" applyAlignment="1" applyProtection="1">
      <alignment horizontal="right"/>
    </xf>
    <xf numFmtId="179" fontId="3" fillId="0" borderId="13" xfId="0" applyNumberFormat="1" applyFont="1" applyBorder="1" applyAlignment="1" applyProtection="1">
      <alignment horizontal="right"/>
    </xf>
    <xf numFmtId="172" fontId="3" fillId="0" borderId="1" xfId="0" applyNumberFormat="1" applyFont="1" applyFill="1" applyBorder="1" applyAlignment="1" applyProtection="1">
      <alignment horizontal="left"/>
    </xf>
    <xf numFmtId="179" fontId="3" fillId="10" borderId="1" xfId="276" applyNumberFormat="1" applyFont="1" applyFill="1" applyBorder="1" applyAlignment="1" applyProtection="1">
      <alignment horizontal="right"/>
    </xf>
    <xf numFmtId="172" fontId="3" fillId="10" borderId="1" xfId="0" applyNumberFormat="1" applyFont="1" applyFill="1" applyBorder="1" applyAlignment="1" applyProtection="1">
      <alignment horizontal="left"/>
    </xf>
    <xf numFmtId="172" fontId="3" fillId="0" borderId="0" xfId="0" applyFont="1" applyFill="1"/>
    <xf numFmtId="179" fontId="3" fillId="0" borderId="16" xfId="0" applyNumberFormat="1" applyFont="1" applyBorder="1" applyAlignment="1" applyProtection="1">
      <alignment horizontal="right"/>
    </xf>
    <xf numFmtId="179" fontId="3" fillId="0" borderId="18" xfId="0" applyNumberFormat="1" applyFont="1" applyBorder="1" applyAlignment="1" applyProtection="1">
      <alignment horizontal="right"/>
    </xf>
    <xf numFmtId="172" fontId="3" fillId="0" borderId="10" xfId="0" applyFont="1" applyBorder="1" applyAlignment="1">
      <alignment horizontal="left"/>
    </xf>
    <xf numFmtId="172" fontId="3" fillId="0" borderId="11" xfId="0" applyFont="1" applyFill="1" applyBorder="1"/>
    <xf numFmtId="172" fontId="3" fillId="0" borderId="11" xfId="0" applyFont="1" applyBorder="1" applyAlignment="1">
      <alignment horizontal="center"/>
    </xf>
    <xf numFmtId="172" fontId="4" fillId="0" borderId="15" xfId="0" applyFont="1" applyBorder="1" applyAlignment="1">
      <alignment horizontal="left"/>
    </xf>
    <xf numFmtId="172" fontId="3" fillId="0" borderId="0" xfId="0" applyFont="1" applyAlignment="1">
      <alignment horizontal="center"/>
    </xf>
    <xf numFmtId="179" fontId="3" fillId="0" borderId="14" xfId="0" applyNumberFormat="1" applyFont="1" applyBorder="1" applyAlignment="1" applyProtection="1"/>
    <xf numFmtId="179" fontId="3" fillId="0" borderId="1" xfId="0" applyNumberFormat="1" applyFont="1" applyBorder="1" applyAlignment="1" applyProtection="1"/>
    <xf numFmtId="179" fontId="3" fillId="0" borderId="0" xfId="0" applyNumberFormat="1" applyFont="1" applyBorder="1" applyAlignment="1" applyProtection="1"/>
    <xf numFmtId="179" fontId="3" fillId="0" borderId="10" xfId="0" applyNumberFormat="1" applyFont="1" applyBorder="1"/>
    <xf numFmtId="179" fontId="3" fillId="0" borderId="11" xfId="0" applyNumberFormat="1" applyFont="1" applyBorder="1" applyAlignment="1" applyProtection="1"/>
    <xf numFmtId="179" fontId="3" fillId="0" borderId="11" xfId="0" applyNumberFormat="1" applyFont="1" applyFill="1" applyBorder="1" applyAlignment="1" applyProtection="1"/>
    <xf numFmtId="179" fontId="3" fillId="10" borderId="11" xfId="0" applyNumberFormat="1" applyFont="1" applyFill="1" applyBorder="1" applyAlignment="1" applyProtection="1"/>
    <xf numFmtId="179" fontId="3" fillId="0" borderId="12" xfId="0" applyNumberFormat="1" applyFont="1" applyBorder="1" applyAlignment="1"/>
    <xf numFmtId="179" fontId="4" fillId="0" borderId="13" xfId="0" applyNumberFormat="1" applyFont="1" applyBorder="1" applyAlignment="1" applyProtection="1">
      <alignment horizontal="left"/>
    </xf>
    <xf numFmtId="179" fontId="4" fillId="0" borderId="14" xfId="0" applyNumberFormat="1" applyFont="1" applyBorder="1" applyAlignment="1" applyProtection="1"/>
    <xf numFmtId="179" fontId="3" fillId="0" borderId="13" xfId="0" applyNumberFormat="1" applyFont="1" applyBorder="1"/>
    <xf numFmtId="179" fontId="3" fillId="0" borderId="15" xfId="0" applyNumberFormat="1" applyFont="1" applyBorder="1" applyAlignment="1" applyProtection="1">
      <alignment horizontal="left"/>
    </xf>
    <xf numFmtId="179" fontId="3" fillId="0" borderId="9" xfId="0" applyNumberFormat="1" applyFont="1" applyBorder="1" applyAlignment="1" applyProtection="1"/>
    <xf numFmtId="179" fontId="3" fillId="0" borderId="9" xfId="0" applyNumberFormat="1" applyFont="1" applyFill="1" applyBorder="1" applyAlignment="1" applyProtection="1"/>
    <xf numFmtId="179" fontId="3" fillId="10" borderId="9" xfId="0" applyNumberFormat="1" applyFont="1" applyFill="1" applyBorder="1" applyAlignment="1" applyProtection="1"/>
    <xf numFmtId="179" fontId="3" fillId="0" borderId="16" xfId="0" applyNumberFormat="1" applyFont="1" applyBorder="1" applyAlignment="1" applyProtection="1"/>
    <xf numFmtId="179" fontId="4" fillId="0" borderId="17" xfId="0" applyNumberFormat="1" applyFont="1" applyBorder="1" applyProtection="1"/>
    <xf numFmtId="179" fontId="3" fillId="0" borderId="10" xfId="0" applyNumberFormat="1" applyFont="1" applyBorder="1" applyAlignment="1" applyProtection="1"/>
    <xf numFmtId="179" fontId="3" fillId="0" borderId="12" xfId="0" applyNumberFormat="1" applyFont="1" applyBorder="1" applyAlignment="1" applyProtection="1"/>
    <xf numFmtId="179" fontId="3" fillId="0" borderId="10" xfId="0" applyNumberFormat="1" applyFont="1" applyFill="1" applyBorder="1" applyAlignment="1" applyProtection="1"/>
    <xf numFmtId="179" fontId="3" fillId="0" borderId="17" xfId="0" applyNumberFormat="1" applyFont="1" applyBorder="1" applyAlignment="1" applyProtection="1"/>
    <xf numFmtId="179" fontId="3" fillId="10" borderId="17" xfId="0" applyNumberFormat="1" applyFont="1" applyFill="1" applyBorder="1" applyAlignment="1" applyProtection="1"/>
    <xf numFmtId="179" fontId="4" fillId="0" borderId="1" xfId="0" applyNumberFormat="1" applyFont="1" applyBorder="1" applyProtection="1"/>
    <xf numFmtId="179" fontId="3" fillId="0" borderId="1" xfId="0" applyNumberFormat="1" applyFont="1" applyBorder="1" applyAlignment="1">
      <alignment horizontal="center"/>
    </xf>
    <xf numFmtId="179" fontId="3" fillId="0" borderId="14" xfId="0" applyNumberFormat="1" applyFont="1" applyBorder="1" applyAlignment="1" applyProtection="1">
      <alignment horizontal="center"/>
    </xf>
    <xf numFmtId="179" fontId="3" fillId="10" borderId="1" xfId="0" applyNumberFormat="1" applyFont="1" applyFill="1" applyBorder="1" applyAlignment="1">
      <alignment horizontal="center"/>
    </xf>
    <xf numFmtId="179" fontId="3" fillId="0" borderId="1" xfId="0" applyNumberFormat="1" applyFont="1" applyBorder="1" applyAlignment="1" applyProtection="1">
      <alignment horizontal="center"/>
    </xf>
    <xf numFmtId="179" fontId="4" fillId="0" borderId="1" xfId="0" applyNumberFormat="1" applyFont="1" applyBorder="1" applyAlignment="1" applyProtection="1">
      <alignment horizontal="center"/>
    </xf>
    <xf numFmtId="179" fontId="3" fillId="0" borderId="13" xfId="0" applyNumberFormat="1" applyFont="1" applyBorder="1" applyAlignment="1" applyProtection="1"/>
    <xf numFmtId="179" fontId="3" fillId="0" borderId="0" xfId="0" applyNumberFormat="1" applyFont="1" applyBorder="1" applyAlignment="1"/>
    <xf numFmtId="179" fontId="3" fillId="0" borderId="0" xfId="0" applyNumberFormat="1" applyFont="1" applyFill="1" applyBorder="1" applyAlignment="1" applyProtection="1"/>
    <xf numFmtId="179" fontId="3" fillId="0" borderId="13" xfId="0" applyNumberFormat="1" applyFont="1" applyFill="1" applyBorder="1" applyAlignment="1" applyProtection="1"/>
    <xf numFmtId="179" fontId="3" fillId="0" borderId="13" xfId="0" applyNumberFormat="1" applyFont="1" applyFill="1" applyBorder="1" applyAlignment="1" applyProtection="1">
      <alignment horizontal="center"/>
    </xf>
    <xf numFmtId="179" fontId="3" fillId="10" borderId="1" xfId="0" applyNumberFormat="1" applyFont="1" applyFill="1" applyBorder="1" applyAlignment="1" applyProtection="1">
      <alignment horizontal="center"/>
    </xf>
    <xf numFmtId="179" fontId="4" fillId="0" borderId="1" xfId="0" applyNumberFormat="1" applyFont="1" applyBorder="1" applyAlignment="1" applyProtection="1">
      <alignment horizontal="fill"/>
    </xf>
    <xf numFmtId="179" fontId="3" fillId="0" borderId="15" xfId="0" applyNumberFormat="1" applyFont="1" applyBorder="1" applyAlignment="1" applyProtection="1">
      <alignment horizontal="fill"/>
    </xf>
    <xf numFmtId="179" fontId="3" fillId="0" borderId="9" xfId="0" applyNumberFormat="1" applyFont="1" applyBorder="1" applyAlignment="1" applyProtection="1">
      <alignment horizontal="fill"/>
    </xf>
    <xf numFmtId="179" fontId="3" fillId="0" borderId="9" xfId="0" applyNumberFormat="1" applyFont="1" applyFill="1" applyBorder="1" applyAlignment="1" applyProtection="1">
      <alignment horizontal="fill"/>
    </xf>
    <xf numFmtId="179" fontId="3" fillId="0" borderId="16" xfId="0" applyNumberFormat="1" applyFont="1" applyBorder="1" applyAlignment="1" applyProtection="1">
      <alignment horizontal="fill"/>
    </xf>
    <xf numFmtId="179" fontId="3" fillId="0" borderId="15" xfId="0" applyNumberFormat="1" applyFont="1" applyFill="1" applyBorder="1" applyAlignment="1" applyProtection="1">
      <alignment horizontal="fill"/>
    </xf>
    <xf numFmtId="179" fontId="3" fillId="0" borderId="0" xfId="0" applyNumberFormat="1" applyFont="1" applyBorder="1" applyAlignment="1" applyProtection="1">
      <alignment horizontal="center"/>
    </xf>
    <xf numFmtId="179" fontId="3" fillId="0" borderId="1" xfId="0" applyNumberFormat="1" applyFont="1" applyFill="1" applyBorder="1" applyAlignment="1" applyProtection="1">
      <alignment horizontal="center"/>
    </xf>
    <xf numFmtId="179" fontId="3" fillId="10" borderId="1" xfId="0" applyNumberFormat="1" applyFont="1" applyFill="1" applyBorder="1" applyAlignment="1" applyProtection="1"/>
    <xf numFmtId="179" fontId="3" fillId="0" borderId="13" xfId="0" applyNumberFormat="1" applyFont="1" applyBorder="1" applyAlignment="1" applyProtection="1">
      <alignment horizontal="center"/>
    </xf>
    <xf numFmtId="179" fontId="3" fillId="0" borderId="1" xfId="0" applyNumberFormat="1" applyFont="1" applyBorder="1" applyAlignment="1" applyProtection="1">
      <alignment horizontal="centerContinuous"/>
    </xf>
    <xf numFmtId="179" fontId="3" fillId="0" borderId="0" xfId="0" applyNumberFormat="1" applyFont="1" applyBorder="1" applyAlignment="1">
      <alignment horizontal="center"/>
    </xf>
    <xf numFmtId="179" fontId="3" fillId="0" borderId="13" xfId="0" applyNumberFormat="1" applyFont="1" applyBorder="1" applyAlignment="1"/>
    <xf numFmtId="179" fontId="3" fillId="0" borderId="1" xfId="0" applyNumberFormat="1" applyFont="1" applyBorder="1" applyAlignment="1"/>
    <xf numFmtId="179" fontId="3" fillId="0" borderId="18" xfId="0" applyNumberFormat="1" applyFont="1" applyBorder="1" applyAlignment="1" applyProtection="1">
      <alignment horizontal="center"/>
    </xf>
    <xf numFmtId="179" fontId="3" fillId="0" borderId="9" xfId="0" applyNumberFormat="1" applyFont="1" applyBorder="1" applyAlignment="1" applyProtection="1">
      <alignment horizontal="center"/>
    </xf>
    <xf numFmtId="179" fontId="3" fillId="0" borderId="18" xfId="0" applyNumberFormat="1" applyFont="1" applyFill="1" applyBorder="1" applyAlignment="1" applyProtection="1">
      <alignment horizontal="center"/>
    </xf>
    <xf numFmtId="179" fontId="3" fillId="0" borderId="16" xfId="0" applyNumberFormat="1" applyFont="1" applyBorder="1" applyAlignment="1" applyProtection="1">
      <alignment horizontal="center"/>
    </xf>
    <xf numFmtId="179" fontId="3" fillId="0" borderId="15" xfId="0" applyNumberFormat="1" applyFont="1" applyFill="1" applyBorder="1" applyAlignment="1" applyProtection="1"/>
    <xf numFmtId="179" fontId="3" fillId="0" borderId="15" xfId="0" applyNumberFormat="1" applyFont="1" applyBorder="1" applyAlignment="1" applyProtection="1"/>
    <xf numFmtId="179" fontId="3" fillId="0" borderId="18" xfId="0" applyNumberFormat="1" applyFont="1" applyBorder="1" applyAlignment="1" applyProtection="1"/>
    <xf numFmtId="179" fontId="3" fillId="10" borderId="18" xfId="0" applyNumberFormat="1" applyFont="1" applyFill="1" applyBorder="1" applyAlignment="1" applyProtection="1"/>
    <xf numFmtId="179" fontId="3" fillId="0" borderId="10" xfId="0" applyNumberFormat="1" applyFont="1" applyBorder="1" applyProtection="1"/>
    <xf numFmtId="179" fontId="3" fillId="0" borderId="1" xfId="0" applyNumberFormat="1" applyFont="1" applyFill="1" applyBorder="1" applyAlignment="1" applyProtection="1"/>
    <xf numFmtId="179" fontId="3" fillId="0" borderId="1" xfId="0" applyNumberFormat="1" applyFont="1" applyFill="1" applyBorder="1" applyAlignment="1">
      <alignment horizontal="right"/>
    </xf>
    <xf numFmtId="179" fontId="3" fillId="0" borderId="13" xfId="0" quotePrefix="1" applyNumberFormat="1" applyFont="1" applyFill="1" applyBorder="1" applyAlignment="1" applyProtection="1">
      <alignment horizontal="left"/>
    </xf>
    <xf numFmtId="179" fontId="3" fillId="0" borderId="1" xfId="0" applyNumberFormat="1" applyFont="1" applyBorder="1" applyAlignment="1">
      <alignment horizontal="right"/>
    </xf>
    <xf numFmtId="179" fontId="3" fillId="0" borderId="0" xfId="0" applyNumberFormat="1" applyFont="1" applyBorder="1"/>
    <xf numFmtId="179" fontId="3" fillId="10" borderId="13" xfId="0" quotePrefix="1" applyNumberFormat="1" applyFont="1" applyFill="1" applyBorder="1" applyAlignment="1" applyProtection="1">
      <alignment horizontal="left"/>
    </xf>
    <xf numFmtId="179" fontId="3" fillId="10" borderId="1" xfId="0" applyNumberFormat="1" applyFont="1" applyFill="1" applyBorder="1" applyAlignment="1">
      <alignment horizontal="right"/>
    </xf>
    <xf numFmtId="179" fontId="3" fillId="10" borderId="0" xfId="0" applyNumberFormat="1" applyFont="1" applyFill="1" applyBorder="1"/>
    <xf numFmtId="179" fontId="3" fillId="0" borderId="13" xfId="0" quotePrefix="1" applyNumberFormat="1" applyFont="1" applyBorder="1" applyAlignment="1">
      <alignment horizontal="left"/>
    </xf>
    <xf numFmtId="179" fontId="3" fillId="0" borderId="14" xfId="0" applyNumberFormat="1" applyFont="1" applyFill="1" applyBorder="1" applyAlignment="1" applyProtection="1">
      <alignment horizontal="right"/>
    </xf>
    <xf numFmtId="179" fontId="3" fillId="0" borderId="0" xfId="0" applyNumberFormat="1" applyFont="1" applyFill="1" applyBorder="1"/>
    <xf numFmtId="179" fontId="3" fillId="0" borderId="13" xfId="0" applyNumberFormat="1" applyFont="1" applyBorder="1" applyAlignment="1">
      <alignment horizontal="left"/>
    </xf>
    <xf numFmtId="172" fontId="3" fillId="0" borderId="13" xfId="0" applyNumberFormat="1" applyFont="1" applyFill="1" applyBorder="1" applyAlignment="1" applyProtection="1">
      <alignment horizontal="left"/>
    </xf>
    <xf numFmtId="179" fontId="3" fillId="0" borderId="18" xfId="0" applyNumberFormat="1" applyFont="1" applyFill="1" applyBorder="1" applyAlignment="1" applyProtection="1">
      <alignment horizontal="right"/>
    </xf>
    <xf numFmtId="179" fontId="3" fillId="0" borderId="11" xfId="0" applyNumberFormat="1" applyFont="1" applyFill="1" applyBorder="1" applyAlignment="1"/>
    <xf numFmtId="179" fontId="3" fillId="0" borderId="9" xfId="0" applyNumberFormat="1" applyFont="1" applyBorder="1" applyAlignment="1">
      <alignment horizontal="centerContinuous"/>
    </xf>
    <xf numFmtId="179" fontId="3" fillId="0" borderId="9" xfId="0" applyNumberFormat="1" applyFont="1" applyFill="1" applyBorder="1" applyAlignment="1">
      <alignment horizontal="centerContinuous"/>
    </xf>
    <xf numFmtId="179" fontId="3" fillId="0" borderId="0" xfId="0" applyNumberFormat="1" applyFont="1" applyFill="1" applyBorder="1" applyAlignment="1"/>
    <xf numFmtId="179" fontId="3" fillId="10" borderId="0" xfId="0" applyNumberFormat="1" applyFont="1" applyFill="1" applyBorder="1" applyAlignment="1"/>
    <xf numFmtId="179" fontId="3" fillId="0" borderId="0" xfId="0" applyNumberFormat="1" applyFont="1" applyAlignment="1"/>
    <xf numFmtId="179" fontId="3" fillId="0" borderId="0" xfId="0" applyNumberFormat="1" applyFont="1" applyFill="1" applyAlignment="1"/>
    <xf numFmtId="179" fontId="3" fillId="10" borderId="0" xfId="0" applyNumberFormat="1" applyFont="1" applyFill="1" applyAlignment="1"/>
    <xf numFmtId="172" fontId="4" fillId="0" borderId="11" xfId="0" applyNumberFormat="1" applyFont="1" applyBorder="1" applyAlignment="1" applyProtection="1">
      <alignment horizontal="center"/>
    </xf>
    <xf numFmtId="172" fontId="3" fillId="0" borderId="11" xfId="0" applyNumberFormat="1" applyFont="1" applyBorder="1" applyAlignment="1" applyProtection="1">
      <alignment horizontal="left"/>
    </xf>
    <xf numFmtId="172" fontId="3" fillId="0" borderId="11" xfId="0" applyFont="1" applyBorder="1" applyAlignment="1">
      <alignment horizontal="left"/>
    </xf>
    <xf numFmtId="172" fontId="3" fillId="0" borderId="12" xfId="0" applyFont="1" applyBorder="1" applyAlignment="1">
      <alignment horizontal="left"/>
    </xf>
    <xf numFmtId="172" fontId="4" fillId="0" borderId="13" xfId="0" applyNumberFormat="1" applyFont="1" applyBorder="1" applyAlignment="1" applyProtection="1">
      <alignment horizontal="center" vertical="center"/>
    </xf>
    <xf numFmtId="172" fontId="4" fillId="0" borderId="14" xfId="0" applyNumberFormat="1" applyFont="1" applyBorder="1" applyAlignment="1" applyProtection="1">
      <alignment horizontal="centerContinuous"/>
    </xf>
    <xf numFmtId="172" fontId="4" fillId="0" borderId="16" xfId="0" applyFont="1" applyBorder="1" applyAlignment="1"/>
    <xf numFmtId="172" fontId="3" fillId="0" borderId="1" xfId="0" applyFont="1" applyBorder="1" applyAlignment="1">
      <alignment horizontal="centerContinuous"/>
    </xf>
    <xf numFmtId="175" fontId="3" fillId="0" borderId="1" xfId="0" applyNumberFormat="1" applyFont="1" applyBorder="1" applyAlignment="1" applyProtection="1">
      <alignment horizontal="right"/>
    </xf>
    <xf numFmtId="175" fontId="3" fillId="0" borderId="1" xfId="0" applyNumberFormat="1" applyFont="1" applyBorder="1" applyAlignment="1" applyProtection="1">
      <alignment horizontal="center" vertical="center"/>
    </xf>
    <xf numFmtId="172" fontId="3" fillId="0" borderId="0" xfId="0" applyNumberFormat="1" applyFont="1" applyBorder="1" applyAlignment="1" applyProtection="1"/>
    <xf numFmtId="172" fontId="3" fillId="0" borderId="0" xfId="0" applyFont="1" applyBorder="1" applyAlignment="1"/>
    <xf numFmtId="172" fontId="3" fillId="0" borderId="14" xfId="0" applyNumberFormat="1" applyFont="1" applyBorder="1" applyAlignment="1" applyProtection="1"/>
    <xf numFmtId="172" fontId="3" fillId="0" borderId="1" xfId="0" applyNumberFormat="1" applyFont="1" applyBorder="1" applyAlignment="1" applyProtection="1">
      <alignment horizontal="centerContinuous"/>
    </xf>
    <xf numFmtId="172" fontId="3" fillId="0" borderId="13" xfId="0" applyNumberFormat="1" applyFont="1" applyBorder="1" applyAlignment="1" applyProtection="1">
      <alignment horizontal="center"/>
    </xf>
    <xf numFmtId="172" fontId="4" fillId="0" borderId="1" xfId="0" applyNumberFormat="1" applyFont="1" applyBorder="1" applyAlignment="1" applyProtection="1">
      <alignment horizontal="center"/>
    </xf>
    <xf numFmtId="175" fontId="3" fillId="0" borderId="1" xfId="0" applyNumberFormat="1" applyFont="1" applyBorder="1" applyProtection="1"/>
    <xf numFmtId="175" fontId="3" fillId="0" borderId="17" xfId="0" applyNumberFormat="1" applyFont="1" applyBorder="1" applyProtection="1"/>
    <xf numFmtId="175" fontId="3" fillId="0" borderId="0" xfId="0" applyNumberFormat="1" applyFont="1" applyBorder="1" applyAlignment="1" applyProtection="1">
      <alignment horizontal="center"/>
    </xf>
    <xf numFmtId="172" fontId="3" fillId="0" borderId="0" xfId="0" applyNumberFormat="1" applyFont="1" applyAlignment="1" applyProtection="1">
      <alignment horizontal="left"/>
    </xf>
    <xf numFmtId="172" fontId="4" fillId="0" borderId="13" xfId="0" applyFont="1" applyBorder="1" applyAlignment="1">
      <alignment horizontal="left"/>
    </xf>
    <xf numFmtId="172" fontId="3" fillId="0" borderId="18" xfId="0" applyNumberFormat="1" applyFont="1" applyBorder="1" applyAlignment="1" applyProtection="1">
      <alignment horizontal="fill"/>
    </xf>
    <xf numFmtId="172" fontId="3" fillId="0" borderId="0" xfId="0" applyNumberFormat="1" applyFont="1" applyAlignment="1" applyProtection="1">
      <alignment horizontal="center"/>
    </xf>
    <xf numFmtId="173" fontId="3" fillId="0" borderId="17" xfId="0" applyNumberFormat="1" applyFont="1" applyBorder="1" applyProtection="1"/>
    <xf numFmtId="172" fontId="3" fillId="0" borderId="12" xfId="0" applyFont="1" applyBorder="1" applyAlignment="1">
      <alignment horizontal="centerContinuous"/>
    </xf>
    <xf numFmtId="172" fontId="3" fillId="0" borderId="14" xfId="0" applyFont="1" applyBorder="1" applyAlignment="1">
      <alignment horizontal="right"/>
    </xf>
    <xf numFmtId="172" fontId="3" fillId="0" borderId="1" xfId="0" applyFont="1" applyBorder="1" applyAlignment="1">
      <alignment horizontal="right"/>
    </xf>
    <xf numFmtId="172" fontId="3" fillId="0" borderId="13" xfId="0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</xf>
    <xf numFmtId="172" fontId="3" fillId="10" borderId="1" xfId="0" quotePrefix="1" applyFont="1" applyFill="1" applyBorder="1" applyAlignment="1">
      <alignment horizontal="right"/>
    </xf>
    <xf numFmtId="172" fontId="3" fillId="10" borderId="1" xfId="0" applyFont="1" applyFill="1" applyBorder="1"/>
    <xf numFmtId="172" fontId="3" fillId="0" borderId="0" xfId="0" applyNumberFormat="1" applyFont="1" applyBorder="1" applyAlignment="1" applyProtection="1">
      <alignment horizontal="right"/>
    </xf>
    <xf numFmtId="172" fontId="3" fillId="10" borderId="1" xfId="0" quotePrefix="1" applyFont="1" applyFill="1" applyBorder="1" applyAlignment="1">
      <alignment horizontal="left"/>
    </xf>
    <xf numFmtId="172" fontId="3" fillId="0" borderId="1" xfId="0" applyFont="1" applyBorder="1" applyAlignment="1">
      <alignment horizontal="left"/>
    </xf>
    <xf numFmtId="172" fontId="3" fillId="10" borderId="1" xfId="0" applyFont="1" applyFill="1" applyBorder="1" applyAlignment="1">
      <alignment horizontal="left"/>
    </xf>
    <xf numFmtId="172" fontId="3" fillId="10" borderId="0" xfId="0" applyFont="1" applyFill="1" applyBorder="1"/>
    <xf numFmtId="172" fontId="3" fillId="10" borderId="13" xfId="0" applyNumberFormat="1" applyFont="1" applyFill="1" applyBorder="1" applyAlignment="1" applyProtection="1">
      <alignment horizontal="right"/>
    </xf>
    <xf numFmtId="172" fontId="4" fillId="0" borderId="15" xfId="0" applyFont="1" applyBorder="1"/>
    <xf numFmtId="172" fontId="3" fillId="0" borderId="0" xfId="0" applyFont="1" applyAlignment="1">
      <alignment horizontal="fill"/>
    </xf>
    <xf numFmtId="179" fontId="3" fillId="0" borderId="11" xfId="0" applyNumberFormat="1" applyFont="1" applyFill="1" applyBorder="1" applyAlignment="1" applyProtection="1">
      <alignment horizontal="fill"/>
    </xf>
    <xf numFmtId="172" fontId="3" fillId="0" borderId="12" xfId="0" applyNumberFormat="1" applyFont="1" applyFill="1" applyBorder="1" applyAlignment="1" applyProtection="1">
      <alignment horizontal="fill"/>
    </xf>
    <xf numFmtId="172" fontId="4" fillId="0" borderId="0" xfId="0" applyNumberFormat="1" applyFont="1" applyBorder="1" applyAlignment="1" applyProtection="1">
      <alignment horizontal="center"/>
    </xf>
    <xf numFmtId="172" fontId="4" fillId="0" borderId="14" xfId="0" applyNumberFormat="1" applyFont="1" applyFill="1" applyBorder="1" applyAlignment="1" applyProtection="1">
      <alignment horizontal="left"/>
    </xf>
    <xf numFmtId="172" fontId="3" fillId="0" borderId="16" xfId="0" applyNumberFormat="1" applyFont="1" applyFill="1" applyBorder="1" applyAlignment="1" applyProtection="1">
      <alignment horizontal="fill"/>
    </xf>
    <xf numFmtId="172" fontId="4" fillId="0" borderId="17" xfId="0" applyFont="1" applyBorder="1" applyAlignment="1">
      <alignment vertical="center"/>
    </xf>
    <xf numFmtId="172" fontId="3" fillId="0" borderId="17" xfId="0" applyFont="1" applyFill="1" applyBorder="1"/>
    <xf numFmtId="179" fontId="3" fillId="0" borderId="11" xfId="0" applyNumberFormat="1" applyFont="1" applyFill="1" applyBorder="1"/>
    <xf numFmtId="172" fontId="3" fillId="0" borderId="15" xfId="0" applyFont="1" applyBorder="1" applyAlignment="1">
      <alignment vertical="center"/>
    </xf>
    <xf numFmtId="172" fontId="3" fillId="0" borderId="9" xfId="0" applyFont="1" applyBorder="1" applyAlignment="1">
      <alignment vertical="center"/>
    </xf>
    <xf numFmtId="172" fontId="3" fillId="0" borderId="16" xfId="0" applyFont="1" applyBorder="1" applyAlignment="1">
      <alignment vertical="center"/>
    </xf>
    <xf numFmtId="172" fontId="3" fillId="0" borderId="1" xfId="0" applyNumberFormat="1" applyFont="1" applyFill="1" applyBorder="1" applyAlignment="1" applyProtection="1">
      <alignment horizontal="center"/>
    </xf>
    <xf numFmtId="172" fontId="3" fillId="0" borderId="14" xfId="0" applyNumberFormat="1" applyFont="1" applyBorder="1" applyAlignment="1" applyProtection="1">
      <alignment horizontal="center"/>
    </xf>
    <xf numFmtId="172" fontId="3" fillId="0" borderId="1" xfId="0" applyFont="1" applyFill="1" applyBorder="1"/>
    <xf numFmtId="179" fontId="3" fillId="0" borderId="0" xfId="0" applyNumberFormat="1" applyFont="1" applyFill="1" applyBorder="1" applyAlignment="1" applyProtection="1">
      <alignment horizontal="center"/>
    </xf>
    <xf numFmtId="172" fontId="3" fillId="0" borderId="18" xfId="0" applyNumberFormat="1" applyFont="1" applyFill="1" applyBorder="1" applyAlignment="1" applyProtection="1">
      <alignment horizontal="fill"/>
    </xf>
    <xf numFmtId="179" fontId="3" fillId="0" borderId="1" xfId="0" applyNumberFormat="1" applyFont="1" applyFill="1" applyBorder="1"/>
    <xf numFmtId="172" fontId="3" fillId="10" borderId="13" xfId="0" quotePrefix="1" applyFont="1" applyFill="1" applyBorder="1" applyAlignment="1">
      <alignment horizontal="left"/>
    </xf>
    <xf numFmtId="172" fontId="3" fillId="0" borderId="1" xfId="0" quotePrefix="1" applyNumberFormat="1" applyFont="1" applyBorder="1" applyAlignment="1" applyProtection="1">
      <alignment horizontal="right"/>
    </xf>
    <xf numFmtId="172" fontId="3" fillId="0" borderId="14" xfId="0" applyNumberFormat="1" applyFont="1" applyFill="1" applyBorder="1" applyAlignment="1" applyProtection="1">
      <alignment horizontal="right"/>
    </xf>
    <xf numFmtId="172" fontId="3" fillId="0" borderId="1" xfId="0" applyNumberFormat="1" applyFont="1" applyFill="1" applyBorder="1" applyAlignment="1" applyProtection="1">
      <alignment horizontal="right"/>
    </xf>
    <xf numFmtId="172" fontId="3" fillId="11" borderId="1" xfId="0" applyNumberFormat="1" applyFont="1" applyFill="1" applyBorder="1" applyAlignment="1" applyProtection="1">
      <alignment horizontal="right"/>
    </xf>
    <xf numFmtId="172" fontId="3" fillId="0" borderId="0" xfId="0" applyNumberFormat="1" applyFont="1" applyFill="1" applyBorder="1" applyAlignment="1" applyProtection="1">
      <alignment horizontal="right"/>
    </xf>
    <xf numFmtId="172" fontId="3" fillId="10" borderId="1" xfId="0" quotePrefix="1" applyNumberFormat="1" applyFont="1" applyFill="1" applyBorder="1" applyAlignment="1" applyProtection="1">
      <alignment horizontal="right"/>
    </xf>
    <xf numFmtId="172" fontId="3" fillId="10" borderId="14" xfId="0" applyNumberFormat="1" applyFont="1" applyFill="1" applyBorder="1" applyAlignment="1" applyProtection="1">
      <alignment horizontal="right"/>
    </xf>
    <xf numFmtId="181" fontId="3" fillId="10" borderId="1" xfId="276" applyNumberFormat="1" applyFont="1" applyFill="1" applyBorder="1" applyAlignment="1" applyProtection="1">
      <alignment horizontal="right"/>
    </xf>
    <xf numFmtId="172" fontId="3" fillId="10" borderId="0" xfId="0" applyNumberFormat="1" applyFont="1" applyFill="1" applyAlignment="1" applyProtection="1">
      <alignment horizontal="center"/>
    </xf>
    <xf numFmtId="172" fontId="3" fillId="0" borderId="13" xfId="0" applyFont="1" applyBorder="1" applyAlignment="1">
      <alignment horizontal="left"/>
    </xf>
    <xf numFmtId="172" fontId="51" fillId="0" borderId="9" xfId="0" applyFont="1" applyBorder="1"/>
    <xf numFmtId="172" fontId="3" fillId="0" borderId="9" xfId="0" applyFont="1" applyFill="1" applyBorder="1"/>
    <xf numFmtId="179" fontId="3" fillId="0" borderId="0" xfId="0" applyNumberFormat="1" applyFont="1" applyFill="1"/>
    <xf numFmtId="179" fontId="3" fillId="0" borderId="0" xfId="0" applyNumberFormat="1" applyFont="1" applyFill="1" applyProtection="1"/>
    <xf numFmtId="172" fontId="3" fillId="0" borderId="0" xfId="0" applyNumberFormat="1" applyFont="1" applyFill="1" applyProtection="1"/>
    <xf numFmtId="172" fontId="4" fillId="0" borderId="13" xfId="0" applyNumberFormat="1" applyFont="1" applyBorder="1" applyAlignment="1" applyProtection="1">
      <alignment horizontal="center"/>
    </xf>
    <xf numFmtId="172" fontId="3" fillId="0" borderId="15" xfId="0" applyNumberFormat="1" applyFont="1" applyBorder="1" applyAlignment="1" applyProtection="1"/>
    <xf numFmtId="172" fontId="3" fillId="0" borderId="17" xfId="0" applyFont="1" applyBorder="1" applyAlignment="1">
      <alignment horizontal="centerContinuous"/>
    </xf>
    <xf numFmtId="175" fontId="3" fillId="0" borderId="1" xfId="0" applyNumberFormat="1" applyFont="1" applyBorder="1" applyAlignment="1" applyProtection="1">
      <alignment horizontal="left"/>
    </xf>
    <xf numFmtId="175" fontId="3" fillId="0" borderId="18" xfId="0" applyNumberFormat="1" applyFont="1" applyBorder="1" applyProtection="1"/>
    <xf numFmtId="172" fontId="3" fillId="0" borderId="18" xfId="0" applyNumberFormat="1" applyFont="1" applyBorder="1" applyAlignment="1" applyProtection="1">
      <alignment horizontal="center"/>
    </xf>
    <xf numFmtId="172" fontId="3" fillId="0" borderId="18" xfId="0" applyNumberFormat="1" applyFont="1" applyBorder="1" applyAlignment="1" applyProtection="1">
      <alignment horizontal="centerContinuous"/>
    </xf>
    <xf numFmtId="172" fontId="0" fillId="0" borderId="1" xfId="0" quotePrefix="1" applyNumberFormat="1" applyFont="1" applyBorder="1" applyAlignment="1" applyProtection="1">
      <alignment horizontal="right"/>
    </xf>
    <xf numFmtId="172" fontId="0" fillId="0" borderId="14" xfId="0" quotePrefix="1" applyNumberFormat="1" applyFont="1" applyBorder="1" applyAlignment="1" applyProtection="1">
      <alignment horizontal="right"/>
    </xf>
    <xf numFmtId="172" fontId="0" fillId="0" borderId="0" xfId="0" quotePrefix="1" applyNumberFormat="1" applyFont="1" applyBorder="1" applyAlignment="1" applyProtection="1">
      <alignment horizontal="right"/>
    </xf>
    <xf numFmtId="172" fontId="3" fillId="0" borderId="11" xfId="0" applyNumberFormat="1" applyFont="1" applyFill="1" applyBorder="1" applyAlignment="1" applyProtection="1">
      <alignment horizontal="left"/>
    </xf>
    <xf numFmtId="172" fontId="4" fillId="0" borderId="14" xfId="0" applyFont="1" applyBorder="1" applyAlignment="1"/>
    <xf numFmtId="172" fontId="4" fillId="0" borderId="1" xfId="0" applyNumberFormat="1" applyFont="1" applyFill="1" applyBorder="1" applyAlignment="1" applyProtection="1">
      <alignment horizontal="center"/>
    </xf>
    <xf numFmtId="172" fontId="3" fillId="0" borderId="15" xfId="0" applyNumberFormat="1" applyFont="1" applyBorder="1" applyAlignment="1" applyProtection="1">
      <alignment horizontal="center"/>
    </xf>
    <xf numFmtId="172" fontId="3" fillId="0" borderId="18" xfId="0" applyNumberFormat="1" applyFont="1" applyFill="1" applyBorder="1" applyAlignment="1" applyProtection="1">
      <alignment horizontal="center"/>
    </xf>
    <xf numFmtId="172" fontId="3" fillId="0" borderId="18" xfId="0" applyFont="1" applyFill="1" applyBorder="1"/>
    <xf numFmtId="179" fontId="3" fillId="0" borderId="9" xfId="0" applyNumberFormat="1" applyFont="1" applyFill="1" applyBorder="1" applyAlignment="1" applyProtection="1">
      <alignment horizontal="center"/>
    </xf>
    <xf numFmtId="172" fontId="3" fillId="11" borderId="0" xfId="0" applyNumberFormat="1" applyFont="1" applyFill="1" applyAlignment="1" applyProtection="1">
      <alignment horizontal="center"/>
    </xf>
    <xf numFmtId="172" fontId="3" fillId="0" borderId="18" xfId="0" applyNumberFormat="1" applyFont="1" applyBorder="1" applyAlignment="1" applyProtection="1">
      <alignment horizontal="right"/>
    </xf>
    <xf numFmtId="172" fontId="4" fillId="0" borderId="10" xfId="0" applyFont="1" applyBorder="1"/>
    <xf numFmtId="172" fontId="4" fillId="0" borderId="11" xfId="0" applyFont="1" applyBorder="1"/>
    <xf numFmtId="172" fontId="4" fillId="10" borderId="11" xfId="0" applyFont="1" applyFill="1" applyBorder="1"/>
    <xf numFmtId="172" fontId="3" fillId="0" borderId="13" xfId="0" applyFont="1" applyBorder="1" applyAlignment="1">
      <alignment horizontal="center"/>
    </xf>
    <xf numFmtId="172" fontId="4" fillId="0" borderId="0" xfId="0" applyNumberFormat="1" applyFont="1" applyBorder="1" applyAlignment="1" applyProtection="1">
      <alignment horizontal="left"/>
    </xf>
    <xf numFmtId="172" fontId="4" fillId="0" borderId="0" xfId="0" applyNumberFormat="1" applyFont="1" applyBorder="1" applyAlignment="1" applyProtection="1">
      <alignment vertical="center"/>
    </xf>
    <xf numFmtId="172" fontId="4" fillId="0" borderId="14" xfId="0" applyNumberFormat="1" applyFont="1" applyBorder="1" applyAlignment="1" applyProtection="1">
      <alignment vertical="center"/>
    </xf>
    <xf numFmtId="172" fontId="4" fillId="0" borderId="15" xfId="0" applyNumberFormat="1" applyFont="1" applyBorder="1" applyAlignment="1" applyProtection="1">
      <alignment horizontal="fill"/>
    </xf>
    <xf numFmtId="172" fontId="4" fillId="0" borderId="9" xfId="0" applyNumberFormat="1" applyFont="1" applyBorder="1" applyAlignment="1" applyProtection="1">
      <alignment horizontal="fill"/>
    </xf>
    <xf numFmtId="172" fontId="4" fillId="10" borderId="9" xfId="0" applyNumberFormat="1" applyFont="1" applyFill="1" applyBorder="1" applyAlignment="1" applyProtection="1">
      <alignment horizontal="fill"/>
    </xf>
    <xf numFmtId="172" fontId="4" fillId="0" borderId="16" xfId="0" applyNumberFormat="1" applyFont="1" applyBorder="1" applyAlignment="1" applyProtection="1">
      <alignment horizontal="fill"/>
    </xf>
    <xf numFmtId="172" fontId="4" fillId="0" borderId="13" xfId="0" applyNumberFormat="1" applyFont="1" applyBorder="1" applyAlignment="1" applyProtection="1"/>
    <xf numFmtId="172" fontId="4" fillId="0" borderId="0" xfId="0" applyNumberFormat="1" applyFont="1" applyBorder="1" applyAlignment="1" applyProtection="1"/>
    <xf numFmtId="172" fontId="4" fillId="0" borderId="14" xfId="0" applyNumberFormat="1" applyFont="1" applyBorder="1" applyAlignment="1" applyProtection="1"/>
    <xf numFmtId="172" fontId="3" fillId="10" borderId="11" xfId="0" applyFont="1" applyFill="1" applyBorder="1"/>
    <xf numFmtId="172" fontId="4" fillId="0" borderId="13" xfId="0" applyNumberFormat="1" applyFont="1" applyBorder="1" applyAlignment="1" applyProtection="1">
      <alignment horizontal="left"/>
    </xf>
    <xf numFmtId="172" fontId="3" fillId="0" borderId="14" xfId="0" applyNumberFormat="1" applyFont="1" applyBorder="1" applyAlignment="1" applyProtection="1">
      <alignment horizontal="left"/>
    </xf>
    <xf numFmtId="172" fontId="3" fillId="0" borderId="16" xfId="0" applyNumberFormat="1" applyFont="1" applyBorder="1" applyAlignment="1" applyProtection="1">
      <alignment horizontal="left"/>
    </xf>
    <xf numFmtId="172" fontId="3" fillId="10" borderId="9" xfId="0" applyNumberFormat="1" applyFont="1" applyFill="1" applyBorder="1" applyAlignment="1" applyProtection="1">
      <alignment horizontal="fill"/>
    </xf>
    <xf numFmtId="172" fontId="3" fillId="0" borderId="1" xfId="0" applyNumberFormat="1" applyFont="1" applyBorder="1" applyAlignment="1" applyProtection="1">
      <alignment horizontal="fill"/>
    </xf>
    <xf numFmtId="172" fontId="3" fillId="10" borderId="18" xfId="0" applyNumberFormat="1" applyFont="1" applyFill="1" applyBorder="1" applyAlignment="1" applyProtection="1">
      <alignment horizontal="center"/>
    </xf>
    <xf numFmtId="179" fontId="3" fillId="0" borderId="17" xfId="0" applyNumberFormat="1" applyFont="1" applyFill="1" applyBorder="1" applyAlignment="1" applyProtection="1">
      <alignment horizontal="right"/>
    </xf>
    <xf numFmtId="179" fontId="3" fillId="0" borderId="1" xfId="0" quotePrefix="1" applyNumberFormat="1" applyFont="1" applyFill="1" applyBorder="1" applyAlignment="1" applyProtection="1">
      <alignment horizontal="right"/>
    </xf>
    <xf numFmtId="179" fontId="3" fillId="0" borderId="14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 applyProtection="1">
      <alignment horizontal="right"/>
    </xf>
    <xf numFmtId="179" fontId="3" fillId="0" borderId="0" xfId="0" applyNumberFormat="1" applyFont="1" applyFill="1" applyBorder="1" applyAlignment="1">
      <alignment horizontal="right"/>
    </xf>
    <xf numFmtId="175" fontId="3" fillId="0" borderId="0" xfId="0" applyNumberFormat="1" applyFont="1" applyBorder="1" applyProtection="1"/>
    <xf numFmtId="179" fontId="3" fillId="0" borderId="0" xfId="0" quotePrefix="1" applyNumberFormat="1" applyFont="1" applyFill="1" applyBorder="1" applyAlignment="1" applyProtection="1">
      <alignment horizontal="right"/>
    </xf>
    <xf numFmtId="179" fontId="3" fillId="0" borderId="14" xfId="0" quotePrefix="1" applyNumberFormat="1" applyFont="1" applyFill="1" applyBorder="1" applyAlignment="1" applyProtection="1">
      <alignment horizontal="right"/>
    </xf>
    <xf numFmtId="175" fontId="6" fillId="0" borderId="13" xfId="0" applyNumberFormat="1" applyFont="1" applyFill="1" applyBorder="1" applyAlignment="1" applyProtection="1">
      <alignment horizontal="left"/>
    </xf>
    <xf numFmtId="172" fontId="3" fillId="0" borderId="13" xfId="0" applyNumberFormat="1" applyFont="1" applyBorder="1" applyAlignment="1" applyProtection="1">
      <alignment horizontal="fill"/>
    </xf>
    <xf numFmtId="175" fontId="3" fillId="0" borderId="11" xfId="0" applyNumberFormat="1" applyFont="1" applyBorder="1" applyProtection="1"/>
    <xf numFmtId="179" fontId="3" fillId="0" borderId="11" xfId="0" applyNumberFormat="1" applyFont="1" applyFill="1" applyBorder="1" applyAlignment="1" applyProtection="1">
      <alignment horizontal="right"/>
    </xf>
    <xf numFmtId="175" fontId="3" fillId="10" borderId="11" xfId="0" applyNumberFormat="1" applyFont="1" applyFill="1" applyBorder="1" applyProtection="1"/>
    <xf numFmtId="175" fontId="3" fillId="0" borderId="12" xfId="0" applyNumberFormat="1" applyFont="1" applyBorder="1" applyProtection="1"/>
    <xf numFmtId="175" fontId="3" fillId="0" borderId="9" xfId="0" applyNumberFormat="1" applyFont="1" applyBorder="1" applyProtection="1"/>
    <xf numFmtId="175" fontId="3" fillId="10" borderId="9" xfId="0" applyNumberFormat="1" applyFont="1" applyFill="1" applyBorder="1" applyProtection="1"/>
    <xf numFmtId="175" fontId="3" fillId="0" borderId="16" xfId="0" applyNumberFormat="1" applyFont="1" applyBorder="1" applyProtection="1"/>
    <xf numFmtId="175" fontId="3" fillId="0" borderId="0" xfId="0" applyNumberFormat="1" applyFont="1" applyProtection="1"/>
    <xf numFmtId="175" fontId="3" fillId="10" borderId="0" xfId="0" applyNumberFormat="1" applyFont="1" applyFill="1" applyProtection="1"/>
    <xf numFmtId="172" fontId="51" fillId="0" borderId="11" xfId="0" applyFont="1" applyBorder="1"/>
    <xf numFmtId="172" fontId="3" fillId="0" borderId="12" xfId="0" applyNumberFormat="1" applyFont="1" applyBorder="1" applyAlignment="1" applyProtection="1">
      <alignment horizontal="left"/>
    </xf>
    <xf numFmtId="172" fontId="51" fillId="0" borderId="9" xfId="0" applyNumberFormat="1" applyFont="1" applyBorder="1" applyAlignment="1" applyProtection="1">
      <alignment horizontal="fill"/>
    </xf>
    <xf numFmtId="172" fontId="3" fillId="10" borderId="10" xfId="0" applyFont="1" applyFill="1" applyBorder="1" applyAlignment="1">
      <alignment horizontal="center" vertical="center"/>
    </xf>
    <xf numFmtId="172" fontId="3" fillId="10" borderId="11" xfId="0" applyFont="1" applyFill="1" applyBorder="1" applyAlignment="1">
      <alignment horizontal="center" vertical="center"/>
    </xf>
    <xf numFmtId="172" fontId="3" fillId="10" borderId="11" xfId="0" applyNumberFormat="1" applyFont="1" applyFill="1" applyBorder="1" applyAlignment="1" applyProtection="1">
      <alignment horizontal="center" vertical="center"/>
    </xf>
    <xf numFmtId="172" fontId="3" fillId="10" borderId="12" xfId="0" applyFont="1" applyFill="1" applyBorder="1" applyAlignment="1">
      <alignment horizontal="center" vertical="center"/>
    </xf>
    <xf numFmtId="172" fontId="3" fillId="0" borderId="15" xfId="0" applyFont="1" applyBorder="1" applyAlignment="1">
      <alignment horizontal="center" vertical="center"/>
    </xf>
    <xf numFmtId="172" fontId="3" fillId="0" borderId="0" xfId="0" applyFont="1" applyBorder="1" applyAlignment="1">
      <alignment horizontal="center" vertical="center"/>
    </xf>
    <xf numFmtId="172" fontId="3" fillId="10" borderId="0" xfId="0" applyNumberFormat="1" applyFont="1" applyFill="1" applyBorder="1" applyAlignment="1" applyProtection="1">
      <alignment horizontal="center" vertical="center"/>
    </xf>
    <xf numFmtId="172" fontId="51" fillId="0" borderId="0" xfId="0" applyNumberFormat="1" applyFont="1" applyBorder="1" applyAlignment="1" applyProtection="1">
      <alignment horizontal="center"/>
    </xf>
    <xf numFmtId="172" fontId="3" fillId="10" borderId="17" xfId="0" applyFont="1" applyFill="1" applyBorder="1" applyAlignment="1">
      <alignment horizontal="center" vertical="center"/>
    </xf>
    <xf numFmtId="172" fontId="51" fillId="0" borderId="0" xfId="0" applyFont="1" applyBorder="1"/>
    <xf numFmtId="172" fontId="4" fillId="0" borderId="13" xfId="0" applyNumberFormat="1" applyFont="1" applyBorder="1" applyAlignment="1" applyProtection="1">
      <alignment horizontal="fill"/>
    </xf>
    <xf numFmtId="172" fontId="3" fillId="0" borderId="15" xfId="0" applyNumberFormat="1" applyFont="1" applyBorder="1" applyAlignment="1" applyProtection="1">
      <alignment horizontal="center" vertical="center"/>
    </xf>
    <xf numFmtId="172" fontId="3" fillId="0" borderId="9" xfId="0" applyNumberFormat="1" applyFont="1" applyBorder="1" applyAlignment="1" applyProtection="1">
      <alignment horizontal="center" vertical="center"/>
    </xf>
    <xf numFmtId="172" fontId="3" fillId="0" borderId="16" xfId="0" applyNumberFormat="1" applyFont="1" applyBorder="1" applyAlignment="1" applyProtection="1">
      <alignment horizontal="center" vertical="center"/>
    </xf>
    <xf numFmtId="172" fontId="3" fillId="10" borderId="1" xfId="0" applyFont="1" applyFill="1" applyBorder="1" applyAlignment="1">
      <alignment horizontal="center" vertical="center"/>
    </xf>
    <xf numFmtId="172" fontId="3" fillId="0" borderId="9" xfId="0" applyFont="1" applyBorder="1" applyAlignment="1">
      <alignment horizontal="center"/>
    </xf>
    <xf numFmtId="172" fontId="3" fillId="0" borderId="10" xfId="0" applyNumberFormat="1" applyFont="1" applyBorder="1" applyAlignment="1" applyProtection="1">
      <alignment horizontal="center" vertical="center"/>
    </xf>
    <xf numFmtId="172" fontId="3" fillId="0" borderId="11" xfId="0" applyNumberFormat="1" applyFont="1" applyBorder="1" applyAlignment="1" applyProtection="1">
      <alignment horizontal="center" vertical="center"/>
    </xf>
    <xf numFmtId="172" fontId="3" fillId="0" borderId="12" xfId="0" applyFont="1" applyBorder="1" applyAlignment="1">
      <alignment horizontal="center" vertical="center"/>
    </xf>
    <xf numFmtId="172" fontId="3" fillId="0" borderId="12" xfId="0" applyNumberFormat="1" applyFont="1" applyBorder="1" applyAlignment="1" applyProtection="1">
      <alignment horizontal="center" vertical="center"/>
    </xf>
    <xf numFmtId="172" fontId="3" fillId="10" borderId="1" xfId="0" applyNumberFormat="1" applyFont="1" applyFill="1" applyBorder="1" applyAlignment="1" applyProtection="1">
      <alignment horizontal="center" vertical="center"/>
    </xf>
    <xf numFmtId="172" fontId="3" fillId="0" borderId="17" xfId="0" applyNumberFormat="1" applyFont="1" applyBorder="1" applyAlignment="1" applyProtection="1">
      <alignment horizontal="centerContinuous"/>
    </xf>
    <xf numFmtId="172" fontId="52" fillId="0" borderId="12" xfId="0" applyNumberFormat="1" applyFont="1" applyBorder="1" applyAlignment="1" applyProtection="1">
      <alignment horizontal="centerContinuous"/>
    </xf>
    <xf numFmtId="172" fontId="3" fillId="0" borderId="12" xfId="0" applyNumberFormat="1" applyFont="1" applyBorder="1" applyAlignment="1" applyProtection="1">
      <alignment horizontal="center"/>
    </xf>
    <xf numFmtId="172" fontId="52" fillId="0" borderId="12" xfId="0" applyNumberFormat="1" applyFont="1" applyBorder="1" applyAlignment="1" applyProtection="1">
      <alignment horizontal="center"/>
    </xf>
    <xf numFmtId="172" fontId="3" fillId="0" borderId="14" xfId="0" applyFont="1" applyBorder="1" applyAlignment="1">
      <alignment horizontal="center" vertical="center"/>
    </xf>
    <xf numFmtId="172" fontId="52" fillId="0" borderId="14" xfId="0" applyNumberFormat="1" applyFont="1" applyBorder="1" applyAlignment="1" applyProtection="1">
      <alignment horizontal="centerContinuous"/>
    </xf>
    <xf numFmtId="172" fontId="52" fillId="0" borderId="14" xfId="0" applyNumberFormat="1" applyFont="1" applyBorder="1" applyAlignment="1" applyProtection="1">
      <alignment horizontal="center"/>
    </xf>
    <xf numFmtId="172" fontId="51" fillId="0" borderId="14" xfId="0" applyNumberFormat="1" applyFont="1" applyBorder="1" applyAlignment="1" applyProtection="1">
      <alignment horizontal="center"/>
    </xf>
    <xf numFmtId="172" fontId="3" fillId="0" borderId="14" xfId="0" applyFont="1" applyFill="1" applyBorder="1" applyAlignment="1">
      <alignment horizontal="center" vertical="center"/>
    </xf>
    <xf numFmtId="172" fontId="51" fillId="0" borderId="14" xfId="0" applyFont="1" applyBorder="1"/>
    <xf numFmtId="172" fontId="3" fillId="0" borderId="14" xfId="0" applyFont="1" applyBorder="1" applyAlignment="1">
      <alignment vertical="top" wrapText="1"/>
    </xf>
    <xf numFmtId="172" fontId="3" fillId="10" borderId="18" xfId="0" applyNumberFormat="1" applyFont="1" applyFill="1" applyBorder="1" applyAlignment="1" applyProtection="1">
      <alignment horizontal="fill"/>
    </xf>
    <xf numFmtId="172" fontId="51" fillId="0" borderId="16" xfId="0" applyNumberFormat="1" applyFont="1" applyBorder="1" applyAlignment="1" applyProtection="1">
      <alignment horizontal="fill"/>
    </xf>
    <xf numFmtId="172" fontId="3" fillId="0" borderId="14" xfId="0" applyFont="1" applyBorder="1" applyAlignment="1"/>
    <xf numFmtId="175" fontId="3" fillId="0" borderId="14" xfId="0" applyNumberFormat="1" applyFont="1" applyBorder="1" applyProtection="1"/>
    <xf numFmtId="172" fontId="3" fillId="0" borderId="13" xfId="0" quotePrefix="1" applyNumberFormat="1" applyFont="1" applyFill="1" applyBorder="1" applyAlignment="1" applyProtection="1">
      <alignment horizontal="left"/>
    </xf>
    <xf numFmtId="179" fontId="3" fillId="0" borderId="14" xfId="0" applyNumberFormat="1" applyFont="1" applyBorder="1" applyAlignment="1">
      <alignment horizontal="right"/>
    </xf>
    <xf numFmtId="172" fontId="3" fillId="0" borderId="13" xfId="0" quotePrefix="1" applyNumberFormat="1" applyFont="1" applyBorder="1" applyAlignment="1" applyProtection="1">
      <alignment horizontal="left"/>
    </xf>
    <xf numFmtId="173" fontId="3" fillId="0" borderId="13" xfId="0" applyNumberFormat="1" applyFont="1" applyBorder="1" applyAlignment="1" applyProtection="1">
      <alignment horizontal="left"/>
    </xf>
    <xf numFmtId="172" fontId="3" fillId="0" borderId="11" xfId="0" applyFont="1" applyBorder="1" applyAlignment="1"/>
    <xf numFmtId="172" fontId="3" fillId="0" borderId="12" xfId="0" applyFont="1" applyBorder="1" applyAlignment="1"/>
    <xf numFmtId="175" fontId="51" fillId="0" borderId="9" xfId="0" applyNumberFormat="1" applyFont="1" applyBorder="1" applyProtection="1"/>
    <xf numFmtId="175" fontId="51" fillId="0" borderId="0" xfId="0" applyNumberFormat="1" applyFont="1" applyProtection="1"/>
    <xf numFmtId="172" fontId="3" fillId="10" borderId="0" xfId="0" applyNumberFormat="1" applyFont="1" applyFill="1" applyAlignment="1" applyProtection="1">
      <alignment horizontal="left"/>
    </xf>
    <xf numFmtId="172" fontId="3" fillId="0" borderId="10" xfId="0" applyNumberFormat="1" applyFont="1" applyFill="1" applyBorder="1" applyAlignment="1" applyProtection="1">
      <alignment horizontal="left"/>
    </xf>
    <xf numFmtId="172" fontId="3" fillId="0" borderId="10" xfId="0" applyNumberFormat="1" applyFont="1" applyFill="1" applyBorder="1" applyAlignment="1" applyProtection="1"/>
    <xf numFmtId="172" fontId="3" fillId="0" borderId="11" xfId="0" applyNumberFormat="1" applyFont="1" applyFill="1" applyBorder="1" applyAlignment="1" applyProtection="1"/>
    <xf numFmtId="176" fontId="3" fillId="0" borderId="11" xfId="0" applyNumberFormat="1" applyFont="1" applyFill="1" applyBorder="1" applyAlignment="1" applyProtection="1"/>
    <xf numFmtId="172" fontId="3" fillId="10" borderId="11" xfId="0" applyNumberFormat="1" applyFont="1" applyFill="1" applyBorder="1" applyAlignment="1" applyProtection="1"/>
    <xf numFmtId="172" fontId="3" fillId="0" borderId="13" xfId="0" applyFont="1" applyFill="1" applyBorder="1"/>
    <xf numFmtId="172" fontId="4" fillId="0" borderId="14" xfId="0" applyNumberFormat="1" applyFont="1" applyFill="1" applyBorder="1" applyAlignment="1" applyProtection="1"/>
    <xf numFmtId="172" fontId="3" fillId="0" borderId="15" xfId="0" applyNumberFormat="1" applyFont="1" applyFill="1" applyBorder="1" applyAlignment="1" applyProtection="1">
      <alignment horizontal="fill"/>
    </xf>
    <xf numFmtId="176" fontId="3" fillId="0" borderId="9" xfId="0" applyNumberFormat="1" applyFont="1" applyFill="1" applyBorder="1" applyAlignment="1" applyProtection="1">
      <alignment horizontal="fill"/>
    </xf>
    <xf numFmtId="172" fontId="3" fillId="0" borderId="12" xfId="0" applyFont="1" applyFill="1" applyBorder="1" applyAlignment="1"/>
    <xf numFmtId="176" fontId="3" fillId="0" borderId="10" xfId="0" applyNumberFormat="1" applyFont="1" applyFill="1" applyBorder="1" applyAlignment="1" applyProtection="1"/>
    <xf numFmtId="172" fontId="3" fillId="0" borderId="12" xfId="0" applyNumberFormat="1" applyFont="1" applyFill="1" applyBorder="1" applyAlignment="1" applyProtection="1"/>
    <xf numFmtId="172" fontId="3" fillId="0" borderId="17" xfId="0" applyNumberFormat="1" applyFont="1" applyFill="1" applyBorder="1" applyAlignment="1" applyProtection="1"/>
    <xf numFmtId="172" fontId="3" fillId="0" borderId="17" xfId="0" applyFont="1" applyFill="1" applyBorder="1" applyAlignment="1"/>
    <xf numFmtId="172" fontId="4" fillId="0" borderId="1" xfId="0" applyNumberFormat="1" applyFont="1" applyFill="1" applyBorder="1" applyProtection="1"/>
    <xf numFmtId="172" fontId="3" fillId="0" borderId="15" xfId="0" applyNumberFormat="1" applyFont="1" applyFill="1" applyBorder="1" applyAlignment="1" applyProtection="1"/>
    <xf numFmtId="172" fontId="3" fillId="0" borderId="9" xfId="0" applyNumberFormat="1" applyFont="1" applyFill="1" applyBorder="1" applyAlignment="1" applyProtection="1"/>
    <xf numFmtId="172" fontId="3" fillId="0" borderId="16" xfId="0" applyNumberFormat="1" applyFont="1" applyFill="1" applyBorder="1" applyAlignment="1" applyProtection="1"/>
    <xf numFmtId="176" fontId="3" fillId="0" borderId="15" xfId="0" applyNumberFormat="1" applyFont="1" applyFill="1" applyBorder="1" applyAlignment="1" applyProtection="1"/>
    <xf numFmtId="172" fontId="3" fillId="10" borderId="9" xfId="0" applyNumberFormat="1" applyFont="1" applyFill="1" applyBorder="1" applyAlignment="1" applyProtection="1"/>
    <xf numFmtId="172" fontId="3" fillId="0" borderId="17" xfId="0" applyNumberFormat="1" applyFont="1" applyFill="1" applyBorder="1" applyAlignment="1" applyProtection="1">
      <alignment horizontal="left"/>
    </xf>
    <xf numFmtId="172" fontId="3" fillId="0" borderId="13" xfId="0" applyNumberFormat="1" applyFont="1" applyFill="1" applyBorder="1" applyAlignment="1" applyProtection="1"/>
    <xf numFmtId="172" fontId="3" fillId="10" borderId="12" xfId="0" applyNumberFormat="1" applyFont="1" applyFill="1" applyBorder="1" applyAlignment="1" applyProtection="1"/>
    <xf numFmtId="179" fontId="3" fillId="0" borderId="17" xfId="0" applyNumberFormat="1" applyFont="1" applyFill="1" applyBorder="1" applyAlignment="1" applyProtection="1"/>
    <xf numFmtId="172" fontId="3" fillId="0" borderId="1" xfId="0" applyNumberFormat="1" applyFont="1" applyFill="1" applyBorder="1" applyAlignment="1" applyProtection="1"/>
    <xf numFmtId="172" fontId="4" fillId="0" borderId="1" xfId="0" applyFont="1" applyFill="1" applyBorder="1"/>
    <xf numFmtId="172" fontId="3" fillId="0" borderId="0" xfId="0" applyNumberFormat="1" applyFont="1" applyFill="1" applyBorder="1" applyAlignment="1" applyProtection="1">
      <alignment horizontal="center"/>
    </xf>
    <xf numFmtId="172" fontId="4" fillId="0" borderId="0" xfId="0" applyNumberFormat="1" applyFont="1" applyFill="1" applyBorder="1" applyAlignment="1" applyProtection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172" fontId="3" fillId="0" borderId="13" xfId="0" applyNumberFormat="1" applyFont="1" applyFill="1" applyBorder="1" applyAlignment="1" applyProtection="1">
      <alignment horizontal="center"/>
    </xf>
    <xf numFmtId="172" fontId="3" fillId="10" borderId="1" xfId="0" applyNumberFormat="1" applyFont="1" applyFill="1" applyBorder="1" applyAlignment="1" applyProtection="1">
      <alignment horizontal="center"/>
    </xf>
    <xf numFmtId="172" fontId="3" fillId="0" borderId="14" xfId="0" applyNumberFormat="1" applyFont="1" applyFill="1" applyBorder="1" applyAlignment="1" applyProtection="1">
      <alignment horizontal="center"/>
    </xf>
    <xf numFmtId="172" fontId="4" fillId="0" borderId="1" xfId="0" applyNumberFormat="1" applyFont="1" applyFill="1" applyBorder="1" applyAlignment="1" applyProtection="1"/>
    <xf numFmtId="172" fontId="3" fillId="0" borderId="0" xfId="0" applyNumberFormat="1" applyFont="1" applyFill="1" applyBorder="1" applyAlignment="1" applyProtection="1">
      <alignment horizontal="center" vertical="center"/>
    </xf>
    <xf numFmtId="172" fontId="3" fillId="0" borderId="0" xfId="0" applyFont="1" applyFill="1" applyBorder="1" applyAlignment="1"/>
    <xf numFmtId="172" fontId="5" fillId="0" borderId="1" xfId="0" applyNumberFormat="1" applyFont="1" applyFill="1" applyBorder="1" applyAlignment="1" applyProtection="1"/>
    <xf numFmtId="172" fontId="3" fillId="0" borderId="1" xfId="0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/>
    <xf numFmtId="172" fontId="51" fillId="0" borderId="1" xfId="0" applyNumberFormat="1" applyFont="1" applyFill="1" applyBorder="1" applyAlignment="1" applyProtection="1">
      <alignment horizontal="center"/>
    </xf>
    <xf numFmtId="176" fontId="3" fillId="0" borderId="13" xfId="0" applyNumberFormat="1" applyFont="1" applyFill="1" applyBorder="1" applyAlignment="1" applyProtection="1"/>
    <xf numFmtId="172" fontId="3" fillId="0" borderId="14" xfId="0" applyNumberFormat="1" applyFont="1" applyFill="1" applyBorder="1" applyAlignment="1" applyProtection="1"/>
    <xf numFmtId="176" fontId="3" fillId="0" borderId="15" xfId="0" applyNumberFormat="1" applyFont="1" applyFill="1" applyBorder="1" applyAlignment="1" applyProtection="1">
      <alignment horizontal="fill"/>
    </xf>
    <xf numFmtId="172" fontId="3" fillId="10" borderId="16" xfId="0" applyNumberFormat="1" applyFont="1" applyFill="1" applyBorder="1" applyAlignment="1" applyProtection="1">
      <alignment horizontal="fill"/>
    </xf>
    <xf numFmtId="179" fontId="3" fillId="0" borderId="18" xfId="0" applyNumberFormat="1" applyFont="1" applyFill="1" applyBorder="1" applyAlignment="1" applyProtection="1">
      <alignment horizontal="fill"/>
    </xf>
    <xf numFmtId="172" fontId="3" fillId="0" borderId="10" xfId="0" applyNumberFormat="1" applyFont="1" applyFill="1" applyBorder="1" applyProtection="1"/>
    <xf numFmtId="176" fontId="3" fillId="0" borderId="17" xfId="0" applyNumberFormat="1" applyFont="1" applyFill="1" applyBorder="1" applyAlignment="1" applyProtection="1"/>
    <xf numFmtId="172" fontId="3" fillId="0" borderId="13" xfId="0" quotePrefix="1" applyFont="1" applyFill="1" applyBorder="1" applyAlignment="1">
      <alignment horizontal="left"/>
    </xf>
    <xf numFmtId="172" fontId="3" fillId="0" borderId="1" xfId="0" quotePrefix="1" applyNumberFormat="1" applyFont="1" applyFill="1" applyBorder="1" applyAlignment="1" applyProtection="1">
      <alignment horizontal="right"/>
    </xf>
    <xf numFmtId="177" fontId="3" fillId="0" borderId="1" xfId="0" applyNumberFormat="1" applyFont="1" applyFill="1" applyBorder="1" applyAlignment="1" applyProtection="1">
      <alignment horizontal="right"/>
    </xf>
    <xf numFmtId="175" fontId="3" fillId="0" borderId="13" xfId="0" quotePrefix="1" applyNumberFormat="1" applyFont="1" applyBorder="1" applyAlignment="1" applyProtection="1">
      <alignment horizontal="left"/>
    </xf>
    <xf numFmtId="172" fontId="3" fillId="0" borderId="13" xfId="0" applyFont="1" applyFill="1" applyBorder="1" applyAlignment="1">
      <alignment horizontal="left"/>
    </xf>
    <xf numFmtId="172" fontId="4" fillId="0" borderId="10" xfId="0" applyFont="1" applyFill="1" applyBorder="1"/>
    <xf numFmtId="172" fontId="3" fillId="0" borderId="11" xfId="0" applyFont="1" applyFill="1" applyBorder="1" applyAlignment="1"/>
    <xf numFmtId="176" fontId="3" fillId="0" borderId="11" xfId="0" applyNumberFormat="1" applyFont="1" applyFill="1" applyBorder="1" applyAlignment="1"/>
    <xf numFmtId="172" fontId="3" fillId="10" borderId="11" xfId="0" applyFont="1" applyFill="1" applyBorder="1" applyAlignment="1"/>
    <xf numFmtId="172" fontId="4" fillId="0" borderId="15" xfId="0" applyFont="1" applyFill="1" applyBorder="1"/>
    <xf numFmtId="172" fontId="3" fillId="0" borderId="9" xfId="0" applyFont="1" applyFill="1" applyBorder="1" applyAlignment="1">
      <alignment horizontal="centerContinuous"/>
    </xf>
    <xf numFmtId="176" fontId="3" fillId="0" borderId="9" xfId="0" applyNumberFormat="1" applyFont="1" applyFill="1" applyBorder="1" applyAlignment="1">
      <alignment horizontal="centerContinuous"/>
    </xf>
    <xf numFmtId="172" fontId="3" fillId="10" borderId="9" xfId="0" applyFont="1" applyFill="1" applyBorder="1" applyAlignment="1">
      <alignment horizontal="centerContinuous"/>
    </xf>
    <xf numFmtId="172" fontId="3" fillId="0" borderId="9" xfId="0" applyFont="1" applyFill="1" applyBorder="1" applyAlignment="1">
      <alignment horizontal="center"/>
    </xf>
    <xf numFmtId="172" fontId="3" fillId="0" borderId="16" xfId="0" applyFont="1" applyFill="1" applyBorder="1" applyAlignment="1">
      <alignment horizontal="centerContinuous"/>
    </xf>
    <xf numFmtId="172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/>
    <xf numFmtId="172" fontId="3" fillId="10" borderId="0" xfId="0" applyFont="1" applyFill="1" applyBorder="1" applyAlignment="1"/>
    <xf numFmtId="172" fontId="3" fillId="0" borderId="0" xfId="0" applyFont="1" applyFill="1" applyAlignment="1"/>
    <xf numFmtId="176" fontId="3" fillId="0" borderId="0" xfId="0" applyNumberFormat="1" applyFont="1" applyFill="1" applyAlignment="1"/>
    <xf numFmtId="172" fontId="3" fillId="10" borderId="0" xfId="0" applyFont="1" applyFill="1" applyAlignment="1"/>
    <xf numFmtId="172" fontId="3" fillId="0" borderId="11" xfId="0" applyFont="1" applyBorder="1" applyAlignment="1">
      <alignment horizontal="right"/>
    </xf>
    <xf numFmtId="179" fontId="3" fillId="0" borderId="12" xfId="0" applyNumberFormat="1" applyFont="1" applyBorder="1" applyAlignment="1">
      <alignment horizontal="center"/>
    </xf>
    <xf numFmtId="172" fontId="4" fillId="0" borderId="13" xfId="0" applyFont="1" applyBorder="1" applyAlignment="1">
      <alignment horizontal="center"/>
    </xf>
    <xf numFmtId="172" fontId="3" fillId="0" borderId="9" xfId="0" applyNumberFormat="1" applyFont="1" applyBorder="1" applyAlignment="1" applyProtection="1">
      <alignment horizontal="right"/>
    </xf>
    <xf numFmtId="172" fontId="3" fillId="0" borderId="17" xfId="0" applyFont="1" applyBorder="1" applyAlignment="1">
      <alignment horizontal="right"/>
    </xf>
    <xf numFmtId="179" fontId="3" fillId="0" borderId="17" xfId="0" applyNumberFormat="1" applyFont="1" applyBorder="1" applyAlignment="1">
      <alignment horizontal="center"/>
    </xf>
    <xf numFmtId="175" fontId="3" fillId="0" borderId="1" xfId="0" applyNumberFormat="1" applyFont="1" applyBorder="1" applyAlignment="1" applyProtection="1">
      <alignment horizontal="center"/>
    </xf>
    <xf numFmtId="175" fontId="3" fillId="0" borderId="13" xfId="0" applyNumberFormat="1" applyFont="1" applyBorder="1" applyAlignment="1" applyProtection="1">
      <alignment horizontal="center"/>
    </xf>
    <xf numFmtId="172" fontId="3" fillId="0" borderId="13" xfId="0" applyFont="1" applyBorder="1" applyAlignment="1">
      <alignment horizontal="center" vertical="center"/>
    </xf>
    <xf numFmtId="172" fontId="4" fillId="0" borderId="18" xfId="0" applyFont="1" applyBorder="1"/>
    <xf numFmtId="175" fontId="3" fillId="0" borderId="18" xfId="0" applyNumberFormat="1" applyFont="1" applyBorder="1" applyAlignment="1" applyProtection="1">
      <alignment horizontal="right"/>
    </xf>
    <xf numFmtId="175" fontId="3" fillId="0" borderId="18" xfId="0" applyNumberFormat="1" applyFont="1" applyBorder="1" applyAlignment="1" applyProtection="1">
      <alignment horizontal="center"/>
    </xf>
    <xf numFmtId="175" fontId="3" fillId="0" borderId="15" xfId="0" applyNumberFormat="1" applyFont="1" applyBorder="1" applyAlignment="1" applyProtection="1">
      <alignment horizontal="center"/>
    </xf>
    <xf numFmtId="179" fontId="3" fillId="0" borderId="18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left"/>
    </xf>
    <xf numFmtId="1" fontId="3" fillId="0" borderId="13" xfId="0" applyNumberFormat="1" applyFont="1" applyFill="1" applyBorder="1" applyAlignment="1" applyProtection="1">
      <alignment horizontal="left"/>
    </xf>
    <xf numFmtId="179" fontId="3" fillId="0" borderId="13" xfId="0" applyNumberFormat="1" applyFont="1" applyBorder="1" applyAlignment="1">
      <alignment horizontal="right"/>
    </xf>
    <xf numFmtId="172" fontId="3" fillId="0" borderId="0" xfId="0" applyFont="1" applyAlignment="1">
      <alignment horizontal="right"/>
    </xf>
    <xf numFmtId="179" fontId="3" fillId="0" borderId="0" xfId="0" applyNumberFormat="1" applyFont="1" applyAlignment="1">
      <alignment horizontal="right"/>
    </xf>
    <xf numFmtId="172" fontId="3" fillId="11" borderId="0" xfId="0" applyFont="1" applyFill="1"/>
    <xf numFmtId="172" fontId="3" fillId="0" borderId="16" xfId="0" applyNumberFormat="1" applyFont="1" applyBorder="1" applyAlignment="1" applyProtection="1">
      <alignment horizontal="right"/>
    </xf>
    <xf numFmtId="172" fontId="4" fillId="0" borderId="15" xfId="0" applyNumberFormat="1" applyFont="1" applyBorder="1" applyAlignment="1" applyProtection="1">
      <alignment horizontal="left"/>
    </xf>
    <xf numFmtId="172" fontId="3" fillId="0" borderId="9" xfId="0" applyFont="1" applyBorder="1" applyAlignment="1">
      <alignment horizontal="right"/>
    </xf>
    <xf numFmtId="179" fontId="3" fillId="0" borderId="0" xfId="0" applyNumberFormat="1" applyFont="1" applyAlignment="1">
      <alignment horizontal="center"/>
    </xf>
    <xf numFmtId="172" fontId="3" fillId="0" borderId="12" xfId="0" applyFont="1" applyBorder="1" applyAlignment="1">
      <alignment horizontal="center"/>
    </xf>
    <xf numFmtId="179" fontId="4" fillId="0" borderId="14" xfId="0" applyNumberFormat="1" applyFont="1" applyBorder="1" applyAlignment="1" applyProtection="1">
      <alignment horizontal="right"/>
    </xf>
    <xf numFmtId="172" fontId="4" fillId="0" borderId="15" xfId="0" applyNumberFormat="1" applyFont="1" applyBorder="1" applyAlignment="1" applyProtection="1">
      <alignment horizontal="right"/>
    </xf>
    <xf numFmtId="179" fontId="3" fillId="0" borderId="16" xfId="0" applyNumberFormat="1" applyFont="1" applyBorder="1" applyAlignment="1">
      <alignment horizontal="right"/>
    </xf>
    <xf numFmtId="172" fontId="3" fillId="0" borderId="0" xfId="0" applyNumberFormat="1" applyFont="1" applyAlignment="1" applyProtection="1">
      <alignment horizontal="right"/>
    </xf>
    <xf numFmtId="179" fontId="3" fillId="0" borderId="0" xfId="0" applyNumberFormat="1" applyFont="1" applyAlignment="1" applyProtection="1">
      <alignment horizontal="right"/>
    </xf>
    <xf numFmtId="179" fontId="3" fillId="0" borderId="0" xfId="0" applyNumberFormat="1" applyFont="1" applyFill="1" applyAlignment="1" applyProtection="1">
      <alignment horizontal="right"/>
    </xf>
    <xf numFmtId="172" fontId="3" fillId="0" borderId="10" xfId="0" applyNumberFormat="1" applyFont="1" applyBorder="1" applyAlignment="1" applyProtection="1">
      <alignment horizontal="left"/>
    </xf>
    <xf numFmtId="172" fontId="3" fillId="0" borderId="0" xfId="0" applyFont="1" applyBorder="1" applyAlignment="1">
      <alignment horizontal="left"/>
    </xf>
    <xf numFmtId="179" fontId="3" fillId="0" borderId="0" xfId="0" applyNumberFormat="1" applyFont="1" applyBorder="1" applyAlignment="1">
      <alignment horizontal="right"/>
    </xf>
    <xf numFmtId="172" fontId="3" fillId="0" borderId="11" xfId="0" applyNumberFormat="1" applyFont="1" applyBorder="1" applyAlignment="1" applyProtection="1">
      <alignment horizontal="right"/>
    </xf>
    <xf numFmtId="179" fontId="3" fillId="0" borderId="12" xfId="0" applyNumberFormat="1" applyFont="1" applyBorder="1" applyAlignment="1" applyProtection="1">
      <alignment horizontal="right"/>
    </xf>
    <xf numFmtId="172" fontId="3" fillId="0" borderId="0" xfId="0" applyFont="1" applyAlignment="1">
      <alignment horizontal="left"/>
    </xf>
    <xf numFmtId="175" fontId="3" fillId="0" borderId="11" xfId="0" applyNumberFormat="1" applyFont="1" applyBorder="1" applyAlignment="1" applyProtection="1">
      <alignment horizontal="fill"/>
    </xf>
    <xf numFmtId="172" fontId="4" fillId="0" borderId="0" xfId="0" applyFont="1" applyBorder="1" applyAlignment="1"/>
    <xf numFmtId="175" fontId="3" fillId="0" borderId="9" xfId="0" applyNumberFormat="1" applyFont="1" applyBorder="1" applyAlignment="1" applyProtection="1">
      <alignment horizontal="fill"/>
    </xf>
    <xf numFmtId="172" fontId="4" fillId="0" borderId="0" xfId="0" applyFont="1" applyBorder="1"/>
    <xf numFmtId="172" fontId="4" fillId="0" borderId="1" xfId="0" applyNumberFormat="1" applyFont="1" applyBorder="1" applyAlignment="1" applyProtection="1">
      <alignment horizontal="right"/>
    </xf>
    <xf numFmtId="172" fontId="3" fillId="0" borderId="10" xfId="0" applyFont="1" applyBorder="1" applyAlignment="1">
      <alignment horizontal="center"/>
    </xf>
    <xf numFmtId="175" fontId="3" fillId="0" borderId="11" xfId="0" applyNumberFormat="1" applyFont="1" applyBorder="1" applyAlignment="1" applyProtection="1">
      <alignment horizontal="center"/>
    </xf>
    <xf numFmtId="172" fontId="3" fillId="0" borderId="10" xfId="0" applyFont="1" applyFill="1" applyBorder="1"/>
    <xf numFmtId="179" fontId="3" fillId="0" borderId="17" xfId="0" applyNumberFormat="1" applyFont="1" applyBorder="1"/>
    <xf numFmtId="179" fontId="3" fillId="0" borderId="11" xfId="0" applyNumberFormat="1" applyFont="1" applyBorder="1"/>
    <xf numFmtId="179" fontId="3" fillId="0" borderId="12" xfId="0" applyNumberFormat="1" applyFont="1" applyBorder="1"/>
    <xf numFmtId="179" fontId="3" fillId="0" borderId="11" xfId="0" applyNumberFormat="1" applyFont="1" applyBorder="1" applyProtection="1"/>
    <xf numFmtId="172" fontId="3" fillId="0" borderId="0" xfId="0" applyNumberFormat="1" applyFont="1" applyFill="1" applyAlignment="1" applyProtection="1">
      <alignment horizontal="left"/>
    </xf>
    <xf numFmtId="172" fontId="3" fillId="0" borderId="0" xfId="0" applyNumberFormat="1" applyFont="1"/>
    <xf numFmtId="172" fontId="3" fillId="0" borderId="9" xfId="0" applyFont="1" applyBorder="1" applyAlignment="1">
      <alignment horizontal="left"/>
    </xf>
    <xf numFmtId="172" fontId="3" fillId="0" borderId="9" xfId="0" applyFont="1" applyFill="1" applyBorder="1" applyAlignment="1">
      <alignment horizontal="left"/>
    </xf>
    <xf numFmtId="172" fontId="3" fillId="0" borderId="16" xfId="0" applyFont="1" applyBorder="1" applyAlignment="1">
      <alignment horizontal="left"/>
    </xf>
    <xf numFmtId="175" fontId="3" fillId="0" borderId="0" xfId="0" applyNumberFormat="1" applyFont="1" applyBorder="1" applyAlignment="1" applyProtection="1">
      <alignment horizontal="fill"/>
    </xf>
    <xf numFmtId="179" fontId="3" fillId="0" borderId="11" xfId="0" applyNumberFormat="1" applyFont="1" applyBorder="1" applyAlignment="1" applyProtection="1">
      <alignment horizontal="fill"/>
    </xf>
    <xf numFmtId="172" fontId="4" fillId="0" borderId="12" xfId="0" applyNumberFormat="1" applyFont="1" applyBorder="1" applyAlignment="1" applyProtection="1">
      <alignment horizontal="center"/>
    </xf>
    <xf numFmtId="179" fontId="4" fillId="0" borderId="13" xfId="0" applyNumberFormat="1" applyFont="1" applyBorder="1" applyAlignment="1" applyProtection="1">
      <alignment horizontal="center"/>
    </xf>
    <xf numFmtId="179" fontId="3" fillId="0" borderId="9" xfId="0" applyNumberFormat="1" applyFont="1" applyBorder="1"/>
    <xf numFmtId="172" fontId="4" fillId="0" borderId="1" xfId="0" applyNumberFormat="1" applyFont="1" applyBorder="1" applyAlignment="1" applyProtection="1">
      <alignment horizontal="left"/>
    </xf>
    <xf numFmtId="172" fontId="3" fillId="0" borderId="0" xfId="0" applyNumberFormat="1" applyFont="1" applyBorder="1" applyAlignment="1" applyProtection="1">
      <alignment horizontal="centerContinuous"/>
    </xf>
    <xf numFmtId="172" fontId="51" fillId="0" borderId="1" xfId="0" applyFont="1" applyBorder="1"/>
    <xf numFmtId="172" fontId="51" fillId="0" borderId="17" xfId="0" applyFont="1" applyBorder="1"/>
    <xf numFmtId="179" fontId="51" fillId="0" borderId="1" xfId="0" applyNumberFormat="1" applyFont="1" applyBorder="1" applyAlignment="1" applyProtection="1">
      <alignment horizontal="right"/>
    </xf>
    <xf numFmtId="175" fontId="3" fillId="0" borderId="1" xfId="0" quotePrefix="1" applyNumberFormat="1" applyFont="1" applyBorder="1" applyAlignment="1" applyProtection="1">
      <alignment horizontal="left"/>
    </xf>
    <xf numFmtId="179" fontId="3" fillId="0" borderId="0" xfId="0" applyNumberFormat="1" applyFont="1" applyProtection="1"/>
    <xf numFmtId="175" fontId="3" fillId="0" borderId="0" xfId="0" applyNumberFormat="1" applyFont="1" applyFill="1" applyProtection="1"/>
    <xf numFmtId="175" fontId="3" fillId="0" borderId="10" xfId="0" applyNumberFormat="1" applyFont="1" applyBorder="1" applyAlignment="1" applyProtection="1">
      <alignment horizontal="fill"/>
    </xf>
    <xf numFmtId="175" fontId="3" fillId="0" borderId="12" xfId="0" applyNumberFormat="1" applyFont="1" applyBorder="1" applyAlignment="1" applyProtection="1">
      <alignment horizontal="fill"/>
    </xf>
    <xf numFmtId="172" fontId="4" fillId="0" borderId="14" xfId="0" applyFont="1" applyBorder="1"/>
    <xf numFmtId="175" fontId="4" fillId="0" borderId="16" xfId="0" applyNumberFormat="1" applyFont="1" applyBorder="1" applyAlignment="1" applyProtection="1"/>
    <xf numFmtId="172" fontId="3" fillId="0" borderId="10" xfId="0" applyFont="1" applyBorder="1" applyAlignment="1">
      <alignment horizontal="right"/>
    </xf>
    <xf numFmtId="179" fontId="3" fillId="0" borderId="11" xfId="0" applyNumberFormat="1" applyFont="1" applyBorder="1" applyAlignment="1">
      <alignment horizontal="right"/>
    </xf>
    <xf numFmtId="175" fontId="3" fillId="0" borderId="13" xfId="0" applyNumberFormat="1" applyFont="1" applyBorder="1" applyAlignment="1" applyProtection="1">
      <alignment horizontal="left"/>
    </xf>
    <xf numFmtId="175" fontId="3" fillId="0" borderId="13" xfId="0" applyNumberFormat="1" applyFont="1" applyBorder="1" applyAlignment="1" applyProtection="1">
      <alignment horizontal="fill"/>
    </xf>
    <xf numFmtId="175" fontId="3" fillId="0" borderId="1" xfId="0" applyNumberFormat="1" applyFont="1" applyBorder="1" applyAlignment="1" applyProtection="1">
      <alignment horizontal="fill"/>
    </xf>
    <xf numFmtId="175" fontId="3" fillId="0" borderId="15" xfId="0" applyNumberFormat="1" applyFont="1" applyBorder="1" applyAlignment="1" applyProtection="1">
      <alignment horizontal="fill"/>
    </xf>
    <xf numFmtId="175" fontId="3" fillId="0" borderId="18" xfId="0" applyNumberFormat="1" applyFont="1" applyBorder="1" applyAlignment="1" applyProtection="1">
      <alignment horizontal="fill"/>
    </xf>
    <xf numFmtId="179" fontId="51" fillId="0" borderId="0" xfId="0" applyNumberFormat="1" applyFont="1" applyBorder="1" applyAlignment="1"/>
    <xf numFmtId="179" fontId="3" fillId="0" borderId="1" xfId="0" applyNumberFormat="1" applyFont="1" applyBorder="1"/>
    <xf numFmtId="175" fontId="3" fillId="0" borderId="13" xfId="0" quotePrefix="1" applyNumberFormat="1" applyFont="1" applyFill="1" applyBorder="1" applyAlignment="1" applyProtection="1">
      <alignment horizontal="left"/>
    </xf>
    <xf numFmtId="179" fontId="51" fillId="0" borderId="1" xfId="0" applyNumberFormat="1" applyFont="1" applyBorder="1" applyAlignment="1" applyProtection="1"/>
    <xf numFmtId="179" fontId="3" fillId="0" borderId="1" xfId="4161" applyNumberFormat="1" applyFont="1" applyBorder="1" applyAlignment="1" applyProtection="1"/>
    <xf numFmtId="179" fontId="3" fillId="0" borderId="0" xfId="4161" applyNumberFormat="1" applyFont="1" applyBorder="1" applyAlignment="1"/>
    <xf numFmtId="179" fontId="3" fillId="0" borderId="1" xfId="4161" applyNumberFormat="1" applyFont="1" applyBorder="1" applyAlignment="1">
      <alignment horizontal="right"/>
    </xf>
    <xf numFmtId="179" fontId="3" fillId="0" borderId="1" xfId="4161" applyNumberFormat="1" applyFont="1" applyBorder="1" applyAlignment="1" applyProtection="1">
      <alignment horizontal="right"/>
    </xf>
    <xf numFmtId="179" fontId="3" fillId="0" borderId="1" xfId="4161" applyNumberFormat="1" applyFont="1" applyBorder="1"/>
    <xf numFmtId="172" fontId="3" fillId="0" borderId="0" xfId="0" applyNumberFormat="1" applyFont="1" applyProtection="1"/>
    <xf numFmtId="175" fontId="51" fillId="0" borderId="9" xfId="0" applyNumberFormat="1" applyFont="1" applyBorder="1" applyAlignment="1" applyProtection="1">
      <alignment horizontal="fill"/>
    </xf>
    <xf numFmtId="175" fontId="3" fillId="0" borderId="16" xfId="0" applyNumberFormat="1" applyFont="1" applyBorder="1" applyAlignment="1" applyProtection="1">
      <alignment horizontal="fill"/>
    </xf>
    <xf numFmtId="172" fontId="51" fillId="0" borderId="0" xfId="0" applyNumberFormat="1" applyFont="1" applyProtection="1"/>
    <xf numFmtId="175" fontId="3" fillId="0" borderId="10" xfId="0" applyNumberFormat="1" applyFont="1" applyBorder="1" applyAlignment="1" applyProtection="1">
      <alignment horizontal="left"/>
    </xf>
    <xf numFmtId="175" fontId="3" fillId="0" borderId="11" xfId="0" applyNumberFormat="1" applyFont="1" applyBorder="1" applyAlignment="1" applyProtection="1"/>
    <xf numFmtId="172" fontId="0" fillId="0" borderId="12" xfId="0" applyBorder="1"/>
    <xf numFmtId="172" fontId="0" fillId="0" borderId="13" xfId="0" applyBorder="1"/>
    <xf numFmtId="175" fontId="4" fillId="0" borderId="14" xfId="0" applyNumberFormat="1" applyFont="1" applyBorder="1" applyAlignment="1" applyProtection="1">
      <alignment horizontal="left"/>
    </xf>
    <xf numFmtId="175" fontId="4" fillId="0" borderId="14" xfId="0" applyNumberFormat="1" applyFont="1" applyBorder="1" applyAlignment="1" applyProtection="1"/>
    <xf numFmtId="175" fontId="3" fillId="0" borderId="9" xfId="0" applyNumberFormat="1" applyFont="1" applyFill="1" applyBorder="1" applyAlignment="1" applyProtection="1">
      <alignment horizontal="fill"/>
    </xf>
    <xf numFmtId="175" fontId="3" fillId="0" borderId="9" xfId="0" applyNumberFormat="1" applyFont="1" applyBorder="1" applyAlignment="1" applyProtection="1"/>
    <xf numFmtId="172" fontId="4" fillId="0" borderId="17" xfId="0" applyFont="1" applyBorder="1"/>
    <xf numFmtId="175" fontId="4" fillId="0" borderId="1" xfId="0" applyNumberFormat="1" applyFont="1" applyBorder="1" applyAlignment="1" applyProtection="1">
      <alignment horizontal="fill"/>
    </xf>
    <xf numFmtId="175" fontId="3" fillId="0" borderId="14" xfId="0" applyNumberFormat="1" applyFont="1" applyBorder="1" applyAlignment="1" applyProtection="1">
      <alignment horizontal="center"/>
    </xf>
    <xf numFmtId="175" fontId="3" fillId="0" borderId="18" xfId="0" applyNumberFormat="1" applyFont="1" applyFill="1" applyBorder="1" applyAlignment="1" applyProtection="1">
      <alignment horizontal="fill"/>
    </xf>
    <xf numFmtId="175" fontId="3" fillId="0" borderId="11" xfId="0" applyNumberFormat="1" applyFont="1" applyBorder="1" applyAlignment="1" applyProtection="1">
      <alignment horizontal="left"/>
    </xf>
    <xf numFmtId="172" fontId="4" fillId="0" borderId="12" xfId="0" applyFont="1" applyBorder="1"/>
    <xf numFmtId="175" fontId="3" fillId="0" borderId="0" xfId="0" applyNumberFormat="1" applyFont="1" applyAlignment="1" applyProtection="1">
      <alignment horizontal="center"/>
    </xf>
    <xf numFmtId="175" fontId="3" fillId="0" borderId="0" xfId="0" applyNumberFormat="1" applyFont="1" applyAlignment="1" applyProtection="1">
      <alignment horizontal="left"/>
    </xf>
    <xf numFmtId="175" fontId="4" fillId="0" borderId="0" xfId="0" quotePrefix="1" applyNumberFormat="1" applyFont="1" applyBorder="1" applyAlignment="1" applyProtection="1"/>
    <xf numFmtId="175" fontId="4" fillId="0" borderId="14" xfId="0" quotePrefix="1" applyNumberFormat="1" applyFont="1" applyBorder="1" applyAlignment="1" applyProtection="1"/>
    <xf numFmtId="172" fontId="3" fillId="0" borderId="0" xfId="0" quotePrefix="1" applyNumberFormat="1" applyFont="1" applyBorder="1" applyAlignment="1" applyProtection="1"/>
    <xf numFmtId="175" fontId="4" fillId="0" borderId="1" xfId="0" applyNumberFormat="1" applyFont="1" applyBorder="1" applyAlignment="1" applyProtection="1">
      <alignment horizontal="center" vertical="center"/>
    </xf>
    <xf numFmtId="172" fontId="4" fillId="0" borderId="14" xfId="0" applyFont="1" applyFill="1" applyBorder="1" applyAlignment="1">
      <alignment horizontal="center" vertical="center"/>
    </xf>
    <xf numFmtId="172" fontId="4" fillId="0" borderId="1" xfId="0" applyFont="1" applyFill="1" applyBorder="1" applyAlignment="1">
      <alignment horizontal="center" vertical="center"/>
    </xf>
    <xf numFmtId="172" fontId="3" fillId="0" borderId="9" xfId="0" applyFont="1" applyBorder="1" applyAlignment="1"/>
    <xf numFmtId="175" fontId="4" fillId="0" borderId="14" xfId="0" applyNumberFormat="1" applyFont="1" applyFill="1" applyBorder="1" applyAlignment="1" applyProtection="1">
      <alignment horizontal="center" vertical="center"/>
    </xf>
    <xf numFmtId="172" fontId="3" fillId="0" borderId="1" xfId="0" applyFont="1" applyBorder="1" applyAlignment="1"/>
    <xf numFmtId="172" fontId="3" fillId="0" borderId="17" xfId="0" quotePrefix="1" applyNumberFormat="1" applyFont="1" applyBorder="1" applyAlignment="1" applyProtection="1">
      <alignment horizontal="center"/>
    </xf>
    <xf numFmtId="172" fontId="3" fillId="0" borderId="0" xfId="0" quotePrefix="1" applyNumberFormat="1" applyFont="1" applyBorder="1" applyAlignment="1" applyProtection="1">
      <alignment horizontal="center"/>
    </xf>
    <xf numFmtId="172" fontId="3" fillId="0" borderId="13" xfId="0" quotePrefix="1" applyNumberFormat="1" applyFont="1" applyBorder="1" applyAlignment="1" applyProtection="1">
      <alignment horizontal="center"/>
    </xf>
    <xf numFmtId="172" fontId="4" fillId="0" borderId="14" xfId="0" applyFont="1" applyFill="1" applyBorder="1" applyAlignment="1">
      <alignment horizontal="center"/>
    </xf>
    <xf numFmtId="172" fontId="3" fillId="0" borderId="1" xfId="0" applyNumberFormat="1" applyFont="1" applyBorder="1" applyProtection="1"/>
    <xf numFmtId="172" fontId="3" fillId="0" borderId="17" xfId="0" applyNumberFormat="1" applyFont="1" applyBorder="1" applyProtection="1"/>
    <xf numFmtId="172" fontId="3" fillId="0" borderId="17" xfId="0" applyNumberFormat="1" applyFont="1" applyBorder="1" applyAlignment="1" applyProtection="1">
      <alignment shrinkToFit="1" readingOrder="1"/>
    </xf>
    <xf numFmtId="172" fontId="3" fillId="0" borderId="11" xfId="0" applyNumberFormat="1" applyFont="1" applyBorder="1" applyProtection="1"/>
    <xf numFmtId="172" fontId="3" fillId="0" borderId="10" xfId="0" applyNumberFormat="1" applyFont="1" applyBorder="1" applyProtection="1"/>
    <xf numFmtId="172" fontId="3" fillId="0" borderId="13" xfId="0" quotePrefix="1" applyFont="1" applyBorder="1" applyAlignment="1">
      <alignment horizontal="left"/>
    </xf>
    <xf numFmtId="175" fontId="4" fillId="0" borderId="10" xfId="0" applyNumberFormat="1" applyFont="1" applyBorder="1" applyAlignment="1" applyProtection="1">
      <alignment horizontal="left"/>
    </xf>
    <xf numFmtId="175" fontId="4" fillId="0" borderId="11" xfId="0" applyNumberFormat="1" applyFont="1" applyBorder="1" applyAlignment="1" applyProtection="1">
      <alignment horizontal="left"/>
    </xf>
    <xf numFmtId="175" fontId="4" fillId="0" borderId="14" xfId="0" applyNumberFormat="1" applyFont="1" applyBorder="1" applyAlignment="1" applyProtection="1">
      <alignment horizontal="center"/>
    </xf>
    <xf numFmtId="172" fontId="0" fillId="0" borderId="14" xfId="0" applyFont="1" applyBorder="1" applyAlignment="1"/>
    <xf numFmtId="175" fontId="4" fillId="0" borderId="15" xfId="0" applyNumberFormat="1" applyFont="1" applyBorder="1" applyAlignment="1" applyProtection="1">
      <alignment horizontal="fill"/>
    </xf>
    <xf numFmtId="175" fontId="4" fillId="0" borderId="9" xfId="0" applyNumberFormat="1" applyFont="1" applyBorder="1" applyAlignment="1" applyProtection="1">
      <alignment horizontal="fill"/>
    </xf>
    <xf numFmtId="175" fontId="4" fillId="0" borderId="16" xfId="0" applyNumberFormat="1" applyFont="1" applyBorder="1" applyAlignment="1" applyProtection="1">
      <alignment horizontal="fill"/>
    </xf>
    <xf numFmtId="175" fontId="4" fillId="0" borderId="1" xfId="0" applyNumberFormat="1" applyFont="1" applyBorder="1" applyAlignment="1" applyProtection="1">
      <alignment horizontal="center"/>
    </xf>
    <xf numFmtId="175" fontId="4" fillId="0" borderId="0" xfId="0" applyNumberFormat="1" applyFont="1" applyBorder="1" applyAlignment="1" applyProtection="1">
      <alignment horizontal="center"/>
    </xf>
    <xf numFmtId="175" fontId="3" fillId="0" borderId="14" xfId="0" applyNumberFormat="1" applyFont="1" applyBorder="1" applyAlignment="1" applyProtection="1">
      <alignment horizontal="fill"/>
    </xf>
    <xf numFmtId="175" fontId="3" fillId="0" borderId="17" xfId="0" applyNumberFormat="1" applyFont="1" applyBorder="1" applyAlignment="1" applyProtection="1">
      <alignment horizontal="left"/>
    </xf>
    <xf numFmtId="175" fontId="3" fillId="0" borderId="14" xfId="0" applyNumberFormat="1" applyFont="1" applyBorder="1" applyAlignment="1" applyProtection="1">
      <alignment horizontal="centerContinuous"/>
    </xf>
    <xf numFmtId="175" fontId="3" fillId="0" borderId="17" xfId="0" applyNumberFormat="1" applyFont="1" applyBorder="1" applyAlignment="1" applyProtection="1">
      <alignment horizontal="center"/>
    </xf>
    <xf numFmtId="175" fontId="3" fillId="0" borderId="17" xfId="0" quotePrefix="1" applyNumberFormat="1" applyFont="1" applyBorder="1" applyAlignment="1" applyProtection="1">
      <alignment horizontal="center"/>
    </xf>
    <xf numFmtId="172" fontId="3" fillId="0" borderId="0" xfId="0" applyNumberFormat="1" applyFont="1" applyBorder="1" applyProtection="1"/>
    <xf numFmtId="173" fontId="3" fillId="0" borderId="15" xfId="0" applyNumberFormat="1" applyFont="1" applyBorder="1" applyAlignment="1" applyProtection="1">
      <alignment horizontal="fill"/>
    </xf>
    <xf numFmtId="173" fontId="3" fillId="0" borderId="18" xfId="0" applyNumberFormat="1" applyFont="1" applyBorder="1" applyAlignment="1" applyProtection="1">
      <alignment horizontal="fill"/>
    </xf>
    <xf numFmtId="173" fontId="3" fillId="0" borderId="9" xfId="0" applyNumberFormat="1" applyFont="1" applyBorder="1" applyAlignment="1" applyProtection="1">
      <alignment horizontal="fill"/>
    </xf>
    <xf numFmtId="173" fontId="3" fillId="0" borderId="16" xfId="0" applyNumberFormat="1" applyFont="1" applyBorder="1" applyAlignment="1" applyProtection="1">
      <alignment horizontal="fill"/>
    </xf>
    <xf numFmtId="173" fontId="3" fillId="0" borderId="0" xfId="0" applyNumberFormat="1" applyFont="1"/>
    <xf numFmtId="173" fontId="3" fillId="0" borderId="0" xfId="0" applyNumberFormat="1" applyFont="1" applyAlignment="1" applyProtection="1">
      <alignment horizontal="center"/>
    </xf>
    <xf numFmtId="173" fontId="3" fillId="0" borderId="1" xfId="0" applyNumberFormat="1" applyFont="1" applyBorder="1" applyAlignment="1" applyProtection="1">
      <alignment horizontal="centerContinuous"/>
    </xf>
    <xf numFmtId="173" fontId="3" fillId="0" borderId="0" xfId="0" applyNumberFormat="1" applyFont="1" applyAlignment="1" applyProtection="1"/>
    <xf numFmtId="173" fontId="3" fillId="0" borderId="1" xfId="0" applyNumberFormat="1" applyFont="1" applyBorder="1" applyAlignment="1" applyProtection="1"/>
    <xf numFmtId="173" fontId="3" fillId="0" borderId="13" xfId="0" applyNumberFormat="1" applyFont="1" applyBorder="1" applyAlignment="1" applyProtection="1"/>
    <xf numFmtId="173" fontId="3" fillId="0" borderId="0" xfId="0" applyNumberFormat="1" applyFont="1" applyAlignment="1" applyProtection="1">
      <alignment horizontal="centerContinuous"/>
    </xf>
    <xf numFmtId="173" fontId="3" fillId="0" borderId="0" xfId="0" applyNumberFormat="1" applyFont="1" applyBorder="1" applyAlignment="1" applyProtection="1"/>
    <xf numFmtId="173" fontId="3" fillId="0" borderId="13" xfId="0" quotePrefix="1" applyNumberFormat="1" applyFont="1" applyBorder="1" applyAlignment="1" applyProtection="1">
      <alignment horizontal="left"/>
    </xf>
    <xf numFmtId="173" fontId="3" fillId="0" borderId="0" xfId="0" applyNumberFormat="1" applyFont="1" applyAlignment="1" applyProtection="1">
      <alignment horizontal="right"/>
    </xf>
    <xf numFmtId="173" fontId="3" fillId="0" borderId="1" xfId="0" applyNumberFormat="1" applyFont="1" applyBorder="1" applyAlignment="1" applyProtection="1">
      <alignment horizontal="right"/>
    </xf>
    <xf numFmtId="173" fontId="3" fillId="0" borderId="0" xfId="0" applyNumberFormat="1" applyFont="1" applyBorder="1" applyAlignment="1" applyProtection="1">
      <alignment horizontal="right"/>
    </xf>
    <xf numFmtId="173" fontId="3" fillId="0" borderId="13" xfId="0" quotePrefix="1" applyNumberFormat="1" applyFont="1" applyFill="1" applyBorder="1" applyAlignment="1" applyProtection="1">
      <alignment horizontal="left"/>
    </xf>
    <xf numFmtId="172" fontId="3" fillId="0" borderId="12" xfId="0" applyNumberFormat="1" applyFont="1" applyBorder="1" applyProtection="1"/>
    <xf numFmtId="172" fontId="3" fillId="0" borderId="9" xfId="0" applyNumberFormat="1" applyFont="1" applyBorder="1" applyProtection="1"/>
    <xf numFmtId="172" fontId="3" fillId="0" borderId="16" xfId="0" applyNumberFormat="1" applyFont="1" applyBorder="1" applyProtection="1"/>
    <xf numFmtId="179" fontId="3" fillId="0" borderId="11" xfId="0" applyNumberFormat="1" applyFont="1" applyBorder="1" applyAlignment="1">
      <alignment horizontal="center" vertical="center"/>
    </xf>
    <xf numFmtId="172" fontId="3" fillId="0" borderId="13" xfId="0" applyFont="1" applyBorder="1" applyAlignment="1">
      <alignment vertical="center"/>
    </xf>
    <xf numFmtId="172" fontId="3" fillId="0" borderId="13" xfId="0" applyFont="1" applyFill="1" applyBorder="1" applyAlignment="1">
      <alignment horizontal="left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2" fontId="11" fillId="0" borderId="13" xfId="0" applyFont="1" applyBorder="1" applyAlignment="1">
      <alignment horizontal="right" vertical="center"/>
    </xf>
    <xf numFmtId="179" fontId="11" fillId="0" borderId="1" xfId="4231" applyNumberFormat="1" applyFont="1" applyBorder="1" applyAlignment="1">
      <alignment horizontal="center" vertical="center"/>
    </xf>
    <xf numFmtId="179" fontId="11" fillId="0" borderId="0" xfId="4231" applyNumberFormat="1" applyFont="1" applyBorder="1" applyAlignment="1">
      <alignment horizontal="center" vertical="center"/>
    </xf>
    <xf numFmtId="179" fontId="11" fillId="0" borderId="13" xfId="4231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2" fontId="11" fillId="0" borderId="15" xfId="0" applyFont="1" applyBorder="1" applyAlignment="1">
      <alignment horizontal="left" vertical="center"/>
    </xf>
    <xf numFmtId="179" fontId="11" fillId="0" borderId="18" xfId="4231" applyNumberFormat="1" applyFont="1" applyBorder="1" applyAlignment="1">
      <alignment horizontal="center" vertical="center"/>
    </xf>
    <xf numFmtId="179" fontId="11" fillId="0" borderId="9" xfId="4231" applyNumberFormat="1" applyFont="1" applyBorder="1" applyAlignment="1">
      <alignment horizontal="center" vertical="center"/>
    </xf>
    <xf numFmtId="179" fontId="11" fillId="0" borderId="15" xfId="4231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11" fillId="0" borderId="1" xfId="4182" applyNumberFormat="1" applyFont="1" applyBorder="1" applyAlignment="1">
      <alignment horizontal="center"/>
    </xf>
    <xf numFmtId="179" fontId="11" fillId="0" borderId="0" xfId="4182" applyNumberFormat="1" applyFont="1" applyBorder="1" applyAlignment="1">
      <alignment horizontal="center"/>
    </xf>
    <xf numFmtId="179" fontId="11" fillId="0" borderId="14" xfId="4182" applyNumberFormat="1" applyFont="1" applyBorder="1" applyAlignment="1">
      <alignment horizontal="center"/>
    </xf>
    <xf numFmtId="179" fontId="4" fillId="0" borderId="10" xfId="0" applyNumberFormat="1" applyFont="1" applyBorder="1"/>
    <xf numFmtId="179" fontId="3" fillId="0" borderId="16" xfId="0" applyNumberFormat="1" applyFont="1" applyBorder="1"/>
    <xf numFmtId="172" fontId="11" fillId="0" borderId="17" xfId="0" applyFont="1" applyBorder="1" applyAlignment="1">
      <alignment horizontal="center"/>
    </xf>
    <xf numFmtId="172" fontId="4" fillId="0" borderId="1" xfId="0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172" fontId="11" fillId="0" borderId="1" xfId="0" applyFont="1" applyBorder="1" applyAlignment="1">
      <alignment horizontal="center"/>
    </xf>
    <xf numFmtId="179" fontId="4" fillId="0" borderId="14" xfId="0" applyNumberFormat="1" applyFont="1" applyBorder="1" applyAlignment="1"/>
    <xf numFmtId="172" fontId="11" fillId="0" borderId="13" xfId="0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79" fontId="4" fillId="0" borderId="12" xfId="0" applyNumberFormat="1" applyFont="1" applyBorder="1" applyAlignment="1"/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/>
    </xf>
    <xf numFmtId="172" fontId="11" fillId="0" borderId="18" xfId="0" applyFont="1" applyBorder="1" applyAlignment="1">
      <alignment horizontal="left"/>
    </xf>
    <xf numFmtId="179" fontId="4" fillId="0" borderId="18" xfId="0" applyNumberFormat="1" applyFont="1" applyBorder="1" applyAlignment="1">
      <alignment horizontal="center"/>
    </xf>
    <xf numFmtId="176" fontId="3" fillId="0" borderId="0" xfId="0" applyNumberFormat="1" applyFont="1" applyBorder="1"/>
    <xf numFmtId="172" fontId="11" fillId="0" borderId="1" xfId="0" applyFont="1" applyBorder="1" applyAlignment="1">
      <alignment horizontal="left"/>
    </xf>
    <xf numFmtId="179" fontId="4" fillId="0" borderId="17" xfId="0" applyNumberFormat="1" applyFont="1" applyBorder="1" applyAlignment="1">
      <alignment horizontal="left"/>
    </xf>
    <xf numFmtId="179" fontId="4" fillId="0" borderId="14" xfId="0" applyNumberFormat="1" applyFont="1" applyBorder="1" applyAlignment="1">
      <alignment horizontal="left"/>
    </xf>
    <xf numFmtId="179" fontId="3" fillId="0" borderId="14" xfId="0" applyNumberFormat="1" applyFont="1" applyBorder="1"/>
    <xf numFmtId="179" fontId="4" fillId="0" borderId="17" xfId="0" applyNumberFormat="1" applyFont="1" applyBorder="1"/>
    <xf numFmtId="179" fontId="4" fillId="0" borderId="1" xfId="0" applyNumberFormat="1" applyFont="1" applyBorder="1"/>
    <xf numFmtId="179" fontId="3" fillId="0" borderId="14" xfId="0" applyNumberFormat="1" applyFont="1" applyFill="1" applyBorder="1" applyAlignment="1"/>
    <xf numFmtId="179" fontId="3" fillId="0" borderId="14" xfId="0" applyNumberFormat="1" applyFont="1" applyFill="1" applyBorder="1"/>
    <xf numFmtId="172" fontId="3" fillId="0" borderId="1" xfId="0" quotePrefix="1" applyFont="1" applyFill="1" applyBorder="1" applyAlignment="1">
      <alignment horizontal="left"/>
    </xf>
    <xf numFmtId="3" fontId="3" fillId="0" borderId="0" xfId="0" applyNumberFormat="1" applyFont="1"/>
    <xf numFmtId="172" fontId="11" fillId="0" borderId="0" xfId="0" applyFont="1" applyAlignment="1">
      <alignment horizontal="center"/>
    </xf>
    <xf numFmtId="183" fontId="3" fillId="0" borderId="12" xfId="0" applyNumberFormat="1" applyFont="1" applyBorder="1"/>
    <xf numFmtId="183" fontId="3" fillId="0" borderId="0" xfId="0" applyNumberFormat="1" applyFont="1"/>
    <xf numFmtId="183" fontId="3" fillId="0" borderId="13" xfId="0" applyNumberFormat="1" applyFont="1" applyBorder="1"/>
    <xf numFmtId="172" fontId="4" fillId="0" borderId="14" xfId="0" quotePrefix="1" applyFont="1" applyBorder="1" applyAlignment="1"/>
    <xf numFmtId="172" fontId="3" fillId="0" borderId="10" xfId="0" applyNumberFormat="1" applyFont="1" applyBorder="1" applyAlignment="1" applyProtection="1">
      <alignment horizontal="center"/>
    </xf>
    <xf numFmtId="183" fontId="3" fillId="0" borderId="1" xfId="0" applyNumberFormat="1" applyFont="1" applyBorder="1" applyAlignment="1" applyProtection="1">
      <alignment horizontal="left"/>
    </xf>
    <xf numFmtId="183" fontId="3" fillId="0" borderId="13" xfId="0" applyNumberFormat="1" applyFont="1" applyBorder="1" applyAlignment="1" applyProtection="1">
      <alignment horizontal="centerContinuous"/>
    </xf>
    <xf numFmtId="183" fontId="3" fillId="0" borderId="1" xfId="0" applyNumberFormat="1" applyFont="1" applyBorder="1" applyAlignment="1" applyProtection="1">
      <alignment horizontal="centerContinuous"/>
    </xf>
    <xf numFmtId="183" fontId="3" fillId="0" borderId="0" xfId="0" applyNumberFormat="1" applyFont="1" applyBorder="1" applyAlignment="1" applyProtection="1">
      <alignment horizontal="centerContinuous"/>
    </xf>
    <xf numFmtId="183" fontId="3" fillId="0" borderId="14" xfId="0" applyNumberFormat="1" applyFont="1" applyBorder="1" applyAlignment="1" applyProtection="1">
      <alignment horizontal="centerContinuous"/>
    </xf>
    <xf numFmtId="183" fontId="3" fillId="0" borderId="13" xfId="0" applyNumberFormat="1" applyFont="1" applyBorder="1" applyAlignment="1">
      <alignment horizontal="right"/>
    </xf>
    <xf numFmtId="183" fontId="3" fillId="0" borderId="1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83" fontId="3" fillId="0" borderId="14" xfId="0" applyNumberFormat="1" applyFont="1" applyBorder="1" applyAlignment="1">
      <alignment horizontal="right"/>
    </xf>
    <xf numFmtId="183" fontId="3" fillId="0" borderId="1" xfId="0" quotePrefix="1" applyNumberFormat="1" applyFont="1" applyBorder="1" applyAlignment="1" applyProtection="1">
      <alignment horizontal="left"/>
    </xf>
    <xf numFmtId="183" fontId="3" fillId="0" borderId="13" xfId="0" applyNumberFormat="1" applyFont="1" applyBorder="1" applyAlignment="1" applyProtection="1">
      <alignment horizontal="right"/>
    </xf>
    <xf numFmtId="183" fontId="3" fillId="0" borderId="1" xfId="0" applyNumberFormat="1" applyFont="1" applyBorder="1" applyAlignment="1" applyProtection="1">
      <alignment horizontal="right"/>
    </xf>
    <xf numFmtId="183" fontId="3" fillId="0" borderId="0" xfId="0" applyNumberFormat="1" applyFont="1" applyBorder="1" applyAlignment="1" applyProtection="1">
      <alignment horizontal="right"/>
    </xf>
    <xf numFmtId="183" fontId="3" fillId="0" borderId="14" xfId="0" applyNumberFormat="1" applyFont="1" applyBorder="1" applyAlignment="1" applyProtection="1">
      <alignment horizontal="right"/>
    </xf>
    <xf numFmtId="183" fontId="3" fillId="0" borderId="1" xfId="0" quotePrefix="1" applyNumberFormat="1" applyFont="1" applyFill="1" applyBorder="1" applyAlignment="1" applyProtection="1">
      <alignment horizontal="left"/>
    </xf>
    <xf numFmtId="183" fontId="3" fillId="0" borderId="17" xfId="0" applyNumberFormat="1" applyFont="1" applyBorder="1" applyAlignment="1" applyProtection="1">
      <alignment horizontal="right"/>
    </xf>
    <xf numFmtId="175" fontId="4" fillId="0" borderId="10" xfId="0" quotePrefix="1" applyNumberFormat="1" applyFont="1" applyBorder="1" applyAlignment="1" applyProtection="1">
      <alignment horizontal="left"/>
    </xf>
    <xf numFmtId="183" fontId="3" fillId="0" borderId="11" xfId="0" applyNumberFormat="1" applyFont="1" applyBorder="1"/>
    <xf numFmtId="183" fontId="3" fillId="0" borderId="10" xfId="0" applyNumberFormat="1" applyFont="1" applyBorder="1" applyAlignment="1" applyProtection="1">
      <alignment horizontal="fill"/>
    </xf>
    <xf numFmtId="183" fontId="3" fillId="0" borderId="11" xfId="0" applyNumberFormat="1" applyFont="1" applyBorder="1" applyAlignment="1" applyProtection="1">
      <alignment horizontal="fill"/>
    </xf>
    <xf numFmtId="183" fontId="3" fillId="0" borderId="12" xfId="0" applyNumberFormat="1" applyFont="1" applyBorder="1" applyAlignment="1" applyProtection="1">
      <alignment horizontal="fill"/>
    </xf>
    <xf numFmtId="183" fontId="3" fillId="0" borderId="0" xfId="0" applyNumberFormat="1" applyFont="1" applyAlignment="1" applyProtection="1">
      <alignment horizontal="center"/>
    </xf>
    <xf numFmtId="175" fontId="3" fillId="0" borderId="0" xfId="0" applyNumberFormat="1" applyFont="1" applyBorder="1" applyAlignment="1" applyProtection="1">
      <alignment horizontal="left"/>
    </xf>
    <xf numFmtId="183" fontId="3" fillId="0" borderId="0" xfId="0" applyNumberFormat="1" applyFont="1" applyAlignment="1" applyProtection="1">
      <alignment horizontal="left"/>
    </xf>
    <xf numFmtId="175" fontId="4" fillId="0" borderId="0" xfId="0" applyNumberFormat="1" applyFont="1" applyBorder="1" applyAlignment="1" applyProtection="1"/>
    <xf numFmtId="183" fontId="3" fillId="0" borderId="0" xfId="0" applyNumberFormat="1" applyFont="1" applyBorder="1"/>
    <xf numFmtId="183" fontId="3" fillId="0" borderId="0" xfId="0" applyNumberFormat="1" applyFont="1" applyBorder="1" applyAlignment="1" applyProtection="1">
      <alignment horizontal="center"/>
    </xf>
    <xf numFmtId="172" fontId="51" fillId="0" borderId="0" xfId="0" applyNumberFormat="1" applyFont="1" applyBorder="1" applyAlignment="1" applyProtection="1"/>
    <xf numFmtId="175" fontId="4" fillId="0" borderId="1" xfId="0" applyNumberFormat="1" applyFont="1" applyBorder="1" applyAlignment="1" applyProtection="1">
      <alignment horizontal="left"/>
    </xf>
    <xf numFmtId="172" fontId="3" fillId="0" borderId="16" xfId="0" applyFont="1" applyBorder="1" applyAlignment="1"/>
    <xf numFmtId="172" fontId="3" fillId="0" borderId="12" xfId="0" quotePrefix="1" applyNumberFormat="1" applyFont="1" applyBorder="1" applyAlignment="1" applyProtection="1">
      <alignment horizontal="center"/>
    </xf>
    <xf numFmtId="183" fontId="3" fillId="0" borderId="1" xfId="0" applyNumberFormat="1" applyFont="1" applyBorder="1"/>
    <xf numFmtId="172" fontId="3" fillId="0" borderId="18" xfId="0" quotePrefix="1" applyNumberFormat="1" applyFont="1" applyBorder="1" applyAlignment="1" applyProtection="1">
      <alignment horizontal="center"/>
    </xf>
    <xf numFmtId="172" fontId="3" fillId="0" borderId="14" xfId="0" quotePrefix="1" applyNumberFormat="1" applyFont="1" applyBorder="1" applyAlignment="1" applyProtection="1">
      <alignment horizontal="center"/>
    </xf>
    <xf numFmtId="172" fontId="3" fillId="0" borderId="16" xfId="0" quotePrefix="1" applyNumberFormat="1" applyFont="1" applyBorder="1" applyAlignment="1" applyProtection="1">
      <alignment horizontal="center"/>
    </xf>
    <xf numFmtId="183" fontId="3" fillId="0" borderId="17" xfId="0" applyNumberFormat="1" applyFont="1" applyBorder="1" applyProtection="1"/>
    <xf numFmtId="183" fontId="3" fillId="0" borderId="11" xfId="0" applyNumberFormat="1" applyFont="1" applyBorder="1" applyProtection="1"/>
    <xf numFmtId="183" fontId="3" fillId="0" borderId="10" xfId="0" applyNumberFormat="1" applyFont="1" applyBorder="1" applyProtection="1"/>
    <xf numFmtId="183" fontId="3" fillId="0" borderId="17" xfId="0" applyNumberFormat="1" applyFont="1" applyBorder="1" applyAlignment="1" applyProtection="1">
      <alignment horizontal="center"/>
    </xf>
    <xf numFmtId="183" fontId="3" fillId="0" borderId="12" xfId="0" applyNumberFormat="1" applyFont="1" applyBorder="1" applyProtection="1"/>
    <xf numFmtId="183" fontId="3" fillId="0" borderId="17" xfId="0" applyNumberFormat="1" applyFont="1" applyBorder="1" applyAlignment="1">
      <alignment horizontal="center"/>
    </xf>
    <xf numFmtId="183" fontId="3" fillId="0" borderId="17" xfId="0" applyNumberFormat="1" applyFont="1" applyBorder="1"/>
    <xf numFmtId="183" fontId="3" fillId="0" borderId="13" xfId="0" applyNumberFormat="1" applyFont="1" applyBorder="1" applyAlignment="1" applyProtection="1">
      <alignment horizontal="left"/>
    </xf>
    <xf numFmtId="183" fontId="3" fillId="0" borderId="14" xfId="0" applyNumberFormat="1" applyFont="1" applyBorder="1" applyAlignment="1" applyProtection="1">
      <alignment horizontal="center"/>
    </xf>
    <xf numFmtId="183" fontId="3" fillId="0" borderId="1" xfId="0" applyNumberFormat="1" applyFont="1" applyBorder="1" applyAlignment="1" applyProtection="1">
      <alignment horizontal="center"/>
    </xf>
    <xf numFmtId="183" fontId="3" fillId="0" borderId="14" xfId="0" quotePrefix="1" applyNumberFormat="1" applyFont="1" applyBorder="1" applyAlignment="1" applyProtection="1">
      <alignment horizontal="right"/>
    </xf>
    <xf numFmtId="183" fontId="3" fillId="0" borderId="1" xfId="0" quotePrefix="1" applyNumberFormat="1" applyFont="1" applyBorder="1" applyAlignment="1" applyProtection="1">
      <alignment horizontal="right"/>
    </xf>
    <xf numFmtId="183" fontId="3" fillId="0" borderId="0" xfId="0" quotePrefix="1" applyNumberFormat="1" applyFont="1" applyBorder="1" applyAlignment="1" applyProtection="1">
      <alignment horizontal="right"/>
    </xf>
    <xf numFmtId="183" fontId="7" fillId="0" borderId="1" xfId="0" applyNumberFormat="1" applyFont="1" applyBorder="1" applyAlignment="1" applyProtection="1">
      <alignment horizontal="right"/>
    </xf>
    <xf numFmtId="183" fontId="7" fillId="0" borderId="14" xfId="0" applyNumberFormat="1" applyFont="1" applyBorder="1" applyAlignment="1" applyProtection="1">
      <alignment horizontal="right"/>
    </xf>
    <xf numFmtId="183" fontId="7" fillId="0" borderId="0" xfId="0" applyNumberFormat="1" applyFont="1" applyBorder="1" applyAlignment="1" applyProtection="1">
      <alignment horizontal="right"/>
    </xf>
    <xf numFmtId="183" fontId="3" fillId="0" borderId="13" xfId="0" quotePrefix="1" applyNumberFormat="1" applyFont="1" applyBorder="1" applyAlignment="1">
      <alignment horizontal="right"/>
    </xf>
    <xf numFmtId="183" fontId="3" fillId="0" borderId="9" xfId="0" applyNumberFormat="1" applyFont="1" applyBorder="1" applyAlignment="1" applyProtection="1">
      <alignment horizontal="fill"/>
    </xf>
    <xf numFmtId="183" fontId="3" fillId="0" borderId="16" xfId="0" applyNumberFormat="1" applyFont="1" applyBorder="1" applyAlignment="1" applyProtection="1">
      <alignment horizontal="fill"/>
    </xf>
    <xf numFmtId="175" fontId="4" fillId="0" borderId="13" xfId="0" applyNumberFormat="1" applyFont="1" applyBorder="1" applyAlignment="1" applyProtection="1">
      <alignment horizontal="left"/>
    </xf>
    <xf numFmtId="175" fontId="3" fillId="0" borderId="1" xfId="0" quotePrefix="1" applyNumberFormat="1" applyFont="1" applyFill="1" applyBorder="1" applyAlignment="1" applyProtection="1">
      <alignment horizontal="left"/>
    </xf>
    <xf numFmtId="172" fontId="4" fillId="0" borderId="10" xfId="0" applyNumberFormat="1" applyFont="1" applyBorder="1" applyAlignment="1" applyProtection="1">
      <alignment horizontal="left"/>
    </xf>
    <xf numFmtId="175" fontId="3" fillId="0" borderId="13" xfId="0" applyNumberFormat="1" applyFont="1" applyBorder="1" applyAlignment="1" applyProtection="1">
      <alignment horizontal="right"/>
    </xf>
    <xf numFmtId="2" fontId="3" fillId="0" borderId="11" xfId="0" applyNumberFormat="1" applyFont="1" applyBorder="1"/>
    <xf numFmtId="2" fontId="3" fillId="0" borderId="0" xfId="0" applyNumberFormat="1" applyFont="1" applyBorder="1" applyAlignment="1" applyProtection="1">
      <alignment horizontal="right"/>
    </xf>
    <xf numFmtId="172" fontId="5" fillId="0" borderId="0" xfId="0" applyFont="1"/>
    <xf numFmtId="172" fontId="3" fillId="0" borderId="10" xfId="0" applyFont="1" applyBorder="1" applyAlignment="1">
      <alignment horizontal="fill"/>
    </xf>
    <xf numFmtId="172" fontId="4" fillId="0" borderId="15" xfId="0" applyNumberFormat="1" applyFont="1" applyBorder="1" applyProtection="1"/>
    <xf numFmtId="183" fontId="3" fillId="0" borderId="0" xfId="0" applyNumberFormat="1" applyFont="1" applyBorder="1" applyAlignment="1" applyProtection="1">
      <alignment horizontal="fill"/>
    </xf>
    <xf numFmtId="172" fontId="3" fillId="0" borderId="15" xfId="0" applyNumberFormat="1" applyFont="1" applyBorder="1" applyProtection="1"/>
    <xf numFmtId="182" fontId="3" fillId="0" borderId="9" xfId="276" applyNumberFormat="1" applyFont="1" applyBorder="1" applyProtection="1"/>
    <xf numFmtId="182" fontId="3" fillId="0" borderId="16" xfId="276" applyNumberFormat="1" applyFont="1" applyBorder="1" applyProtection="1"/>
    <xf numFmtId="179" fontId="4" fillId="0" borderId="13" xfId="0" applyNumberFormat="1" applyFont="1" applyBorder="1"/>
    <xf numFmtId="175" fontId="3" fillId="10" borderId="0" xfId="0" applyNumberFormat="1" applyFont="1" applyFill="1" applyBorder="1" applyProtection="1"/>
    <xf numFmtId="172" fontId="3" fillId="10" borderId="9" xfId="0" applyFont="1" applyFill="1" applyBorder="1"/>
    <xf numFmtId="172" fontId="4" fillId="0" borderId="10" xfId="0" applyFont="1" applyBorder="1" applyAlignment="1"/>
    <xf numFmtId="175" fontId="51" fillId="0" borderId="0" xfId="0" applyNumberFormat="1" applyFont="1" applyBorder="1" applyProtection="1"/>
    <xf numFmtId="179" fontId="3" fillId="0" borderId="16" xfId="0" applyNumberFormat="1" applyFont="1" applyBorder="1" applyAlignment="1">
      <alignment horizontal="center"/>
    </xf>
    <xf numFmtId="179" fontId="3" fillId="0" borderId="9" xfId="0" applyNumberFormat="1" applyFont="1" applyBorder="1" applyProtection="1"/>
    <xf numFmtId="175" fontId="3" fillId="0" borderId="9" xfId="0" applyNumberFormat="1" applyFont="1" applyFill="1" applyBorder="1" applyProtection="1"/>
    <xf numFmtId="172" fontId="3" fillId="0" borderId="15" xfId="0" applyFont="1" applyBorder="1" applyAlignment="1">
      <alignment horizontal="fill"/>
    </xf>
    <xf numFmtId="172" fontId="3" fillId="0" borderId="14" xfId="0" applyNumberFormat="1" applyFont="1" applyBorder="1" applyProtection="1"/>
    <xf numFmtId="172" fontId="3" fillId="0" borderId="15" xfId="0" applyFont="1" applyBorder="1" applyAlignment="1">
      <alignment horizontal="center"/>
    </xf>
    <xf numFmtId="183" fontId="3" fillId="0" borderId="14" xfId="0" applyNumberFormat="1" applyFont="1" applyBorder="1"/>
    <xf numFmtId="183" fontId="3" fillId="0" borderId="15" xfId="0" applyNumberFormat="1" applyFont="1" applyBorder="1"/>
    <xf numFmtId="183" fontId="3" fillId="0" borderId="9" xfId="0" applyNumberFormat="1" applyFont="1" applyBorder="1"/>
    <xf numFmtId="183" fontId="3" fillId="0" borderId="16" xfId="0" applyNumberFormat="1" applyFont="1" applyBorder="1"/>
    <xf numFmtId="183" fontId="3" fillId="0" borderId="14" xfId="0" applyNumberFormat="1" applyFont="1" applyBorder="1" applyAlignment="1" applyProtection="1">
      <alignment horizontal="fill"/>
    </xf>
    <xf numFmtId="183" fontId="3" fillId="0" borderId="15" xfId="0" applyNumberFormat="1" applyFont="1" applyBorder="1" applyAlignment="1" applyProtection="1">
      <alignment horizontal="fill"/>
    </xf>
    <xf numFmtId="2" fontId="3" fillId="0" borderId="9" xfId="0" applyNumberFormat="1" applyFont="1" applyBorder="1" applyProtection="1"/>
    <xf numFmtId="179" fontId="3" fillId="0" borderId="8" xfId="0" applyNumberFormat="1" applyFont="1" applyBorder="1" applyAlignment="1"/>
    <xf numFmtId="179" fontId="3" fillId="0" borderId="8" xfId="0" applyNumberFormat="1" applyFont="1" applyFill="1" applyBorder="1" applyAlignment="1"/>
    <xf numFmtId="179" fontId="3" fillId="10" borderId="8" xfId="0" applyNumberFormat="1" applyFont="1" applyFill="1" applyBorder="1" applyAlignment="1"/>
    <xf numFmtId="179" fontId="3" fillId="0" borderId="20" xfId="0" applyNumberFormat="1" applyFont="1" applyBorder="1" applyAlignment="1"/>
    <xf numFmtId="179" fontId="4" fillId="0" borderId="19" xfId="0" applyNumberFormat="1" applyFont="1" applyBorder="1"/>
    <xf numFmtId="172" fontId="3" fillId="10" borderId="13" xfId="0" applyNumberFormat="1" applyFont="1" applyFill="1" applyBorder="1" applyAlignment="1" applyProtection="1">
      <alignment horizontal="left"/>
    </xf>
    <xf numFmtId="179" fontId="3" fillId="0" borderId="18" xfId="0" applyNumberFormat="1" applyFont="1" applyBorder="1" applyAlignment="1">
      <alignment horizontal="right"/>
    </xf>
    <xf numFmtId="172" fontId="4" fillId="0" borderId="18" xfId="0" applyNumberFormat="1" applyFont="1" applyBorder="1" applyAlignment="1" applyProtection="1">
      <alignment horizontal="left"/>
    </xf>
    <xf numFmtId="172" fontId="4" fillId="0" borderId="0" xfId="0" applyFont="1" applyFill="1" applyBorder="1"/>
    <xf numFmtId="181" fontId="3" fillId="0" borderId="17" xfId="276" applyNumberFormat="1" applyFont="1" applyBorder="1" applyAlignment="1" applyProtection="1">
      <alignment horizontal="right"/>
    </xf>
    <xf numFmtId="179" fontId="3" fillId="0" borderId="18" xfId="276" applyNumberFormat="1" applyFont="1" applyBorder="1" applyAlignment="1" applyProtection="1">
      <alignment horizontal="right"/>
    </xf>
    <xf numFmtId="183" fontId="3" fillId="0" borderId="13" xfId="0" quotePrefix="1" applyNumberFormat="1" applyFont="1" applyFill="1" applyBorder="1" applyAlignment="1" applyProtection="1">
      <alignment horizontal="left"/>
    </xf>
    <xf numFmtId="183" fontId="3" fillId="0" borderId="18" xfId="0" applyNumberFormat="1" applyFont="1" applyBorder="1" applyAlignment="1" applyProtection="1">
      <alignment horizontal="right"/>
    </xf>
    <xf numFmtId="175" fontId="4" fillId="0" borderId="13" xfId="0" quotePrefix="1" applyNumberFormat="1" applyFont="1" applyBorder="1" applyAlignment="1" applyProtection="1">
      <alignment horizontal="left"/>
    </xf>
    <xf numFmtId="183" fontId="4" fillId="0" borderId="13" xfId="0" applyNumberFormat="1" applyFont="1" applyBorder="1"/>
    <xf numFmtId="172" fontId="4" fillId="0" borderId="13" xfId="0" quotePrefix="1" applyNumberFormat="1" applyFont="1" applyBorder="1" applyAlignment="1" applyProtection="1">
      <alignment horizontal="left"/>
    </xf>
    <xf numFmtId="175" fontId="4" fillId="0" borderId="15" xfId="0" applyNumberFormat="1" applyFont="1" applyBorder="1" applyAlignment="1" applyProtection="1">
      <alignment horizontal="left"/>
    </xf>
    <xf numFmtId="172" fontId="4" fillId="0" borderId="13" xfId="0" applyNumberFormat="1" applyFont="1" applyBorder="1" applyProtection="1"/>
    <xf numFmtId="182" fontId="4" fillId="0" borderId="14" xfId="276" applyNumberFormat="1" applyFont="1" applyBorder="1"/>
    <xf numFmtId="2" fontId="3" fillId="0" borderId="18" xfId="276" applyNumberFormat="1" applyFont="1" applyBorder="1" applyAlignment="1" applyProtection="1">
      <alignment horizontal="center"/>
    </xf>
    <xf numFmtId="179" fontId="3" fillId="0" borderId="13" xfId="0" applyNumberFormat="1" applyFont="1" applyFill="1" applyBorder="1"/>
    <xf numFmtId="172" fontId="3" fillId="10" borderId="18" xfId="0" applyFont="1" applyFill="1" applyBorder="1"/>
    <xf numFmtId="175" fontId="3" fillId="0" borderId="13" xfId="0" applyNumberFormat="1" applyFont="1" applyFill="1" applyBorder="1" applyAlignment="1" applyProtection="1">
      <alignment horizontal="left"/>
    </xf>
    <xf numFmtId="184" fontId="3" fillId="0" borderId="14" xfId="276" applyNumberFormat="1" applyFont="1" applyBorder="1" applyAlignment="1" applyProtection="1">
      <alignment horizontal="right"/>
    </xf>
    <xf numFmtId="2" fontId="3" fillId="10" borderId="14" xfId="276" applyNumberFormat="1" applyFont="1" applyFill="1" applyBorder="1" applyAlignment="1">
      <alignment horizontal="right"/>
    </xf>
    <xf numFmtId="179" fontId="0" fillId="0" borderId="14" xfId="0" applyNumberFormat="1" applyFont="1" applyFill="1" applyBorder="1" applyAlignment="1" applyProtection="1">
      <alignment horizontal="right"/>
    </xf>
    <xf numFmtId="172" fontId="3" fillId="10" borderId="0" xfId="0" applyNumberFormat="1" applyFont="1" applyFill="1" applyBorder="1" applyAlignment="1" applyProtection="1">
      <alignment horizontal="right"/>
    </xf>
    <xf numFmtId="179" fontId="3" fillId="0" borderId="1" xfId="0" applyNumberFormat="1" applyFont="1" applyBorder="1" applyAlignment="1" applyProtection="1">
      <alignment horizontal="right" vertical="center"/>
    </xf>
    <xf numFmtId="172" fontId="3" fillId="0" borderId="1" xfId="0" applyNumberFormat="1" applyFont="1" applyBorder="1" applyAlignment="1" applyProtection="1">
      <alignment horizontal="right" vertical="center"/>
    </xf>
    <xf numFmtId="172" fontId="3" fillId="0" borderId="1" xfId="0" applyFont="1" applyBorder="1" applyAlignment="1">
      <alignment horizontal="right" vertical="center"/>
    </xf>
    <xf numFmtId="179" fontId="3" fillId="0" borderId="13" xfId="0" applyNumberFormat="1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</xf>
    <xf numFmtId="172" fontId="3" fillId="0" borderId="0" xfId="0" applyFont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" xfId="0" applyNumberFormat="1" applyFont="1" applyFill="1" applyBorder="1" applyAlignment="1" applyProtection="1">
      <alignment horizontal="right" vertical="center"/>
    </xf>
    <xf numFmtId="202" fontId="51" fillId="0" borderId="0" xfId="0" applyNumberFormat="1" applyFont="1"/>
    <xf numFmtId="172" fontId="3" fillId="0" borderId="1" xfId="4340" applyNumberFormat="1" applyFont="1" applyBorder="1" applyAlignment="1" applyProtection="1">
      <alignment horizontal="right"/>
    </xf>
    <xf numFmtId="172" fontId="3" fillId="0" borderId="1" xfId="4340" applyNumberFormat="1" applyFont="1" applyFill="1" applyBorder="1" applyAlignment="1" applyProtection="1">
      <alignment horizontal="right"/>
    </xf>
    <xf numFmtId="172" fontId="3" fillId="0" borderId="9" xfId="0" applyFont="1" applyBorder="1" applyAlignment="1">
      <alignment horizontal="center"/>
    </xf>
    <xf numFmtId="172" fontId="3" fillId="0" borderId="16" xfId="0" applyFont="1" applyBorder="1" applyAlignment="1">
      <alignment horizontal="center"/>
    </xf>
    <xf numFmtId="175" fontId="4" fillId="0" borderId="14" xfId="0" applyNumberFormat="1" applyFont="1" applyBorder="1" applyAlignment="1" applyProtection="1">
      <alignment horizontal="center"/>
    </xf>
    <xf numFmtId="179" fontId="3" fillId="0" borderId="0" xfId="276" applyNumberFormat="1" applyFont="1" applyBorder="1" applyAlignment="1" applyProtection="1"/>
    <xf numFmtId="172" fontId="3" fillId="11" borderId="14" xfId="0" applyNumberFormat="1" applyFont="1" applyFill="1" applyBorder="1" applyAlignment="1" applyProtection="1"/>
    <xf numFmtId="179" fontId="0" fillId="0" borderId="0" xfId="0" applyNumberFormat="1" applyFont="1" applyFill="1" applyBorder="1" applyAlignment="1" applyProtection="1">
      <alignment horizontal="right"/>
    </xf>
    <xf numFmtId="179" fontId="3" fillId="0" borderId="1" xfId="4341" applyNumberFormat="1" applyFont="1" applyBorder="1" applyAlignment="1" applyProtection="1">
      <alignment horizontal="right"/>
    </xf>
    <xf numFmtId="172" fontId="3" fillId="0" borderId="12" xfId="0" applyNumberFormat="1" applyFont="1" applyFill="1" applyBorder="1" applyAlignment="1" applyProtection="1">
      <alignment horizontal="right"/>
    </xf>
    <xf numFmtId="172" fontId="4" fillId="0" borderId="1" xfId="1539" applyFont="1" applyBorder="1"/>
    <xf numFmtId="172" fontId="4" fillId="0" borderId="1" xfId="1695" applyFont="1" applyBorder="1"/>
    <xf numFmtId="183" fontId="3" fillId="0" borderId="1" xfId="0" quotePrefix="1" applyNumberFormat="1" applyFont="1" applyBorder="1" applyAlignment="1" applyProtection="1">
      <alignment horizontal="right" vertical="center"/>
    </xf>
    <xf numFmtId="183" fontId="3" fillId="0" borderId="1" xfId="4160" quotePrefix="1" applyNumberFormat="1" applyFont="1" applyBorder="1" applyAlignment="1" applyProtection="1">
      <alignment horizontal="right" vertical="center"/>
    </xf>
    <xf numFmtId="183" fontId="3" fillId="0" borderId="1" xfId="0" applyNumberFormat="1" applyFont="1" applyBorder="1" applyAlignment="1">
      <alignment horizontal="left"/>
    </xf>
    <xf numFmtId="183" fontId="3" fillId="0" borderId="1" xfId="0" quotePrefix="1" applyNumberFormat="1" applyFont="1" applyBorder="1" applyAlignment="1">
      <alignment horizontal="left"/>
    </xf>
    <xf numFmtId="183" fontId="3" fillId="0" borderId="1" xfId="0" quotePrefix="1" applyNumberFormat="1" applyFont="1" applyFill="1" applyBorder="1" applyAlignment="1">
      <alignment horizontal="left"/>
    </xf>
    <xf numFmtId="175" fontId="6" fillId="0" borderId="1" xfId="0" applyNumberFormat="1" applyFont="1" applyFill="1" applyBorder="1" applyAlignment="1" applyProtection="1">
      <alignment horizontal="left"/>
    </xf>
    <xf numFmtId="2" fontId="3" fillId="0" borderId="12" xfId="276" applyNumberFormat="1" applyFont="1" applyBorder="1" applyAlignment="1">
      <alignment horizontal="center"/>
    </xf>
    <xf numFmtId="2" fontId="3" fillId="0" borderId="14" xfId="276" applyNumberFormat="1" applyFont="1" applyBorder="1" applyAlignment="1" applyProtection="1">
      <alignment horizontal="right"/>
    </xf>
    <xf numFmtId="2" fontId="3" fillId="0" borderId="16" xfId="276" applyNumberFormat="1" applyFont="1" applyBorder="1" applyAlignment="1" applyProtection="1">
      <alignment horizontal="right"/>
    </xf>
    <xf numFmtId="175" fontId="3" fillId="0" borderId="18" xfId="0" applyNumberFormat="1" applyFont="1" applyBorder="1" applyAlignment="1" applyProtection="1">
      <alignment horizontal="left"/>
    </xf>
    <xf numFmtId="172" fontId="4" fillId="0" borderId="13" xfId="0" applyFont="1" applyBorder="1" applyAlignment="1">
      <alignment horizontal="left"/>
    </xf>
    <xf numFmtId="172" fontId="4" fillId="0" borderId="15" xfId="0" applyFont="1" applyBorder="1" applyAlignment="1">
      <alignment horizontal="left"/>
    </xf>
    <xf numFmtId="37" fontId="3" fillId="0" borderId="1" xfId="0" quotePrefix="1" applyNumberFormat="1" applyFont="1" applyBorder="1" applyAlignment="1" applyProtection="1">
      <alignment horizontal="left"/>
    </xf>
    <xf numFmtId="175" fontId="3" fillId="0" borderId="1" xfId="0" applyNumberFormat="1" applyFont="1" applyFill="1" applyBorder="1" applyAlignment="1" applyProtection="1">
      <alignment horizontal="left"/>
    </xf>
    <xf numFmtId="176" fontId="3" fillId="0" borderId="1" xfId="0" applyNumberFormat="1" applyFont="1" applyBorder="1" applyAlignment="1" applyProtection="1">
      <alignment horizontal="right"/>
    </xf>
    <xf numFmtId="175" fontId="3" fillId="0" borderId="0" xfId="0" applyNumberFormat="1" applyFont="1" applyFill="1" applyBorder="1" applyProtection="1"/>
    <xf numFmtId="172" fontId="3" fillId="0" borderId="0" xfId="0" applyFont="1" applyFill="1" applyBorder="1" applyAlignment="1">
      <alignment horizontal="left"/>
    </xf>
    <xf numFmtId="178" fontId="3" fillId="0" borderId="11" xfId="0" applyNumberFormat="1" applyFont="1" applyBorder="1" applyAlignment="1" applyProtection="1">
      <alignment horizontal="right"/>
    </xf>
    <xf numFmtId="176" fontId="3" fillId="0" borderId="11" xfId="0" applyNumberFormat="1" applyFont="1" applyBorder="1" applyAlignment="1" applyProtection="1">
      <alignment horizontal="right"/>
    </xf>
    <xf numFmtId="179" fontId="3" fillId="0" borderId="11" xfId="0" applyNumberFormat="1" applyFont="1" applyBorder="1" applyAlignment="1" applyProtection="1">
      <alignment horizontal="right"/>
    </xf>
    <xf numFmtId="172" fontId="3" fillId="0" borderId="12" xfId="0" applyNumberFormat="1" applyFont="1" applyBorder="1" applyAlignment="1" applyProtection="1">
      <alignment horizontal="right"/>
    </xf>
    <xf numFmtId="172" fontId="3" fillId="0" borderId="14" xfId="0" applyFont="1" applyBorder="1" applyAlignment="1">
      <alignment horizontal="left"/>
    </xf>
    <xf numFmtId="172" fontId="3" fillId="0" borderId="0" xfId="0" applyFont="1" applyFill="1" applyBorder="1" applyAlignment="1">
      <alignment horizontal="centerContinuous"/>
    </xf>
    <xf numFmtId="176" fontId="3" fillId="0" borderId="0" xfId="0" applyNumberFormat="1" applyFont="1" applyFill="1" applyBorder="1" applyAlignment="1">
      <alignment horizontal="centerContinuous"/>
    </xf>
    <xf numFmtId="172" fontId="3" fillId="10" borderId="0" xfId="0" applyFont="1" applyFill="1" applyBorder="1" applyAlignment="1">
      <alignment horizontal="centerContinuous"/>
    </xf>
    <xf numFmtId="179" fontId="3" fillId="0" borderId="0" xfId="0" applyNumberFormat="1" applyFont="1" applyFill="1" applyBorder="1" applyAlignment="1">
      <alignment horizontal="centerContinuous"/>
    </xf>
    <xf numFmtId="172" fontId="4" fillId="0" borderId="13" xfId="0" applyFont="1" applyFill="1" applyBorder="1"/>
    <xf numFmtId="172" fontId="3" fillId="0" borderId="14" xfId="0" applyFont="1" applyFill="1" applyBorder="1" applyAlignment="1">
      <alignment horizontal="centerContinuous"/>
    </xf>
    <xf numFmtId="179" fontId="3" fillId="0" borderId="0" xfId="0" applyNumberFormat="1" applyFont="1" applyBorder="1" applyAlignment="1" applyProtection="1">
      <alignment horizontal="center"/>
    </xf>
    <xf numFmtId="172" fontId="3" fillId="0" borderId="0" xfId="0" applyFont="1" applyBorder="1" applyAlignment="1">
      <alignment horizontal="center" vertical="center"/>
    </xf>
    <xf numFmtId="172" fontId="3" fillId="0" borderId="0" xfId="0" applyNumberFormat="1" applyFont="1" applyBorder="1" applyAlignment="1" applyProtection="1">
      <alignment horizontal="center"/>
    </xf>
    <xf numFmtId="172" fontId="3" fillId="0" borderId="14" xfId="0" applyNumberFormat="1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 vertical="center"/>
    </xf>
    <xf numFmtId="172" fontId="3" fillId="0" borderId="10" xfId="0" applyNumberFormat="1" applyFont="1" applyBorder="1" applyAlignment="1" applyProtection="1"/>
    <xf numFmtId="172" fontId="3" fillId="0" borderId="11" xfId="0" applyNumberFormat="1" applyFont="1" applyBorder="1" applyAlignment="1" applyProtection="1"/>
    <xf numFmtId="172" fontId="3" fillId="11" borderId="11" xfId="0" applyNumberFormat="1" applyFont="1" applyFill="1" applyBorder="1" applyAlignment="1" applyProtection="1"/>
    <xf numFmtId="180" fontId="3" fillId="0" borderId="12" xfId="0" applyNumberFormat="1" applyFont="1" applyBorder="1" applyAlignment="1" applyProtection="1"/>
    <xf numFmtId="172" fontId="3" fillId="0" borderId="0" xfId="0" applyFont="1" applyAlignment="1"/>
    <xf numFmtId="172" fontId="4" fillId="0" borderId="13" xfId="0" applyFont="1" applyBorder="1" applyAlignment="1"/>
    <xf numFmtId="172" fontId="3" fillId="11" borderId="0" xfId="0" applyFont="1" applyFill="1" applyBorder="1" applyAlignment="1"/>
    <xf numFmtId="180" fontId="4" fillId="0" borderId="14" xfId="0" applyNumberFormat="1" applyFont="1" applyBorder="1" applyAlignment="1" applyProtection="1"/>
    <xf numFmtId="172" fontId="3" fillId="0" borderId="13" xfId="0" applyNumberFormat="1" applyFont="1" applyBorder="1" applyAlignment="1" applyProtection="1"/>
    <xf numFmtId="172" fontId="3" fillId="11" borderId="0" xfId="0" applyNumberFormat="1" applyFont="1" applyFill="1" applyBorder="1" applyAlignment="1" applyProtection="1"/>
    <xf numFmtId="180" fontId="3" fillId="0" borderId="14" xfId="0" applyNumberFormat="1" applyFont="1" applyBorder="1" applyAlignment="1"/>
    <xf numFmtId="172" fontId="3" fillId="0" borderId="9" xfId="0" applyNumberFormat="1" applyFont="1" applyBorder="1" applyAlignment="1" applyProtection="1"/>
    <xf numFmtId="172" fontId="3" fillId="11" borderId="9" xfId="0" applyNumberFormat="1" applyFont="1" applyFill="1" applyBorder="1" applyAlignment="1" applyProtection="1"/>
    <xf numFmtId="180" fontId="3" fillId="0" borderId="14" xfId="0" applyNumberFormat="1" applyFont="1" applyBorder="1" applyAlignment="1" applyProtection="1"/>
    <xf numFmtId="172" fontId="4" fillId="0" borderId="17" xfId="0" applyFont="1" applyBorder="1" applyAlignment="1"/>
    <xf numFmtId="172" fontId="3" fillId="0" borderId="17" xfId="0" applyFont="1" applyBorder="1" applyAlignment="1"/>
    <xf numFmtId="179" fontId="3" fillId="0" borderId="11" xfId="0" applyNumberFormat="1" applyFont="1" applyBorder="1" applyAlignment="1"/>
    <xf numFmtId="172" fontId="3" fillId="11" borderId="11" xfId="0" applyFont="1" applyFill="1" applyBorder="1" applyAlignment="1"/>
    <xf numFmtId="180" fontId="3" fillId="0" borderId="17" xfId="0" applyNumberFormat="1" applyFont="1" applyBorder="1" applyAlignment="1"/>
    <xf numFmtId="172" fontId="4" fillId="0" borderId="1" xfId="0" applyFont="1" applyBorder="1" applyAlignment="1"/>
    <xf numFmtId="174" fontId="3" fillId="0" borderId="0" xfId="0" applyNumberFormat="1" applyFont="1" applyBorder="1" applyAlignment="1" applyProtection="1">
      <alignment horizontal="center" vertical="center"/>
    </xf>
    <xf numFmtId="172" fontId="3" fillId="11" borderId="1" xfId="0" applyNumberFormat="1" applyFont="1" applyFill="1" applyBorder="1" applyAlignment="1" applyProtection="1">
      <alignment horizontal="center" vertical="center"/>
    </xf>
    <xf numFmtId="180" fontId="4" fillId="0" borderId="1" xfId="0" applyNumberFormat="1" applyFont="1" applyBorder="1" applyAlignment="1" applyProtection="1">
      <alignment horizontal="center"/>
    </xf>
    <xf numFmtId="180" fontId="3" fillId="0" borderId="1" xfId="0" applyNumberFormat="1" applyFont="1" applyBorder="1" applyAlignment="1"/>
    <xf numFmtId="172" fontId="3" fillId="0" borderId="1" xfId="0" applyNumberFormat="1" applyFont="1" applyBorder="1" applyAlignment="1" applyProtection="1"/>
    <xf numFmtId="179" fontId="3" fillId="0" borderId="9" xfId="0" applyNumberFormat="1" applyFont="1" applyBorder="1" applyAlignment="1"/>
    <xf numFmtId="180" fontId="3" fillId="0" borderId="1" xfId="0" applyNumberFormat="1" applyFont="1" applyBorder="1" applyAlignment="1" applyProtection="1">
      <alignment horizontal="center"/>
    </xf>
    <xf numFmtId="180" fontId="3" fillId="0" borderId="1" xfId="0" applyNumberFormat="1" applyFont="1" applyBorder="1" applyAlignment="1" applyProtection="1"/>
    <xf numFmtId="172" fontId="3" fillId="0" borderId="18" xfId="0" applyNumberFormat="1" applyFont="1" applyBorder="1" applyAlignment="1" applyProtection="1"/>
    <xf numFmtId="180" fontId="3" fillId="0" borderId="18" xfId="0" applyNumberFormat="1" applyFont="1" applyBorder="1" applyAlignment="1"/>
    <xf numFmtId="181" fontId="3" fillId="0" borderId="17" xfId="276" applyNumberFormat="1" applyFont="1" applyBorder="1" applyAlignment="1"/>
    <xf numFmtId="181" fontId="3" fillId="0" borderId="11" xfId="276" applyNumberFormat="1" applyFont="1" applyBorder="1" applyAlignment="1"/>
    <xf numFmtId="172" fontId="3" fillId="11" borderId="12" xfId="0" applyFont="1" applyFill="1" applyBorder="1" applyAlignment="1"/>
    <xf numFmtId="172" fontId="3" fillId="10" borderId="1" xfId="0" quotePrefix="1" applyNumberFormat="1" applyFont="1" applyFill="1" applyBorder="1" applyAlignment="1" applyProtection="1"/>
    <xf numFmtId="172" fontId="3" fillId="10" borderId="1" xfId="0" applyNumberFormat="1" applyFont="1" applyFill="1" applyBorder="1" applyAlignment="1" applyProtection="1"/>
    <xf numFmtId="171" fontId="3" fillId="10" borderId="0" xfId="276" applyFont="1" applyFill="1" applyBorder="1" applyAlignment="1" applyProtection="1"/>
    <xf numFmtId="172" fontId="3" fillId="10" borderId="14" xfId="0" applyNumberFormat="1" applyFont="1" applyFill="1" applyBorder="1" applyAlignment="1" applyProtection="1"/>
    <xf numFmtId="172" fontId="3" fillId="10" borderId="0" xfId="0" applyNumberFormat="1" applyFont="1" applyFill="1" applyBorder="1" applyAlignment="1" applyProtection="1"/>
    <xf numFmtId="180" fontId="3" fillId="10" borderId="1" xfId="0" applyNumberFormat="1" applyFont="1" applyFill="1" applyBorder="1" applyAlignment="1" applyProtection="1"/>
    <xf numFmtId="172" fontId="3" fillId="0" borderId="1" xfId="0" quotePrefix="1" applyFont="1" applyBorder="1" applyAlignment="1"/>
    <xf numFmtId="179" fontId="3" fillId="0" borderId="1" xfId="0" quotePrefix="1" applyNumberFormat="1" applyFont="1" applyBorder="1" applyAlignment="1" applyProtection="1">
      <alignment horizontal="right"/>
    </xf>
    <xf numFmtId="172" fontId="3" fillId="0" borderId="10" xfId="0" applyFont="1" applyBorder="1" applyAlignment="1"/>
    <xf numFmtId="181" fontId="3" fillId="0" borderId="11" xfId="276" applyNumberFormat="1" applyFont="1" applyBorder="1" applyAlignment="1" applyProtection="1"/>
    <xf numFmtId="171" fontId="3" fillId="0" borderId="11" xfId="276" applyFont="1" applyBorder="1" applyAlignment="1" applyProtection="1"/>
    <xf numFmtId="172" fontId="4" fillId="0" borderId="15" xfId="0" applyFont="1" applyBorder="1" applyAlignment="1"/>
    <xf numFmtId="181" fontId="3" fillId="0" borderId="9" xfId="276" applyNumberFormat="1" applyFont="1" applyBorder="1" applyAlignment="1" applyProtection="1"/>
    <xf numFmtId="172" fontId="3" fillId="11" borderId="9" xfId="0" applyFont="1" applyFill="1" applyBorder="1" applyAlignment="1"/>
    <xf numFmtId="180" fontId="3" fillId="0" borderId="16" xfId="0" applyNumberFormat="1" applyFont="1" applyBorder="1" applyAlignment="1"/>
    <xf numFmtId="181" fontId="3" fillId="0" borderId="0" xfId="276" applyNumberFormat="1" applyFont="1" applyBorder="1" applyAlignment="1" applyProtection="1"/>
    <xf numFmtId="172" fontId="3" fillId="11" borderId="0" xfId="0" applyFont="1" applyFill="1" applyAlignment="1"/>
    <xf numFmtId="180" fontId="3" fillId="0" borderId="0" xfId="0" applyNumberFormat="1" applyFont="1" applyAlignment="1"/>
    <xf numFmtId="180" fontId="3" fillId="0" borderId="0" xfId="0" applyNumberFormat="1" applyFont="1" applyAlignment="1" applyProtection="1"/>
    <xf numFmtId="172" fontId="4" fillId="0" borderId="14" xfId="0" applyNumberFormat="1" applyFont="1" applyBorder="1" applyAlignment="1" applyProtection="1">
      <alignment horizontal="center"/>
    </xf>
    <xf numFmtId="172" fontId="3" fillId="0" borderId="14" xfId="0" applyNumberFormat="1" applyFont="1" applyBorder="1" applyAlignment="1" applyProtection="1">
      <alignment horizontal="center" vertical="center"/>
    </xf>
    <xf numFmtId="172" fontId="3" fillId="0" borderId="13" xfId="0" applyNumberFormat="1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172" fontId="3" fillId="0" borderId="14" xfId="0" applyNumberFormat="1" applyFont="1" applyBorder="1" applyAlignment="1" applyProtection="1">
      <alignment horizontal="center"/>
    </xf>
    <xf numFmtId="2" fontId="6" fillId="0" borderId="1" xfId="276" applyNumberFormat="1" applyFont="1" applyBorder="1" applyAlignment="1">
      <alignment horizontal="right"/>
    </xf>
    <xf numFmtId="2" fontId="6" fillId="0" borderId="0" xfId="276" applyNumberFormat="1" applyFont="1" applyBorder="1" applyAlignment="1">
      <alignment horizontal="right"/>
    </xf>
    <xf numFmtId="2" fontId="6" fillId="10" borderId="14" xfId="276" applyNumberFormat="1" applyFont="1" applyFill="1" applyBorder="1" applyAlignment="1">
      <alignment horizontal="right"/>
    </xf>
    <xf numFmtId="2" fontId="6" fillId="0" borderId="14" xfId="276" applyNumberFormat="1" applyFont="1" applyBorder="1" applyAlignment="1">
      <alignment horizontal="right"/>
    </xf>
    <xf numFmtId="184" fontId="2" fillId="0" borderId="14" xfId="276" applyNumberFormat="1" applyFont="1" applyBorder="1" applyAlignment="1" applyProtection="1">
      <alignment horizontal="right"/>
    </xf>
    <xf numFmtId="173" fontId="3" fillId="0" borderId="1" xfId="0" applyNumberFormat="1" applyFont="1" applyFill="1" applyBorder="1" applyAlignment="1" applyProtection="1">
      <alignment horizontal="left"/>
    </xf>
    <xf numFmtId="179" fontId="53" fillId="0" borderId="0" xfId="276" applyNumberFormat="1" applyFont="1" applyFill="1" applyAlignment="1" applyProtection="1">
      <alignment horizontal="right"/>
    </xf>
    <xf numFmtId="172" fontId="2" fillId="12" borderId="0" xfId="4342" applyFont="1" applyFill="1" applyBorder="1"/>
    <xf numFmtId="178" fontId="3" fillId="0" borderId="0" xfId="0" applyNumberFormat="1" applyFont="1" applyBorder="1" applyAlignment="1" applyProtection="1">
      <alignment horizontal="right"/>
    </xf>
    <xf numFmtId="172" fontId="3" fillId="0" borderId="13" xfId="0" applyNumberFormat="1" applyFont="1" applyBorder="1" applyAlignment="1" applyProtection="1">
      <alignment horizontal="right"/>
    </xf>
    <xf numFmtId="179" fontId="3" fillId="0" borderId="17" xfId="0" applyNumberFormat="1" applyFont="1" applyBorder="1" applyAlignment="1" applyProtection="1">
      <alignment horizontal="center"/>
    </xf>
    <xf numFmtId="184" fontId="2" fillId="0" borderId="0" xfId="276" applyNumberFormat="1" applyFont="1" applyBorder="1" applyAlignment="1" applyProtection="1">
      <alignment horizontal="right"/>
    </xf>
    <xf numFmtId="172" fontId="4" fillId="0" borderId="13" xfId="0" applyNumberFormat="1" applyFont="1" applyBorder="1" applyAlignment="1" applyProtection="1">
      <alignment horizontal="center"/>
    </xf>
    <xf numFmtId="172" fontId="3" fillId="0" borderId="13" xfId="4340" applyNumberFormat="1" applyFont="1" applyBorder="1" applyAlignment="1" applyProtection="1">
      <alignment horizontal="right"/>
    </xf>
    <xf numFmtId="179" fontId="3" fillId="0" borderId="0" xfId="276" applyNumberFormat="1" applyFont="1" applyBorder="1" applyAlignment="1" applyProtection="1">
      <alignment horizontal="right"/>
    </xf>
    <xf numFmtId="184" fontId="3" fillId="0" borderId="0" xfId="276" applyNumberFormat="1" applyFont="1" applyBorder="1" applyAlignment="1" applyProtection="1">
      <alignment horizontal="right"/>
    </xf>
    <xf numFmtId="179" fontId="3" fillId="0" borderId="13" xfId="0" applyNumberFormat="1" applyFont="1" applyFill="1" applyBorder="1" applyAlignment="1" applyProtection="1">
      <alignment horizontal="left"/>
    </xf>
    <xf numFmtId="183" fontId="3" fillId="0" borderId="13" xfId="0" quotePrefix="1" applyNumberFormat="1" applyFont="1" applyBorder="1" applyAlignment="1" applyProtection="1">
      <alignment horizontal="left"/>
    </xf>
    <xf numFmtId="179" fontId="3" fillId="0" borderId="13" xfId="0" applyNumberFormat="1" applyFont="1" applyBorder="1" applyAlignment="1" applyProtection="1">
      <alignment horizontal="center"/>
    </xf>
    <xf numFmtId="172" fontId="3" fillId="0" borderId="10" xfId="0" applyFont="1" applyBorder="1" applyAlignment="1">
      <alignment horizontal="center" vertical="center"/>
    </xf>
    <xf numFmtId="175" fontId="3" fillId="0" borderId="13" xfId="0" applyNumberFormat="1" applyFont="1" applyBorder="1" applyAlignment="1" applyProtection="1">
      <alignment horizontal="center"/>
    </xf>
    <xf numFmtId="175" fontId="3" fillId="0" borderId="14" xfId="0" applyNumberFormat="1" applyFont="1" applyBorder="1" applyAlignment="1" applyProtection="1">
      <alignment horizontal="center"/>
    </xf>
    <xf numFmtId="179" fontId="4" fillId="0" borderId="14" xfId="0" applyNumberFormat="1" applyFont="1" applyBorder="1" applyAlignment="1">
      <alignment horizontal="center" vertical="center"/>
    </xf>
    <xf numFmtId="179" fontId="6" fillId="10" borderId="14" xfId="0" applyNumberFormat="1" applyFont="1" applyFill="1" applyBorder="1" applyAlignment="1" applyProtection="1">
      <alignment horizontal="right"/>
    </xf>
    <xf numFmtId="179" fontId="6" fillId="10" borderId="1" xfId="0" applyNumberFormat="1" applyFont="1" applyFill="1" applyBorder="1" applyAlignment="1" applyProtection="1">
      <alignment horizontal="right"/>
    </xf>
    <xf numFmtId="179" fontId="6" fillId="10" borderId="1" xfId="0" quotePrefix="1" applyNumberFormat="1" applyFont="1" applyFill="1" applyBorder="1" applyAlignment="1" applyProtection="1">
      <alignment horizontal="right"/>
    </xf>
    <xf numFmtId="179" fontId="6" fillId="0" borderId="1" xfId="0" applyNumberFormat="1" applyFont="1" applyFill="1" applyBorder="1" applyAlignment="1" applyProtection="1">
      <alignment horizontal="right"/>
    </xf>
    <xf numFmtId="179" fontId="6" fillId="0" borderId="1" xfId="0" applyNumberFormat="1" applyFont="1" applyFill="1" applyBorder="1" applyAlignment="1">
      <alignment horizontal="right"/>
    </xf>
    <xf numFmtId="179" fontId="6" fillId="0" borderId="0" xfId="0" applyNumberFormat="1" applyFont="1" applyBorder="1" applyAlignment="1" applyProtection="1">
      <alignment horizontal="right"/>
    </xf>
    <xf numFmtId="179" fontId="6" fillId="10" borderId="1" xfId="0" applyNumberFormat="1" applyFont="1" applyFill="1" applyBorder="1" applyAlignment="1">
      <alignment horizontal="right"/>
    </xf>
    <xf numFmtId="179" fontId="6" fillId="0" borderId="14" xfId="0" applyNumberFormat="1" applyFont="1" applyBorder="1" applyAlignment="1" applyProtection="1">
      <alignment horizontal="right"/>
    </xf>
    <xf numFmtId="179" fontId="6" fillId="0" borderId="1" xfId="0" applyNumberFormat="1" applyFont="1" applyBorder="1" applyAlignment="1" applyProtection="1">
      <alignment horizontal="right"/>
    </xf>
    <xf numFmtId="179" fontId="6" fillId="0" borderId="1" xfId="0" applyNumberFormat="1" applyFont="1" applyBorder="1" applyAlignment="1">
      <alignment horizontal="right"/>
    </xf>
    <xf numFmtId="179" fontId="6" fillId="0" borderId="14" xfId="0" applyNumberFormat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 applyProtection="1">
      <alignment horizontal="right"/>
    </xf>
    <xf numFmtId="172" fontId="3" fillId="0" borderId="1" xfId="0" applyFont="1" applyBorder="1"/>
    <xf numFmtId="172" fontId="3" fillId="0" borderId="14" xfId="0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172" fontId="3" fillId="0" borderId="1" xfId="0" applyFont="1" applyBorder="1" applyAlignment="1">
      <alignment horizontal="right"/>
    </xf>
    <xf numFmtId="172" fontId="3" fillId="0" borderId="13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</xf>
    <xf numFmtId="172" fontId="3" fillId="10" borderId="14" xfId="0" applyFont="1" applyFill="1" applyBorder="1" applyAlignment="1">
      <alignment horizontal="right"/>
    </xf>
    <xf numFmtId="172" fontId="3" fillId="10" borderId="0" xfId="0" applyFont="1" applyFill="1" applyBorder="1" applyAlignment="1">
      <alignment horizontal="right"/>
    </xf>
    <xf numFmtId="172" fontId="3" fillId="10" borderId="1" xfId="0" applyFont="1" applyFill="1" applyBorder="1" applyAlignment="1">
      <alignment horizontal="right"/>
    </xf>
    <xf numFmtId="172" fontId="3" fillId="10" borderId="13" xfId="0" applyFont="1" applyFill="1" applyBorder="1" applyAlignment="1">
      <alignment horizontal="right"/>
    </xf>
    <xf numFmtId="172" fontId="3" fillId="10" borderId="1" xfId="0" applyNumberFormat="1" applyFont="1" applyFill="1" applyBorder="1" applyAlignment="1" applyProtection="1">
      <alignment horizontal="right"/>
    </xf>
    <xf numFmtId="172" fontId="3" fillId="10" borderId="1" xfId="0" quotePrefix="1" applyFont="1" applyFill="1" applyBorder="1" applyAlignment="1">
      <alignment horizontal="right"/>
    </xf>
    <xf numFmtId="172" fontId="3" fillId="10" borderId="1" xfId="0" applyFont="1" applyFill="1" applyBorder="1"/>
    <xf numFmtId="172" fontId="3" fillId="0" borderId="1" xfId="0" applyFont="1" applyBorder="1"/>
    <xf numFmtId="172" fontId="3" fillId="0" borderId="14" xfId="0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172" fontId="3" fillId="0" borderId="1" xfId="0" applyFont="1" applyBorder="1" applyAlignment="1">
      <alignment horizontal="right"/>
    </xf>
    <xf numFmtId="172" fontId="3" fillId="0" borderId="13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</xf>
    <xf numFmtId="172" fontId="3" fillId="10" borderId="14" xfId="0" applyFont="1" applyFill="1" applyBorder="1" applyAlignment="1">
      <alignment horizontal="right"/>
    </xf>
    <xf numFmtId="172" fontId="3" fillId="10" borderId="0" xfId="0" applyFont="1" applyFill="1" applyBorder="1" applyAlignment="1">
      <alignment horizontal="right"/>
    </xf>
    <xf numFmtId="172" fontId="3" fillId="10" borderId="1" xfId="0" applyFont="1" applyFill="1" applyBorder="1" applyAlignment="1">
      <alignment horizontal="right"/>
    </xf>
    <xf numFmtId="172" fontId="3" fillId="10" borderId="13" xfId="0" applyFont="1" applyFill="1" applyBorder="1" applyAlignment="1">
      <alignment horizontal="right"/>
    </xf>
    <xf numFmtId="172" fontId="3" fillId="10" borderId="1" xfId="0" applyNumberFormat="1" applyFont="1" applyFill="1" applyBorder="1" applyAlignment="1" applyProtection="1">
      <alignment horizontal="right"/>
    </xf>
    <xf numFmtId="172" fontId="3" fillId="10" borderId="1" xfId="0" quotePrefix="1" applyFont="1" applyFill="1" applyBorder="1" applyAlignment="1">
      <alignment horizontal="right"/>
    </xf>
    <xf numFmtId="172" fontId="3" fillId="10" borderId="1" xfId="0" applyFont="1" applyFill="1" applyBorder="1"/>
    <xf numFmtId="172" fontId="3" fillId="0" borderId="1" xfId="0" applyFont="1" applyBorder="1"/>
    <xf numFmtId="172" fontId="3" fillId="0" borderId="14" xfId="0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172" fontId="3" fillId="0" borderId="1" xfId="0" applyFont="1" applyBorder="1" applyAlignment="1">
      <alignment horizontal="right"/>
    </xf>
    <xf numFmtId="172" fontId="3" fillId="0" borderId="13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</xf>
    <xf numFmtId="172" fontId="3" fillId="10" borderId="1" xfId="0" quotePrefix="1" applyFont="1" applyFill="1" applyBorder="1" applyAlignment="1">
      <alignment horizontal="right"/>
    </xf>
    <xf numFmtId="172" fontId="3" fillId="0" borderId="1" xfId="0" applyFont="1" applyBorder="1"/>
    <xf numFmtId="172" fontId="3" fillId="0" borderId="14" xfId="0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172" fontId="3" fillId="0" borderId="1" xfId="0" applyFont="1" applyBorder="1" applyAlignment="1">
      <alignment horizontal="right"/>
    </xf>
    <xf numFmtId="172" fontId="3" fillId="0" borderId="13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</xf>
    <xf numFmtId="172" fontId="3" fillId="10" borderId="14" xfId="0" applyFont="1" applyFill="1" applyBorder="1" applyAlignment="1">
      <alignment horizontal="right"/>
    </xf>
    <xf numFmtId="172" fontId="3" fillId="10" borderId="0" xfId="0" applyFont="1" applyFill="1" applyBorder="1" applyAlignment="1">
      <alignment horizontal="right"/>
    </xf>
    <xf numFmtId="172" fontId="3" fillId="10" borderId="1" xfId="0" applyFont="1" applyFill="1" applyBorder="1" applyAlignment="1">
      <alignment horizontal="right"/>
    </xf>
    <xf numFmtId="172" fontId="3" fillId="10" borderId="13" xfId="0" applyFont="1" applyFill="1" applyBorder="1" applyAlignment="1">
      <alignment horizontal="right"/>
    </xf>
    <xf numFmtId="172" fontId="3" fillId="10" borderId="1" xfId="0" quotePrefix="1" applyFont="1" applyFill="1" applyBorder="1" applyAlignment="1">
      <alignment horizontal="right"/>
    </xf>
    <xf numFmtId="172" fontId="3" fillId="10" borderId="1" xfId="0" applyFont="1" applyFill="1" applyBorder="1"/>
    <xf numFmtId="172" fontId="3" fillId="0" borderId="1" xfId="0" applyFont="1" applyBorder="1"/>
    <xf numFmtId="172" fontId="3" fillId="0" borderId="14" xfId="0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172" fontId="3" fillId="0" borderId="1" xfId="0" applyFont="1" applyBorder="1" applyAlignment="1">
      <alignment horizontal="right"/>
    </xf>
    <xf numFmtId="172" fontId="3" fillId="0" borderId="13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</xf>
    <xf numFmtId="172" fontId="3" fillId="10" borderId="1" xfId="0" quotePrefix="1" applyFont="1" applyFill="1" applyBorder="1" applyAlignment="1">
      <alignment horizontal="right"/>
    </xf>
    <xf numFmtId="172" fontId="3" fillId="0" borderId="1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</xf>
    <xf numFmtId="172" fontId="3" fillId="10" borderId="14" xfId="0" applyFont="1" applyFill="1" applyBorder="1" applyAlignment="1">
      <alignment horizontal="right"/>
    </xf>
    <xf numFmtId="172" fontId="3" fillId="10" borderId="0" xfId="0" applyFont="1" applyFill="1" applyBorder="1" applyAlignment="1">
      <alignment horizontal="right"/>
    </xf>
    <xf numFmtId="172" fontId="3" fillId="10" borderId="1" xfId="0" applyFont="1" applyFill="1" applyBorder="1" applyAlignment="1">
      <alignment horizontal="right"/>
    </xf>
    <xf numFmtId="172" fontId="3" fillId="10" borderId="13" xfId="0" applyFont="1" applyFill="1" applyBorder="1" applyAlignment="1">
      <alignment horizontal="right"/>
    </xf>
    <xf numFmtId="172" fontId="3" fillId="10" borderId="1" xfId="0" applyNumberFormat="1" applyFont="1" applyFill="1" applyBorder="1" applyAlignment="1" applyProtection="1">
      <alignment horizontal="right"/>
    </xf>
    <xf numFmtId="172" fontId="3" fillId="10" borderId="1" xfId="0" quotePrefix="1" applyFont="1" applyFill="1" applyBorder="1" applyAlignment="1">
      <alignment horizontal="right"/>
    </xf>
    <xf numFmtId="172" fontId="3" fillId="10" borderId="1" xfId="0" applyFont="1" applyFill="1" applyBorder="1"/>
    <xf numFmtId="172" fontId="3" fillId="0" borderId="1" xfId="0" applyFont="1" applyBorder="1"/>
    <xf numFmtId="172" fontId="3" fillId="0" borderId="14" xfId="0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172" fontId="3" fillId="0" borderId="1" xfId="0" applyFont="1" applyBorder="1" applyAlignment="1">
      <alignment horizontal="right"/>
    </xf>
    <xf numFmtId="172" fontId="3" fillId="0" borderId="13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</xf>
    <xf numFmtId="172" fontId="3" fillId="10" borderId="1" xfId="0" quotePrefix="1" applyFont="1" applyFill="1" applyBorder="1" applyAlignment="1">
      <alignment horizontal="right"/>
    </xf>
    <xf numFmtId="172" fontId="3" fillId="0" borderId="0" xfId="0" applyFont="1"/>
    <xf numFmtId="172" fontId="3" fillId="0" borderId="0" xfId="0" applyFont="1" applyBorder="1"/>
    <xf numFmtId="172" fontId="3" fillId="0" borderId="13" xfId="0" applyNumberFormat="1" applyFont="1" applyBorder="1" applyAlignment="1" applyProtection="1">
      <alignment horizontal="left"/>
    </xf>
    <xf numFmtId="172" fontId="3" fillId="0" borderId="0" xfId="0" applyNumberFormat="1" applyFont="1" applyAlignment="1" applyProtection="1">
      <alignment horizontal="center"/>
    </xf>
    <xf numFmtId="172" fontId="3" fillId="0" borderId="1" xfId="0" applyFont="1" applyBorder="1"/>
    <xf numFmtId="172" fontId="3" fillId="0" borderId="1" xfId="0" applyNumberFormat="1" applyFont="1" applyBorder="1" applyAlignment="1" applyProtection="1">
      <alignment horizontal="left"/>
    </xf>
    <xf numFmtId="175" fontId="3" fillId="0" borderId="0" xfId="0" applyNumberFormat="1" applyFont="1" applyBorder="1" applyAlignment="1" applyProtection="1">
      <alignment horizontal="center"/>
    </xf>
    <xf numFmtId="172" fontId="3" fillId="0" borderId="14" xfId="0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172" fontId="3" fillId="0" borderId="1" xfId="0" applyFont="1" applyBorder="1" applyAlignment="1">
      <alignment horizontal="right"/>
    </xf>
    <xf numFmtId="172" fontId="3" fillId="0" borderId="13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</xf>
    <xf numFmtId="172" fontId="3" fillId="10" borderId="14" xfId="0" applyFont="1" applyFill="1" applyBorder="1" applyAlignment="1">
      <alignment horizontal="right"/>
    </xf>
    <xf numFmtId="172" fontId="3" fillId="10" borderId="0" xfId="0" applyFont="1" applyFill="1" applyBorder="1" applyAlignment="1">
      <alignment horizontal="right"/>
    </xf>
    <xf numFmtId="172" fontId="3" fillId="10" borderId="1" xfId="0" applyFont="1" applyFill="1" applyBorder="1" applyAlignment="1">
      <alignment horizontal="right"/>
    </xf>
    <xf numFmtId="172" fontId="3" fillId="10" borderId="13" xfId="0" applyFont="1" applyFill="1" applyBorder="1" applyAlignment="1">
      <alignment horizontal="right"/>
    </xf>
    <xf numFmtId="172" fontId="3" fillId="10" borderId="1" xfId="0" applyNumberFormat="1" applyFont="1" applyFill="1" applyBorder="1" applyAlignment="1" applyProtection="1">
      <alignment horizontal="right"/>
    </xf>
    <xf numFmtId="172" fontId="3" fillId="10" borderId="0" xfId="0" applyFont="1" applyFill="1" applyBorder="1"/>
    <xf numFmtId="172" fontId="3" fillId="10" borderId="1" xfId="0" quotePrefix="1" applyFont="1" applyFill="1" applyBorder="1" applyAlignment="1">
      <alignment horizontal="right"/>
    </xf>
    <xf numFmtId="172" fontId="3" fillId="10" borderId="1" xfId="0" quotePrefix="1" applyFont="1" applyFill="1" applyBorder="1" applyAlignment="1">
      <alignment horizontal="left"/>
    </xf>
    <xf numFmtId="172" fontId="3" fillId="10" borderId="1" xfId="0" applyFont="1" applyFill="1" applyBorder="1"/>
    <xf numFmtId="172" fontId="51" fillId="0" borderId="0" xfId="0" applyFont="1"/>
    <xf numFmtId="172" fontId="6" fillId="0" borderId="1" xfId="0" applyFont="1" applyBorder="1"/>
    <xf numFmtId="172" fontId="6" fillId="10" borderId="1" xfId="0" applyFont="1" applyFill="1" applyBorder="1"/>
    <xf numFmtId="172" fontId="6" fillId="0" borderId="1" xfId="0" applyNumberFormat="1" applyFont="1" applyBorder="1" applyAlignment="1" applyProtection="1">
      <alignment horizontal="right"/>
    </xf>
    <xf numFmtId="172" fontId="6" fillId="0" borderId="0" xfId="0" applyFont="1" applyBorder="1"/>
    <xf numFmtId="172" fontId="6" fillId="0" borderId="0" xfId="0" applyNumberFormat="1" applyFont="1" applyFill="1" applyBorder="1" applyAlignment="1" applyProtection="1">
      <alignment horizontal="right"/>
    </xf>
    <xf numFmtId="181" fontId="6" fillId="0" borderId="1" xfId="276" applyNumberFormat="1" applyFont="1" applyFill="1" applyBorder="1" applyAlignment="1" applyProtection="1">
      <alignment horizontal="right"/>
    </xf>
    <xf numFmtId="179" fontId="6" fillId="0" borderId="1" xfId="0" applyNumberFormat="1" applyFont="1" applyFill="1" applyBorder="1"/>
    <xf numFmtId="172" fontId="6" fillId="10" borderId="0" xfId="0" applyFont="1" applyFill="1" applyBorder="1"/>
    <xf numFmtId="172" fontId="6" fillId="0" borderId="1" xfId="0" applyNumberFormat="1" applyFont="1" applyFill="1" applyBorder="1" applyAlignment="1" applyProtection="1">
      <alignment horizontal="right"/>
    </xf>
    <xf numFmtId="172" fontId="0" fillId="0" borderId="0" xfId="0"/>
    <xf numFmtId="172" fontId="3" fillId="0" borderId="0" xfId="0" applyFont="1"/>
    <xf numFmtId="172" fontId="3" fillId="0" borderId="13" xfId="0" applyFont="1" applyBorder="1"/>
    <xf numFmtId="172" fontId="3" fillId="0" borderId="0" xfId="0" applyFont="1" applyBorder="1"/>
    <xf numFmtId="172" fontId="3" fillId="0" borderId="14" xfId="0" applyFont="1" applyBorder="1"/>
    <xf numFmtId="172" fontId="3" fillId="0" borderId="0" xfId="0" applyNumberFormat="1" applyFont="1" applyAlignment="1" applyProtection="1">
      <alignment horizontal="center"/>
    </xf>
    <xf numFmtId="172" fontId="3" fillId="0" borderId="1" xfId="0" applyFont="1" applyBorder="1"/>
    <xf numFmtId="175" fontId="3" fillId="0" borderId="1" xfId="0" applyNumberFormat="1" applyFont="1" applyBorder="1" applyAlignment="1" applyProtection="1">
      <alignment horizontal="left"/>
    </xf>
    <xf numFmtId="175" fontId="3" fillId="0" borderId="1" xfId="0" applyNumberFormat="1" applyFont="1" applyBorder="1" applyProtection="1"/>
    <xf numFmtId="172" fontId="3" fillId="0" borderId="1" xfId="0" applyNumberFormat="1" applyFont="1" applyBorder="1" applyAlignment="1" applyProtection="1">
      <alignment horizontal="left"/>
    </xf>
    <xf numFmtId="172" fontId="3" fillId="0" borderId="17" xfId="0" applyFont="1" applyBorder="1"/>
    <xf numFmtId="172" fontId="3" fillId="0" borderId="0" xfId="0" applyNumberFormat="1" applyFont="1" applyAlignment="1" applyProtection="1">
      <alignment horizontal="left"/>
    </xf>
    <xf numFmtId="172" fontId="3" fillId="0" borderId="12" xfId="0" applyFont="1" applyBorder="1"/>
    <xf numFmtId="172" fontId="3" fillId="0" borderId="11" xfId="0" applyFont="1" applyBorder="1"/>
    <xf numFmtId="172" fontId="3" fillId="0" borderId="10" xfId="0" applyFont="1" applyBorder="1"/>
    <xf numFmtId="172" fontId="3" fillId="0" borderId="14" xfId="0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172" fontId="3" fillId="0" borderId="1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</xf>
    <xf numFmtId="172" fontId="3" fillId="0" borderId="0" xfId="0" applyNumberFormat="1" applyFont="1" applyBorder="1" applyAlignment="1" applyProtection="1">
      <alignment horizontal="right"/>
    </xf>
    <xf numFmtId="172" fontId="3" fillId="10" borderId="14" xfId="0" applyFont="1" applyFill="1" applyBorder="1" applyAlignment="1">
      <alignment horizontal="right"/>
    </xf>
    <xf numFmtId="172" fontId="3" fillId="10" borderId="0" xfId="0" applyFont="1" applyFill="1" applyBorder="1" applyAlignment="1">
      <alignment horizontal="right"/>
    </xf>
    <xf numFmtId="172" fontId="3" fillId="10" borderId="1" xfId="0" applyFont="1" applyFill="1" applyBorder="1" applyAlignment="1">
      <alignment horizontal="right"/>
    </xf>
    <xf numFmtId="172" fontId="3" fillId="10" borderId="0" xfId="0" applyFont="1" applyFill="1"/>
    <xf numFmtId="179" fontId="3" fillId="0" borderId="0" xfId="0" applyNumberFormat="1" applyFont="1"/>
    <xf numFmtId="172" fontId="3" fillId="10" borderId="1" xfId="0" applyNumberFormat="1" applyFont="1" applyFill="1" applyBorder="1" applyAlignment="1" applyProtection="1">
      <alignment horizontal="right"/>
    </xf>
    <xf numFmtId="172" fontId="3" fillId="10" borderId="1" xfId="0" quotePrefix="1" applyFont="1" applyFill="1" applyBorder="1" applyAlignment="1">
      <alignment horizontal="left"/>
    </xf>
    <xf numFmtId="172" fontId="3" fillId="10" borderId="1" xfId="0" applyFont="1" applyFill="1" applyBorder="1"/>
    <xf numFmtId="172" fontId="3" fillId="0" borderId="9" xfId="0" applyFont="1" applyBorder="1"/>
    <xf numFmtId="172" fontId="3" fillId="0" borderId="16" xfId="0" applyFont="1" applyBorder="1"/>
    <xf numFmtId="172" fontId="4" fillId="0" borderId="13" xfId="0" applyFont="1" applyBorder="1"/>
    <xf numFmtId="172" fontId="4" fillId="0" borderId="15" xfId="0" applyFont="1" applyBorder="1"/>
    <xf numFmtId="172" fontId="3" fillId="10" borderId="13" xfId="0" applyNumberFormat="1" applyFont="1" applyFill="1" applyBorder="1" applyAlignment="1" applyProtection="1">
      <alignment horizontal="right"/>
    </xf>
    <xf numFmtId="172" fontId="0" fillId="0" borderId="1" xfId="0" quotePrefix="1" applyNumberFormat="1" applyFont="1" applyBorder="1" applyAlignment="1" applyProtection="1">
      <alignment horizontal="right"/>
    </xf>
    <xf numFmtId="172" fontId="0" fillId="0" borderId="14" xfId="0" quotePrefix="1" applyNumberFormat="1" applyFont="1" applyBorder="1" applyAlignment="1" applyProtection="1">
      <alignment horizontal="right"/>
    </xf>
    <xf numFmtId="172" fontId="0" fillId="0" borderId="0" xfId="0" quotePrefix="1" applyNumberFormat="1" applyFont="1" applyBorder="1" applyAlignment="1" applyProtection="1">
      <alignment horizontal="right"/>
    </xf>
    <xf numFmtId="172" fontId="6" fillId="10" borderId="1" xfId="0" applyNumberFormat="1" applyFont="1" applyFill="1" applyBorder="1" applyAlignment="1" applyProtection="1">
      <alignment horizontal="right"/>
    </xf>
    <xf numFmtId="172" fontId="6" fillId="10" borderId="0" xfId="0" applyNumberFormat="1" applyFont="1" applyFill="1" applyBorder="1" applyAlignment="1" applyProtection="1">
      <alignment horizontal="right"/>
    </xf>
    <xf numFmtId="172" fontId="6" fillId="10" borderId="1" xfId="0" quotePrefix="1" applyNumberFormat="1" applyFont="1" applyFill="1" applyBorder="1" applyAlignment="1" applyProtection="1">
      <alignment horizontal="right"/>
    </xf>
    <xf numFmtId="172" fontId="6" fillId="10" borderId="13" xfId="0" applyNumberFormat="1" applyFont="1" applyFill="1" applyBorder="1" applyAlignment="1" applyProtection="1">
      <alignment horizontal="right"/>
    </xf>
    <xf numFmtId="181" fontId="6" fillId="10" borderId="1" xfId="276" applyNumberFormat="1" applyFont="1" applyFill="1" applyBorder="1" applyAlignment="1" applyProtection="1">
      <alignment horizontal="right"/>
    </xf>
    <xf numFmtId="172" fontId="6" fillId="10" borderId="14" xfId="0" applyNumberFormat="1" applyFont="1" applyFill="1" applyBorder="1" applyAlignment="1" applyProtection="1">
      <alignment horizontal="right"/>
    </xf>
    <xf numFmtId="172" fontId="6" fillId="0" borderId="1" xfId="0" quotePrefix="1" applyNumberFormat="1" applyFont="1" applyBorder="1" applyAlignment="1" applyProtection="1">
      <alignment horizontal="right"/>
    </xf>
    <xf numFmtId="172" fontId="6" fillId="0" borderId="14" xfId="0" applyNumberFormat="1" applyFont="1" applyFill="1" applyBorder="1" applyAlignment="1" applyProtection="1">
      <alignment horizontal="right"/>
    </xf>
    <xf numFmtId="172" fontId="6" fillId="0" borderId="13" xfId="0" applyNumberFormat="1" applyFont="1" applyBorder="1" applyAlignment="1" applyProtection="1">
      <alignment horizontal="right"/>
    </xf>
    <xf numFmtId="172" fontId="6" fillId="0" borderId="1" xfId="0" applyFont="1" applyFill="1" applyBorder="1"/>
    <xf numFmtId="172" fontId="6" fillId="0" borderId="0" xfId="0" applyFont="1" applyFill="1" applyBorder="1"/>
    <xf numFmtId="172" fontId="55" fillId="0" borderId="1" xfId="0" applyNumberFormat="1" applyFont="1" applyFill="1" applyBorder="1" applyAlignment="1" applyProtection="1">
      <alignment horizontal="right"/>
    </xf>
    <xf numFmtId="172" fontId="55" fillId="0" borderId="14" xfId="0" applyNumberFormat="1" applyFont="1" applyFill="1" applyBorder="1" applyAlignment="1" applyProtection="1">
      <alignment horizontal="right"/>
    </xf>
    <xf numFmtId="172" fontId="6" fillId="0" borderId="0" xfId="0" applyNumberFormat="1" applyFont="1" applyBorder="1" applyAlignment="1" applyProtection="1">
      <alignment horizontal="right"/>
    </xf>
    <xf numFmtId="179" fontId="6" fillId="0" borderId="0" xfId="0" applyNumberFormat="1" applyFont="1" applyBorder="1" applyAlignment="1">
      <alignment horizontal="right"/>
    </xf>
    <xf numFmtId="179" fontId="6" fillId="0" borderId="1" xfId="276" applyNumberFormat="1" applyFont="1" applyBorder="1" applyAlignment="1" applyProtection="1">
      <alignment horizontal="right"/>
    </xf>
    <xf numFmtId="179" fontId="55" fillId="0" borderId="0" xfId="0" applyNumberFormat="1" applyFont="1" applyBorder="1" applyAlignment="1" applyProtection="1">
      <alignment horizontal="right"/>
    </xf>
    <xf numFmtId="179" fontId="6" fillId="0" borderId="13" xfId="0" applyNumberFormat="1" applyFont="1" applyBorder="1" applyAlignment="1" applyProtection="1">
      <alignment horizontal="right"/>
    </xf>
    <xf numFmtId="179" fontId="6" fillId="0" borderId="13" xfId="0" applyNumberFormat="1" applyFont="1" applyBorder="1" applyAlignment="1">
      <alignment horizontal="right"/>
    </xf>
    <xf numFmtId="179" fontId="6" fillId="0" borderId="14" xfId="276" applyNumberFormat="1" applyFont="1" applyBorder="1" applyAlignment="1" applyProtection="1">
      <alignment horizontal="right"/>
    </xf>
    <xf numFmtId="172" fontId="6" fillId="0" borderId="9" xfId="0" applyNumberFormat="1" applyFont="1" applyBorder="1" applyAlignment="1" applyProtection="1">
      <alignment horizontal="fill"/>
    </xf>
    <xf numFmtId="179" fontId="6" fillId="0" borderId="1" xfId="276" applyNumberFormat="1" applyFont="1" applyFill="1" applyBorder="1" applyAlignment="1" applyProtection="1">
      <alignment horizontal="right"/>
    </xf>
    <xf numFmtId="179" fontId="6" fillId="0" borderId="1" xfId="0" applyNumberFormat="1" applyFont="1" applyBorder="1" applyAlignment="1" applyProtection="1"/>
    <xf numFmtId="172" fontId="6" fillId="0" borderId="1" xfId="0" quotePrefix="1" applyNumberFormat="1" applyFont="1" applyFill="1" applyBorder="1" applyAlignment="1" applyProtection="1">
      <alignment horizontal="right"/>
    </xf>
    <xf numFmtId="172" fontId="6" fillId="0" borderId="1" xfId="0" applyFont="1" applyFill="1" applyBorder="1" applyAlignment="1">
      <alignment horizontal="right"/>
    </xf>
    <xf numFmtId="179" fontId="51" fillId="0" borderId="0" xfId="0" applyNumberFormat="1" applyFont="1" applyBorder="1" applyAlignment="1">
      <alignment horizontal="right"/>
    </xf>
    <xf numFmtId="179" fontId="3" fillId="11" borderId="1" xfId="0" applyNumberFormat="1" applyFont="1" applyFill="1" applyBorder="1" applyAlignment="1">
      <alignment horizontal="right"/>
    </xf>
    <xf numFmtId="179" fontId="3" fillId="11" borderId="0" xfId="0" applyNumberFormat="1" applyFont="1" applyFill="1" applyBorder="1" applyAlignment="1" applyProtection="1">
      <alignment horizontal="right"/>
    </xf>
    <xf numFmtId="179" fontId="3" fillId="11" borderId="13" xfId="0" applyNumberFormat="1" applyFont="1" applyFill="1" applyBorder="1" applyAlignment="1">
      <alignment horizontal="right"/>
    </xf>
    <xf numFmtId="179" fontId="3" fillId="11" borderId="13" xfId="0" applyNumberFormat="1" applyFont="1" applyFill="1" applyBorder="1" applyAlignment="1" applyProtection="1">
      <alignment horizontal="right"/>
    </xf>
    <xf numFmtId="179" fontId="3" fillId="11" borderId="1" xfId="0" applyNumberFormat="1" applyFont="1" applyFill="1" applyBorder="1" applyAlignment="1" applyProtection="1">
      <alignment horizontal="right"/>
    </xf>
    <xf numFmtId="179" fontId="3" fillId="11" borderId="14" xfId="0" applyNumberFormat="1" applyFont="1" applyFill="1" applyBorder="1" applyAlignment="1" applyProtection="1">
      <alignment horizontal="right"/>
    </xf>
    <xf numFmtId="179" fontId="52" fillId="0" borderId="14" xfId="0" applyNumberFormat="1" applyFont="1" applyBorder="1" applyAlignment="1" applyProtection="1">
      <alignment horizontal="right"/>
    </xf>
    <xf numFmtId="179" fontId="3" fillId="0" borderId="18" xfId="4161" applyNumberFormat="1" applyFont="1" applyBorder="1" applyAlignment="1"/>
    <xf numFmtId="172" fontId="3" fillId="0" borderId="13" xfId="4340" applyNumberFormat="1" applyFont="1" applyFill="1" applyBorder="1" applyAlignment="1" applyProtection="1">
      <alignment horizontal="right"/>
    </xf>
    <xf numFmtId="175" fontId="3" fillId="0" borderId="0" xfId="4343" applyFont="1"/>
    <xf numFmtId="181" fontId="3" fillId="0" borderId="1" xfId="276" applyNumberFormat="1" applyFont="1" applyBorder="1" applyAlignment="1" applyProtection="1">
      <alignment horizontal="right" wrapText="1" readingOrder="1"/>
    </xf>
    <xf numFmtId="181" fontId="3" fillId="0" borderId="0" xfId="276" applyNumberFormat="1" applyFont="1" applyBorder="1" applyAlignment="1" applyProtection="1">
      <alignment horizontal="right" wrapText="1" readingOrder="1"/>
    </xf>
    <xf numFmtId="181" fontId="3" fillId="0" borderId="13" xfId="276" applyNumberFormat="1" applyFont="1" applyBorder="1" applyAlignment="1" applyProtection="1">
      <alignment horizontal="right" wrapText="1" readingOrder="1"/>
    </xf>
    <xf numFmtId="182" fontId="3" fillId="0" borderId="0" xfId="276" quotePrefix="1" applyNumberFormat="1" applyFont="1" applyBorder="1" applyAlignment="1" applyProtection="1">
      <alignment horizontal="right" wrapText="1" readingOrder="1"/>
    </xf>
    <xf numFmtId="182" fontId="3" fillId="0" borderId="1" xfId="276" applyNumberFormat="1" applyFont="1" applyBorder="1" applyAlignment="1">
      <alignment horizontal="right" wrapText="1" readingOrder="1"/>
    </xf>
    <xf numFmtId="179" fontId="3" fillId="0" borderId="1" xfId="276" applyNumberFormat="1" applyFont="1" applyBorder="1" applyAlignment="1" applyProtection="1">
      <alignment horizontal="right" wrapText="1" readingOrder="1"/>
    </xf>
    <xf numFmtId="179" fontId="3" fillId="0" borderId="0" xfId="276" applyNumberFormat="1" applyFont="1" applyBorder="1" applyAlignment="1" applyProtection="1">
      <alignment horizontal="right" wrapText="1" readingOrder="1"/>
    </xf>
    <xf numFmtId="179" fontId="3" fillId="0" borderId="13" xfId="276" applyNumberFormat="1" applyFont="1" applyBorder="1" applyAlignment="1" applyProtection="1">
      <alignment horizontal="right" wrapText="1" readingOrder="1"/>
    </xf>
    <xf numFmtId="179" fontId="3" fillId="0" borderId="0" xfId="276" quotePrefix="1" applyNumberFormat="1" applyFont="1" applyBorder="1" applyAlignment="1" applyProtection="1">
      <alignment horizontal="right" wrapText="1" readingOrder="1"/>
    </xf>
    <xf numFmtId="179" fontId="3" fillId="0" borderId="1" xfId="276" applyNumberFormat="1" applyFont="1" applyBorder="1" applyAlignment="1">
      <alignment horizontal="right" wrapText="1" readingOrder="1"/>
    </xf>
    <xf numFmtId="179" fontId="3" fillId="0" borderId="1" xfId="276" applyNumberFormat="1" applyFont="1" applyFill="1" applyBorder="1" applyAlignment="1">
      <alignment horizontal="right" wrapText="1" readingOrder="1"/>
    </xf>
    <xf numFmtId="179" fontId="3" fillId="0" borderId="13" xfId="276" applyNumberFormat="1" applyFont="1" applyFill="1" applyBorder="1"/>
    <xf numFmtId="179" fontId="3" fillId="0" borderId="1" xfId="4343" applyNumberFormat="1" applyFont="1" applyBorder="1"/>
    <xf numFmtId="179" fontId="3" fillId="10" borderId="0" xfId="0" applyNumberFormat="1" applyFont="1" applyFill="1" applyAlignment="1" applyProtection="1">
      <alignment horizontal="right"/>
    </xf>
    <xf numFmtId="179" fontId="3" fillId="0" borderId="1" xfId="4344" applyNumberFormat="1" applyFont="1" applyFill="1" applyBorder="1" applyAlignment="1">
      <alignment horizontal="right"/>
    </xf>
    <xf numFmtId="179" fontId="3" fillId="0" borderId="0" xfId="4344" applyNumberFormat="1" applyFont="1" applyFill="1" applyBorder="1" applyAlignment="1">
      <alignment horizontal="right"/>
    </xf>
    <xf numFmtId="179" fontId="3" fillId="0" borderId="14" xfId="4344" applyNumberFormat="1" applyFont="1" applyFill="1" applyBorder="1" applyAlignment="1">
      <alignment horizontal="right"/>
    </xf>
    <xf numFmtId="179" fontId="3" fillId="0" borderId="14" xfId="4348" applyNumberFormat="1" applyFont="1" applyFill="1" applyBorder="1"/>
    <xf numFmtId="179" fontId="3" fillId="0" borderId="14" xfId="4348" applyNumberFormat="1" applyFont="1" applyFill="1" applyBorder="1" applyAlignment="1"/>
    <xf numFmtId="179" fontId="3" fillId="0" borderId="1" xfId="4348" applyNumberFormat="1" applyFont="1" applyFill="1" applyBorder="1"/>
    <xf numFmtId="179" fontId="3" fillId="0" borderId="1" xfId="4349" applyNumberFormat="1" applyFont="1" applyFill="1" applyBorder="1"/>
    <xf numFmtId="179" fontId="3" fillId="0" borderId="14" xfId="4349" applyNumberFormat="1" applyFont="1" applyFill="1" applyBorder="1" applyAlignment="1"/>
    <xf numFmtId="179" fontId="3" fillId="0" borderId="14" xfId="4349" applyNumberFormat="1" applyFont="1" applyFill="1" applyBorder="1"/>
    <xf numFmtId="179" fontId="3" fillId="0" borderId="14" xfId="4350" applyNumberFormat="1" applyFont="1" applyFill="1" applyBorder="1"/>
    <xf numFmtId="179" fontId="3" fillId="0" borderId="14" xfId="4350" applyNumberFormat="1" applyFont="1" applyFill="1" applyBorder="1" applyAlignment="1"/>
    <xf numFmtId="179" fontId="3" fillId="0" borderId="1" xfId="4350" applyNumberFormat="1" applyFont="1" applyFill="1" applyBorder="1"/>
    <xf numFmtId="179" fontId="3" fillId="0" borderId="1" xfId="4351" applyNumberFormat="1" applyFont="1" applyFill="1" applyBorder="1"/>
    <xf numFmtId="179" fontId="3" fillId="0" borderId="14" xfId="4351" applyNumberFormat="1" applyFont="1" applyFill="1" applyBorder="1" applyAlignment="1"/>
    <xf numFmtId="179" fontId="3" fillId="0" borderId="14" xfId="4351" applyNumberFormat="1" applyFont="1" applyFill="1" applyBorder="1"/>
    <xf numFmtId="179" fontId="3" fillId="0" borderId="14" xfId="4352" applyNumberFormat="1" applyFont="1" applyFill="1" applyBorder="1"/>
    <xf numFmtId="179" fontId="3" fillId="0" borderId="14" xfId="4352" applyNumberFormat="1" applyFont="1" applyFill="1" applyBorder="1" applyAlignment="1"/>
    <xf numFmtId="179" fontId="3" fillId="0" borderId="1" xfId="4352" applyNumberFormat="1" applyFont="1" applyFill="1" applyBorder="1"/>
    <xf numFmtId="179" fontId="3" fillId="0" borderId="14" xfId="4353" applyNumberFormat="1" applyFont="1" applyFill="1" applyBorder="1"/>
    <xf numFmtId="179" fontId="3" fillId="0" borderId="14" xfId="4353" applyNumberFormat="1" applyFont="1" applyFill="1" applyBorder="1" applyAlignment="1"/>
    <xf numFmtId="179" fontId="3" fillId="0" borderId="1" xfId="4353" applyNumberFormat="1" applyFont="1" applyFill="1" applyBorder="1"/>
    <xf numFmtId="179" fontId="3" fillId="0" borderId="1" xfId="4354" applyNumberFormat="1" applyFont="1" applyFill="1" applyBorder="1"/>
    <xf numFmtId="179" fontId="3" fillId="0" borderId="14" xfId="4354" applyNumberFormat="1" applyFont="1" applyFill="1" applyBorder="1" applyAlignment="1"/>
    <xf numFmtId="179" fontId="3" fillId="0" borderId="14" xfId="4354" applyNumberFormat="1" applyFont="1" applyFill="1" applyBorder="1"/>
    <xf numFmtId="179" fontId="3" fillId="0" borderId="0" xfId="4354" applyNumberFormat="1" applyFont="1" applyFill="1" applyBorder="1"/>
    <xf numFmtId="175" fontId="6" fillId="0" borderId="18" xfId="0" applyNumberFormat="1" applyFont="1" applyFill="1" applyBorder="1" applyAlignment="1" applyProtection="1">
      <alignment horizontal="left"/>
    </xf>
    <xf numFmtId="172" fontId="3" fillId="0" borderId="13" xfId="0" applyNumberFormat="1" applyFont="1" applyBorder="1" applyAlignment="1" applyProtection="1">
      <alignment horizontal="center"/>
    </xf>
    <xf numFmtId="179" fontId="3" fillId="0" borderId="13" xfId="0" applyNumberFormat="1" applyFont="1" applyBorder="1" applyAlignment="1" applyProtection="1">
      <alignment horizontal="center"/>
    </xf>
    <xf numFmtId="179" fontId="3" fillId="0" borderId="14" xfId="0" applyNumberFormat="1" applyFont="1" applyBorder="1" applyAlignment="1" applyProtection="1">
      <alignment horizontal="center"/>
    </xf>
    <xf numFmtId="172" fontId="3" fillId="0" borderId="17" xfId="0" applyNumberFormat="1" applyFont="1" applyFill="1" applyBorder="1" applyAlignment="1" applyProtection="1">
      <alignment horizontal="center"/>
    </xf>
    <xf numFmtId="179" fontId="3" fillId="0" borderId="18" xfId="0" applyNumberFormat="1" applyFont="1" applyFill="1" applyBorder="1" applyAlignment="1">
      <alignment horizontal="right"/>
    </xf>
    <xf numFmtId="172" fontId="3" fillId="0" borderId="14" xfId="4340" applyNumberFormat="1" applyFont="1" applyBorder="1" applyAlignment="1" applyProtection="1">
      <alignment horizontal="right"/>
    </xf>
    <xf numFmtId="179" fontId="3" fillId="10" borderId="1" xfId="0" quotePrefix="1" applyNumberFormat="1" applyFont="1" applyFill="1" applyBorder="1" applyAlignment="1" applyProtection="1">
      <alignment horizontal="right"/>
    </xf>
    <xf numFmtId="179" fontId="3" fillId="0" borderId="15" xfId="0" applyNumberFormat="1" applyFont="1" applyBorder="1"/>
    <xf numFmtId="179" fontId="4" fillId="0" borderId="13" xfId="0" applyNumberFormat="1" applyFont="1" applyBorder="1" applyProtection="1"/>
    <xf numFmtId="179" fontId="3" fillId="0" borderId="14" xfId="0" applyNumberFormat="1" applyFont="1" applyBorder="1" applyAlignment="1" applyProtection="1">
      <alignment horizontal="center" vertical="center"/>
    </xf>
    <xf numFmtId="172" fontId="6" fillId="0" borderId="17" xfId="0" applyFont="1" applyBorder="1"/>
    <xf numFmtId="172" fontId="6" fillId="0" borderId="12" xfId="0" applyFont="1" applyBorder="1"/>
    <xf numFmtId="172" fontId="6" fillId="0" borderId="0" xfId="0" applyFont="1"/>
    <xf numFmtId="172" fontId="6" fillId="0" borderId="1" xfId="0" quotePrefix="1" applyNumberFormat="1" applyFont="1" applyFill="1" applyBorder="1" applyAlignment="1" applyProtection="1">
      <alignment horizontal="left"/>
    </xf>
    <xf numFmtId="172" fontId="6" fillId="0" borderId="1" xfId="0" quotePrefix="1" applyNumberFormat="1" applyFont="1" applyBorder="1" applyAlignment="1" applyProtection="1">
      <alignment horizontal="left"/>
    </xf>
    <xf numFmtId="37" fontId="6" fillId="0" borderId="1" xfId="0" quotePrefix="1" applyNumberFormat="1" applyFont="1" applyBorder="1" applyAlignment="1" applyProtection="1">
      <alignment horizontal="left"/>
    </xf>
    <xf numFmtId="173" fontId="6" fillId="0" borderId="1" xfId="0" applyNumberFormat="1" applyFont="1" applyBorder="1" applyAlignment="1" applyProtection="1">
      <alignment horizontal="left"/>
    </xf>
    <xf numFmtId="172" fontId="6" fillId="0" borderId="1" xfId="0" applyNumberFormat="1" applyFont="1" applyBorder="1" applyAlignment="1" applyProtection="1">
      <alignment horizontal="left"/>
    </xf>
    <xf numFmtId="172" fontId="6" fillId="0" borderId="1" xfId="0" applyNumberFormat="1" applyFont="1" applyFill="1" applyBorder="1" applyAlignment="1" applyProtection="1">
      <alignment horizontal="left"/>
    </xf>
    <xf numFmtId="172" fontId="6" fillId="10" borderId="1" xfId="0" applyNumberFormat="1" applyFont="1" applyFill="1" applyBorder="1" applyAlignment="1" applyProtection="1">
      <alignment horizontal="left"/>
    </xf>
    <xf numFmtId="172" fontId="6" fillId="10" borderId="0" xfId="0" applyFont="1" applyFill="1"/>
    <xf numFmtId="179" fontId="6" fillId="0" borderId="16" xfId="0" applyNumberFormat="1" applyFont="1" applyBorder="1" applyAlignment="1">
      <alignment horizontal="right"/>
    </xf>
    <xf numFmtId="179" fontId="6" fillId="0" borderId="1" xfId="0" quotePrefix="1" applyNumberFormat="1" applyFont="1" applyFill="1" applyBorder="1" applyAlignment="1" applyProtection="1">
      <alignment horizontal="right"/>
    </xf>
    <xf numFmtId="179" fontId="6" fillId="0" borderId="1" xfId="0" applyNumberFormat="1" applyFont="1" applyFill="1" applyBorder="1" applyAlignment="1" applyProtection="1"/>
    <xf numFmtId="179" fontId="6" fillId="0" borderId="1" xfId="0" applyNumberFormat="1" applyFont="1" applyBorder="1" applyAlignment="1"/>
    <xf numFmtId="177" fontId="6" fillId="0" borderId="1" xfId="0" applyNumberFormat="1" applyFont="1" applyFill="1" applyBorder="1" applyAlignment="1" applyProtection="1">
      <alignment horizontal="right"/>
    </xf>
    <xf numFmtId="179" fontId="3" fillId="11" borderId="14" xfId="0" applyNumberFormat="1" applyFont="1" applyFill="1" applyBorder="1" applyAlignment="1">
      <alignment horizontal="right"/>
    </xf>
    <xf numFmtId="179" fontId="3" fillId="11" borderId="0" xfId="0" applyNumberFormat="1" applyFont="1" applyFill="1" applyBorder="1" applyAlignment="1">
      <alignment horizontal="right"/>
    </xf>
    <xf numFmtId="172" fontId="4" fillId="0" borderId="13" xfId="0" applyNumberFormat="1" applyFont="1" applyBorder="1" applyAlignment="1" applyProtection="1">
      <alignment horizontal="center"/>
    </xf>
    <xf numFmtId="172" fontId="4" fillId="0" borderId="0" xfId="0" applyNumberFormat="1" applyFont="1" applyBorder="1" applyAlignment="1" applyProtection="1">
      <alignment horizontal="center"/>
    </xf>
    <xf numFmtId="172" fontId="4" fillId="0" borderId="14" xfId="0" applyNumberFormat="1" applyFont="1" applyBorder="1" applyAlignment="1" applyProtection="1">
      <alignment horizontal="center"/>
    </xf>
    <xf numFmtId="172" fontId="4" fillId="0" borderId="13" xfId="0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4" fillId="0" borderId="14" xfId="0" applyFont="1" applyBorder="1" applyAlignment="1">
      <alignment horizontal="center"/>
    </xf>
    <xf numFmtId="172" fontId="3" fillId="0" borderId="10" xfId="0" applyNumberFormat="1" applyFont="1" applyBorder="1" applyAlignment="1" applyProtection="1">
      <alignment horizontal="center" vertical="center"/>
    </xf>
    <xf numFmtId="172" fontId="3" fillId="0" borderId="11" xfId="0" applyNumberFormat="1" applyFont="1" applyBorder="1" applyAlignment="1" applyProtection="1">
      <alignment horizontal="center" vertical="center"/>
    </xf>
    <xf numFmtId="172" fontId="3" fillId="0" borderId="13" xfId="0" applyNumberFormat="1" applyFont="1" applyBorder="1" applyAlignment="1" applyProtection="1">
      <alignment horizontal="center" vertical="center"/>
    </xf>
    <xf numFmtId="172" fontId="3" fillId="0" borderId="0" xfId="0" applyNumberFormat="1" applyFont="1" applyBorder="1" applyAlignment="1" applyProtection="1">
      <alignment horizontal="center" vertical="center"/>
    </xf>
    <xf numFmtId="172" fontId="3" fillId="0" borderId="14" xfId="0" applyNumberFormat="1" applyFont="1" applyBorder="1" applyAlignment="1" applyProtection="1">
      <alignment horizontal="center" vertical="center"/>
    </xf>
    <xf numFmtId="179" fontId="3" fillId="0" borderId="13" xfId="0" applyNumberFormat="1" applyFont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center"/>
    </xf>
    <xf numFmtId="179" fontId="3" fillId="0" borderId="14" xfId="0" applyNumberFormat="1" applyFont="1" applyBorder="1" applyAlignment="1" applyProtection="1">
      <alignment horizontal="center"/>
    </xf>
    <xf numFmtId="179" fontId="3" fillId="0" borderId="13" xfId="0" applyNumberFormat="1" applyFont="1" applyFill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horizontal="center"/>
    </xf>
    <xf numFmtId="179" fontId="3" fillId="0" borderId="14" xfId="0" applyNumberFormat="1" applyFont="1" applyFill="1" applyBorder="1" applyAlignment="1" applyProtection="1">
      <alignment horizontal="center"/>
    </xf>
    <xf numFmtId="179" fontId="4" fillId="0" borderId="0" xfId="0" applyNumberFormat="1" applyFont="1" applyBorder="1" applyAlignment="1" applyProtection="1">
      <alignment horizontal="center"/>
    </xf>
    <xf numFmtId="172" fontId="4" fillId="0" borderId="9" xfId="0" applyFont="1" applyBorder="1" applyAlignment="1">
      <alignment horizontal="center"/>
    </xf>
    <xf numFmtId="172" fontId="4" fillId="0" borderId="13" xfId="0" applyNumberFormat="1" applyFont="1" applyBorder="1" applyAlignment="1" applyProtection="1">
      <alignment horizontal="center" vertical="center"/>
    </xf>
    <xf numFmtId="172" fontId="4" fillId="0" borderId="0" xfId="0" applyNumberFormat="1" applyFont="1" applyBorder="1" applyAlignment="1" applyProtection="1">
      <alignment horizontal="center" vertical="center"/>
    </xf>
    <xf numFmtId="172" fontId="4" fillId="0" borderId="14" xfId="0" applyNumberFormat="1" applyFont="1" applyBorder="1" applyAlignment="1" applyProtection="1">
      <alignment horizontal="center" vertical="center"/>
    </xf>
    <xf numFmtId="172" fontId="3" fillId="0" borderId="10" xfId="0" applyFont="1" applyBorder="1" applyAlignment="1">
      <alignment horizontal="center" vertical="center"/>
    </xf>
    <xf numFmtId="172" fontId="3" fillId="0" borderId="11" xfId="0" applyFont="1" applyBorder="1" applyAlignment="1">
      <alignment horizontal="center" vertical="center"/>
    </xf>
    <xf numFmtId="172" fontId="3" fillId="0" borderId="12" xfId="0" applyFont="1" applyBorder="1" applyAlignment="1">
      <alignment horizontal="center" vertical="center"/>
    </xf>
    <xf numFmtId="172" fontId="3" fillId="0" borderId="13" xfId="0" applyFont="1" applyBorder="1" applyAlignment="1">
      <alignment horizontal="center" vertical="center"/>
    </xf>
    <xf numFmtId="172" fontId="3" fillId="0" borderId="0" xfId="0" applyFont="1" applyBorder="1" applyAlignment="1">
      <alignment horizontal="center" vertical="center"/>
    </xf>
    <xf numFmtId="172" fontId="3" fillId="0" borderId="14" xfId="0" applyFont="1" applyBorder="1" applyAlignment="1">
      <alignment horizontal="center" vertical="center"/>
    </xf>
    <xf numFmtId="172" fontId="3" fillId="0" borderId="9" xfId="0" applyFont="1" applyBorder="1" applyAlignment="1">
      <alignment horizontal="center"/>
    </xf>
    <xf numFmtId="172" fontId="3" fillId="0" borderId="16" xfId="0" applyFont="1" applyBorder="1" applyAlignment="1">
      <alignment horizontal="center"/>
    </xf>
    <xf numFmtId="172" fontId="4" fillId="0" borderId="15" xfId="0" applyNumberFormat="1" applyFont="1" applyBorder="1" applyAlignment="1" applyProtection="1">
      <alignment horizontal="center"/>
    </xf>
    <xf numFmtId="172" fontId="4" fillId="0" borderId="9" xfId="0" applyNumberFormat="1" applyFont="1" applyBorder="1" applyAlignment="1" applyProtection="1">
      <alignment horizontal="center"/>
    </xf>
    <xf numFmtId="172" fontId="4" fillId="0" borderId="16" xfId="0" applyNumberFormat="1" applyFont="1" applyBorder="1" applyAlignment="1" applyProtection="1">
      <alignment horizontal="center"/>
    </xf>
    <xf numFmtId="172" fontId="3" fillId="0" borderId="13" xfId="0" applyNumberFormat="1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172" fontId="3" fillId="0" borderId="14" xfId="0" applyNumberFormat="1" applyFont="1" applyBorder="1" applyAlignment="1" applyProtection="1">
      <alignment horizontal="center"/>
    </xf>
    <xf numFmtId="172" fontId="4" fillId="10" borderId="13" xfId="0" applyNumberFormat="1" applyFont="1" applyFill="1" applyBorder="1" applyAlignment="1" applyProtection="1">
      <alignment horizontal="center" vertical="center"/>
    </xf>
    <xf numFmtId="172" fontId="4" fillId="10" borderId="0" xfId="0" applyNumberFormat="1" applyFont="1" applyFill="1" applyBorder="1" applyAlignment="1" applyProtection="1">
      <alignment horizontal="center" vertical="center"/>
    </xf>
    <xf numFmtId="172" fontId="4" fillId="10" borderId="14" xfId="0" applyNumberFormat="1" applyFont="1" applyFill="1" applyBorder="1" applyAlignment="1" applyProtection="1">
      <alignment horizontal="center" vertical="center"/>
    </xf>
    <xf numFmtId="172" fontId="3" fillId="0" borderId="12" xfId="0" applyNumberFormat="1" applyFont="1" applyBorder="1" applyAlignment="1" applyProtection="1">
      <alignment horizontal="center" vertical="center"/>
    </xf>
    <xf numFmtId="172" fontId="4" fillId="0" borderId="13" xfId="0" applyNumberFormat="1" applyFont="1" applyFill="1" applyBorder="1" applyAlignment="1" applyProtection="1">
      <alignment horizontal="center"/>
    </xf>
    <xf numFmtId="172" fontId="4" fillId="0" borderId="0" xfId="0" applyNumberFormat="1" applyFont="1" applyFill="1" applyBorder="1" applyAlignment="1" applyProtection="1">
      <alignment horizontal="center"/>
    </xf>
    <xf numFmtId="172" fontId="4" fillId="0" borderId="14" xfId="0" applyNumberFormat="1" applyFont="1" applyFill="1" applyBorder="1" applyAlignment="1" applyProtection="1">
      <alignment horizontal="center"/>
    </xf>
    <xf numFmtId="175" fontId="4" fillId="0" borderId="13" xfId="0" applyNumberFormat="1" applyFont="1" applyBorder="1" applyAlignment="1" applyProtection="1">
      <alignment horizontal="center"/>
    </xf>
    <xf numFmtId="175" fontId="4" fillId="0" borderId="0" xfId="0" applyNumberFormat="1" applyFont="1" applyBorder="1" applyAlignment="1" applyProtection="1">
      <alignment horizontal="center"/>
    </xf>
    <xf numFmtId="175" fontId="4" fillId="0" borderId="14" xfId="0" applyNumberFormat="1" applyFont="1" applyBorder="1" applyAlignment="1" applyProtection="1">
      <alignment horizontal="center"/>
    </xf>
    <xf numFmtId="172" fontId="9" fillId="0" borderId="0" xfId="0" applyFont="1" applyBorder="1" applyAlignment="1">
      <alignment horizontal="center"/>
    </xf>
    <xf numFmtId="175" fontId="4" fillId="0" borderId="9" xfId="0" applyNumberFormat="1" applyFont="1" applyBorder="1" applyAlignment="1" applyProtection="1">
      <alignment horizontal="center"/>
    </xf>
    <xf numFmtId="175" fontId="4" fillId="0" borderId="0" xfId="0" applyNumberFormat="1" applyFont="1" applyBorder="1" applyAlignment="1" applyProtection="1">
      <alignment horizontal="center" vertical="center"/>
    </xf>
    <xf numFmtId="175" fontId="4" fillId="0" borderId="13" xfId="0" quotePrefix="1" applyNumberFormat="1" applyFont="1" applyBorder="1" applyAlignment="1" applyProtection="1">
      <alignment horizontal="center"/>
    </xf>
    <xf numFmtId="175" fontId="4" fillId="0" borderId="0" xfId="0" quotePrefix="1" applyNumberFormat="1" applyFont="1" applyBorder="1" applyAlignment="1" applyProtection="1">
      <alignment horizontal="center"/>
    </xf>
    <xf numFmtId="175" fontId="4" fillId="0" borderId="14" xfId="0" quotePrefix="1" applyNumberFormat="1" applyFont="1" applyBorder="1" applyAlignment="1" applyProtection="1">
      <alignment horizontal="center"/>
    </xf>
    <xf numFmtId="175" fontId="4" fillId="0" borderId="13" xfId="0" applyNumberFormat="1" applyFont="1" applyBorder="1" applyAlignment="1" applyProtection="1">
      <alignment horizontal="left" wrapText="1"/>
    </xf>
    <xf numFmtId="175" fontId="4" fillId="0" borderId="0" xfId="0" quotePrefix="1" applyNumberFormat="1" applyFont="1" applyBorder="1" applyAlignment="1" applyProtection="1">
      <alignment horizontal="left" wrapText="1"/>
    </xf>
    <xf numFmtId="175" fontId="4" fillId="0" borderId="14" xfId="0" quotePrefix="1" applyNumberFormat="1" applyFont="1" applyBorder="1" applyAlignment="1" applyProtection="1">
      <alignment horizontal="left" wrapText="1"/>
    </xf>
    <xf numFmtId="172" fontId="4" fillId="0" borderId="13" xfId="0" quotePrefix="1" applyNumberFormat="1" applyFont="1" applyBorder="1" applyAlignment="1" applyProtection="1">
      <alignment horizontal="center"/>
    </xf>
    <xf numFmtId="172" fontId="4" fillId="0" borderId="0" xfId="0" quotePrefix="1" applyNumberFormat="1" applyFont="1" applyBorder="1" applyAlignment="1" applyProtection="1">
      <alignment horizontal="center"/>
    </xf>
    <xf numFmtId="172" fontId="4" fillId="0" borderId="14" xfId="0" quotePrefix="1" applyNumberFormat="1" applyFont="1" applyBorder="1" applyAlignment="1" applyProtection="1">
      <alignment horizontal="center"/>
    </xf>
    <xf numFmtId="175" fontId="4" fillId="0" borderId="10" xfId="0" quotePrefix="1" applyNumberFormat="1" applyFont="1" applyBorder="1" applyAlignment="1" applyProtection="1">
      <alignment horizontal="left" wrapText="1"/>
    </xf>
    <xf numFmtId="175" fontId="4" fillId="0" borderId="11" xfId="0" quotePrefix="1" applyNumberFormat="1" applyFont="1" applyBorder="1" applyAlignment="1" applyProtection="1">
      <alignment horizontal="left" wrapText="1"/>
    </xf>
    <xf numFmtId="175" fontId="4" fillId="0" borderId="12" xfId="0" quotePrefix="1" applyNumberFormat="1" applyFont="1" applyBorder="1" applyAlignment="1" applyProtection="1">
      <alignment horizontal="left" wrapText="1"/>
    </xf>
    <xf numFmtId="175" fontId="3" fillId="0" borderId="13" xfId="0" applyNumberFormat="1" applyFont="1" applyBorder="1" applyAlignment="1" applyProtection="1">
      <alignment horizontal="center"/>
    </xf>
    <xf numFmtId="175" fontId="3" fillId="0" borderId="0" xfId="0" applyNumberFormat="1" applyFont="1" applyBorder="1" applyAlignment="1" applyProtection="1">
      <alignment horizontal="center"/>
    </xf>
    <xf numFmtId="175" fontId="3" fillId="0" borderId="14" xfId="0" applyNumberFormat="1" applyFont="1" applyBorder="1" applyAlignment="1" applyProtection="1">
      <alignment horizontal="center"/>
    </xf>
    <xf numFmtId="172" fontId="4" fillId="0" borderId="0" xfId="0" applyFont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/>
    </xf>
    <xf numFmtId="172" fontId="4" fillId="0" borderId="13" xfId="0" applyFont="1" applyBorder="1" applyAlignment="1">
      <alignment horizontal="left"/>
    </xf>
    <xf numFmtId="172" fontId="4" fillId="0" borderId="0" xfId="0" applyFont="1" applyBorder="1" applyAlignment="1">
      <alignment horizontal="left"/>
    </xf>
    <xf numFmtId="172" fontId="4" fillId="0" borderId="14" xfId="0" applyFont="1" applyBorder="1" applyAlignment="1">
      <alignment horizontal="left"/>
    </xf>
    <xf numFmtId="182" fontId="3" fillId="0" borderId="13" xfId="276" applyNumberFormat="1" applyFont="1" applyBorder="1" applyAlignment="1">
      <alignment horizontal="center"/>
    </xf>
    <xf numFmtId="182" fontId="3" fillId="0" borderId="0" xfId="276" applyNumberFormat="1" applyFont="1" applyBorder="1" applyAlignment="1">
      <alignment horizontal="center"/>
    </xf>
    <xf numFmtId="182" fontId="3" fillId="0" borderId="14" xfId="276" applyNumberFormat="1" applyFont="1" applyBorder="1" applyAlignment="1">
      <alignment horizontal="center"/>
    </xf>
    <xf numFmtId="182" fontId="4" fillId="0" borderId="13" xfId="276" applyNumberFormat="1" applyFont="1" applyBorder="1" applyAlignment="1">
      <alignment horizontal="center"/>
    </xf>
    <xf numFmtId="182" fontId="4" fillId="0" borderId="0" xfId="276" applyNumberFormat="1" applyFont="1" applyBorder="1" applyAlignment="1">
      <alignment horizontal="center"/>
    </xf>
    <xf numFmtId="182" fontId="4" fillId="0" borderId="14" xfId="276" applyNumberFormat="1" applyFont="1" applyBorder="1" applyAlignment="1">
      <alignment horizontal="center"/>
    </xf>
    <xf numFmtId="182" fontId="3" fillId="0" borderId="15" xfId="276" applyNumberFormat="1" applyFont="1" applyBorder="1" applyAlignment="1">
      <alignment horizontal="center"/>
    </xf>
    <xf numFmtId="182" fontId="3" fillId="0" borderId="9" xfId="276" applyNumberFormat="1" applyFont="1" applyBorder="1" applyAlignment="1">
      <alignment horizontal="center"/>
    </xf>
    <xf numFmtId="182" fontId="3" fillId="0" borderId="16" xfId="276" applyNumberFormat="1" applyFont="1" applyBorder="1" applyAlignment="1">
      <alignment horizontal="center"/>
    </xf>
    <xf numFmtId="172" fontId="4" fillId="0" borderId="10" xfId="0" quotePrefix="1" applyFont="1" applyBorder="1" applyAlignment="1">
      <alignment horizontal="left"/>
    </xf>
    <xf numFmtId="172" fontId="4" fillId="0" borderId="11" xfId="0" applyFont="1" applyBorder="1" applyAlignment="1">
      <alignment horizontal="left"/>
    </xf>
    <xf numFmtId="172" fontId="4" fillId="0" borderId="12" xfId="0" applyFont="1" applyBorder="1" applyAlignment="1">
      <alignment horizontal="left"/>
    </xf>
    <xf numFmtId="172" fontId="4" fillId="0" borderId="11" xfId="0" quotePrefix="1" applyFont="1" applyBorder="1" applyAlignment="1">
      <alignment horizontal="left"/>
    </xf>
    <xf numFmtId="172" fontId="4" fillId="0" borderId="12" xfId="0" quotePrefix="1" applyFont="1" applyBorder="1" applyAlignment="1">
      <alignment horizontal="left"/>
    </xf>
    <xf numFmtId="172" fontId="4" fillId="0" borderId="15" xfId="0" applyFont="1" applyBorder="1" applyAlignment="1">
      <alignment horizontal="left"/>
    </xf>
    <xf numFmtId="172" fontId="4" fillId="0" borderId="9" xfId="0" applyFont="1" applyBorder="1" applyAlignment="1">
      <alignment horizontal="left"/>
    </xf>
    <xf numFmtId="172" fontId="4" fillId="0" borderId="16" xfId="0" applyFont="1" applyBorder="1" applyAlignment="1">
      <alignment horizontal="left"/>
    </xf>
    <xf numFmtId="172" fontId="4" fillId="0" borderId="19" xfId="0" quotePrefix="1" applyFont="1" applyBorder="1" applyAlignment="1">
      <alignment horizontal="left"/>
    </xf>
    <xf numFmtId="172" fontId="4" fillId="0" borderId="8" xfId="0" quotePrefix="1" applyFont="1" applyBorder="1" applyAlignment="1">
      <alignment horizontal="left"/>
    </xf>
    <xf numFmtId="172" fontId="4" fillId="0" borderId="20" xfId="0" quotePrefix="1" applyFont="1" applyBorder="1" applyAlignment="1">
      <alignment horizontal="left"/>
    </xf>
    <xf numFmtId="172" fontId="3" fillId="0" borderId="10" xfId="0" applyFont="1" applyBorder="1" applyAlignment="1">
      <alignment horizontal="left"/>
    </xf>
    <xf numFmtId="172" fontId="3" fillId="0" borderId="11" xfId="0" applyFont="1" applyBorder="1" applyAlignment="1">
      <alignment horizontal="left"/>
    </xf>
    <xf numFmtId="172" fontId="3" fillId="0" borderId="12" xfId="0" applyFont="1" applyBorder="1" applyAlignment="1">
      <alignment horizontal="left"/>
    </xf>
  </cellXfs>
  <cellStyles count="4357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AutoFormat Options" xfId="8"/>
    <cellStyle name="Ç¥ÁØ_¿ù°£¿ä¾àº¸°í" xfId="9"/>
    <cellStyle name="Cabe‡alho 1" xfId="10"/>
    <cellStyle name="Cabe‡alho 2" xfId="11"/>
    <cellStyle name="Cabecera 1" xfId="12"/>
    <cellStyle name="Cabecera 2" xfId="13"/>
    <cellStyle name="Clive" xfId="14"/>
    <cellStyle name="Clive 10" xfId="15"/>
    <cellStyle name="Clive 2" xfId="16"/>
    <cellStyle name="Clive 3" xfId="17"/>
    <cellStyle name="Clive 4" xfId="18"/>
    <cellStyle name="Clive 5" xfId="19"/>
    <cellStyle name="Clive 6" xfId="20"/>
    <cellStyle name="Clive 7" xfId="21"/>
    <cellStyle name="Clive 8" xfId="22"/>
    <cellStyle name="Clive 9" xfId="23"/>
    <cellStyle name="clsAltData" xfId="24"/>
    <cellStyle name="clsAltMRVData" xfId="25"/>
    <cellStyle name="clsBlank" xfId="26"/>
    <cellStyle name="clsBlank 10" xfId="27"/>
    <cellStyle name="clsBlank 2" xfId="28"/>
    <cellStyle name="clsBlank 3" xfId="29"/>
    <cellStyle name="clsBlank 4" xfId="30"/>
    <cellStyle name="clsBlank 5" xfId="31"/>
    <cellStyle name="clsBlank 6" xfId="32"/>
    <cellStyle name="clsBlank 7" xfId="33"/>
    <cellStyle name="clsBlank 8" xfId="34"/>
    <cellStyle name="clsBlank 9" xfId="35"/>
    <cellStyle name="clsColumnHeader" xfId="36"/>
    <cellStyle name="clsData" xfId="37"/>
    <cellStyle name="clsDefault" xfId="38"/>
    <cellStyle name="clsDefault 10" xfId="39"/>
    <cellStyle name="clsDefault 2" xfId="40"/>
    <cellStyle name="clsDefault 3" xfId="41"/>
    <cellStyle name="clsDefault 4" xfId="42"/>
    <cellStyle name="clsDefault 5" xfId="43"/>
    <cellStyle name="clsDefault 6" xfId="44"/>
    <cellStyle name="clsDefault 7" xfId="45"/>
    <cellStyle name="clsDefault 8" xfId="46"/>
    <cellStyle name="clsDefault 9" xfId="47"/>
    <cellStyle name="clsFooter" xfId="48"/>
    <cellStyle name="clsIndexTableData" xfId="49"/>
    <cellStyle name="clsIndexTableHdr" xfId="50"/>
    <cellStyle name="clsIndexTableTitle" xfId="51"/>
    <cellStyle name="clsMRVData" xfId="52"/>
    <cellStyle name="clsReportFooter" xfId="53"/>
    <cellStyle name="clsReportHeader" xfId="54"/>
    <cellStyle name="clsRowHeader" xfId="55"/>
    <cellStyle name="clsScale" xfId="56"/>
    <cellStyle name="clsSection" xfId="57"/>
    <cellStyle name="Comma" xfId="276" builtinId="3"/>
    <cellStyle name="Comma 2" xfId="58"/>
    <cellStyle name="Comma 2 10" xfId="59"/>
    <cellStyle name="Comma 2 11" xfId="60"/>
    <cellStyle name="Comma 2 12" xfId="61"/>
    <cellStyle name="Comma 2 13" xfId="62"/>
    <cellStyle name="Comma 2 2" xfId="63"/>
    <cellStyle name="Comma 2 2 2" xfId="64"/>
    <cellStyle name="Comma 2 2 3" xfId="65"/>
    <cellStyle name="Comma 2 2 4" xfId="66"/>
    <cellStyle name="Comma 2 2 5" xfId="67"/>
    <cellStyle name="Comma 2 2_ACT BNDE NR" xfId="68"/>
    <cellStyle name="Comma 2 3" xfId="69"/>
    <cellStyle name="Comma 2 3 2" xfId="70"/>
    <cellStyle name="Comma 2 3 2 2" xfId="71"/>
    <cellStyle name="Comma 2 3 2_ACT BNDE NR" xfId="72"/>
    <cellStyle name="Comma 2 3 3" xfId="73"/>
    <cellStyle name="Comma 2 3 4" xfId="74"/>
    <cellStyle name="Comma 2 3 5" xfId="75"/>
    <cellStyle name="Comma 2 3_ACT BNDE NR" xfId="76"/>
    <cellStyle name="Comma 2 4" xfId="77"/>
    <cellStyle name="Comma 2 4 2" xfId="78"/>
    <cellStyle name="Comma 2 4_ACT BNDE NR" xfId="79"/>
    <cellStyle name="Comma 2 5" xfId="80"/>
    <cellStyle name="Comma 2 5 2" xfId="81"/>
    <cellStyle name="Comma 2 5_ACT FPHU NR" xfId="82"/>
    <cellStyle name="Comma 2 6" xfId="83"/>
    <cellStyle name="Comma 2 6 2" xfId="84"/>
    <cellStyle name="Comma 2 6_ACT FPHU NR" xfId="85"/>
    <cellStyle name="Comma 2 7" xfId="86"/>
    <cellStyle name="Comma 2 7 2" xfId="87"/>
    <cellStyle name="Comma 2 7_ACT FPHU NR" xfId="88"/>
    <cellStyle name="Comma 2 8" xfId="89"/>
    <cellStyle name="Comma 2 9" xfId="90"/>
    <cellStyle name="Comma 2_ACT BNDE NR" xfId="91"/>
    <cellStyle name="Comma 3" xfId="92"/>
    <cellStyle name="Comma 3 10" xfId="93"/>
    <cellStyle name="Comma 3 2" xfId="94"/>
    <cellStyle name="Comma 3 2 2" xfId="95"/>
    <cellStyle name="Comma 3 3" xfId="96"/>
    <cellStyle name="Comma 3 4" xfId="97"/>
    <cellStyle name="Comma 3 5" xfId="98"/>
    <cellStyle name="Comma 3 6" xfId="99"/>
    <cellStyle name="Comma 3 7" xfId="100"/>
    <cellStyle name="Comma 3 8" xfId="101"/>
    <cellStyle name="Comma 3 9" xfId="102"/>
    <cellStyle name="Comma 4" xfId="103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0" xfId="110"/>
    <cellStyle name="Comma0 10" xfId="111"/>
    <cellStyle name="Comma0 2" xfId="112"/>
    <cellStyle name="Comma0 3" xfId="113"/>
    <cellStyle name="Comma0 4" xfId="114"/>
    <cellStyle name="Comma0 5" xfId="115"/>
    <cellStyle name="Comma0 6" xfId="116"/>
    <cellStyle name="Comma0 7" xfId="117"/>
    <cellStyle name="Comma0 8" xfId="118"/>
    <cellStyle name="Comma0 9" xfId="119"/>
    <cellStyle name="Commentaire 2" xfId="120"/>
    <cellStyle name="Currency0" xfId="121"/>
    <cellStyle name="Currency0 10" xfId="122"/>
    <cellStyle name="Currency0 2" xfId="123"/>
    <cellStyle name="Currency0 3" xfId="124"/>
    <cellStyle name="Currency0 4" xfId="125"/>
    <cellStyle name="Currency0 5" xfId="126"/>
    <cellStyle name="Currency0 6" xfId="127"/>
    <cellStyle name="Currency0 7" xfId="128"/>
    <cellStyle name="Currency0 8" xfId="129"/>
    <cellStyle name="Currency0 9" xfId="130"/>
    <cellStyle name="Data" xfId="131"/>
    <cellStyle name="Date" xfId="132"/>
    <cellStyle name="Date 10" xfId="133"/>
    <cellStyle name="Date 2" xfId="134"/>
    <cellStyle name="Date 3" xfId="135"/>
    <cellStyle name="Date 4" xfId="136"/>
    <cellStyle name="Date 5" xfId="137"/>
    <cellStyle name="Date 6" xfId="138"/>
    <cellStyle name="Date 7" xfId="139"/>
    <cellStyle name="Date 8" xfId="140"/>
    <cellStyle name="Date 9" xfId="141"/>
    <cellStyle name="diskette" xfId="142"/>
    <cellStyle name="Emphasis 1" xfId="143"/>
    <cellStyle name="Emphasis 2" xfId="144"/>
    <cellStyle name="Emphasis 3" xfId="145"/>
    <cellStyle name="Euro" xfId="146"/>
    <cellStyle name="Euro 10" xfId="147"/>
    <cellStyle name="Euro 10 2" xfId="148"/>
    <cellStyle name="Euro 10_ACT FPHU NR" xfId="149"/>
    <cellStyle name="Euro 2" xfId="150"/>
    <cellStyle name="Euro 2 2" xfId="151"/>
    <cellStyle name="Euro 2 3" xfId="152"/>
    <cellStyle name="Euro 3" xfId="153"/>
    <cellStyle name="Euro 4" xfId="154"/>
    <cellStyle name="Euro 5" xfId="155"/>
    <cellStyle name="Euro 6" xfId="156"/>
    <cellStyle name="Euro 7" xfId="157"/>
    <cellStyle name="Euro 8" xfId="158"/>
    <cellStyle name="Euro 9" xfId="159"/>
    <cellStyle name="Excel.Chart" xfId="160"/>
    <cellStyle name="F2" xfId="161"/>
    <cellStyle name="F2 10" xfId="162"/>
    <cellStyle name="F2 2" xfId="163"/>
    <cellStyle name="F2 3" xfId="164"/>
    <cellStyle name="F2 4" xfId="165"/>
    <cellStyle name="F2 5" xfId="166"/>
    <cellStyle name="F2 6" xfId="167"/>
    <cellStyle name="F2 7" xfId="168"/>
    <cellStyle name="F2 8" xfId="169"/>
    <cellStyle name="F2 9" xfId="170"/>
    <cellStyle name="F3" xfId="171"/>
    <cellStyle name="F3 10" xfId="172"/>
    <cellStyle name="F3 2" xfId="173"/>
    <cellStyle name="F3 3" xfId="174"/>
    <cellStyle name="F3 4" xfId="175"/>
    <cellStyle name="F3 5" xfId="176"/>
    <cellStyle name="F3 6" xfId="177"/>
    <cellStyle name="F3 7" xfId="178"/>
    <cellStyle name="F3 8" xfId="179"/>
    <cellStyle name="F3 9" xfId="180"/>
    <cellStyle name="F4" xfId="181"/>
    <cellStyle name="F4 10" xfId="182"/>
    <cellStyle name="F4 2" xfId="183"/>
    <cellStyle name="F4 3" xfId="184"/>
    <cellStyle name="F4 4" xfId="185"/>
    <cellStyle name="F4 5" xfId="186"/>
    <cellStyle name="F4 6" xfId="187"/>
    <cellStyle name="F4 7" xfId="188"/>
    <cellStyle name="F4 8" xfId="189"/>
    <cellStyle name="F4 9" xfId="190"/>
    <cellStyle name="F5" xfId="191"/>
    <cellStyle name="F5 10" xfId="192"/>
    <cellStyle name="F5 2" xfId="193"/>
    <cellStyle name="F5 3" xfId="194"/>
    <cellStyle name="F5 4" xfId="195"/>
    <cellStyle name="F5 5" xfId="196"/>
    <cellStyle name="F5 6" xfId="197"/>
    <cellStyle name="F5 7" xfId="198"/>
    <cellStyle name="F5 8" xfId="199"/>
    <cellStyle name="F5 9" xfId="200"/>
    <cellStyle name="F6" xfId="201"/>
    <cellStyle name="F6 10" xfId="202"/>
    <cellStyle name="F6 2" xfId="203"/>
    <cellStyle name="F6 3" xfId="204"/>
    <cellStyle name="F6 4" xfId="205"/>
    <cellStyle name="F6 5" xfId="206"/>
    <cellStyle name="F6 6" xfId="207"/>
    <cellStyle name="F6 7" xfId="208"/>
    <cellStyle name="F6 8" xfId="209"/>
    <cellStyle name="F6 9" xfId="210"/>
    <cellStyle name="F7" xfId="211"/>
    <cellStyle name="F7 10" xfId="212"/>
    <cellStyle name="F7 2" xfId="213"/>
    <cellStyle name="F7 3" xfId="214"/>
    <cellStyle name="F7 4" xfId="215"/>
    <cellStyle name="F7 5" xfId="216"/>
    <cellStyle name="F7 6" xfId="217"/>
    <cellStyle name="F7 7" xfId="218"/>
    <cellStyle name="F7 8" xfId="219"/>
    <cellStyle name="F7 9" xfId="220"/>
    <cellStyle name="F8" xfId="221"/>
    <cellStyle name="F8 10" xfId="222"/>
    <cellStyle name="F8 2" xfId="223"/>
    <cellStyle name="F8 3" xfId="224"/>
    <cellStyle name="F8 4" xfId="225"/>
    <cellStyle name="F8 5" xfId="226"/>
    <cellStyle name="F8 6" xfId="227"/>
    <cellStyle name="F8 7" xfId="228"/>
    <cellStyle name="F8 8" xfId="229"/>
    <cellStyle name="F8 9" xfId="230"/>
    <cellStyle name="facha" xfId="231"/>
    <cellStyle name="Fecha" xfId="232"/>
    <cellStyle name="Fijo" xfId="233"/>
    <cellStyle name="Fixed" xfId="234"/>
    <cellStyle name="Fixed 10" xfId="235"/>
    <cellStyle name="Fixed 2" xfId="236"/>
    <cellStyle name="Fixed 3" xfId="237"/>
    <cellStyle name="Fixed 4" xfId="238"/>
    <cellStyle name="Fixed 5" xfId="239"/>
    <cellStyle name="Fixed 6" xfId="240"/>
    <cellStyle name="Fixed 7" xfId="241"/>
    <cellStyle name="Fixed 8" xfId="242"/>
    <cellStyle name="Fixed 9" xfId="243"/>
    <cellStyle name="Fixo" xfId="244"/>
    <cellStyle name="Grey" xfId="245"/>
    <cellStyle name="Header1" xfId="246"/>
    <cellStyle name="Header2" xfId="247"/>
    <cellStyle name="Heading1" xfId="248"/>
    <cellStyle name="Heading2" xfId="249"/>
    <cellStyle name="Hipervínculo" xfId="250"/>
    <cellStyle name="Hipervínculo visitado" xfId="251"/>
    <cellStyle name="Hipervínculo_10-01-03 2003 2003 NUEVOS RON -NUEVOS INTERESES" xfId="252"/>
    <cellStyle name="Hyperlink 2" xfId="253"/>
    <cellStyle name="Hyperlink 2 2" xfId="254"/>
    <cellStyle name="Hyperlink 2_II_7_2 Liabilities Fcial interm" xfId="255"/>
    <cellStyle name="Hyperlink seguido_NFGC_SPE_1995_2003" xfId="256"/>
    <cellStyle name="imf-one decimal" xfId="257"/>
    <cellStyle name="imf-zero decimal" xfId="258"/>
    <cellStyle name="Input [yellow]" xfId="259"/>
    <cellStyle name="jo[" xfId="260"/>
    <cellStyle name="jo[ 10" xfId="261"/>
    <cellStyle name="jo[ 2" xfId="262"/>
    <cellStyle name="jo[ 3" xfId="263"/>
    <cellStyle name="jo[ 4" xfId="264"/>
    <cellStyle name="jo[ 5" xfId="265"/>
    <cellStyle name="jo[ 6" xfId="266"/>
    <cellStyle name="jo[ 7" xfId="267"/>
    <cellStyle name="jo[ 8" xfId="268"/>
    <cellStyle name="jo[ 9" xfId="269"/>
    <cellStyle name="Lien hypertexte 2" xfId="270"/>
    <cellStyle name="MacroCode" xfId="271"/>
    <cellStyle name="Mheading1" xfId="272"/>
    <cellStyle name="Mheading2" xfId="273"/>
    <cellStyle name="Millares [0]_11.1.3. bis" xfId="274"/>
    <cellStyle name="Millares_11.1.3. bis" xfId="275"/>
    <cellStyle name="Milliers 10" xfId="277"/>
    <cellStyle name="Milliers 10 2" xfId="278"/>
    <cellStyle name="Milliers 10 3" xfId="279"/>
    <cellStyle name="Milliers 11" xfId="280"/>
    <cellStyle name="Milliers 11 2" xfId="281"/>
    <cellStyle name="Milliers 11 2 10" xfId="282"/>
    <cellStyle name="Milliers 11 2 11" xfId="283"/>
    <cellStyle name="Milliers 11 2 12" xfId="284"/>
    <cellStyle name="Milliers 11 2 2" xfId="285"/>
    <cellStyle name="Milliers 11 2 3" xfId="286"/>
    <cellStyle name="Milliers 11 2 4" xfId="287"/>
    <cellStyle name="Milliers 11 2 5" xfId="288"/>
    <cellStyle name="Milliers 11 2 6" xfId="289"/>
    <cellStyle name="Milliers 11 2 7" xfId="290"/>
    <cellStyle name="Milliers 11 2 8" xfId="291"/>
    <cellStyle name="Milliers 11 2 9" xfId="292"/>
    <cellStyle name="Milliers 11 3" xfId="293"/>
    <cellStyle name="Milliers 11 3 2" xfId="294"/>
    <cellStyle name="Milliers 11 3 3" xfId="295"/>
    <cellStyle name="Milliers 11 4" xfId="296"/>
    <cellStyle name="Milliers 11 4 2" xfId="297"/>
    <cellStyle name="Milliers 11 4 3" xfId="298"/>
    <cellStyle name="Milliers 12" xfId="299"/>
    <cellStyle name="Milliers 13" xfId="300"/>
    <cellStyle name="Milliers 13 2" xfId="301"/>
    <cellStyle name="Milliers 13 2 2" xfId="302"/>
    <cellStyle name="Milliers 13 2 2 2" xfId="303"/>
    <cellStyle name="Milliers 13 2 2 3" xfId="304"/>
    <cellStyle name="Milliers 13 2 3" xfId="305"/>
    <cellStyle name="Milliers 13 3" xfId="306"/>
    <cellStyle name="Milliers 13 4" xfId="307"/>
    <cellStyle name="Milliers 13 5" xfId="308"/>
    <cellStyle name="Milliers 13 6" xfId="309"/>
    <cellStyle name="Milliers 13 7" xfId="310"/>
    <cellStyle name="Milliers 13 8" xfId="311"/>
    <cellStyle name="Milliers 13 9" xfId="312"/>
    <cellStyle name="Milliers 14" xfId="313"/>
    <cellStyle name="Milliers 15" xfId="314"/>
    <cellStyle name="Milliers 15 2" xfId="315"/>
    <cellStyle name="Milliers 15 2 2" xfId="316"/>
    <cellStyle name="Milliers 15 2 2 2" xfId="317"/>
    <cellStyle name="Milliers 15 2 2 3" xfId="318"/>
    <cellStyle name="Milliers 15 2 3" xfId="319"/>
    <cellStyle name="Milliers 15 3" xfId="320"/>
    <cellStyle name="Milliers 15 4" xfId="321"/>
    <cellStyle name="Milliers 15 5" xfId="322"/>
    <cellStyle name="Milliers 15 6" xfId="323"/>
    <cellStyle name="Milliers 15 7" xfId="324"/>
    <cellStyle name="Milliers 15 8" xfId="325"/>
    <cellStyle name="Milliers 15 9" xfId="326"/>
    <cellStyle name="Milliers 16" xfId="327"/>
    <cellStyle name="Milliers 17" xfId="328"/>
    <cellStyle name="Milliers 17 2" xfId="329"/>
    <cellStyle name="Milliers 17 2 2" xfId="330"/>
    <cellStyle name="Milliers 17 2 2 2" xfId="331"/>
    <cellStyle name="Milliers 17 2 2 3" xfId="332"/>
    <cellStyle name="Milliers 17 2 3" xfId="333"/>
    <cellStyle name="Milliers 17 3" xfId="334"/>
    <cellStyle name="Milliers 17 3 2" xfId="335"/>
    <cellStyle name="Milliers 17 3 3" xfId="336"/>
    <cellStyle name="Milliers 17 4" xfId="337"/>
    <cellStyle name="Milliers 17 4 2" xfId="338"/>
    <cellStyle name="Milliers 17 4 3" xfId="339"/>
    <cellStyle name="Milliers 17 5" xfId="340"/>
    <cellStyle name="Milliers 17 6" xfId="341"/>
    <cellStyle name="Milliers 18" xfId="342"/>
    <cellStyle name="Milliers 19" xfId="343"/>
    <cellStyle name="Milliers 2" xfId="344"/>
    <cellStyle name="Milliers 2 10" xfId="345"/>
    <cellStyle name="Milliers 2 11" xfId="346"/>
    <cellStyle name="Milliers 2 12" xfId="347"/>
    <cellStyle name="Milliers 2 13" xfId="348"/>
    <cellStyle name="Milliers 2 14" xfId="349"/>
    <cellStyle name="Milliers 2 15" xfId="350"/>
    <cellStyle name="Milliers 2 16" xfId="351"/>
    <cellStyle name="Milliers 2 17" xfId="352"/>
    <cellStyle name="Milliers 2 18" xfId="353"/>
    <cellStyle name="Milliers 2 19" xfId="354"/>
    <cellStyle name="Milliers 2 2" xfId="355"/>
    <cellStyle name="Milliers 2 2 2" xfId="356"/>
    <cellStyle name="Milliers 2 2 2 2" xfId="357"/>
    <cellStyle name="Milliers 2 2 2 3" xfId="358"/>
    <cellStyle name="Milliers 2 2 2_ACT BNDE NR" xfId="359"/>
    <cellStyle name="Milliers 2 2 3" xfId="360"/>
    <cellStyle name="Milliers 2 2 4" xfId="361"/>
    <cellStyle name="Milliers 2 2_ACT BNDE NR" xfId="362"/>
    <cellStyle name="Milliers 2 20" xfId="363"/>
    <cellStyle name="Milliers 2 21" xfId="364"/>
    <cellStyle name="Milliers 2 3" xfId="365"/>
    <cellStyle name="Milliers 2 3 2" xfId="366"/>
    <cellStyle name="Milliers 2 3_ACT FPHU NR" xfId="367"/>
    <cellStyle name="Milliers 2 4" xfId="368"/>
    <cellStyle name="Milliers 2 4 2" xfId="369"/>
    <cellStyle name="Milliers 2 4_ACT FPHU NR" xfId="370"/>
    <cellStyle name="Milliers 2 5" xfId="371"/>
    <cellStyle name="Milliers 2 5 2" xfId="372"/>
    <cellStyle name="Milliers 2 5_ACT FPHU NR" xfId="373"/>
    <cellStyle name="Milliers 2 6" xfId="374"/>
    <cellStyle name="Milliers 2 7" xfId="375"/>
    <cellStyle name="Milliers 2 8" xfId="376"/>
    <cellStyle name="Milliers 2 9" xfId="377"/>
    <cellStyle name="Milliers 2_ACT BNDE NR" xfId="378"/>
    <cellStyle name="Milliers 20" xfId="379"/>
    <cellStyle name="Milliers 20 2" xfId="380"/>
    <cellStyle name="Milliers 20 2 2" xfId="381"/>
    <cellStyle name="Milliers 20 2 3" xfId="382"/>
    <cellStyle name="Milliers 20 3" xfId="383"/>
    <cellStyle name="Milliers 21" xfId="384"/>
    <cellStyle name="Milliers 21 2" xfId="385"/>
    <cellStyle name="Milliers 21 2 2" xfId="386"/>
    <cellStyle name="Milliers 21 2 3" xfId="387"/>
    <cellStyle name="Milliers 21 3" xfId="388"/>
    <cellStyle name="Milliers 22" xfId="389"/>
    <cellStyle name="Milliers 22 2" xfId="390"/>
    <cellStyle name="Milliers 22 2 2" xfId="391"/>
    <cellStyle name="Milliers 22 2 3" xfId="392"/>
    <cellStyle name="Milliers 22 3" xfId="393"/>
    <cellStyle name="Milliers 23" xfId="394"/>
    <cellStyle name="Milliers 24" xfId="395"/>
    <cellStyle name="Milliers 24 2" xfId="396"/>
    <cellStyle name="Milliers 25" xfId="397"/>
    <cellStyle name="Milliers 26" xfId="398"/>
    <cellStyle name="Milliers 27" xfId="399"/>
    <cellStyle name="Milliers 28" xfId="400"/>
    <cellStyle name="Milliers 29" xfId="401"/>
    <cellStyle name="Milliers 3" xfId="402"/>
    <cellStyle name="Milliers 3 10" xfId="403"/>
    <cellStyle name="Milliers 3 11" xfId="404"/>
    <cellStyle name="Milliers 3 12" xfId="405"/>
    <cellStyle name="Milliers 3 13" xfId="406"/>
    <cellStyle name="Milliers 3 2" xfId="407"/>
    <cellStyle name="Milliers 3 2 2" xfId="408"/>
    <cellStyle name="Milliers 3 2 2 2" xfId="409"/>
    <cellStyle name="Milliers 3 2 2 3" xfId="410"/>
    <cellStyle name="Milliers 3 2 2 4" xfId="411"/>
    <cellStyle name="Milliers 3 2 2_ACT BNDE NR" xfId="412"/>
    <cellStyle name="Milliers 3 2 3" xfId="413"/>
    <cellStyle name="Milliers 3 2 3 2" xfId="414"/>
    <cellStyle name="Milliers 3 2 3_ACT FPHU NR" xfId="415"/>
    <cellStyle name="Milliers 3 2 4" xfId="416"/>
    <cellStyle name="Milliers 3 2 5" xfId="417"/>
    <cellStyle name="Milliers 3 2_ACT BNDE NR" xfId="418"/>
    <cellStyle name="Milliers 3 3" xfId="419"/>
    <cellStyle name="Milliers 3 3 2" xfId="420"/>
    <cellStyle name="Milliers 3 3 3" xfId="421"/>
    <cellStyle name="Milliers 3 3 4" xfId="422"/>
    <cellStyle name="Milliers 3 3 5" xfId="423"/>
    <cellStyle name="Milliers 3 3_ACT BNDE NR" xfId="424"/>
    <cellStyle name="Milliers 3 4" xfId="425"/>
    <cellStyle name="Milliers 3 4 2" xfId="426"/>
    <cellStyle name="Milliers 3 4_ACT BNDE NR" xfId="427"/>
    <cellStyle name="Milliers 3 5" xfId="428"/>
    <cellStyle name="Milliers 3 5 2" xfId="429"/>
    <cellStyle name="Milliers 3 5_ACT FPHU NR" xfId="430"/>
    <cellStyle name="Milliers 3 6" xfId="431"/>
    <cellStyle name="Milliers 3 6 2" xfId="432"/>
    <cellStyle name="Milliers 3 6_ACT FPHU NR" xfId="433"/>
    <cellStyle name="Milliers 3 7" xfId="434"/>
    <cellStyle name="Milliers 3 7 2" xfId="435"/>
    <cellStyle name="Milliers 3 7_ACT FPHU NR" xfId="436"/>
    <cellStyle name="Milliers 3 8" xfId="437"/>
    <cellStyle name="Milliers 3 9" xfId="438"/>
    <cellStyle name="Milliers 3_ACT BNDE NR" xfId="439"/>
    <cellStyle name="Milliers 30" xfId="440"/>
    <cellStyle name="Milliers 31" xfId="441"/>
    <cellStyle name="Milliers 32" xfId="442"/>
    <cellStyle name="Milliers 32 2" xfId="443"/>
    <cellStyle name="Milliers 33" xfId="444"/>
    <cellStyle name="Milliers 33 2" xfId="445"/>
    <cellStyle name="Milliers 33 3" xfId="446"/>
    <cellStyle name="Milliers 34" xfId="447"/>
    <cellStyle name="Milliers 35" xfId="448"/>
    <cellStyle name="Milliers 35 2" xfId="449"/>
    <cellStyle name="Milliers 36" xfId="450"/>
    <cellStyle name="Milliers 36 2" xfId="451"/>
    <cellStyle name="Milliers 36 3" xfId="452"/>
    <cellStyle name="Milliers 37" xfId="453"/>
    <cellStyle name="Milliers 37 2" xfId="454"/>
    <cellStyle name="Milliers 38" xfId="455"/>
    <cellStyle name="Milliers 39" xfId="456"/>
    <cellStyle name="Milliers 4" xfId="457"/>
    <cellStyle name="Milliers 4 10" xfId="458"/>
    <cellStyle name="Milliers 4 11" xfId="459"/>
    <cellStyle name="Milliers 4 12" xfId="460"/>
    <cellStyle name="Milliers 4 13" xfId="461"/>
    <cellStyle name="Milliers 4 14" xfId="462"/>
    <cellStyle name="Milliers 4 2" xfId="463"/>
    <cellStyle name="Milliers 4 2 2" xfId="464"/>
    <cellStyle name="Milliers 4 2 2 2" xfId="465"/>
    <cellStyle name="Milliers 4 2 2_ACT BNDE NR" xfId="466"/>
    <cellStyle name="Milliers 4 2 3" xfId="467"/>
    <cellStyle name="Milliers 4 2 4" xfId="468"/>
    <cellStyle name="Milliers 4 2 5" xfId="469"/>
    <cellStyle name="Milliers 4 2_ACT BNDE NR" xfId="470"/>
    <cellStyle name="Milliers 4 3" xfId="471"/>
    <cellStyle name="Milliers 4 3 2" xfId="472"/>
    <cellStyle name="Milliers 4 3 3" xfId="473"/>
    <cellStyle name="Milliers 4 3 4" xfId="474"/>
    <cellStyle name="Milliers 4 3 5" xfId="475"/>
    <cellStyle name="Milliers 4 3_ACT BNDE NR" xfId="476"/>
    <cellStyle name="Milliers 4 4" xfId="477"/>
    <cellStyle name="Milliers 4 4 2" xfId="478"/>
    <cellStyle name="Milliers 4 4_ACT BNDE NR" xfId="479"/>
    <cellStyle name="Milliers 4 5" xfId="480"/>
    <cellStyle name="Milliers 4 5 2" xfId="481"/>
    <cellStyle name="Milliers 4 5_ACT FPHU NR" xfId="482"/>
    <cellStyle name="Milliers 4 6" xfId="483"/>
    <cellStyle name="Milliers 4 6 2" xfId="484"/>
    <cellStyle name="Milliers 4 6_ACT FPHU NR" xfId="485"/>
    <cellStyle name="Milliers 4 7" xfId="486"/>
    <cellStyle name="Milliers 4 7 2" xfId="487"/>
    <cellStyle name="Milliers 4 7_ACT FPHU NR" xfId="488"/>
    <cellStyle name="Milliers 4 8" xfId="489"/>
    <cellStyle name="Milliers 4 9" xfId="490"/>
    <cellStyle name="Milliers 40" xfId="491"/>
    <cellStyle name="Milliers 40 2" xfId="492"/>
    <cellStyle name="Milliers 41" xfId="493"/>
    <cellStyle name="Milliers 41 2" xfId="494"/>
    <cellStyle name="Milliers 42" xfId="495"/>
    <cellStyle name="Milliers 42 2" xfId="496"/>
    <cellStyle name="Milliers 43" xfId="497"/>
    <cellStyle name="Milliers 43 2" xfId="498"/>
    <cellStyle name="Milliers 44" xfId="499"/>
    <cellStyle name="Milliers 44 2" xfId="500"/>
    <cellStyle name="Milliers 45" xfId="501"/>
    <cellStyle name="Milliers 46" xfId="502"/>
    <cellStyle name="Milliers 46 2" xfId="503"/>
    <cellStyle name="Milliers 47" xfId="504"/>
    <cellStyle name="Milliers 47 2" xfId="505"/>
    <cellStyle name="Milliers 48" xfId="506"/>
    <cellStyle name="Milliers 49" xfId="507"/>
    <cellStyle name="Milliers 49 2" xfId="508"/>
    <cellStyle name="Milliers 5" xfId="509"/>
    <cellStyle name="Milliers 5 2" xfId="510"/>
    <cellStyle name="Milliers 5 2 2" xfId="511"/>
    <cellStyle name="Milliers 5 2_ACT BNDE NR" xfId="512"/>
    <cellStyle name="Milliers 5 3" xfId="513"/>
    <cellStyle name="Milliers 5 4" xfId="514"/>
    <cellStyle name="Milliers 5 5" xfId="515"/>
    <cellStyle name="Milliers 5_ACT BNDE NR" xfId="516"/>
    <cellStyle name="Milliers 50" xfId="517"/>
    <cellStyle name="Milliers 50 2" xfId="518"/>
    <cellStyle name="Milliers 51" xfId="519"/>
    <cellStyle name="Milliers 51 2" xfId="520"/>
    <cellStyle name="Milliers 51 3" xfId="521"/>
    <cellStyle name="Milliers 52" xfId="522"/>
    <cellStyle name="Milliers 52 2" xfId="523"/>
    <cellStyle name="Milliers 52 3" xfId="524"/>
    <cellStyle name="Milliers 53" xfId="525"/>
    <cellStyle name="Milliers 6" xfId="526"/>
    <cellStyle name="Milliers 6 2" xfId="527"/>
    <cellStyle name="Milliers 6 2 2" xfId="528"/>
    <cellStyle name="Milliers 6 3" xfId="529"/>
    <cellStyle name="Milliers 6 3 2" xfId="530"/>
    <cellStyle name="Milliers 6 4" xfId="531"/>
    <cellStyle name="Milliers 6 5" xfId="532"/>
    <cellStyle name="Milliers 6_ACT BNDE NR" xfId="533"/>
    <cellStyle name="Milliers 7" xfId="534"/>
    <cellStyle name="Milliers 7 2" xfId="535"/>
    <cellStyle name="Milliers 7 3" xfId="536"/>
    <cellStyle name="Milliers 7 4" xfId="537"/>
    <cellStyle name="Milliers 7 5" xfId="538"/>
    <cellStyle name="Milliers 7_ACT BNDE NR" xfId="539"/>
    <cellStyle name="Milliers 8" xfId="540"/>
    <cellStyle name="Milliers 8 2" xfId="541"/>
    <cellStyle name="Milliers 8_ACT FPHU NR" xfId="542"/>
    <cellStyle name="Milliers 9" xfId="543"/>
    <cellStyle name="Moeda [0]_A" xfId="544"/>
    <cellStyle name="Moeda_A" xfId="545"/>
    <cellStyle name="Moeda0" xfId="546"/>
    <cellStyle name="Moneda [0]_11.1.3. bis" xfId="547"/>
    <cellStyle name="Moneda_11.1.3. bis" xfId="548"/>
    <cellStyle name="Monétaire 2" xfId="549"/>
    <cellStyle name="Monétaire 2 2" xfId="550"/>
    <cellStyle name="Monétaire 2 3" xfId="551"/>
    <cellStyle name="Monétaire 2_ACT FPHU NR" xfId="552"/>
    <cellStyle name="Monétaire 3" xfId="553"/>
    <cellStyle name="Monétaire 3 2" xfId="554"/>
    <cellStyle name="Monétaire 4" xfId="555"/>
    <cellStyle name="Monetario" xfId="556"/>
    <cellStyle name="Monetario0" xfId="557"/>
    <cellStyle name="Non défini" xfId="558"/>
    <cellStyle name="Normal" xfId="0" builtinId="0"/>
    <cellStyle name="Normal - Style1" xfId="559"/>
    <cellStyle name="Normal - Style1 2" xfId="560"/>
    <cellStyle name="Normal - Style2" xfId="561"/>
    <cellStyle name="Normal - Style2 2" xfId="562"/>
    <cellStyle name="Normal - Style3" xfId="563"/>
    <cellStyle name="Normal - Style4" xfId="564"/>
    <cellStyle name="Normal 10" xfId="565"/>
    <cellStyle name="Normal 10 10" xfId="566"/>
    <cellStyle name="Normal 10 11" xfId="567"/>
    <cellStyle name="Normal 10 12" xfId="568"/>
    <cellStyle name="Normal 10 13" xfId="569"/>
    <cellStyle name="Normal 10 14" xfId="570"/>
    <cellStyle name="Normal 10 15" xfId="571"/>
    <cellStyle name="Normal 10 16" xfId="572"/>
    <cellStyle name="Normal 10 17" xfId="573"/>
    <cellStyle name="Normal 10 18" xfId="574"/>
    <cellStyle name="Normal 10 19" xfId="575"/>
    <cellStyle name="Normal 10 2" xfId="576"/>
    <cellStyle name="Normal 10 20" xfId="577"/>
    <cellStyle name="Normal 10 21" xfId="578"/>
    <cellStyle name="Normal 10 22" xfId="579"/>
    <cellStyle name="Normal 10 23" xfId="580"/>
    <cellStyle name="Normal 10 24" xfId="581"/>
    <cellStyle name="Normal 10 25" xfId="582"/>
    <cellStyle name="Normal 10 26" xfId="583"/>
    <cellStyle name="Normal 10 27" xfId="584"/>
    <cellStyle name="Normal 10 28" xfId="585"/>
    <cellStyle name="Normal 10 29" xfId="586"/>
    <cellStyle name="Normal 10 3" xfId="587"/>
    <cellStyle name="Normal 10 30" xfId="588"/>
    <cellStyle name="Normal 10 31" xfId="589"/>
    <cellStyle name="Normal 10 32" xfId="590"/>
    <cellStyle name="Normal 10 33" xfId="591"/>
    <cellStyle name="Normal 10 34" xfId="592"/>
    <cellStyle name="Normal 10 35" xfId="593"/>
    <cellStyle name="Normal 10 36" xfId="594"/>
    <cellStyle name="Normal 10 37" xfId="595"/>
    <cellStyle name="Normal 10 38" xfId="596"/>
    <cellStyle name="Normal 10 39" xfId="597"/>
    <cellStyle name="Normal 10 4" xfId="598"/>
    <cellStyle name="Normal 10 40" xfId="599"/>
    <cellStyle name="Normal 10 41" xfId="600"/>
    <cellStyle name="Normal 10 42" xfId="601"/>
    <cellStyle name="Normal 10 43" xfId="602"/>
    <cellStyle name="Normal 10 44" xfId="603"/>
    <cellStyle name="Normal 10 45" xfId="604"/>
    <cellStyle name="Normal 10 46" xfId="605"/>
    <cellStyle name="Normal 10 47" xfId="606"/>
    <cellStyle name="Normal 10 48" xfId="607"/>
    <cellStyle name="Normal 10 49" xfId="608"/>
    <cellStyle name="Normal 10 5" xfId="609"/>
    <cellStyle name="Normal 10 50" xfId="610"/>
    <cellStyle name="Normal 10 51" xfId="611"/>
    <cellStyle name="Normal 10 52" xfId="612"/>
    <cellStyle name="Normal 10 53" xfId="613"/>
    <cellStyle name="Normal 10 54" xfId="614"/>
    <cellStyle name="Normal 10 55" xfId="615"/>
    <cellStyle name="Normal 10 56" xfId="616"/>
    <cellStyle name="Normal 10 57" xfId="617"/>
    <cellStyle name="Normal 10 58" xfId="618"/>
    <cellStyle name="Normal 10 59" xfId="619"/>
    <cellStyle name="Normal 10 6" xfId="620"/>
    <cellStyle name="Normal 10 60" xfId="621"/>
    <cellStyle name="Normal 10 61" xfId="622"/>
    <cellStyle name="Normal 10 62" xfId="623"/>
    <cellStyle name="Normal 10 63" xfId="624"/>
    <cellStyle name="Normal 10 64" xfId="625"/>
    <cellStyle name="Normal 10 65" xfId="626"/>
    <cellStyle name="Normal 10 7" xfId="627"/>
    <cellStyle name="Normal 10 8" xfId="628"/>
    <cellStyle name="Normal 10 9" xfId="629"/>
    <cellStyle name="Normal 100" xfId="630"/>
    <cellStyle name="Normal 101" xfId="631"/>
    <cellStyle name="Normal 102" xfId="632"/>
    <cellStyle name="Normal 103" xfId="633"/>
    <cellStyle name="Normal 104" xfId="634"/>
    <cellStyle name="Normal 105" xfId="635"/>
    <cellStyle name="Normal 106" xfId="636"/>
    <cellStyle name="Normal 107" xfId="637"/>
    <cellStyle name="Normal 108" xfId="638"/>
    <cellStyle name="Normal 109" xfId="639"/>
    <cellStyle name="Normal 109 2" xfId="640"/>
    <cellStyle name="Normal 11" xfId="641"/>
    <cellStyle name="Normal 11 2" xfId="642"/>
    <cellStyle name="Normal 110" xfId="643"/>
    <cellStyle name="Normal 111" xfId="644"/>
    <cellStyle name="Normal 111 2" xfId="645"/>
    <cellStyle name="Normal 112" xfId="646"/>
    <cellStyle name="Normal 113" xfId="647"/>
    <cellStyle name="Normal 114" xfId="648"/>
    <cellStyle name="Normal 114 10" xfId="649"/>
    <cellStyle name="Normal 114 10 2" xfId="650"/>
    <cellStyle name="Normal 114 10 3" xfId="651"/>
    <cellStyle name="Normal 114 10_II_7_2 Liabilities Fcial interm" xfId="652"/>
    <cellStyle name="Normal 114 11" xfId="653"/>
    <cellStyle name="Normal 114 11 2" xfId="654"/>
    <cellStyle name="Normal 114 12" xfId="655"/>
    <cellStyle name="Normal 114 13" xfId="656"/>
    <cellStyle name="Normal 114 2" xfId="657"/>
    <cellStyle name="Normal 114 2 10" xfId="658"/>
    <cellStyle name="Normal 114 2 10 2" xfId="659"/>
    <cellStyle name="Normal 114 2 11" xfId="660"/>
    <cellStyle name="Normal 114 2 12" xfId="661"/>
    <cellStyle name="Normal 114 2 2" xfId="662"/>
    <cellStyle name="Normal 114 2 2 10" xfId="663"/>
    <cellStyle name="Normal 114 2 2 2" xfId="664"/>
    <cellStyle name="Normal 114 2 2 2 2" xfId="665"/>
    <cellStyle name="Normal 114 2 2 2 2 2" xfId="666"/>
    <cellStyle name="Normal 114 2 2 2 2 2 2" xfId="667"/>
    <cellStyle name="Normal 114 2 2 2 2 2_II_7_2 Liabilities Fcial interm" xfId="668"/>
    <cellStyle name="Normal 114 2 2 2 2 3" xfId="669"/>
    <cellStyle name="Normal 114 2 2 2 2 4" xfId="670"/>
    <cellStyle name="Normal 114 2 2 2 2 5" xfId="671"/>
    <cellStyle name="Normal 114 2 2 2 2_II_7_2 Liabilities Fcial interm" xfId="672"/>
    <cellStyle name="Normal 114 2 2 2 3" xfId="673"/>
    <cellStyle name="Normal 114 2 2 2 3 2" xfId="674"/>
    <cellStyle name="Normal 114 2 2 2 3 3" xfId="675"/>
    <cellStyle name="Normal 114 2 2 2 3 4" xfId="676"/>
    <cellStyle name="Normal 114 2 2 2 3_II_7_2 Liabilities Fcial interm" xfId="677"/>
    <cellStyle name="Normal 114 2 2 2 4" xfId="678"/>
    <cellStyle name="Normal 114 2 2 2 4 2" xfId="679"/>
    <cellStyle name="Normal 114 2 2 2 4 3" xfId="680"/>
    <cellStyle name="Normal 114 2 2 2 4 4" xfId="681"/>
    <cellStyle name="Normal 114 2 2 2 4_II_7_2 Liabilities Fcial interm" xfId="682"/>
    <cellStyle name="Normal 114 2 2 2 5" xfId="683"/>
    <cellStyle name="Normal 114 2 2 2 5 2" xfId="684"/>
    <cellStyle name="Normal 114 2 2 2 5 3" xfId="685"/>
    <cellStyle name="Normal 114 2 2 2 5 4" xfId="686"/>
    <cellStyle name="Normal 114 2 2 2 5_II_7_2 Liabilities Fcial interm" xfId="687"/>
    <cellStyle name="Normal 114 2 2 2 6" xfId="688"/>
    <cellStyle name="Normal 114 2 2 2 6 2" xfId="689"/>
    <cellStyle name="Normal 114 2 2 2 6 3" xfId="690"/>
    <cellStyle name="Normal 114 2 2 2 6_II_7_2 Liabilities Fcial interm" xfId="691"/>
    <cellStyle name="Normal 114 2 2 2 7" xfId="692"/>
    <cellStyle name="Normal 114 2 2 2 7 2" xfId="693"/>
    <cellStyle name="Normal 114 2 2 2 8" xfId="694"/>
    <cellStyle name="Normal 114 2 2 2_II_7_2 Liabilities Fcial interm" xfId="695"/>
    <cellStyle name="Normal 114 2 2 3" xfId="696"/>
    <cellStyle name="Normal 114 2 2 3 2" xfId="697"/>
    <cellStyle name="Normal 114 2 2 3 2 2" xfId="698"/>
    <cellStyle name="Normal 114 2 2 3 2 3" xfId="699"/>
    <cellStyle name="Normal 114 2 2 3 2 4" xfId="700"/>
    <cellStyle name="Normal 114 2 2 3 2_II_7_2 Liabilities Fcial interm" xfId="701"/>
    <cellStyle name="Normal 114 2 2 3 3" xfId="702"/>
    <cellStyle name="Normal 114 2 2 3 3 2" xfId="703"/>
    <cellStyle name="Normal 114 2 2 3 3 3" xfId="704"/>
    <cellStyle name="Normal 114 2 2 3 3 4" xfId="705"/>
    <cellStyle name="Normal 114 2 2 3 3_II_7_2 Liabilities Fcial interm" xfId="706"/>
    <cellStyle name="Normal 114 2 2 3 4" xfId="707"/>
    <cellStyle name="Normal 114 2 2 3 4 2" xfId="708"/>
    <cellStyle name="Normal 114 2 2 3 4 3" xfId="709"/>
    <cellStyle name="Normal 114 2 2 3 4 4" xfId="710"/>
    <cellStyle name="Normal 114 2 2 3 4_II_7_2 Liabilities Fcial interm" xfId="711"/>
    <cellStyle name="Normal 114 2 2 3 5" xfId="712"/>
    <cellStyle name="Normal 114 2 2 3 5 2" xfId="713"/>
    <cellStyle name="Normal 114 2 2 3 5 3" xfId="714"/>
    <cellStyle name="Normal 114 2 2 3 5_II_7_2 Liabilities Fcial interm" xfId="715"/>
    <cellStyle name="Normal 114 2 2 3 6" xfId="716"/>
    <cellStyle name="Normal 114 2 2 3 6 2" xfId="717"/>
    <cellStyle name="Normal 114 2 2 3 7" xfId="718"/>
    <cellStyle name="Normal 114 2 2 3_II_7_2 Liabilities Fcial interm" xfId="719"/>
    <cellStyle name="Normal 114 2 2 4" xfId="720"/>
    <cellStyle name="Normal 114 2 2 4 2" xfId="721"/>
    <cellStyle name="Normal 114 2 2 4 2 2" xfId="722"/>
    <cellStyle name="Normal 114 2 2 4 2 3" xfId="723"/>
    <cellStyle name="Normal 114 2 2 4 2_II_7_2 Liabilities Fcial interm" xfId="724"/>
    <cellStyle name="Normal 114 2 2 4 3" xfId="725"/>
    <cellStyle name="Normal 114 2 2 4 3 2" xfId="726"/>
    <cellStyle name="Normal 114 2 2 4 4" xfId="727"/>
    <cellStyle name="Normal 114 2 2 4_II_7_2 Liabilities Fcial interm" xfId="728"/>
    <cellStyle name="Normal 114 2 2 5" xfId="729"/>
    <cellStyle name="Normal 114 2 2 5 2" xfId="730"/>
    <cellStyle name="Normal 114 2 2 5 2 2" xfId="731"/>
    <cellStyle name="Normal 114 2 2 5 2_II_7_2 Liabilities Fcial interm" xfId="732"/>
    <cellStyle name="Normal 114 2 2 5 3" xfId="733"/>
    <cellStyle name="Normal 114 2 2 5 4" xfId="734"/>
    <cellStyle name="Normal 114 2 2 5_II_7_2 Liabilities Fcial interm" xfId="735"/>
    <cellStyle name="Normal 114 2 2 6" xfId="736"/>
    <cellStyle name="Normal 114 2 2 6 2" xfId="737"/>
    <cellStyle name="Normal 114 2 2 6 3" xfId="738"/>
    <cellStyle name="Normal 114 2 2 6 4" xfId="739"/>
    <cellStyle name="Normal 114 2 2 6_II_7_2 Liabilities Fcial interm" xfId="740"/>
    <cellStyle name="Normal 114 2 2 7" xfId="741"/>
    <cellStyle name="Normal 114 2 2 7 2" xfId="742"/>
    <cellStyle name="Normal 114 2 2 7 3" xfId="743"/>
    <cellStyle name="Normal 114 2 2 7_II_7_2 Liabilities Fcial interm" xfId="744"/>
    <cellStyle name="Normal 114 2 2 8" xfId="745"/>
    <cellStyle name="Normal 114 2 2 8 2" xfId="746"/>
    <cellStyle name="Normal 114 2 2 9" xfId="747"/>
    <cellStyle name="Normal 114 2 2_II_7_2 Liabilities Fcial interm" xfId="748"/>
    <cellStyle name="Normal 114 2 3" xfId="749"/>
    <cellStyle name="Normal 114 2 3 2" xfId="750"/>
    <cellStyle name="Normal 114 2 3 2 2" xfId="751"/>
    <cellStyle name="Normal 114 2 3 2 2 2" xfId="752"/>
    <cellStyle name="Normal 114 2 3 2 2_II_7_2 Liabilities Fcial interm" xfId="753"/>
    <cellStyle name="Normal 114 2 3 2 3" xfId="754"/>
    <cellStyle name="Normal 114 2 3 2 4" xfId="755"/>
    <cellStyle name="Normal 114 2 3 2 5" xfId="756"/>
    <cellStyle name="Normal 114 2 3 2_II_7_2 Liabilities Fcial interm" xfId="757"/>
    <cellStyle name="Normal 114 2 3 3" xfId="758"/>
    <cellStyle name="Normal 114 2 3 3 2" xfId="759"/>
    <cellStyle name="Normal 114 2 3 3 3" xfId="760"/>
    <cellStyle name="Normal 114 2 3 3 4" xfId="761"/>
    <cellStyle name="Normal 114 2 3 3_II_7_2 Liabilities Fcial interm" xfId="762"/>
    <cellStyle name="Normal 114 2 3 4" xfId="763"/>
    <cellStyle name="Normal 114 2 3 4 2" xfId="764"/>
    <cellStyle name="Normal 114 2 3 4 3" xfId="765"/>
    <cellStyle name="Normal 114 2 3 4 4" xfId="766"/>
    <cellStyle name="Normal 114 2 3 4_II_7_2 Liabilities Fcial interm" xfId="767"/>
    <cellStyle name="Normal 114 2 3 5" xfId="768"/>
    <cellStyle name="Normal 114 2 3 5 2" xfId="769"/>
    <cellStyle name="Normal 114 2 3 5 3" xfId="770"/>
    <cellStyle name="Normal 114 2 3 5 4" xfId="771"/>
    <cellStyle name="Normal 114 2 3 5_II_7_2 Liabilities Fcial interm" xfId="772"/>
    <cellStyle name="Normal 114 2 3 6" xfId="773"/>
    <cellStyle name="Normal 114 2 3 6 2" xfId="774"/>
    <cellStyle name="Normal 114 2 3 6 3" xfId="775"/>
    <cellStyle name="Normal 114 2 3 6 4" xfId="776"/>
    <cellStyle name="Normal 114 2 3 6_II_7_2 Liabilities Fcial interm" xfId="777"/>
    <cellStyle name="Normal 114 2 3 7" xfId="778"/>
    <cellStyle name="Normal 114 2 3 7 2" xfId="779"/>
    <cellStyle name="Normal 114 2 3 7 3" xfId="780"/>
    <cellStyle name="Normal 114 2 3 7_II_7_2 Liabilities Fcial interm" xfId="781"/>
    <cellStyle name="Normal 114 2 3 8" xfId="782"/>
    <cellStyle name="Normal 114 2 3 8 2" xfId="783"/>
    <cellStyle name="Normal 114 2 3 9" xfId="784"/>
    <cellStyle name="Normal 114 2 3_II_7_2 Liabilities Fcial interm" xfId="785"/>
    <cellStyle name="Normal 114 2 4" xfId="786"/>
    <cellStyle name="Normal 114 2 4 2" xfId="787"/>
    <cellStyle name="Normal 114 2 4 2 2" xfId="788"/>
    <cellStyle name="Normal 114 2 4 2 2 2" xfId="789"/>
    <cellStyle name="Normal 114 2 4 2 2_II_7_2 Liabilities Fcial interm" xfId="790"/>
    <cellStyle name="Normal 114 2 4 2 3" xfId="791"/>
    <cellStyle name="Normal 114 2 4 2 4" xfId="792"/>
    <cellStyle name="Normal 114 2 4 2 5" xfId="793"/>
    <cellStyle name="Normal 114 2 4 2_II_7_2 Liabilities Fcial interm" xfId="794"/>
    <cellStyle name="Normal 114 2 4 3" xfId="795"/>
    <cellStyle name="Normal 114 2 4 3 2" xfId="796"/>
    <cellStyle name="Normal 114 2 4 3 3" xfId="797"/>
    <cellStyle name="Normal 114 2 4 3 4" xfId="798"/>
    <cellStyle name="Normal 114 2 4 3_II_7_2 Liabilities Fcial interm" xfId="799"/>
    <cellStyle name="Normal 114 2 4 4" xfId="800"/>
    <cellStyle name="Normal 114 2 4 4 2" xfId="801"/>
    <cellStyle name="Normal 114 2 4 4 3" xfId="802"/>
    <cellStyle name="Normal 114 2 4 4 4" xfId="803"/>
    <cellStyle name="Normal 114 2 4 4_II_7_2 Liabilities Fcial interm" xfId="804"/>
    <cellStyle name="Normal 114 2 4 5" xfId="805"/>
    <cellStyle name="Normal 114 2 4 5 2" xfId="806"/>
    <cellStyle name="Normal 114 2 4 5 3" xfId="807"/>
    <cellStyle name="Normal 114 2 4 5_II_7_2 Liabilities Fcial interm" xfId="808"/>
    <cellStyle name="Normal 114 2 4 6" xfId="809"/>
    <cellStyle name="Normal 114 2 4 6 2" xfId="810"/>
    <cellStyle name="Normal 114 2 4 7" xfId="811"/>
    <cellStyle name="Normal 114 2 4_II_7_2 Liabilities Fcial interm" xfId="812"/>
    <cellStyle name="Normal 114 2 5" xfId="813"/>
    <cellStyle name="Normal 114 2 5 2" xfId="814"/>
    <cellStyle name="Normal 114 2 5 2 2" xfId="815"/>
    <cellStyle name="Normal 114 2 5 2 3" xfId="816"/>
    <cellStyle name="Normal 114 2 5 2_II_7_2 Liabilities Fcial interm" xfId="817"/>
    <cellStyle name="Normal 114 2 5 3" xfId="818"/>
    <cellStyle name="Normal 114 2 5 3 2" xfId="819"/>
    <cellStyle name="Normal 114 2 5 3_II_7_2 Liabilities Fcial interm" xfId="820"/>
    <cellStyle name="Normal 114 2 5 4" xfId="821"/>
    <cellStyle name="Normal 114 2 5 5" xfId="822"/>
    <cellStyle name="Normal 114 2 5_II_7_2 Liabilities Fcial interm" xfId="823"/>
    <cellStyle name="Normal 114 2 6" xfId="824"/>
    <cellStyle name="Normal 114 2 6 2" xfId="825"/>
    <cellStyle name="Normal 114 2 6 2 2" xfId="826"/>
    <cellStyle name="Normal 114 2 6 2_II_7_2 Liabilities Fcial interm" xfId="827"/>
    <cellStyle name="Normal 114 2 6 3" xfId="828"/>
    <cellStyle name="Normal 114 2 6 4" xfId="829"/>
    <cellStyle name="Normal 114 2 6_II_7_2 Liabilities Fcial interm" xfId="830"/>
    <cellStyle name="Normal 114 2 7" xfId="831"/>
    <cellStyle name="Normal 114 2 7 2" xfId="832"/>
    <cellStyle name="Normal 114 2 7 3" xfId="833"/>
    <cellStyle name="Normal 114 2 7 4" xfId="834"/>
    <cellStyle name="Normal 114 2 7_II_7_2 Liabilities Fcial interm" xfId="835"/>
    <cellStyle name="Normal 114 2 8" xfId="836"/>
    <cellStyle name="Normal 114 2 8 2" xfId="837"/>
    <cellStyle name="Normal 114 2 8 3" xfId="838"/>
    <cellStyle name="Normal 114 2 8 4" xfId="839"/>
    <cellStyle name="Normal 114 2 8_II_7_2 Liabilities Fcial interm" xfId="840"/>
    <cellStyle name="Normal 114 2 9" xfId="841"/>
    <cellStyle name="Normal 114 2 9 2" xfId="842"/>
    <cellStyle name="Normal 114 2 9 3" xfId="843"/>
    <cellStyle name="Normal 114 2 9_II_7_2 Liabilities Fcial interm" xfId="844"/>
    <cellStyle name="Normal 114 2_II_7_2 Liabilities Fcial interm" xfId="845"/>
    <cellStyle name="Normal 114 3" xfId="846"/>
    <cellStyle name="Normal 114 3 10" xfId="847"/>
    <cellStyle name="Normal 114 3 2" xfId="848"/>
    <cellStyle name="Normal 114 3 2 2" xfId="849"/>
    <cellStyle name="Normal 114 3 2 2 2" xfId="850"/>
    <cellStyle name="Normal 114 3 2 2 2 2" xfId="851"/>
    <cellStyle name="Normal 114 3 2 2 2_II_7_2 Liabilities Fcial interm" xfId="852"/>
    <cellStyle name="Normal 114 3 2 2 3" xfId="853"/>
    <cellStyle name="Normal 114 3 2 2 4" xfId="854"/>
    <cellStyle name="Normal 114 3 2 2 5" xfId="855"/>
    <cellStyle name="Normal 114 3 2 2_II_7_2 Liabilities Fcial interm" xfId="856"/>
    <cellStyle name="Normal 114 3 2 3" xfId="857"/>
    <cellStyle name="Normal 114 3 2 3 2" xfId="858"/>
    <cellStyle name="Normal 114 3 2 3 3" xfId="859"/>
    <cellStyle name="Normal 114 3 2 3 4" xfId="860"/>
    <cellStyle name="Normal 114 3 2 3_II_7_2 Liabilities Fcial interm" xfId="861"/>
    <cellStyle name="Normal 114 3 2 4" xfId="862"/>
    <cellStyle name="Normal 114 3 2 4 2" xfId="863"/>
    <cellStyle name="Normal 114 3 2 4 3" xfId="864"/>
    <cellStyle name="Normal 114 3 2 4 4" xfId="865"/>
    <cellStyle name="Normal 114 3 2 4_II_7_2 Liabilities Fcial interm" xfId="866"/>
    <cellStyle name="Normal 114 3 2 5" xfId="867"/>
    <cellStyle name="Normal 114 3 2 5 2" xfId="868"/>
    <cellStyle name="Normal 114 3 2 5 3" xfId="869"/>
    <cellStyle name="Normal 114 3 2 5 4" xfId="870"/>
    <cellStyle name="Normal 114 3 2 5_II_7_2 Liabilities Fcial interm" xfId="871"/>
    <cellStyle name="Normal 114 3 2 6" xfId="872"/>
    <cellStyle name="Normal 114 3 2 6 2" xfId="873"/>
    <cellStyle name="Normal 114 3 2 6 3" xfId="874"/>
    <cellStyle name="Normal 114 3 2 6_II_7_2 Liabilities Fcial interm" xfId="875"/>
    <cellStyle name="Normal 114 3 2 7" xfId="876"/>
    <cellStyle name="Normal 114 3 2 7 2" xfId="877"/>
    <cellStyle name="Normal 114 3 2 8" xfId="878"/>
    <cellStyle name="Normal 114 3 2_II_7_2 Liabilities Fcial interm" xfId="879"/>
    <cellStyle name="Normal 114 3 3" xfId="880"/>
    <cellStyle name="Normal 114 3 3 2" xfId="881"/>
    <cellStyle name="Normal 114 3 3 2 2" xfId="882"/>
    <cellStyle name="Normal 114 3 3 2 3" xfId="883"/>
    <cellStyle name="Normal 114 3 3 2 4" xfId="884"/>
    <cellStyle name="Normal 114 3 3 2_II_7_2 Liabilities Fcial interm" xfId="885"/>
    <cellStyle name="Normal 114 3 3 3" xfId="886"/>
    <cellStyle name="Normal 114 3 3 3 2" xfId="887"/>
    <cellStyle name="Normal 114 3 3 3 3" xfId="888"/>
    <cellStyle name="Normal 114 3 3 3 4" xfId="889"/>
    <cellStyle name="Normal 114 3 3 3_II_7_2 Liabilities Fcial interm" xfId="890"/>
    <cellStyle name="Normal 114 3 3 4" xfId="891"/>
    <cellStyle name="Normal 114 3 3 4 2" xfId="892"/>
    <cellStyle name="Normal 114 3 3 4 3" xfId="893"/>
    <cellStyle name="Normal 114 3 3 4 4" xfId="894"/>
    <cellStyle name="Normal 114 3 3 4_II_7_2 Liabilities Fcial interm" xfId="895"/>
    <cellStyle name="Normal 114 3 3 5" xfId="896"/>
    <cellStyle name="Normal 114 3 3 5 2" xfId="897"/>
    <cellStyle name="Normal 114 3 3 5 3" xfId="898"/>
    <cellStyle name="Normal 114 3 3 5_II_7_2 Liabilities Fcial interm" xfId="899"/>
    <cellStyle name="Normal 114 3 3 6" xfId="900"/>
    <cellStyle name="Normal 114 3 3 6 2" xfId="901"/>
    <cellStyle name="Normal 114 3 3 7" xfId="902"/>
    <cellStyle name="Normal 114 3 3_II_7_2 Liabilities Fcial interm" xfId="903"/>
    <cellStyle name="Normal 114 3 4" xfId="904"/>
    <cellStyle name="Normal 114 3 4 2" xfId="905"/>
    <cellStyle name="Normal 114 3 4 2 2" xfId="906"/>
    <cellStyle name="Normal 114 3 4 2 3" xfId="907"/>
    <cellStyle name="Normal 114 3 4 2_II_7_2 Liabilities Fcial interm" xfId="908"/>
    <cellStyle name="Normal 114 3 4 3" xfId="909"/>
    <cellStyle name="Normal 114 3 4 3 2" xfId="910"/>
    <cellStyle name="Normal 114 3 4 4" xfId="911"/>
    <cellStyle name="Normal 114 3 4_II_7_2 Liabilities Fcial interm" xfId="912"/>
    <cellStyle name="Normal 114 3 5" xfId="913"/>
    <cellStyle name="Normal 114 3 5 2" xfId="914"/>
    <cellStyle name="Normal 114 3 5 2 2" xfId="915"/>
    <cellStyle name="Normal 114 3 5 2_II_7_2 Liabilities Fcial interm" xfId="916"/>
    <cellStyle name="Normal 114 3 5 3" xfId="917"/>
    <cellStyle name="Normal 114 3 5 4" xfId="918"/>
    <cellStyle name="Normal 114 3 5_II_7_2 Liabilities Fcial interm" xfId="919"/>
    <cellStyle name="Normal 114 3 6" xfId="920"/>
    <cellStyle name="Normal 114 3 6 2" xfId="921"/>
    <cellStyle name="Normal 114 3 6 3" xfId="922"/>
    <cellStyle name="Normal 114 3 6 4" xfId="923"/>
    <cellStyle name="Normal 114 3 6_II_7_2 Liabilities Fcial interm" xfId="924"/>
    <cellStyle name="Normal 114 3 7" xfId="925"/>
    <cellStyle name="Normal 114 3 7 2" xfId="926"/>
    <cellStyle name="Normal 114 3 7 3" xfId="927"/>
    <cellStyle name="Normal 114 3 7_II_7_2 Liabilities Fcial interm" xfId="928"/>
    <cellStyle name="Normal 114 3 8" xfId="929"/>
    <cellStyle name="Normal 114 3 8 2" xfId="930"/>
    <cellStyle name="Normal 114 3 9" xfId="931"/>
    <cellStyle name="Normal 114 3_II_7_2 Liabilities Fcial interm" xfId="932"/>
    <cellStyle name="Normal 114 4" xfId="933"/>
    <cellStyle name="Normal 114 4 2" xfId="934"/>
    <cellStyle name="Normal 114 4 2 2" xfId="935"/>
    <cellStyle name="Normal 114 4 2 2 2" xfId="936"/>
    <cellStyle name="Normal 114 4 2 2_II_7_2 Liabilities Fcial interm" xfId="937"/>
    <cellStyle name="Normal 114 4 2 3" xfId="938"/>
    <cellStyle name="Normal 114 4 2 4" xfId="939"/>
    <cellStyle name="Normal 114 4 2 5" xfId="940"/>
    <cellStyle name="Normal 114 4 2_II_7_2 Liabilities Fcial interm" xfId="941"/>
    <cellStyle name="Normal 114 4 3" xfId="942"/>
    <cellStyle name="Normal 114 4 3 2" xfId="943"/>
    <cellStyle name="Normal 114 4 3 3" xfId="944"/>
    <cellStyle name="Normal 114 4 3 4" xfId="945"/>
    <cellStyle name="Normal 114 4 3_II_7_2 Liabilities Fcial interm" xfId="946"/>
    <cellStyle name="Normal 114 4 4" xfId="947"/>
    <cellStyle name="Normal 114 4 4 2" xfId="948"/>
    <cellStyle name="Normal 114 4 4 3" xfId="949"/>
    <cellStyle name="Normal 114 4 4 4" xfId="950"/>
    <cellStyle name="Normal 114 4 4_II_7_2 Liabilities Fcial interm" xfId="951"/>
    <cellStyle name="Normal 114 4 5" xfId="952"/>
    <cellStyle name="Normal 114 4 5 2" xfId="953"/>
    <cellStyle name="Normal 114 4 5 3" xfId="954"/>
    <cellStyle name="Normal 114 4 5 4" xfId="955"/>
    <cellStyle name="Normal 114 4 5_II_7_2 Liabilities Fcial interm" xfId="956"/>
    <cellStyle name="Normal 114 4 6" xfId="957"/>
    <cellStyle name="Normal 114 4 6 2" xfId="958"/>
    <cellStyle name="Normal 114 4 6 3" xfId="959"/>
    <cellStyle name="Normal 114 4 6 4" xfId="960"/>
    <cellStyle name="Normal 114 4 6_II_7_2 Liabilities Fcial interm" xfId="961"/>
    <cellStyle name="Normal 114 4 7" xfId="962"/>
    <cellStyle name="Normal 114 4 7 2" xfId="963"/>
    <cellStyle name="Normal 114 4 7 3" xfId="964"/>
    <cellStyle name="Normal 114 4 7_II_7_2 Liabilities Fcial interm" xfId="965"/>
    <cellStyle name="Normal 114 4 8" xfId="966"/>
    <cellStyle name="Normal 114 4 8 2" xfId="967"/>
    <cellStyle name="Normal 114 4 9" xfId="968"/>
    <cellStyle name="Normal 114 4_II_7_2 Liabilities Fcial interm" xfId="969"/>
    <cellStyle name="Normal 114 5" xfId="970"/>
    <cellStyle name="Normal 114 5 2" xfId="971"/>
    <cellStyle name="Normal 114 5 2 2" xfId="972"/>
    <cellStyle name="Normal 114 5 2 2 2" xfId="973"/>
    <cellStyle name="Normal 114 5 2 2_II_7_2 Liabilities Fcial interm" xfId="974"/>
    <cellStyle name="Normal 114 5 2 3" xfId="975"/>
    <cellStyle name="Normal 114 5 2 4" xfId="976"/>
    <cellStyle name="Normal 114 5 2 5" xfId="977"/>
    <cellStyle name="Normal 114 5 2_II_7_2 Liabilities Fcial interm" xfId="978"/>
    <cellStyle name="Normal 114 5 3" xfId="979"/>
    <cellStyle name="Normal 114 5 3 2" xfId="980"/>
    <cellStyle name="Normal 114 5 3 3" xfId="981"/>
    <cellStyle name="Normal 114 5 3 4" xfId="982"/>
    <cellStyle name="Normal 114 5 3_II_7_2 Liabilities Fcial interm" xfId="983"/>
    <cellStyle name="Normal 114 5 4" xfId="984"/>
    <cellStyle name="Normal 114 5 4 2" xfId="985"/>
    <cellStyle name="Normal 114 5 4 3" xfId="986"/>
    <cellStyle name="Normal 114 5 4 4" xfId="987"/>
    <cellStyle name="Normal 114 5 4_II_7_2 Liabilities Fcial interm" xfId="988"/>
    <cellStyle name="Normal 114 5 5" xfId="989"/>
    <cellStyle name="Normal 114 5 5 2" xfId="990"/>
    <cellStyle name="Normal 114 5 5 3" xfId="991"/>
    <cellStyle name="Normal 114 5 5_II_7_2 Liabilities Fcial interm" xfId="992"/>
    <cellStyle name="Normal 114 5 6" xfId="993"/>
    <cellStyle name="Normal 114 5 6 2" xfId="994"/>
    <cellStyle name="Normal 114 5 7" xfId="995"/>
    <cellStyle name="Normal 114 5_II_7_2 Liabilities Fcial interm" xfId="996"/>
    <cellStyle name="Normal 114 6" xfId="997"/>
    <cellStyle name="Normal 114 6 2" xfId="998"/>
    <cellStyle name="Normal 114 6 2 2" xfId="999"/>
    <cellStyle name="Normal 114 6 2 3" xfId="1000"/>
    <cellStyle name="Normal 114 6 2_II_7_2 Liabilities Fcial interm" xfId="1001"/>
    <cellStyle name="Normal 114 6 3" xfId="1002"/>
    <cellStyle name="Normal 114 6 3 2" xfId="1003"/>
    <cellStyle name="Normal 114 6 3_II_7_2 Liabilities Fcial interm" xfId="1004"/>
    <cellStyle name="Normal 114 6 4" xfId="1005"/>
    <cellStyle name="Normal 114 6 5" xfId="1006"/>
    <cellStyle name="Normal 114 6_II_7_2 Liabilities Fcial interm" xfId="1007"/>
    <cellStyle name="Normal 114 7" xfId="1008"/>
    <cellStyle name="Normal 114 7 2" xfId="1009"/>
    <cellStyle name="Normal 114 7 2 2" xfId="1010"/>
    <cellStyle name="Normal 114 7 2_II_7_2 Liabilities Fcial interm" xfId="1011"/>
    <cellStyle name="Normal 114 7 3" xfId="1012"/>
    <cellStyle name="Normal 114 7 4" xfId="1013"/>
    <cellStyle name="Normal 114 7_II_7_2 Liabilities Fcial interm" xfId="1014"/>
    <cellStyle name="Normal 114 8" xfId="1015"/>
    <cellStyle name="Normal 114 8 2" xfId="1016"/>
    <cellStyle name="Normal 114 8 3" xfId="1017"/>
    <cellStyle name="Normal 114 8 4" xfId="1018"/>
    <cellStyle name="Normal 114 8_II_7_2 Liabilities Fcial interm" xfId="1019"/>
    <cellStyle name="Normal 114 9" xfId="1020"/>
    <cellStyle name="Normal 114 9 2" xfId="1021"/>
    <cellStyle name="Normal 114 9 3" xfId="1022"/>
    <cellStyle name="Normal 114 9 4" xfId="1023"/>
    <cellStyle name="Normal 114 9_II_7_2 Liabilities Fcial interm" xfId="1024"/>
    <cellStyle name="Normal 114_II_7_2 Liabilities Fcial interm" xfId="1025"/>
    <cellStyle name="Normal 115" xfId="1026"/>
    <cellStyle name="Normal 116" xfId="1027"/>
    <cellStyle name="Normal 117" xfId="1028"/>
    <cellStyle name="Normal 117 2" xfId="1029"/>
    <cellStyle name="Normal 118" xfId="1030"/>
    <cellStyle name="Normal 119" xfId="1031"/>
    <cellStyle name="Normal 12" xfId="1032"/>
    <cellStyle name="Normal 12 2" xfId="1033"/>
    <cellStyle name="Normal 120" xfId="1034"/>
    <cellStyle name="Normal 121" xfId="1035"/>
    <cellStyle name="Normal 122" xfId="1036"/>
    <cellStyle name="Normal 123" xfId="1037"/>
    <cellStyle name="Normal 124" xfId="1038"/>
    <cellStyle name="Normal 125" xfId="1039"/>
    <cellStyle name="Normal 126" xfId="1040"/>
    <cellStyle name="Normal 127" xfId="1041"/>
    <cellStyle name="Normal 128" xfId="1042"/>
    <cellStyle name="Normal 129" xfId="1043"/>
    <cellStyle name="Normal 129 2" xfId="1044"/>
    <cellStyle name="Normal 13" xfId="1045"/>
    <cellStyle name="Normal 13 2" xfId="1046"/>
    <cellStyle name="Normal 13 3" xfId="1047"/>
    <cellStyle name="Normal 130" xfId="1048"/>
    <cellStyle name="Normal 131" xfId="1049"/>
    <cellStyle name="Normal 132" xfId="1050"/>
    <cellStyle name="Normal 133" xfId="1051"/>
    <cellStyle name="Normal 133 2" xfId="1052"/>
    <cellStyle name="Normal 134" xfId="1053"/>
    <cellStyle name="Normal 135" xfId="1054"/>
    <cellStyle name="Normal 136" xfId="1055"/>
    <cellStyle name="Normal 137" xfId="1056"/>
    <cellStyle name="Normal 138" xfId="1057"/>
    <cellStyle name="Normal 139" xfId="1058"/>
    <cellStyle name="Normal 14" xfId="1059"/>
    <cellStyle name="Normal 14 2" xfId="1060"/>
    <cellStyle name="Normal 140" xfId="1061"/>
    <cellStyle name="Normal 141" xfId="1062"/>
    <cellStyle name="Normal 142" xfId="1063"/>
    <cellStyle name="Normal 142 2" xfId="1064"/>
    <cellStyle name="Normal 143" xfId="1065"/>
    <cellStyle name="Normal 143 2" xfId="1066"/>
    <cellStyle name="Normal 144" xfId="1067"/>
    <cellStyle name="Normal 145" xfId="1068"/>
    <cellStyle name="Normal 146" xfId="1069"/>
    <cellStyle name="Normal 146 2" xfId="1070"/>
    <cellStyle name="Normal 147" xfId="1071"/>
    <cellStyle name="Normal 148" xfId="1072"/>
    <cellStyle name="Normal 149" xfId="1073"/>
    <cellStyle name="Normal 15" xfId="1074"/>
    <cellStyle name="Normal 150" xfId="1075"/>
    <cellStyle name="Normal 151" xfId="1076"/>
    <cellStyle name="Normal 152" xfId="1077"/>
    <cellStyle name="Normal 153" xfId="1078"/>
    <cellStyle name="Normal 154" xfId="1079"/>
    <cellStyle name="Normal 154 2" xfId="1080"/>
    <cellStyle name="Normal 155" xfId="1081"/>
    <cellStyle name="Normal 156" xfId="1082"/>
    <cellStyle name="Normal 157" xfId="1083"/>
    <cellStyle name="Normal 158" xfId="1084"/>
    <cellStyle name="Normal 158 2" xfId="1085"/>
    <cellStyle name="Normal 159" xfId="1086"/>
    <cellStyle name="Normal 16" xfId="1087"/>
    <cellStyle name="Normal 160" xfId="1088"/>
    <cellStyle name="Normal 161" xfId="1089"/>
    <cellStyle name="Normal 162" xfId="1090"/>
    <cellStyle name="Normal 163" xfId="1091"/>
    <cellStyle name="Normal 163 2" xfId="1092"/>
    <cellStyle name="Normal 164" xfId="1093"/>
    <cellStyle name="Normal 165" xfId="1094"/>
    <cellStyle name="Normal 166" xfId="1095"/>
    <cellStyle name="Normal 166 2" xfId="1096"/>
    <cellStyle name="Normal 167" xfId="1097"/>
    <cellStyle name="Normal 168" xfId="1098"/>
    <cellStyle name="Normal 169" xfId="1099"/>
    <cellStyle name="Normal 17" xfId="1100"/>
    <cellStyle name="Normal 17 2" xfId="1101"/>
    <cellStyle name="Normal 170" xfId="1102"/>
    <cellStyle name="Normal 171" xfId="1103"/>
    <cellStyle name="Normal 172" xfId="1104"/>
    <cellStyle name="Normal 173" xfId="1105"/>
    <cellStyle name="Normal 173 2" xfId="1106"/>
    <cellStyle name="Normal 174" xfId="1107"/>
    <cellStyle name="Normal 174 2" xfId="1108"/>
    <cellStyle name="Normal 175" xfId="1109"/>
    <cellStyle name="Normal 176" xfId="1110"/>
    <cellStyle name="Normal 177" xfId="1111"/>
    <cellStyle name="Normal 177 2" xfId="1112"/>
    <cellStyle name="Normal 178" xfId="1113"/>
    <cellStyle name="Normal 179" xfId="1114"/>
    <cellStyle name="Normal 18" xfId="1115"/>
    <cellStyle name="Normal 18 10" xfId="1116"/>
    <cellStyle name="Normal 18 11" xfId="1117"/>
    <cellStyle name="Normal 18 12" xfId="1118"/>
    <cellStyle name="Normal 18 2" xfId="1119"/>
    <cellStyle name="Normal 18 3" xfId="1120"/>
    <cellStyle name="Normal 18 3 2" xfId="1121"/>
    <cellStyle name="Normal 18 3 2 2" xfId="1122"/>
    <cellStyle name="Normal 18 3 2 3" xfId="1123"/>
    <cellStyle name="Normal 18 3 3" xfId="1124"/>
    <cellStyle name="Normal 18 4" xfId="1125"/>
    <cellStyle name="Normal 18 5" xfId="1126"/>
    <cellStyle name="Normal 18 6" xfId="1127"/>
    <cellStyle name="Normal 18 7" xfId="1128"/>
    <cellStyle name="Normal 18 8" xfId="1129"/>
    <cellStyle name="Normal 18 9" xfId="1130"/>
    <cellStyle name="Normal 180" xfId="1131"/>
    <cellStyle name="Normal 181" xfId="1132"/>
    <cellStyle name="Normal 182" xfId="1133"/>
    <cellStyle name="Normal 182 2" xfId="1134"/>
    <cellStyle name="Normal 183" xfId="1135"/>
    <cellStyle name="Normal 183 2" xfId="1136"/>
    <cellStyle name="Normal 184" xfId="1137"/>
    <cellStyle name="Normal 184 2" xfId="1138"/>
    <cellStyle name="Normal 185" xfId="1139"/>
    <cellStyle name="Normal 185 2" xfId="1140"/>
    <cellStyle name="Normal 186" xfId="1141"/>
    <cellStyle name="Normal 187" xfId="1142"/>
    <cellStyle name="Normal 188" xfId="1143"/>
    <cellStyle name="Normal 189" xfId="1144"/>
    <cellStyle name="Normal 189 2" xfId="1145"/>
    <cellStyle name="Normal 19" xfId="1146"/>
    <cellStyle name="Normal 19 10" xfId="1147"/>
    <cellStyle name="Normal 19 11" xfId="1148"/>
    <cellStyle name="Normal 19 12" xfId="1149"/>
    <cellStyle name="Normal 19 2" xfId="1150"/>
    <cellStyle name="Normal 19 3" xfId="1151"/>
    <cellStyle name="Normal 19 3 2" xfId="1152"/>
    <cellStyle name="Normal 19 3 2 2" xfId="1153"/>
    <cellStyle name="Normal 19 3 2 3" xfId="1154"/>
    <cellStyle name="Normal 19 3 3" xfId="1155"/>
    <cellStyle name="Normal 19 4" xfId="1156"/>
    <cellStyle name="Normal 19 5" xfId="1157"/>
    <cellStyle name="Normal 19 6" xfId="1158"/>
    <cellStyle name="Normal 19 7" xfId="1159"/>
    <cellStyle name="Normal 19 8" xfId="1160"/>
    <cellStyle name="Normal 19 9" xfId="1161"/>
    <cellStyle name="Normal 190" xfId="1162"/>
    <cellStyle name="Normal 191" xfId="1163"/>
    <cellStyle name="Normal 191 2" xfId="1164"/>
    <cellStyle name="Normal 192" xfId="1165"/>
    <cellStyle name="Normal 192 2" xfId="1166"/>
    <cellStyle name="Normal 193" xfId="1167"/>
    <cellStyle name="Normal 194" xfId="1168"/>
    <cellStyle name="Normal 195" xfId="1169"/>
    <cellStyle name="Normal 195 2" xfId="1170"/>
    <cellStyle name="Normal 196" xfId="1171"/>
    <cellStyle name="Normal 196 2" xfId="1172"/>
    <cellStyle name="Normal 197" xfId="1173"/>
    <cellStyle name="Normal 197 2" xfId="1174"/>
    <cellStyle name="Normal 198" xfId="1175"/>
    <cellStyle name="Normal 198 2" xfId="1176"/>
    <cellStyle name="Normal 199" xfId="1177"/>
    <cellStyle name="Normal 199 2" xfId="1178"/>
    <cellStyle name="Normal 2" xfId="1179"/>
    <cellStyle name="Normal 2 10" xfId="1180"/>
    <cellStyle name="Normal 2 10 2" xfId="1181"/>
    <cellStyle name="Normal 2 11" xfId="1182"/>
    <cellStyle name="Normal 2 12" xfId="1183"/>
    <cellStyle name="Normal 2 13" xfId="1184"/>
    <cellStyle name="Normal 2 14" xfId="1185"/>
    <cellStyle name="Normal 2 15" xfId="1186"/>
    <cellStyle name="Normal 2 16" xfId="1187"/>
    <cellStyle name="Normal 2 17" xfId="1188"/>
    <cellStyle name="Normal 2 18" xfId="1189"/>
    <cellStyle name="Normal 2 19" xfId="1190"/>
    <cellStyle name="Normal 2 2" xfId="1191"/>
    <cellStyle name="Normal 2 2 10" xfId="1192"/>
    <cellStyle name="Normal 2 2 10 2" xfId="4345"/>
    <cellStyle name="Normal 2 2 11" xfId="1193"/>
    <cellStyle name="Normal 2 2 2" xfId="1194"/>
    <cellStyle name="Normal 2 2 2 2" xfId="1195"/>
    <cellStyle name="Normal 2 2 2_ACT BNDE NR" xfId="1196"/>
    <cellStyle name="Normal 2 2 3" xfId="1197"/>
    <cellStyle name="Normal 2 2 4" xfId="1198"/>
    <cellStyle name="Normal 2 2 5" xfId="1199"/>
    <cellStyle name="Normal 2 2 6" xfId="1200"/>
    <cellStyle name="Normal 2 2 7" xfId="1201"/>
    <cellStyle name="Normal 2 2 8" xfId="1202"/>
    <cellStyle name="Normal 2 2 9" xfId="1203"/>
    <cellStyle name="Normal 2 20" xfId="1204"/>
    <cellStyle name="Normal 2 3" xfId="1205"/>
    <cellStyle name="Normal 2 3 2" xfId="1206"/>
    <cellStyle name="Normal 2 3 2 2" xfId="1207"/>
    <cellStyle name="Normal 2 3 2_ACT BNDE NR" xfId="1208"/>
    <cellStyle name="Normal 2 3 3" xfId="1209"/>
    <cellStyle name="Normal 2 3 4" xfId="1210"/>
    <cellStyle name="Normal 2 3 5" xfId="1211"/>
    <cellStyle name="Normal 2 4" xfId="1212"/>
    <cellStyle name="Normal 2 4 10" xfId="1213"/>
    <cellStyle name="Normal 2 4 11" xfId="1214"/>
    <cellStyle name="Normal 2 4 12" xfId="1215"/>
    <cellStyle name="Normal 2 4 13" xfId="1216"/>
    <cellStyle name="Normal 2 4 2" xfId="1217"/>
    <cellStyle name="Normal 2 4 2 2" xfId="1218"/>
    <cellStyle name="Normal 2 4 2 2 2" xfId="1219"/>
    <cellStyle name="Normal 2 4 2 2 3" xfId="1220"/>
    <cellStyle name="Normal 2 4 2 3" xfId="1221"/>
    <cellStyle name="Normal 2 4 2_ACT BNDE NR" xfId="1222"/>
    <cellStyle name="Normal 2 4 3" xfId="1223"/>
    <cellStyle name="Normal 2 4 3 2" xfId="1224"/>
    <cellStyle name="Normal 2 4 3_ACT FPHU NR" xfId="1225"/>
    <cellStyle name="Normal 2 4 4" xfId="1226"/>
    <cellStyle name="Normal 2 4 4 2" xfId="1227"/>
    <cellStyle name="Normal 2 4 4_ACT FPHU NR" xfId="1228"/>
    <cellStyle name="Normal 2 4 5" xfId="1229"/>
    <cellStyle name="Normal 2 4 5 2" xfId="1230"/>
    <cellStyle name="Normal 2 4 5_ACT FPHU NR" xfId="1231"/>
    <cellStyle name="Normal 2 4 6" xfId="1232"/>
    <cellStyle name="Normal 2 4 7" xfId="1233"/>
    <cellStyle name="Normal 2 4 8" xfId="1234"/>
    <cellStyle name="Normal 2 4 9" xfId="1235"/>
    <cellStyle name="Normal 2 5" xfId="1236"/>
    <cellStyle name="Normal 2 5 2" xfId="1237"/>
    <cellStyle name="Normal 2 6" xfId="1238"/>
    <cellStyle name="Normal 2 6 2" xfId="1239"/>
    <cellStyle name="Normal 2 7" xfId="1240"/>
    <cellStyle name="Normal 2 7 2" xfId="1241"/>
    <cellStyle name="Normal 2 8" xfId="1242"/>
    <cellStyle name="Normal 2 8 2" xfId="1243"/>
    <cellStyle name="Normal 2 9" xfId="1244"/>
    <cellStyle name="Normal 2 9 2" xfId="1245"/>
    <cellStyle name="Normal 2_ACT BNDE NR" xfId="1246"/>
    <cellStyle name="Normal 20" xfId="1247"/>
    <cellStyle name="Normal 200" xfId="1248"/>
    <cellStyle name="Normal 200 2" xfId="1249"/>
    <cellStyle name="Normal 201" xfId="1250"/>
    <cellStyle name="Normal 202" xfId="1251"/>
    <cellStyle name="Normal 203" xfId="1252"/>
    <cellStyle name="Normal 204" xfId="1253"/>
    <cellStyle name="Normal 204 2" xfId="1254"/>
    <cellStyle name="Normal 205" xfId="1255"/>
    <cellStyle name="Normal 205 2" xfId="1256"/>
    <cellStyle name="Normal 206" xfId="1257"/>
    <cellStyle name="Normal 206 2" xfId="1258"/>
    <cellStyle name="Normal 206 3" xfId="1259"/>
    <cellStyle name="Normal 207" xfId="1260"/>
    <cellStyle name="Normal 207 2" xfId="1261"/>
    <cellStyle name="Normal 207 3" xfId="1262"/>
    <cellStyle name="Normal 208" xfId="1263"/>
    <cellStyle name="Normal 208 2" xfId="1264"/>
    <cellStyle name="Normal 208 3" xfId="1265"/>
    <cellStyle name="Normal 209" xfId="1266"/>
    <cellStyle name="Normal 209 2" xfId="1267"/>
    <cellStyle name="Normal 209 3" xfId="1268"/>
    <cellStyle name="Normal 21" xfId="1269"/>
    <cellStyle name="Normal 210" xfId="1270"/>
    <cellStyle name="Normal 210 2" xfId="1271"/>
    <cellStyle name="Normal 210 2 2" xfId="1272"/>
    <cellStyle name="Normal 210 2 3" xfId="1273"/>
    <cellStyle name="Normal 210 3" xfId="1274"/>
    <cellStyle name="Normal 211" xfId="1275"/>
    <cellStyle name="Normal 211 2" xfId="1276"/>
    <cellStyle name="Normal 211 2 2" xfId="1277"/>
    <cellStyle name="Normal 212" xfId="1278"/>
    <cellStyle name="Normal 212 2" xfId="1279"/>
    <cellStyle name="Normal 212 2 2" xfId="1280"/>
    <cellStyle name="Normal 212 2 3" xfId="1281"/>
    <cellStyle name="Normal 212 3" xfId="1282"/>
    <cellStyle name="Normal 213" xfId="1283"/>
    <cellStyle name="Normal 213 2" xfId="1284"/>
    <cellStyle name="Normal 213 2 2" xfId="1285"/>
    <cellStyle name="Normal 214" xfId="1286"/>
    <cellStyle name="Normal 214 2" xfId="1287"/>
    <cellStyle name="Normal 214 2 2" xfId="1288"/>
    <cellStyle name="Normal 214 2 3" xfId="1289"/>
    <cellStyle name="Normal 214 3" xfId="1290"/>
    <cellStyle name="Normal 214 4" xfId="1291"/>
    <cellStyle name="Normal 214 5" xfId="1292"/>
    <cellStyle name="Normal 214_II_7_2 Liabilities Fcial interm" xfId="1293"/>
    <cellStyle name="Normal 215" xfId="1294"/>
    <cellStyle name="Normal 215 2" xfId="1295"/>
    <cellStyle name="Normal 215 3" xfId="1296"/>
    <cellStyle name="Normal 215 4" xfId="1297"/>
    <cellStyle name="Normal 215_II_7_2 Liabilities Fcial interm" xfId="1298"/>
    <cellStyle name="Normal 216" xfId="1299"/>
    <cellStyle name="Normal 216 2" xfId="1300"/>
    <cellStyle name="Normal 216 3" xfId="1301"/>
    <cellStyle name="Normal 216 4" xfId="1302"/>
    <cellStyle name="Normal 216_II_7_2 Liabilities Fcial interm" xfId="1303"/>
    <cellStyle name="Normal 217" xfId="1304"/>
    <cellStyle name="Normal 217 2" xfId="1305"/>
    <cellStyle name="Normal 217 2 2" xfId="1306"/>
    <cellStyle name="Normal 217 2_II_7_2 Liabilities Fcial interm" xfId="1307"/>
    <cellStyle name="Normal 217 3" xfId="1308"/>
    <cellStyle name="Normal 217 4" xfId="1309"/>
    <cellStyle name="Normal 217_II_7_2 Liabilities Fcial interm" xfId="1310"/>
    <cellStyle name="Normal 218" xfId="1311"/>
    <cellStyle name="Normal 218 2" xfId="1312"/>
    <cellStyle name="Normal 218 2 2" xfId="1313"/>
    <cellStyle name="Normal 218 2_II_7_2 Liabilities Fcial interm" xfId="1314"/>
    <cellStyle name="Normal 218 3" xfId="1315"/>
    <cellStyle name="Normal 218 4" xfId="1316"/>
    <cellStyle name="Normal 218_II_7_2 Liabilities Fcial interm" xfId="1317"/>
    <cellStyle name="Normal 219" xfId="1318"/>
    <cellStyle name="Normal 219 2" xfId="1319"/>
    <cellStyle name="Normal 219 2 2" xfId="1320"/>
    <cellStyle name="Normal 219 2_II_7_2 Liabilities Fcial interm" xfId="1321"/>
    <cellStyle name="Normal 219 3" xfId="1322"/>
    <cellStyle name="Normal 219 4" xfId="1323"/>
    <cellStyle name="Normal 219_II_7_2 Liabilities Fcial interm" xfId="1324"/>
    <cellStyle name="Normal 22" xfId="1325"/>
    <cellStyle name="Normal 22 10" xfId="1326"/>
    <cellStyle name="Normal 22 11" xfId="1327"/>
    <cellStyle name="Normal 22 12" xfId="1328"/>
    <cellStyle name="Normal 22 2" xfId="1329"/>
    <cellStyle name="Normal 22 2 2" xfId="1330"/>
    <cellStyle name="Normal 22 2 2 2" xfId="1331"/>
    <cellStyle name="Normal 22 2 2 3" xfId="1332"/>
    <cellStyle name="Normal 22 2 3" xfId="1333"/>
    <cellStyle name="Normal 22 3" xfId="1334"/>
    <cellStyle name="Normal 22 4" xfId="1335"/>
    <cellStyle name="Normal 22 5" xfId="1336"/>
    <cellStyle name="Normal 22 6" xfId="1337"/>
    <cellStyle name="Normal 22 7" xfId="1338"/>
    <cellStyle name="Normal 22 8" xfId="1339"/>
    <cellStyle name="Normal 22 9" xfId="1340"/>
    <cellStyle name="Normal 220" xfId="1341"/>
    <cellStyle name="Normal 220 2" xfId="1342"/>
    <cellStyle name="Normal 220 2 2" xfId="1343"/>
    <cellStyle name="Normal 220 2_II_7_2 Liabilities Fcial interm" xfId="1344"/>
    <cellStyle name="Normal 220 3" xfId="1345"/>
    <cellStyle name="Normal 220_II_7_2 Liabilities Fcial interm" xfId="1346"/>
    <cellStyle name="Normal 221" xfId="1347"/>
    <cellStyle name="Normal 221 2" xfId="1348"/>
    <cellStyle name="Normal 221 2 2" xfId="1349"/>
    <cellStyle name="Normal 221 3" xfId="1350"/>
    <cellStyle name="Normal 222" xfId="1351"/>
    <cellStyle name="Normal 222 2" xfId="1352"/>
    <cellStyle name="Normal 222 2 2" xfId="1353"/>
    <cellStyle name="Normal 222 3" xfId="1354"/>
    <cellStyle name="Normal 223" xfId="1355"/>
    <cellStyle name="Normal 223 2" xfId="1356"/>
    <cellStyle name="Normal 223 2 2" xfId="1357"/>
    <cellStyle name="Normal 223_II_7_2 Liabilities Fcial interm" xfId="1358"/>
    <cellStyle name="Normal 224" xfId="1359"/>
    <cellStyle name="Normal 224 2" xfId="1360"/>
    <cellStyle name="Normal 224 2 2" xfId="1361"/>
    <cellStyle name="Normal 224_II_7_2 Liabilities Fcial interm" xfId="1362"/>
    <cellStyle name="Normal 225" xfId="1363"/>
    <cellStyle name="Normal 225 2" xfId="1364"/>
    <cellStyle name="Normal 225 2 2" xfId="1365"/>
    <cellStyle name="Normal 225_II_7_2 Liabilities Fcial interm" xfId="1366"/>
    <cellStyle name="Normal 226" xfId="1367"/>
    <cellStyle name="Normal 226 2" xfId="1368"/>
    <cellStyle name="Normal 226_II_7_2 Liabilities Fcial interm" xfId="1369"/>
    <cellStyle name="Normal 227" xfId="1370"/>
    <cellStyle name="Normal 228" xfId="1371"/>
    <cellStyle name="Normal 229" xfId="1372"/>
    <cellStyle name="Normal 23" xfId="1373"/>
    <cellStyle name="Normal 23 10" xfId="1374"/>
    <cellStyle name="Normal 23 11" xfId="1375"/>
    <cellStyle name="Normal 23 12" xfId="1376"/>
    <cellStyle name="Normal 23 2" xfId="1377"/>
    <cellStyle name="Normal 23 2 10" xfId="1378"/>
    <cellStyle name="Normal 23 2 11" xfId="1379"/>
    <cellStyle name="Normal 23 2 12" xfId="1380"/>
    <cellStyle name="Normal 23 2 2" xfId="1381"/>
    <cellStyle name="Normal 23 2 3" xfId="1382"/>
    <cellStyle name="Normal 23 2 4" xfId="1383"/>
    <cellStyle name="Normal 23 2 5" xfId="1384"/>
    <cellStyle name="Normal 23 2 6" xfId="1385"/>
    <cellStyle name="Normal 23 2 7" xfId="1386"/>
    <cellStyle name="Normal 23 2 8" xfId="1387"/>
    <cellStyle name="Normal 23 2 9" xfId="1388"/>
    <cellStyle name="Normal 23 3" xfId="1389"/>
    <cellStyle name="Normal 23 3 2" xfId="1390"/>
    <cellStyle name="Normal 23 3 2 2" xfId="1391"/>
    <cellStyle name="Normal 23 3 2 3" xfId="1392"/>
    <cellStyle name="Normal 23 3 3" xfId="1393"/>
    <cellStyle name="Normal 23 4" xfId="1394"/>
    <cellStyle name="Normal 23 4 2" xfId="1395"/>
    <cellStyle name="Normal 23 4 3" xfId="1396"/>
    <cellStyle name="Normal 23 5" xfId="1397"/>
    <cellStyle name="Normal 23 6" xfId="1398"/>
    <cellStyle name="Normal 23 7" xfId="1399"/>
    <cellStyle name="Normal 23 8" xfId="1400"/>
    <cellStyle name="Normal 23 9" xfId="1401"/>
    <cellStyle name="Normal 230" xfId="1402"/>
    <cellStyle name="Normal 231" xfId="1403"/>
    <cellStyle name="Normal 232" xfId="1404"/>
    <cellStyle name="Normal 233" xfId="1405"/>
    <cellStyle name="Normal 234" xfId="1406"/>
    <cellStyle name="Normal 235" xfId="1407"/>
    <cellStyle name="Normal 236" xfId="1408"/>
    <cellStyle name="Normal 237" xfId="1409"/>
    <cellStyle name="Normal 238" xfId="1410"/>
    <cellStyle name="Normal 239" xfId="1411"/>
    <cellStyle name="Normal 24" xfId="1412"/>
    <cellStyle name="Normal 24 10" xfId="1413"/>
    <cellStyle name="Normal 24 2" xfId="1414"/>
    <cellStyle name="Normal 24 2 2" xfId="1415"/>
    <cellStyle name="Normal 24 2 2 2" xfId="1416"/>
    <cellStyle name="Normal 24 2 2 3" xfId="1417"/>
    <cellStyle name="Normal 24 2 3" xfId="1418"/>
    <cellStyle name="Normal 24 3" xfId="1419"/>
    <cellStyle name="Normal 24 4" xfId="1420"/>
    <cellStyle name="Normal 24 5" xfId="1421"/>
    <cellStyle name="Normal 24 6" xfId="1422"/>
    <cellStyle name="Normal 24 7" xfId="1423"/>
    <cellStyle name="Normal 24 8" xfId="1424"/>
    <cellStyle name="Normal 24 9" xfId="1425"/>
    <cellStyle name="Normal 240" xfId="1426"/>
    <cellStyle name="Normal 241" xfId="1427"/>
    <cellStyle name="Normal 242" xfId="1428"/>
    <cellStyle name="Normal 242 2" xfId="1429"/>
    <cellStyle name="Normal 242_II_7_2 Liabilities Fcial interm" xfId="1430"/>
    <cellStyle name="Normal 243" xfId="1431"/>
    <cellStyle name="Normal 243 2" xfId="1432"/>
    <cellStyle name="Normal 243_II_7_2 Liabilities Fcial interm" xfId="1433"/>
    <cellStyle name="Normal 244" xfId="1434"/>
    <cellStyle name="Normal 245" xfId="1435"/>
    <cellStyle name="Normal 246" xfId="1436"/>
    <cellStyle name="Normal 247" xfId="1437"/>
    <cellStyle name="Normal 248" xfId="1438"/>
    <cellStyle name="Normal 249" xfId="1439"/>
    <cellStyle name="Normal 25" xfId="1440"/>
    <cellStyle name="Normal 25 2" xfId="1441"/>
    <cellStyle name="Normal 250" xfId="1442"/>
    <cellStyle name="Normal 251" xfId="1443"/>
    <cellStyle name="Normal 252" xfId="1444"/>
    <cellStyle name="Normal 253" xfId="1445"/>
    <cellStyle name="Normal 254" xfId="1446"/>
    <cellStyle name="Normal 255" xfId="1447"/>
    <cellStyle name="Normal 256" xfId="1448"/>
    <cellStyle name="Normal 257" xfId="1449"/>
    <cellStyle name="Normal 258" xfId="1450"/>
    <cellStyle name="Normal 259" xfId="1451"/>
    <cellStyle name="Normal 26" xfId="1452"/>
    <cellStyle name="Normal 26 10" xfId="1453"/>
    <cellStyle name="Normal 26 11" xfId="1454"/>
    <cellStyle name="Normal 26 12" xfId="1455"/>
    <cellStyle name="Normal 26 2" xfId="1456"/>
    <cellStyle name="Normal 26 2 2" xfId="1457"/>
    <cellStyle name="Normal 26 2 2 2" xfId="1458"/>
    <cellStyle name="Normal 26 2 2 3" xfId="1459"/>
    <cellStyle name="Normal 26 2 3" xfId="1460"/>
    <cellStyle name="Normal 26 3" xfId="1461"/>
    <cellStyle name="Normal 26 4" xfId="1462"/>
    <cellStyle name="Normal 26 5" xfId="1463"/>
    <cellStyle name="Normal 26 6" xfId="1464"/>
    <cellStyle name="Normal 26 7" xfId="1465"/>
    <cellStyle name="Normal 26 8" xfId="1466"/>
    <cellStyle name="Normal 26 9" xfId="1467"/>
    <cellStyle name="Normal 260" xfId="1468"/>
    <cellStyle name="Normal 261" xfId="1469"/>
    <cellStyle name="Normal 262" xfId="1470"/>
    <cellStyle name="Normal 263" xfId="1471"/>
    <cellStyle name="Normal 264" xfId="1472"/>
    <cellStyle name="Normal 265" xfId="1473"/>
    <cellStyle name="Normal 266" xfId="1474"/>
    <cellStyle name="Normal 267" xfId="1475"/>
    <cellStyle name="Normal 268" xfId="1476"/>
    <cellStyle name="Normal 269" xfId="1477"/>
    <cellStyle name="Normal 27" xfId="1478"/>
    <cellStyle name="Normal 27 10" xfId="1479"/>
    <cellStyle name="Normal 27 11" xfId="1480"/>
    <cellStyle name="Normal 27 12" xfId="1481"/>
    <cellStyle name="Normal 27 2" xfId="1482"/>
    <cellStyle name="Normal 27 2 2" xfId="1483"/>
    <cellStyle name="Normal 27 2 2 2" xfId="1484"/>
    <cellStyle name="Normal 27 2 2 3" xfId="1485"/>
    <cellStyle name="Normal 27 2 3" xfId="1486"/>
    <cellStyle name="Normal 27 3" xfId="1487"/>
    <cellStyle name="Normal 27 4" xfId="1488"/>
    <cellStyle name="Normal 27 5" xfId="1489"/>
    <cellStyle name="Normal 27 6" xfId="1490"/>
    <cellStyle name="Normal 27 7" xfId="1491"/>
    <cellStyle name="Normal 27 8" xfId="1492"/>
    <cellStyle name="Normal 27 9" xfId="1493"/>
    <cellStyle name="Normal 270" xfId="1494"/>
    <cellStyle name="Normal 271" xfId="1495"/>
    <cellStyle name="Normal 272" xfId="1496"/>
    <cellStyle name="Normal 273" xfId="1497"/>
    <cellStyle name="Normal 274" xfId="1498"/>
    <cellStyle name="Normal 275" xfId="1499"/>
    <cellStyle name="Normal 276" xfId="1500"/>
    <cellStyle name="Normal 277" xfId="1501"/>
    <cellStyle name="Normal 278" xfId="1502"/>
    <cellStyle name="Normal 279" xfId="1503"/>
    <cellStyle name="Normal 28" xfId="1504"/>
    <cellStyle name="Normal 28 10" xfId="1505"/>
    <cellStyle name="Normal 28 2" xfId="1506"/>
    <cellStyle name="Normal 28 2 2" xfId="1507"/>
    <cellStyle name="Normal 28 2 2 2" xfId="1508"/>
    <cellStyle name="Normal 28 2 2 3" xfId="1509"/>
    <cellStyle name="Normal 28 2 3" xfId="1510"/>
    <cellStyle name="Normal 28 3" xfId="1511"/>
    <cellStyle name="Normal 28 4" xfId="1512"/>
    <cellStyle name="Normal 28 5" xfId="1513"/>
    <cellStyle name="Normal 28 6" xfId="1514"/>
    <cellStyle name="Normal 28 7" xfId="1515"/>
    <cellStyle name="Normal 28 8" xfId="1516"/>
    <cellStyle name="Normal 28 9" xfId="1517"/>
    <cellStyle name="Normal 280" xfId="1518"/>
    <cellStyle name="Normal 281" xfId="1519"/>
    <cellStyle name="Normal 282" xfId="1520"/>
    <cellStyle name="Normal 283" xfId="1521"/>
    <cellStyle name="Normal 284" xfId="1522"/>
    <cellStyle name="Normal 285" xfId="1523"/>
    <cellStyle name="Normal 286" xfId="1524"/>
    <cellStyle name="Normal 287" xfId="1525"/>
    <cellStyle name="Normal 288" xfId="1526"/>
    <cellStyle name="Normal 289" xfId="1527"/>
    <cellStyle name="Normal 29" xfId="1528"/>
    <cellStyle name="Normal 290" xfId="1529"/>
    <cellStyle name="Normal 291" xfId="1530"/>
    <cellStyle name="Normal 292" xfId="1531"/>
    <cellStyle name="Normal 293" xfId="1532"/>
    <cellStyle name="Normal 294" xfId="1533"/>
    <cellStyle name="Normal 295" xfId="1534"/>
    <cellStyle name="Normal 296" xfId="1535"/>
    <cellStyle name="Normal 297" xfId="1536"/>
    <cellStyle name="Normal 298" xfId="1537"/>
    <cellStyle name="Normal 299" xfId="1538"/>
    <cellStyle name="Normal 3" xfId="1539"/>
    <cellStyle name="Normal 3 10" xfId="1540"/>
    <cellStyle name="Normal 3 11" xfId="1541"/>
    <cellStyle name="Normal 3 12" xfId="1542"/>
    <cellStyle name="Normal 3 13" xfId="1543"/>
    <cellStyle name="Normal 3 14" xfId="1544"/>
    <cellStyle name="Normal 3 15" xfId="1545"/>
    <cellStyle name="Normal 3 16" xfId="1546"/>
    <cellStyle name="Normal 3 17" xfId="1547"/>
    <cellStyle name="Normal 3 18" xfId="1548"/>
    <cellStyle name="Normal 3 2" xfId="1549"/>
    <cellStyle name="Normal 3 2 2" xfId="1550"/>
    <cellStyle name="Normal 3 3" xfId="1551"/>
    <cellStyle name="Normal 3 3 2" xfId="1552"/>
    <cellStyle name="Normal 3 3_ACT FPHU NR" xfId="1553"/>
    <cellStyle name="Normal 3 4" xfId="1554"/>
    <cellStyle name="Normal 3 4 10" xfId="1555"/>
    <cellStyle name="Normal 3 4 11" xfId="1556"/>
    <cellStyle name="Normal 3 4 12" xfId="1557"/>
    <cellStyle name="Normal 3 4 2" xfId="1558"/>
    <cellStyle name="Normal 3 4 2 2" xfId="1559"/>
    <cellStyle name="Normal 3 4 2 2 2" xfId="1560"/>
    <cellStyle name="Normal 3 4 2 2 3" xfId="1561"/>
    <cellStyle name="Normal 3 4 2 3" xfId="1562"/>
    <cellStyle name="Normal 3 4 3" xfId="1563"/>
    <cellStyle name="Normal 3 4 4" xfId="1564"/>
    <cellStyle name="Normal 3 4 5" xfId="1565"/>
    <cellStyle name="Normal 3 4 6" xfId="1566"/>
    <cellStyle name="Normal 3 4 7" xfId="1567"/>
    <cellStyle name="Normal 3 4 8" xfId="1568"/>
    <cellStyle name="Normal 3 4 9" xfId="1569"/>
    <cellStyle name="Normal 3 5" xfId="1570"/>
    <cellStyle name="Normal 3 6" xfId="1571"/>
    <cellStyle name="Normal 3 7" xfId="1572"/>
    <cellStyle name="Normal 3 8" xfId="1573"/>
    <cellStyle name="Normal 3 9" xfId="1574"/>
    <cellStyle name="Normal 3_ACT BNDE NR" xfId="1575"/>
    <cellStyle name="Normal 30" xfId="1576"/>
    <cellStyle name="Normal 30 2" xfId="1577"/>
    <cellStyle name="Normal 300" xfId="1578"/>
    <cellStyle name="Normal 301" xfId="1579"/>
    <cellStyle name="Normal 302" xfId="1580"/>
    <cellStyle name="Normal 303" xfId="1581"/>
    <cellStyle name="Normal 304" xfId="1582"/>
    <cellStyle name="Normal 305" xfId="1583"/>
    <cellStyle name="Normal 306" xfId="1584"/>
    <cellStyle name="Normal 307" xfId="1585"/>
    <cellStyle name="Normal 308" xfId="1586"/>
    <cellStyle name="Normal 309" xfId="1587"/>
    <cellStyle name="Normal 31" xfId="1588"/>
    <cellStyle name="Normal 310" xfId="1589"/>
    <cellStyle name="Normal 311" xfId="1590"/>
    <cellStyle name="Normal 312" xfId="1591"/>
    <cellStyle name="Normal 313" xfId="1592"/>
    <cellStyle name="Normal 314" xfId="1593"/>
    <cellStyle name="Normal 315" xfId="1594"/>
    <cellStyle name="Normal 316" xfId="1595"/>
    <cellStyle name="Normal 317" xfId="1596"/>
    <cellStyle name="Normal 318" xfId="1597"/>
    <cellStyle name="Normal 319" xfId="1598"/>
    <cellStyle name="Normal 32" xfId="1599"/>
    <cellStyle name="Normal 32 2" xfId="1600"/>
    <cellStyle name="Normal 32 2 2" xfId="1601"/>
    <cellStyle name="Normal 32 2 2 2" xfId="1602"/>
    <cellStyle name="Normal 32 2 2 3" xfId="1603"/>
    <cellStyle name="Normal 32 2 3" xfId="1604"/>
    <cellStyle name="Normal 32 3" xfId="1605"/>
    <cellStyle name="Normal 32 4" xfId="1606"/>
    <cellStyle name="Normal 32 5" xfId="1607"/>
    <cellStyle name="Normal 32 6" xfId="1608"/>
    <cellStyle name="Normal 320" xfId="1609"/>
    <cellStyle name="Normal 321" xfId="1610"/>
    <cellStyle name="Normal 322" xfId="1611"/>
    <cellStyle name="Normal 323" xfId="1612"/>
    <cellStyle name="Normal 324" xfId="1613"/>
    <cellStyle name="Normal 325" xfId="1614"/>
    <cellStyle name="Normal 326" xfId="1615"/>
    <cellStyle name="Normal 327" xfId="1616"/>
    <cellStyle name="Normal 328" xfId="1617"/>
    <cellStyle name="Normal 329" xfId="1618"/>
    <cellStyle name="Normal 33" xfId="1619"/>
    <cellStyle name="Normal 33 2" xfId="1620"/>
    <cellStyle name="Normal 33 2 2" xfId="1621"/>
    <cellStyle name="Normal 33 2 3" xfId="1622"/>
    <cellStyle name="Normal 33 3" xfId="1623"/>
    <cellStyle name="Normal 33 3 2" xfId="1624"/>
    <cellStyle name="Normal 33 3 3" xfId="1625"/>
    <cellStyle name="Normal 33 4" xfId="1626"/>
    <cellStyle name="Normal 33 4 2" xfId="1627"/>
    <cellStyle name="Normal 33 4 3" xfId="1628"/>
    <cellStyle name="Normal 330" xfId="1629"/>
    <cellStyle name="Normal 331" xfId="1630"/>
    <cellStyle name="Normal 332" xfId="1631"/>
    <cellStyle name="Normal 333" xfId="1632"/>
    <cellStyle name="Normal 334" xfId="1633"/>
    <cellStyle name="Normal 335" xfId="1634"/>
    <cellStyle name="Normal 336" xfId="1635"/>
    <cellStyle name="Normal 337" xfId="1636"/>
    <cellStyle name="Normal 338" xfId="1637"/>
    <cellStyle name="Normal 339" xfId="1638"/>
    <cellStyle name="Normal 34" xfId="1639"/>
    <cellStyle name="Normal 34 2" xfId="1640"/>
    <cellStyle name="Normal 34 2 2" xfId="1641"/>
    <cellStyle name="Normal 34 2 2 2" xfId="1642"/>
    <cellStyle name="Normal 34 2 2 3" xfId="1643"/>
    <cellStyle name="Normal 34 2 3" xfId="1644"/>
    <cellStyle name="Normal 34 3" xfId="1645"/>
    <cellStyle name="Normal 34 3 2" xfId="1646"/>
    <cellStyle name="Normal 34 3 3" xfId="1647"/>
    <cellStyle name="Normal 34 4" xfId="1648"/>
    <cellStyle name="Normal 34 4 2" xfId="1649"/>
    <cellStyle name="Normal 34 4 3" xfId="1650"/>
    <cellStyle name="Normal 34 5" xfId="1651"/>
    <cellStyle name="Normal 34 6" xfId="1652"/>
    <cellStyle name="Normal 340" xfId="1653"/>
    <cellStyle name="Normal 341" xfId="1654"/>
    <cellStyle name="Normal 342" xfId="1655"/>
    <cellStyle name="Normal 343" xfId="1656"/>
    <cellStyle name="Normal 344" xfId="1657"/>
    <cellStyle name="Normal 345" xfId="1658"/>
    <cellStyle name="Normal 346" xfId="1659"/>
    <cellStyle name="Normal 347" xfId="1660"/>
    <cellStyle name="Normal 348" xfId="1661"/>
    <cellStyle name="Normal 349" xfId="1662"/>
    <cellStyle name="Normal 35" xfId="1663"/>
    <cellStyle name="Normal 35 2" xfId="1664"/>
    <cellStyle name="Normal 35 2 2" xfId="1665"/>
    <cellStyle name="Normal 35 2 3" xfId="1666"/>
    <cellStyle name="Normal 35 3" xfId="1667"/>
    <cellStyle name="Normal 350" xfId="1668"/>
    <cellStyle name="Normal 351" xfId="1669"/>
    <cellStyle name="Normal 352" xfId="1670"/>
    <cellStyle name="Normal 353" xfId="1671"/>
    <cellStyle name="Normal 354" xfId="1672"/>
    <cellStyle name="Normal 355" xfId="1673"/>
    <cellStyle name="Normal 356" xfId="4343"/>
    <cellStyle name="Normal 357" xfId="4344"/>
    <cellStyle name="Normal 358" xfId="4348"/>
    <cellStyle name="Normal 359" xfId="4349"/>
    <cellStyle name="Normal 36" xfId="1674"/>
    <cellStyle name="Normal 36 2" xfId="1675"/>
    <cellStyle name="Normal 36 2 2" xfId="1676"/>
    <cellStyle name="Normal 36 2 3" xfId="1677"/>
    <cellStyle name="Normal 36 3" xfId="1678"/>
    <cellStyle name="Normal 360" xfId="4350"/>
    <cellStyle name="Normal 361" xfId="1679"/>
    <cellStyle name="Normal 362" xfId="4351"/>
    <cellStyle name="Normal 363" xfId="4352"/>
    <cellStyle name="Normal 364" xfId="4353"/>
    <cellStyle name="Normal 365" xfId="4354"/>
    <cellStyle name="Normal 366" xfId="4355"/>
    <cellStyle name="Normal 367" xfId="4356"/>
    <cellStyle name="Normal 37" xfId="1680"/>
    <cellStyle name="Normal 37 2" xfId="1681"/>
    <cellStyle name="Normal 37 2 2" xfId="1682"/>
    <cellStyle name="Normal 37 2 3" xfId="1683"/>
    <cellStyle name="Normal 37 3" xfId="1684"/>
    <cellStyle name="Normal 38" xfId="1685"/>
    <cellStyle name="Normal 38 2" xfId="1686"/>
    <cellStyle name="Normal 38 2 2" xfId="1687"/>
    <cellStyle name="Normal 38 2 3" xfId="1688"/>
    <cellStyle name="Normal 38 3" xfId="1689"/>
    <cellStyle name="Normal 39" xfId="1690"/>
    <cellStyle name="Normal 39 2" xfId="1691"/>
    <cellStyle name="Normal 39 2 2" xfId="1692"/>
    <cellStyle name="Normal 39 2 3" xfId="1693"/>
    <cellStyle name="Normal 39 3" xfId="1694"/>
    <cellStyle name="Normal 4" xfId="1695"/>
    <cellStyle name="Normal 4 10" xfId="1696"/>
    <cellStyle name="Normal 4 11" xfId="1697"/>
    <cellStyle name="Normal 4 12" xfId="1698"/>
    <cellStyle name="Normal 4 13" xfId="1699"/>
    <cellStyle name="Normal 4 14" xfId="1700"/>
    <cellStyle name="Normal 4 15" xfId="1701"/>
    <cellStyle name="Normal 4 16" xfId="1702"/>
    <cellStyle name="Normal 4 17" xfId="1703"/>
    <cellStyle name="Normal 4 2" xfId="1704"/>
    <cellStyle name="Normal 4 2 2" xfId="1705"/>
    <cellStyle name="Normal 4 2 3" xfId="1706"/>
    <cellStyle name="Normal 4 3" xfId="1707"/>
    <cellStyle name="Normal 4 4" xfId="1708"/>
    <cellStyle name="Normal 4 5" xfId="1709"/>
    <cellStyle name="Normal 4 6" xfId="1710"/>
    <cellStyle name="Normal 4 7" xfId="1711"/>
    <cellStyle name="Normal 4 8" xfId="1712"/>
    <cellStyle name="Normal 4 9" xfId="1713"/>
    <cellStyle name="Normal 4_II_7_2 Liabilities Fcial interm" xfId="1714"/>
    <cellStyle name="Normal 40" xfId="1715"/>
    <cellStyle name="Normal 40 2" xfId="1716"/>
    <cellStyle name="Normal 40 2 2" xfId="1717"/>
    <cellStyle name="Normal 40 2 3" xfId="1718"/>
    <cellStyle name="Normal 40 3" xfId="1719"/>
    <cellStyle name="Normal 41" xfId="1720"/>
    <cellStyle name="Normal 41 2" xfId="1721"/>
    <cellStyle name="Normal 41 2 2" xfId="1722"/>
    <cellStyle name="Normal 41 2 3" xfId="1723"/>
    <cellStyle name="Normal 41 3" xfId="1724"/>
    <cellStyle name="Normal 42" xfId="1725"/>
    <cellStyle name="Normal 42 2" xfId="1726"/>
    <cellStyle name="Normal 43" xfId="1727"/>
    <cellStyle name="Normal 44" xfId="1728"/>
    <cellStyle name="Normal 44 2" xfId="1729"/>
    <cellStyle name="Normal 44 2 2" xfId="1730"/>
    <cellStyle name="Normal 44 2 3" xfId="1731"/>
    <cellStyle name="Normal 44 3" xfId="1732"/>
    <cellStyle name="Normal 45" xfId="1733"/>
    <cellStyle name="Normal 45 2" xfId="1734"/>
    <cellStyle name="Normal 45 2 2" xfId="1735"/>
    <cellStyle name="Normal 45 2 3" xfId="1736"/>
    <cellStyle name="Normal 45 3" xfId="1737"/>
    <cellStyle name="Normal 46" xfId="1738"/>
    <cellStyle name="Normal 46 2" xfId="1739"/>
    <cellStyle name="Normal 46 2 2" xfId="1740"/>
    <cellStyle name="Normal 46 2 3" xfId="1741"/>
    <cellStyle name="Normal 46 3" xfId="1742"/>
    <cellStyle name="Normal 47" xfId="1743"/>
    <cellStyle name="Normal 47 2" xfId="1744"/>
    <cellStyle name="Normal 47 2 2" xfId="1745"/>
    <cellStyle name="Normal 47 2 3" xfId="1746"/>
    <cellStyle name="Normal 47 3" xfId="1747"/>
    <cellStyle name="Normal 48" xfId="1748"/>
    <cellStyle name="Normal 48 2" xfId="1749"/>
    <cellStyle name="Normal 48 2 2" xfId="1750"/>
    <cellStyle name="Normal 48 2 3" xfId="1751"/>
    <cellStyle name="Normal 48 3" xfId="1752"/>
    <cellStyle name="Normal 49" xfId="1753"/>
    <cellStyle name="Normal 49 2" xfId="1754"/>
    <cellStyle name="Normal 49 2 2" xfId="1755"/>
    <cellStyle name="Normal 49 2 3" xfId="1756"/>
    <cellStyle name="Normal 49 3" xfId="1757"/>
    <cellStyle name="Normal 5" xfId="1758"/>
    <cellStyle name="Normal 5 10" xfId="1759"/>
    <cellStyle name="Normal 5 11" xfId="1760"/>
    <cellStyle name="Normal 5 12" xfId="1761"/>
    <cellStyle name="Normal 5 13" xfId="1762"/>
    <cellStyle name="Normal 5 14" xfId="1763"/>
    <cellStyle name="Normal 5 15" xfId="1764"/>
    <cellStyle name="Normal 5 16" xfId="1765"/>
    <cellStyle name="Normal 5 16 10" xfId="1766"/>
    <cellStyle name="Normal 5 16 10 2" xfId="1767"/>
    <cellStyle name="Normal 5 16 11" xfId="1768"/>
    <cellStyle name="Normal 5 16 12" xfId="1769"/>
    <cellStyle name="Normal 5 16 2" xfId="1770"/>
    <cellStyle name="Normal 5 16 2 10" xfId="1771"/>
    <cellStyle name="Normal 5 16 2 2" xfId="1772"/>
    <cellStyle name="Normal 5 16 2 2 2" xfId="1773"/>
    <cellStyle name="Normal 5 16 2 2 2 2" xfId="1774"/>
    <cellStyle name="Normal 5 16 2 2 2 2 2" xfId="1775"/>
    <cellStyle name="Normal 5 16 2 2 2 2_II_7_2 Liabilities Fcial interm" xfId="1776"/>
    <cellStyle name="Normal 5 16 2 2 2 3" xfId="1777"/>
    <cellStyle name="Normal 5 16 2 2 2 4" xfId="1778"/>
    <cellStyle name="Normal 5 16 2 2 2 5" xfId="1779"/>
    <cellStyle name="Normal 5 16 2 2 2_II_7_2 Liabilities Fcial interm" xfId="1780"/>
    <cellStyle name="Normal 5 16 2 2 3" xfId="1781"/>
    <cellStyle name="Normal 5 16 2 2 3 2" xfId="1782"/>
    <cellStyle name="Normal 5 16 2 2 3 3" xfId="1783"/>
    <cellStyle name="Normal 5 16 2 2 3 4" xfId="1784"/>
    <cellStyle name="Normal 5 16 2 2 3_II_7_2 Liabilities Fcial interm" xfId="1785"/>
    <cellStyle name="Normal 5 16 2 2 4" xfId="1786"/>
    <cellStyle name="Normal 5 16 2 2 4 2" xfId="1787"/>
    <cellStyle name="Normal 5 16 2 2 4 3" xfId="1788"/>
    <cellStyle name="Normal 5 16 2 2 4 4" xfId="1789"/>
    <cellStyle name="Normal 5 16 2 2 4_II_7_2 Liabilities Fcial interm" xfId="1790"/>
    <cellStyle name="Normal 5 16 2 2 5" xfId="1791"/>
    <cellStyle name="Normal 5 16 2 2 5 2" xfId="1792"/>
    <cellStyle name="Normal 5 16 2 2 5 3" xfId="1793"/>
    <cellStyle name="Normal 5 16 2 2 5 4" xfId="1794"/>
    <cellStyle name="Normal 5 16 2 2 5_II_7_2 Liabilities Fcial interm" xfId="1795"/>
    <cellStyle name="Normal 5 16 2 2 6" xfId="1796"/>
    <cellStyle name="Normal 5 16 2 2 6 2" xfId="1797"/>
    <cellStyle name="Normal 5 16 2 2 6 3" xfId="1798"/>
    <cellStyle name="Normal 5 16 2 2 6_II_7_2 Liabilities Fcial interm" xfId="1799"/>
    <cellStyle name="Normal 5 16 2 2 7" xfId="1800"/>
    <cellStyle name="Normal 5 16 2 2 7 2" xfId="1801"/>
    <cellStyle name="Normal 5 16 2 2 8" xfId="1802"/>
    <cellStyle name="Normal 5 16 2 2_II_7_2 Liabilities Fcial interm" xfId="1803"/>
    <cellStyle name="Normal 5 16 2 3" xfId="1804"/>
    <cellStyle name="Normal 5 16 2 3 2" xfId="1805"/>
    <cellStyle name="Normal 5 16 2 3 2 2" xfId="1806"/>
    <cellStyle name="Normal 5 16 2 3 2 3" xfId="1807"/>
    <cellStyle name="Normal 5 16 2 3 2 4" xfId="1808"/>
    <cellStyle name="Normal 5 16 2 3 2_II_7_2 Liabilities Fcial interm" xfId="1809"/>
    <cellStyle name="Normal 5 16 2 3 3" xfId="1810"/>
    <cellStyle name="Normal 5 16 2 3 3 2" xfId="1811"/>
    <cellStyle name="Normal 5 16 2 3 3 3" xfId="1812"/>
    <cellStyle name="Normal 5 16 2 3 3 4" xfId="1813"/>
    <cellStyle name="Normal 5 16 2 3 3_II_7_2 Liabilities Fcial interm" xfId="1814"/>
    <cellStyle name="Normal 5 16 2 3 4" xfId="1815"/>
    <cellStyle name="Normal 5 16 2 3 4 2" xfId="1816"/>
    <cellStyle name="Normal 5 16 2 3 4 3" xfId="1817"/>
    <cellStyle name="Normal 5 16 2 3 4 4" xfId="1818"/>
    <cellStyle name="Normal 5 16 2 3 4_II_7_2 Liabilities Fcial interm" xfId="1819"/>
    <cellStyle name="Normal 5 16 2 3 5" xfId="1820"/>
    <cellStyle name="Normal 5 16 2 3 5 2" xfId="1821"/>
    <cellStyle name="Normal 5 16 2 3 5 3" xfId="1822"/>
    <cellStyle name="Normal 5 16 2 3 5_II_7_2 Liabilities Fcial interm" xfId="1823"/>
    <cellStyle name="Normal 5 16 2 3 6" xfId="1824"/>
    <cellStyle name="Normal 5 16 2 3 6 2" xfId="1825"/>
    <cellStyle name="Normal 5 16 2 3 7" xfId="1826"/>
    <cellStyle name="Normal 5 16 2 3_II_7_2 Liabilities Fcial interm" xfId="1827"/>
    <cellStyle name="Normal 5 16 2 4" xfId="1828"/>
    <cellStyle name="Normal 5 16 2 4 2" xfId="1829"/>
    <cellStyle name="Normal 5 16 2 4 2 2" xfId="1830"/>
    <cellStyle name="Normal 5 16 2 4 2 3" xfId="1831"/>
    <cellStyle name="Normal 5 16 2 4 2_II_7_2 Liabilities Fcial interm" xfId="1832"/>
    <cellStyle name="Normal 5 16 2 4 3" xfId="1833"/>
    <cellStyle name="Normal 5 16 2 4 3 2" xfId="1834"/>
    <cellStyle name="Normal 5 16 2 4 4" xfId="1835"/>
    <cellStyle name="Normal 5 16 2 4_II_7_2 Liabilities Fcial interm" xfId="1836"/>
    <cellStyle name="Normal 5 16 2 5" xfId="1837"/>
    <cellStyle name="Normal 5 16 2 5 2" xfId="1838"/>
    <cellStyle name="Normal 5 16 2 5 2 2" xfId="1839"/>
    <cellStyle name="Normal 5 16 2 5 2_II_7_2 Liabilities Fcial interm" xfId="1840"/>
    <cellStyle name="Normal 5 16 2 5 3" xfId="1841"/>
    <cellStyle name="Normal 5 16 2 5 4" xfId="1842"/>
    <cellStyle name="Normal 5 16 2 5_II_7_2 Liabilities Fcial interm" xfId="1843"/>
    <cellStyle name="Normal 5 16 2 6" xfId="1844"/>
    <cellStyle name="Normal 5 16 2 6 2" xfId="1845"/>
    <cellStyle name="Normal 5 16 2 6 3" xfId="1846"/>
    <cellStyle name="Normal 5 16 2 6 4" xfId="1847"/>
    <cellStyle name="Normal 5 16 2 6_II_7_2 Liabilities Fcial interm" xfId="1848"/>
    <cellStyle name="Normal 5 16 2 7" xfId="1849"/>
    <cellStyle name="Normal 5 16 2 7 2" xfId="1850"/>
    <cellStyle name="Normal 5 16 2 7 3" xfId="1851"/>
    <cellStyle name="Normal 5 16 2 7_II_7_2 Liabilities Fcial interm" xfId="1852"/>
    <cellStyle name="Normal 5 16 2 8" xfId="1853"/>
    <cellStyle name="Normal 5 16 2 8 2" xfId="1854"/>
    <cellStyle name="Normal 5 16 2 9" xfId="1855"/>
    <cellStyle name="Normal 5 16 2_II_7_2 Liabilities Fcial interm" xfId="1856"/>
    <cellStyle name="Normal 5 16 3" xfId="1857"/>
    <cellStyle name="Normal 5 16 3 2" xfId="1858"/>
    <cellStyle name="Normal 5 16 3 2 2" xfId="1859"/>
    <cellStyle name="Normal 5 16 3 2 2 2" xfId="1860"/>
    <cellStyle name="Normal 5 16 3 2 2_II_7_2 Liabilities Fcial interm" xfId="1861"/>
    <cellStyle name="Normal 5 16 3 2 3" xfId="1862"/>
    <cellStyle name="Normal 5 16 3 2 4" xfId="1863"/>
    <cellStyle name="Normal 5 16 3 2 5" xfId="1864"/>
    <cellStyle name="Normal 5 16 3 2_II_7_2 Liabilities Fcial interm" xfId="1865"/>
    <cellStyle name="Normal 5 16 3 3" xfId="1866"/>
    <cellStyle name="Normal 5 16 3 3 2" xfId="1867"/>
    <cellStyle name="Normal 5 16 3 3 3" xfId="1868"/>
    <cellStyle name="Normal 5 16 3 3 4" xfId="1869"/>
    <cellStyle name="Normal 5 16 3 3_II_7_2 Liabilities Fcial interm" xfId="1870"/>
    <cellStyle name="Normal 5 16 3 4" xfId="1871"/>
    <cellStyle name="Normal 5 16 3 4 2" xfId="1872"/>
    <cellStyle name="Normal 5 16 3 4 3" xfId="1873"/>
    <cellStyle name="Normal 5 16 3 4 4" xfId="1874"/>
    <cellStyle name="Normal 5 16 3 4_II_7_2 Liabilities Fcial interm" xfId="1875"/>
    <cellStyle name="Normal 5 16 3 5" xfId="1876"/>
    <cellStyle name="Normal 5 16 3 5 2" xfId="1877"/>
    <cellStyle name="Normal 5 16 3 5 3" xfId="1878"/>
    <cellStyle name="Normal 5 16 3 5 4" xfId="1879"/>
    <cellStyle name="Normal 5 16 3 5_II_7_2 Liabilities Fcial interm" xfId="1880"/>
    <cellStyle name="Normal 5 16 3 6" xfId="1881"/>
    <cellStyle name="Normal 5 16 3 6 2" xfId="1882"/>
    <cellStyle name="Normal 5 16 3 6 3" xfId="1883"/>
    <cellStyle name="Normal 5 16 3 6 4" xfId="1884"/>
    <cellStyle name="Normal 5 16 3 6_II_7_2 Liabilities Fcial interm" xfId="1885"/>
    <cellStyle name="Normal 5 16 3 7" xfId="1886"/>
    <cellStyle name="Normal 5 16 3 7 2" xfId="1887"/>
    <cellStyle name="Normal 5 16 3 7 3" xfId="1888"/>
    <cellStyle name="Normal 5 16 3 7_II_7_2 Liabilities Fcial interm" xfId="1889"/>
    <cellStyle name="Normal 5 16 3 8" xfId="1890"/>
    <cellStyle name="Normal 5 16 3 8 2" xfId="1891"/>
    <cellStyle name="Normal 5 16 3 9" xfId="1892"/>
    <cellStyle name="Normal 5 16 3_II_7_2 Liabilities Fcial interm" xfId="1893"/>
    <cellStyle name="Normal 5 16 4" xfId="1894"/>
    <cellStyle name="Normal 5 16 4 2" xfId="1895"/>
    <cellStyle name="Normal 5 16 4 2 2" xfId="1896"/>
    <cellStyle name="Normal 5 16 4 2 2 2" xfId="1897"/>
    <cellStyle name="Normal 5 16 4 2 2_II_7_2 Liabilities Fcial interm" xfId="1898"/>
    <cellStyle name="Normal 5 16 4 2 3" xfId="1899"/>
    <cellStyle name="Normal 5 16 4 2 4" xfId="1900"/>
    <cellStyle name="Normal 5 16 4 2 5" xfId="1901"/>
    <cellStyle name="Normal 5 16 4 2_II_7_2 Liabilities Fcial interm" xfId="1902"/>
    <cellStyle name="Normal 5 16 4 3" xfId="1903"/>
    <cellStyle name="Normal 5 16 4 3 2" xfId="1904"/>
    <cellStyle name="Normal 5 16 4 3 3" xfId="1905"/>
    <cellStyle name="Normal 5 16 4 3 4" xfId="1906"/>
    <cellStyle name="Normal 5 16 4 3_II_7_2 Liabilities Fcial interm" xfId="1907"/>
    <cellStyle name="Normal 5 16 4 4" xfId="1908"/>
    <cellStyle name="Normal 5 16 4 4 2" xfId="1909"/>
    <cellStyle name="Normal 5 16 4 4 3" xfId="1910"/>
    <cellStyle name="Normal 5 16 4 4 4" xfId="1911"/>
    <cellStyle name="Normal 5 16 4 4_II_7_2 Liabilities Fcial interm" xfId="1912"/>
    <cellStyle name="Normal 5 16 4 5" xfId="1913"/>
    <cellStyle name="Normal 5 16 4 5 2" xfId="1914"/>
    <cellStyle name="Normal 5 16 4 5 3" xfId="1915"/>
    <cellStyle name="Normal 5 16 4 5_II_7_2 Liabilities Fcial interm" xfId="1916"/>
    <cellStyle name="Normal 5 16 4 6" xfId="1917"/>
    <cellStyle name="Normal 5 16 4 6 2" xfId="1918"/>
    <cellStyle name="Normal 5 16 4 7" xfId="1919"/>
    <cellStyle name="Normal 5 16 4_II_7_2 Liabilities Fcial interm" xfId="1920"/>
    <cellStyle name="Normal 5 16 5" xfId="1921"/>
    <cellStyle name="Normal 5 16 5 2" xfId="1922"/>
    <cellStyle name="Normal 5 16 5 2 2" xfId="1923"/>
    <cellStyle name="Normal 5 16 5 2 3" xfId="1924"/>
    <cellStyle name="Normal 5 16 5 2_II_7_2 Liabilities Fcial interm" xfId="1925"/>
    <cellStyle name="Normal 5 16 5 3" xfId="1926"/>
    <cellStyle name="Normal 5 16 5 3 2" xfId="1927"/>
    <cellStyle name="Normal 5 16 5 3_II_7_2 Liabilities Fcial interm" xfId="1928"/>
    <cellStyle name="Normal 5 16 5 4" xfId="1929"/>
    <cellStyle name="Normal 5 16 5 5" xfId="1930"/>
    <cellStyle name="Normal 5 16 5_II_7_2 Liabilities Fcial interm" xfId="1931"/>
    <cellStyle name="Normal 5 16 6" xfId="1932"/>
    <cellStyle name="Normal 5 16 6 2" xfId="1933"/>
    <cellStyle name="Normal 5 16 6 2 2" xfId="1934"/>
    <cellStyle name="Normal 5 16 6 2_II_7_2 Liabilities Fcial interm" xfId="1935"/>
    <cellStyle name="Normal 5 16 6 3" xfId="1936"/>
    <cellStyle name="Normal 5 16 6 4" xfId="1937"/>
    <cellStyle name="Normal 5 16 6_II_7_2 Liabilities Fcial interm" xfId="1938"/>
    <cellStyle name="Normal 5 16 7" xfId="1939"/>
    <cellStyle name="Normal 5 16 7 2" xfId="1940"/>
    <cellStyle name="Normal 5 16 7 3" xfId="1941"/>
    <cellStyle name="Normal 5 16 7 4" xfId="1942"/>
    <cellStyle name="Normal 5 16 7_II_7_2 Liabilities Fcial interm" xfId="1943"/>
    <cellStyle name="Normal 5 16 8" xfId="1944"/>
    <cellStyle name="Normal 5 16 8 2" xfId="1945"/>
    <cellStyle name="Normal 5 16 8 3" xfId="1946"/>
    <cellStyle name="Normal 5 16 8 4" xfId="1947"/>
    <cellStyle name="Normal 5 16 8_II_7_2 Liabilities Fcial interm" xfId="1948"/>
    <cellStyle name="Normal 5 16 9" xfId="1949"/>
    <cellStyle name="Normal 5 16 9 2" xfId="1950"/>
    <cellStyle name="Normal 5 16 9 3" xfId="1951"/>
    <cellStyle name="Normal 5 16 9_II_7_2 Liabilities Fcial interm" xfId="1952"/>
    <cellStyle name="Normal 5 16_II_7_2 Liabilities Fcial interm" xfId="1953"/>
    <cellStyle name="Normal 5 2" xfId="1954"/>
    <cellStyle name="Normal 5 2 2" xfId="1955"/>
    <cellStyle name="Normal 5 2 2 2" xfId="1956"/>
    <cellStyle name="Normal 5 2 2 2 10" xfId="1957"/>
    <cellStyle name="Normal 5 2 2 2 10 2" xfId="1958"/>
    <cellStyle name="Normal 5 2 2 2 11" xfId="1959"/>
    <cellStyle name="Normal 5 2 2 2 12" xfId="1960"/>
    <cellStyle name="Normal 5 2 2 2 2" xfId="1961"/>
    <cellStyle name="Normal 5 2 2 2 2 10" xfId="1962"/>
    <cellStyle name="Normal 5 2 2 2 2 2" xfId="1963"/>
    <cellStyle name="Normal 5 2 2 2 2 2 2" xfId="1964"/>
    <cellStyle name="Normal 5 2 2 2 2 2 2 2" xfId="1965"/>
    <cellStyle name="Normal 5 2 2 2 2 2 2 2 2" xfId="1966"/>
    <cellStyle name="Normal 5 2 2 2 2 2 2 2_II_7_2 Liabilities Fcial interm" xfId="1967"/>
    <cellStyle name="Normal 5 2 2 2 2 2 2 3" xfId="1968"/>
    <cellStyle name="Normal 5 2 2 2 2 2 2 4" xfId="1969"/>
    <cellStyle name="Normal 5 2 2 2 2 2 2 5" xfId="1970"/>
    <cellStyle name="Normal 5 2 2 2 2 2 2_II_7_2 Liabilities Fcial interm" xfId="1971"/>
    <cellStyle name="Normal 5 2 2 2 2 2 3" xfId="1972"/>
    <cellStyle name="Normal 5 2 2 2 2 2 3 2" xfId="1973"/>
    <cellStyle name="Normal 5 2 2 2 2 2 3 3" xfId="1974"/>
    <cellStyle name="Normal 5 2 2 2 2 2 3 4" xfId="1975"/>
    <cellStyle name="Normal 5 2 2 2 2 2 3_II_7_2 Liabilities Fcial interm" xfId="1976"/>
    <cellStyle name="Normal 5 2 2 2 2 2 4" xfId="1977"/>
    <cellStyle name="Normal 5 2 2 2 2 2 4 2" xfId="1978"/>
    <cellStyle name="Normal 5 2 2 2 2 2 4 3" xfId="1979"/>
    <cellStyle name="Normal 5 2 2 2 2 2 4 4" xfId="1980"/>
    <cellStyle name="Normal 5 2 2 2 2 2 4_II_7_2 Liabilities Fcial interm" xfId="1981"/>
    <cellStyle name="Normal 5 2 2 2 2 2 5" xfId="1982"/>
    <cellStyle name="Normal 5 2 2 2 2 2 5 2" xfId="1983"/>
    <cellStyle name="Normal 5 2 2 2 2 2 5 3" xfId="1984"/>
    <cellStyle name="Normal 5 2 2 2 2 2 5 4" xfId="1985"/>
    <cellStyle name="Normal 5 2 2 2 2 2 5_II_7_2 Liabilities Fcial interm" xfId="1986"/>
    <cellStyle name="Normal 5 2 2 2 2 2 6" xfId="1987"/>
    <cellStyle name="Normal 5 2 2 2 2 2 6 2" xfId="1988"/>
    <cellStyle name="Normal 5 2 2 2 2 2 6 3" xfId="1989"/>
    <cellStyle name="Normal 5 2 2 2 2 2 6_II_7_2 Liabilities Fcial interm" xfId="1990"/>
    <cellStyle name="Normal 5 2 2 2 2 2 7" xfId="1991"/>
    <cellStyle name="Normal 5 2 2 2 2 2 7 2" xfId="1992"/>
    <cellStyle name="Normal 5 2 2 2 2 2 8" xfId="1993"/>
    <cellStyle name="Normal 5 2 2 2 2 2_II_7_2 Liabilities Fcial interm" xfId="1994"/>
    <cellStyle name="Normal 5 2 2 2 2 3" xfId="1995"/>
    <cellStyle name="Normal 5 2 2 2 2 3 2" xfId="1996"/>
    <cellStyle name="Normal 5 2 2 2 2 3 2 2" xfId="1997"/>
    <cellStyle name="Normal 5 2 2 2 2 3 2 3" xfId="1998"/>
    <cellStyle name="Normal 5 2 2 2 2 3 2 4" xfId="1999"/>
    <cellStyle name="Normal 5 2 2 2 2 3 2_II_7_2 Liabilities Fcial interm" xfId="2000"/>
    <cellStyle name="Normal 5 2 2 2 2 3 3" xfId="2001"/>
    <cellStyle name="Normal 5 2 2 2 2 3 3 2" xfId="2002"/>
    <cellStyle name="Normal 5 2 2 2 2 3 3 3" xfId="2003"/>
    <cellStyle name="Normal 5 2 2 2 2 3 3 4" xfId="2004"/>
    <cellStyle name="Normal 5 2 2 2 2 3 3_II_7_2 Liabilities Fcial interm" xfId="2005"/>
    <cellStyle name="Normal 5 2 2 2 2 3 4" xfId="2006"/>
    <cellStyle name="Normal 5 2 2 2 2 3 4 2" xfId="2007"/>
    <cellStyle name="Normal 5 2 2 2 2 3 4 3" xfId="2008"/>
    <cellStyle name="Normal 5 2 2 2 2 3 4 4" xfId="2009"/>
    <cellStyle name="Normal 5 2 2 2 2 3 4_II_7_2 Liabilities Fcial interm" xfId="2010"/>
    <cellStyle name="Normal 5 2 2 2 2 3 5" xfId="2011"/>
    <cellStyle name="Normal 5 2 2 2 2 3 5 2" xfId="2012"/>
    <cellStyle name="Normal 5 2 2 2 2 3 5 3" xfId="2013"/>
    <cellStyle name="Normal 5 2 2 2 2 3 5_II_7_2 Liabilities Fcial interm" xfId="2014"/>
    <cellStyle name="Normal 5 2 2 2 2 3 6" xfId="2015"/>
    <cellStyle name="Normal 5 2 2 2 2 3 6 2" xfId="2016"/>
    <cellStyle name="Normal 5 2 2 2 2 3 7" xfId="2017"/>
    <cellStyle name="Normal 5 2 2 2 2 3_II_7_2 Liabilities Fcial interm" xfId="2018"/>
    <cellStyle name="Normal 5 2 2 2 2 4" xfId="2019"/>
    <cellStyle name="Normal 5 2 2 2 2 4 2" xfId="2020"/>
    <cellStyle name="Normal 5 2 2 2 2 4 2 2" xfId="2021"/>
    <cellStyle name="Normal 5 2 2 2 2 4 2 3" xfId="2022"/>
    <cellStyle name="Normal 5 2 2 2 2 4 2_II_7_2 Liabilities Fcial interm" xfId="2023"/>
    <cellStyle name="Normal 5 2 2 2 2 4 3" xfId="2024"/>
    <cellStyle name="Normal 5 2 2 2 2 4 3 2" xfId="2025"/>
    <cellStyle name="Normal 5 2 2 2 2 4 4" xfId="2026"/>
    <cellStyle name="Normal 5 2 2 2 2 4_II_7_2 Liabilities Fcial interm" xfId="2027"/>
    <cellStyle name="Normal 5 2 2 2 2 5" xfId="2028"/>
    <cellStyle name="Normal 5 2 2 2 2 5 2" xfId="2029"/>
    <cellStyle name="Normal 5 2 2 2 2 5 2 2" xfId="2030"/>
    <cellStyle name="Normal 5 2 2 2 2 5 2_II_7_2 Liabilities Fcial interm" xfId="2031"/>
    <cellStyle name="Normal 5 2 2 2 2 5 3" xfId="2032"/>
    <cellStyle name="Normal 5 2 2 2 2 5 4" xfId="2033"/>
    <cellStyle name="Normal 5 2 2 2 2 5_II_7_2 Liabilities Fcial interm" xfId="2034"/>
    <cellStyle name="Normal 5 2 2 2 2 6" xfId="2035"/>
    <cellStyle name="Normal 5 2 2 2 2 6 2" xfId="2036"/>
    <cellStyle name="Normal 5 2 2 2 2 6 3" xfId="2037"/>
    <cellStyle name="Normal 5 2 2 2 2 6 4" xfId="2038"/>
    <cellStyle name="Normal 5 2 2 2 2 6_II_7_2 Liabilities Fcial interm" xfId="2039"/>
    <cellStyle name="Normal 5 2 2 2 2 7" xfId="2040"/>
    <cellStyle name="Normal 5 2 2 2 2 7 2" xfId="2041"/>
    <cellStyle name="Normal 5 2 2 2 2 7 3" xfId="2042"/>
    <cellStyle name="Normal 5 2 2 2 2 7_II_7_2 Liabilities Fcial interm" xfId="2043"/>
    <cellStyle name="Normal 5 2 2 2 2 8" xfId="2044"/>
    <cellStyle name="Normal 5 2 2 2 2 8 2" xfId="2045"/>
    <cellStyle name="Normal 5 2 2 2 2 9" xfId="2046"/>
    <cellStyle name="Normal 5 2 2 2 2_II_7_2 Liabilities Fcial interm" xfId="2047"/>
    <cellStyle name="Normal 5 2 2 2 3" xfId="2048"/>
    <cellStyle name="Normal 5 2 2 2 3 2" xfId="2049"/>
    <cellStyle name="Normal 5 2 2 2 3 2 2" xfId="2050"/>
    <cellStyle name="Normal 5 2 2 2 3 2 2 2" xfId="2051"/>
    <cellStyle name="Normal 5 2 2 2 3 2 2_II_7_2 Liabilities Fcial interm" xfId="2052"/>
    <cellStyle name="Normal 5 2 2 2 3 2 3" xfId="2053"/>
    <cellStyle name="Normal 5 2 2 2 3 2 4" xfId="2054"/>
    <cellStyle name="Normal 5 2 2 2 3 2 5" xfId="2055"/>
    <cellStyle name="Normal 5 2 2 2 3 2_II_7_2 Liabilities Fcial interm" xfId="2056"/>
    <cellStyle name="Normal 5 2 2 2 3 3" xfId="2057"/>
    <cellStyle name="Normal 5 2 2 2 3 3 2" xfId="2058"/>
    <cellStyle name="Normal 5 2 2 2 3 3 3" xfId="2059"/>
    <cellStyle name="Normal 5 2 2 2 3 3 4" xfId="2060"/>
    <cellStyle name="Normal 5 2 2 2 3 3_II_7_2 Liabilities Fcial interm" xfId="2061"/>
    <cellStyle name="Normal 5 2 2 2 3 4" xfId="2062"/>
    <cellStyle name="Normal 5 2 2 2 3 4 2" xfId="2063"/>
    <cellStyle name="Normal 5 2 2 2 3 4 3" xfId="2064"/>
    <cellStyle name="Normal 5 2 2 2 3 4 4" xfId="2065"/>
    <cellStyle name="Normal 5 2 2 2 3 4_II_7_2 Liabilities Fcial interm" xfId="2066"/>
    <cellStyle name="Normal 5 2 2 2 3 5" xfId="2067"/>
    <cellStyle name="Normal 5 2 2 2 3 5 2" xfId="2068"/>
    <cellStyle name="Normal 5 2 2 2 3 5 3" xfId="2069"/>
    <cellStyle name="Normal 5 2 2 2 3 5 4" xfId="2070"/>
    <cellStyle name="Normal 5 2 2 2 3 5_II_7_2 Liabilities Fcial interm" xfId="2071"/>
    <cellStyle name="Normal 5 2 2 2 3 6" xfId="2072"/>
    <cellStyle name="Normal 5 2 2 2 3 6 2" xfId="2073"/>
    <cellStyle name="Normal 5 2 2 2 3 6 3" xfId="2074"/>
    <cellStyle name="Normal 5 2 2 2 3 6 4" xfId="2075"/>
    <cellStyle name="Normal 5 2 2 2 3 6_II_7_2 Liabilities Fcial interm" xfId="2076"/>
    <cellStyle name="Normal 5 2 2 2 3 7" xfId="2077"/>
    <cellStyle name="Normal 5 2 2 2 3 7 2" xfId="2078"/>
    <cellStyle name="Normal 5 2 2 2 3 7 3" xfId="2079"/>
    <cellStyle name="Normal 5 2 2 2 3 7_II_7_2 Liabilities Fcial interm" xfId="2080"/>
    <cellStyle name="Normal 5 2 2 2 3 8" xfId="2081"/>
    <cellStyle name="Normal 5 2 2 2 3 8 2" xfId="2082"/>
    <cellStyle name="Normal 5 2 2 2 3 9" xfId="2083"/>
    <cellStyle name="Normal 5 2 2 2 3_II_7_2 Liabilities Fcial interm" xfId="2084"/>
    <cellStyle name="Normal 5 2 2 2 4" xfId="2085"/>
    <cellStyle name="Normal 5 2 2 2 4 2" xfId="2086"/>
    <cellStyle name="Normal 5 2 2 2 4 2 2" xfId="2087"/>
    <cellStyle name="Normal 5 2 2 2 4 2 2 2" xfId="2088"/>
    <cellStyle name="Normal 5 2 2 2 4 2 2_II_7_2 Liabilities Fcial interm" xfId="2089"/>
    <cellStyle name="Normal 5 2 2 2 4 2 3" xfId="2090"/>
    <cellStyle name="Normal 5 2 2 2 4 2 4" xfId="2091"/>
    <cellStyle name="Normal 5 2 2 2 4 2 5" xfId="2092"/>
    <cellStyle name="Normal 5 2 2 2 4 2_II_7_2 Liabilities Fcial interm" xfId="2093"/>
    <cellStyle name="Normal 5 2 2 2 4 3" xfId="2094"/>
    <cellStyle name="Normal 5 2 2 2 4 3 2" xfId="2095"/>
    <cellStyle name="Normal 5 2 2 2 4 3 3" xfId="2096"/>
    <cellStyle name="Normal 5 2 2 2 4 3 4" xfId="2097"/>
    <cellStyle name="Normal 5 2 2 2 4 3_II_7_2 Liabilities Fcial interm" xfId="2098"/>
    <cellStyle name="Normal 5 2 2 2 4 4" xfId="2099"/>
    <cellStyle name="Normal 5 2 2 2 4 4 2" xfId="2100"/>
    <cellStyle name="Normal 5 2 2 2 4 4 3" xfId="2101"/>
    <cellStyle name="Normal 5 2 2 2 4 4 4" xfId="2102"/>
    <cellStyle name="Normal 5 2 2 2 4 4_II_7_2 Liabilities Fcial interm" xfId="2103"/>
    <cellStyle name="Normal 5 2 2 2 4 5" xfId="2104"/>
    <cellStyle name="Normal 5 2 2 2 4 5 2" xfId="2105"/>
    <cellStyle name="Normal 5 2 2 2 4 5 3" xfId="2106"/>
    <cellStyle name="Normal 5 2 2 2 4 5_II_7_2 Liabilities Fcial interm" xfId="2107"/>
    <cellStyle name="Normal 5 2 2 2 4 6" xfId="2108"/>
    <cellStyle name="Normal 5 2 2 2 4 6 2" xfId="2109"/>
    <cellStyle name="Normal 5 2 2 2 4 7" xfId="2110"/>
    <cellStyle name="Normal 5 2 2 2 4_II_7_2 Liabilities Fcial interm" xfId="2111"/>
    <cellStyle name="Normal 5 2 2 2 5" xfId="2112"/>
    <cellStyle name="Normal 5 2 2 2 5 2" xfId="2113"/>
    <cellStyle name="Normal 5 2 2 2 5 2 2" xfId="2114"/>
    <cellStyle name="Normal 5 2 2 2 5 2 3" xfId="2115"/>
    <cellStyle name="Normal 5 2 2 2 5 2_II_7_2 Liabilities Fcial interm" xfId="2116"/>
    <cellStyle name="Normal 5 2 2 2 5 3" xfId="2117"/>
    <cellStyle name="Normal 5 2 2 2 5 3 2" xfId="2118"/>
    <cellStyle name="Normal 5 2 2 2 5 3_II_7_2 Liabilities Fcial interm" xfId="2119"/>
    <cellStyle name="Normal 5 2 2 2 5 4" xfId="2120"/>
    <cellStyle name="Normal 5 2 2 2 5 5" xfId="2121"/>
    <cellStyle name="Normal 5 2 2 2 5_II_7_2 Liabilities Fcial interm" xfId="2122"/>
    <cellStyle name="Normal 5 2 2 2 6" xfId="2123"/>
    <cellStyle name="Normal 5 2 2 2 6 2" xfId="2124"/>
    <cellStyle name="Normal 5 2 2 2 6 2 2" xfId="2125"/>
    <cellStyle name="Normal 5 2 2 2 6 2_II_7_2 Liabilities Fcial interm" xfId="2126"/>
    <cellStyle name="Normal 5 2 2 2 6 3" xfId="2127"/>
    <cellStyle name="Normal 5 2 2 2 6 4" xfId="2128"/>
    <cellStyle name="Normal 5 2 2 2 6_II_7_2 Liabilities Fcial interm" xfId="2129"/>
    <cellStyle name="Normal 5 2 2 2 7" xfId="2130"/>
    <cellStyle name="Normal 5 2 2 2 7 2" xfId="2131"/>
    <cellStyle name="Normal 5 2 2 2 7 3" xfId="2132"/>
    <cellStyle name="Normal 5 2 2 2 7 4" xfId="2133"/>
    <cellStyle name="Normal 5 2 2 2 7_II_7_2 Liabilities Fcial interm" xfId="2134"/>
    <cellStyle name="Normal 5 2 2 2 8" xfId="2135"/>
    <cellStyle name="Normal 5 2 2 2 8 2" xfId="2136"/>
    <cellStyle name="Normal 5 2 2 2 8 3" xfId="2137"/>
    <cellStyle name="Normal 5 2 2 2 8 4" xfId="2138"/>
    <cellStyle name="Normal 5 2 2 2 8_II_7_2 Liabilities Fcial interm" xfId="2139"/>
    <cellStyle name="Normal 5 2 2 2 9" xfId="2140"/>
    <cellStyle name="Normal 5 2 2 2 9 2" xfId="2141"/>
    <cellStyle name="Normal 5 2 2 2 9 3" xfId="2142"/>
    <cellStyle name="Normal 5 2 2 2 9_II_7_2 Liabilities Fcial interm" xfId="2143"/>
    <cellStyle name="Normal 5 2 2 2_II_7_2 Liabilities Fcial interm" xfId="2144"/>
    <cellStyle name="Normal 5 2 2 3" xfId="2145"/>
    <cellStyle name="Normal 5 2 2 3 10" xfId="2146"/>
    <cellStyle name="Normal 5 2 2 3 10 2" xfId="2147"/>
    <cellStyle name="Normal 5 2 2 3 11" xfId="2148"/>
    <cellStyle name="Normal 5 2 2 3 12" xfId="2149"/>
    <cellStyle name="Normal 5 2 2 3 2" xfId="2150"/>
    <cellStyle name="Normal 5 2 2 3 2 10" xfId="2151"/>
    <cellStyle name="Normal 5 2 2 3 2 2" xfId="2152"/>
    <cellStyle name="Normal 5 2 2 3 2 2 2" xfId="2153"/>
    <cellStyle name="Normal 5 2 2 3 2 2 2 2" xfId="2154"/>
    <cellStyle name="Normal 5 2 2 3 2 2 2 2 2" xfId="2155"/>
    <cellStyle name="Normal 5 2 2 3 2 2 2 2_II_7_2 Liabilities Fcial interm" xfId="2156"/>
    <cellStyle name="Normal 5 2 2 3 2 2 2 3" xfId="2157"/>
    <cellStyle name="Normal 5 2 2 3 2 2 2 4" xfId="2158"/>
    <cellStyle name="Normal 5 2 2 3 2 2 2 5" xfId="2159"/>
    <cellStyle name="Normal 5 2 2 3 2 2 2_II_7_2 Liabilities Fcial interm" xfId="2160"/>
    <cellStyle name="Normal 5 2 2 3 2 2 3" xfId="2161"/>
    <cellStyle name="Normal 5 2 2 3 2 2 3 2" xfId="2162"/>
    <cellStyle name="Normal 5 2 2 3 2 2 3 3" xfId="2163"/>
    <cellStyle name="Normal 5 2 2 3 2 2 3 4" xfId="2164"/>
    <cellStyle name="Normal 5 2 2 3 2 2 3_II_7_2 Liabilities Fcial interm" xfId="2165"/>
    <cellStyle name="Normal 5 2 2 3 2 2 4" xfId="2166"/>
    <cellStyle name="Normal 5 2 2 3 2 2 4 2" xfId="2167"/>
    <cellStyle name="Normal 5 2 2 3 2 2 4 3" xfId="2168"/>
    <cellStyle name="Normal 5 2 2 3 2 2 4 4" xfId="2169"/>
    <cellStyle name="Normal 5 2 2 3 2 2 4_II_7_2 Liabilities Fcial interm" xfId="2170"/>
    <cellStyle name="Normal 5 2 2 3 2 2 5" xfId="2171"/>
    <cellStyle name="Normal 5 2 2 3 2 2 5 2" xfId="2172"/>
    <cellStyle name="Normal 5 2 2 3 2 2 5 3" xfId="2173"/>
    <cellStyle name="Normal 5 2 2 3 2 2 5 4" xfId="2174"/>
    <cellStyle name="Normal 5 2 2 3 2 2 5_II_7_2 Liabilities Fcial interm" xfId="2175"/>
    <cellStyle name="Normal 5 2 2 3 2 2 6" xfId="2176"/>
    <cellStyle name="Normal 5 2 2 3 2 2 6 2" xfId="2177"/>
    <cellStyle name="Normal 5 2 2 3 2 2 6 3" xfId="2178"/>
    <cellStyle name="Normal 5 2 2 3 2 2 6_II_7_2 Liabilities Fcial interm" xfId="2179"/>
    <cellStyle name="Normal 5 2 2 3 2 2 7" xfId="2180"/>
    <cellStyle name="Normal 5 2 2 3 2 2 7 2" xfId="2181"/>
    <cellStyle name="Normal 5 2 2 3 2 2 8" xfId="2182"/>
    <cellStyle name="Normal 5 2 2 3 2 2_II_7_2 Liabilities Fcial interm" xfId="2183"/>
    <cellStyle name="Normal 5 2 2 3 2 3" xfId="2184"/>
    <cellStyle name="Normal 5 2 2 3 2 3 2" xfId="2185"/>
    <cellStyle name="Normal 5 2 2 3 2 3 2 2" xfId="2186"/>
    <cellStyle name="Normal 5 2 2 3 2 3 2 3" xfId="2187"/>
    <cellStyle name="Normal 5 2 2 3 2 3 2 4" xfId="2188"/>
    <cellStyle name="Normal 5 2 2 3 2 3 2_II_7_2 Liabilities Fcial interm" xfId="2189"/>
    <cellStyle name="Normal 5 2 2 3 2 3 3" xfId="2190"/>
    <cellStyle name="Normal 5 2 2 3 2 3 3 2" xfId="2191"/>
    <cellStyle name="Normal 5 2 2 3 2 3 3 3" xfId="2192"/>
    <cellStyle name="Normal 5 2 2 3 2 3 3 4" xfId="2193"/>
    <cellStyle name="Normal 5 2 2 3 2 3 3_II_7_2 Liabilities Fcial interm" xfId="2194"/>
    <cellStyle name="Normal 5 2 2 3 2 3 4" xfId="2195"/>
    <cellStyle name="Normal 5 2 2 3 2 3 4 2" xfId="2196"/>
    <cellStyle name="Normal 5 2 2 3 2 3 4 3" xfId="2197"/>
    <cellStyle name="Normal 5 2 2 3 2 3 4 4" xfId="2198"/>
    <cellStyle name="Normal 5 2 2 3 2 3 4_II_7_2 Liabilities Fcial interm" xfId="2199"/>
    <cellStyle name="Normal 5 2 2 3 2 3 5" xfId="2200"/>
    <cellStyle name="Normal 5 2 2 3 2 3 5 2" xfId="2201"/>
    <cellStyle name="Normal 5 2 2 3 2 3 5 3" xfId="2202"/>
    <cellStyle name="Normal 5 2 2 3 2 3 5_II_7_2 Liabilities Fcial interm" xfId="2203"/>
    <cellStyle name="Normal 5 2 2 3 2 3 6" xfId="2204"/>
    <cellStyle name="Normal 5 2 2 3 2 3 6 2" xfId="2205"/>
    <cellStyle name="Normal 5 2 2 3 2 3 7" xfId="2206"/>
    <cellStyle name="Normal 5 2 2 3 2 3_II_7_2 Liabilities Fcial interm" xfId="2207"/>
    <cellStyle name="Normal 5 2 2 3 2 4" xfId="2208"/>
    <cellStyle name="Normal 5 2 2 3 2 4 2" xfId="2209"/>
    <cellStyle name="Normal 5 2 2 3 2 4 2 2" xfId="2210"/>
    <cellStyle name="Normal 5 2 2 3 2 4 2 3" xfId="2211"/>
    <cellStyle name="Normal 5 2 2 3 2 4 2_II_7_2 Liabilities Fcial interm" xfId="2212"/>
    <cellStyle name="Normal 5 2 2 3 2 4 3" xfId="2213"/>
    <cellStyle name="Normal 5 2 2 3 2 4 3 2" xfId="2214"/>
    <cellStyle name="Normal 5 2 2 3 2 4 4" xfId="2215"/>
    <cellStyle name="Normal 5 2 2 3 2 4_II_7_2 Liabilities Fcial interm" xfId="2216"/>
    <cellStyle name="Normal 5 2 2 3 2 5" xfId="2217"/>
    <cellStyle name="Normal 5 2 2 3 2 5 2" xfId="2218"/>
    <cellStyle name="Normal 5 2 2 3 2 5 2 2" xfId="2219"/>
    <cellStyle name="Normal 5 2 2 3 2 5 2_II_7_2 Liabilities Fcial interm" xfId="2220"/>
    <cellStyle name="Normal 5 2 2 3 2 5 3" xfId="2221"/>
    <cellStyle name="Normal 5 2 2 3 2 5 4" xfId="2222"/>
    <cellStyle name="Normal 5 2 2 3 2 5_II_7_2 Liabilities Fcial interm" xfId="2223"/>
    <cellStyle name="Normal 5 2 2 3 2 6" xfId="2224"/>
    <cellStyle name="Normal 5 2 2 3 2 6 2" xfId="2225"/>
    <cellStyle name="Normal 5 2 2 3 2 6 3" xfId="2226"/>
    <cellStyle name="Normal 5 2 2 3 2 6 4" xfId="2227"/>
    <cellStyle name="Normal 5 2 2 3 2 6_II_7_2 Liabilities Fcial interm" xfId="2228"/>
    <cellStyle name="Normal 5 2 2 3 2 7" xfId="2229"/>
    <cellStyle name="Normal 5 2 2 3 2 7 2" xfId="2230"/>
    <cellStyle name="Normal 5 2 2 3 2 7 3" xfId="2231"/>
    <cellStyle name="Normal 5 2 2 3 2 7_II_7_2 Liabilities Fcial interm" xfId="2232"/>
    <cellStyle name="Normal 5 2 2 3 2 8" xfId="2233"/>
    <cellStyle name="Normal 5 2 2 3 2 8 2" xfId="2234"/>
    <cellStyle name="Normal 5 2 2 3 2 9" xfId="2235"/>
    <cellStyle name="Normal 5 2 2 3 2_II_7_2 Liabilities Fcial interm" xfId="2236"/>
    <cellStyle name="Normal 5 2 2 3 3" xfId="2237"/>
    <cellStyle name="Normal 5 2 2 3 3 2" xfId="2238"/>
    <cellStyle name="Normal 5 2 2 3 3 2 2" xfId="2239"/>
    <cellStyle name="Normal 5 2 2 3 3 2 2 2" xfId="2240"/>
    <cellStyle name="Normal 5 2 2 3 3 2 2_II_7_2 Liabilities Fcial interm" xfId="2241"/>
    <cellStyle name="Normal 5 2 2 3 3 2 3" xfId="2242"/>
    <cellStyle name="Normal 5 2 2 3 3 2 4" xfId="2243"/>
    <cellStyle name="Normal 5 2 2 3 3 2 5" xfId="2244"/>
    <cellStyle name="Normal 5 2 2 3 3 2_II_7_2 Liabilities Fcial interm" xfId="2245"/>
    <cellStyle name="Normal 5 2 2 3 3 3" xfId="2246"/>
    <cellStyle name="Normal 5 2 2 3 3 3 2" xfId="2247"/>
    <cellStyle name="Normal 5 2 2 3 3 3 3" xfId="2248"/>
    <cellStyle name="Normal 5 2 2 3 3 3 4" xfId="2249"/>
    <cellStyle name="Normal 5 2 2 3 3 3_II_7_2 Liabilities Fcial interm" xfId="2250"/>
    <cellStyle name="Normal 5 2 2 3 3 4" xfId="2251"/>
    <cellStyle name="Normal 5 2 2 3 3 4 2" xfId="2252"/>
    <cellStyle name="Normal 5 2 2 3 3 4 3" xfId="2253"/>
    <cellStyle name="Normal 5 2 2 3 3 4 4" xfId="2254"/>
    <cellStyle name="Normal 5 2 2 3 3 4_II_7_2 Liabilities Fcial interm" xfId="2255"/>
    <cellStyle name="Normal 5 2 2 3 3 5" xfId="2256"/>
    <cellStyle name="Normal 5 2 2 3 3 5 2" xfId="2257"/>
    <cellStyle name="Normal 5 2 2 3 3 5 3" xfId="2258"/>
    <cellStyle name="Normal 5 2 2 3 3 5 4" xfId="2259"/>
    <cellStyle name="Normal 5 2 2 3 3 5_II_7_2 Liabilities Fcial interm" xfId="2260"/>
    <cellStyle name="Normal 5 2 2 3 3 6" xfId="2261"/>
    <cellStyle name="Normal 5 2 2 3 3 6 2" xfId="2262"/>
    <cellStyle name="Normal 5 2 2 3 3 6 3" xfId="2263"/>
    <cellStyle name="Normal 5 2 2 3 3 6 4" xfId="2264"/>
    <cellStyle name="Normal 5 2 2 3 3 6_II_7_2 Liabilities Fcial interm" xfId="2265"/>
    <cellStyle name="Normal 5 2 2 3 3 7" xfId="2266"/>
    <cellStyle name="Normal 5 2 2 3 3 7 2" xfId="2267"/>
    <cellStyle name="Normal 5 2 2 3 3 7 3" xfId="2268"/>
    <cellStyle name="Normal 5 2 2 3 3 7_II_7_2 Liabilities Fcial interm" xfId="2269"/>
    <cellStyle name="Normal 5 2 2 3 3 8" xfId="2270"/>
    <cellStyle name="Normal 5 2 2 3 3 8 2" xfId="2271"/>
    <cellStyle name="Normal 5 2 2 3 3 9" xfId="2272"/>
    <cellStyle name="Normal 5 2 2 3 3_II_7_2 Liabilities Fcial interm" xfId="2273"/>
    <cellStyle name="Normal 5 2 2 3 4" xfId="2274"/>
    <cellStyle name="Normal 5 2 2 3 4 2" xfId="2275"/>
    <cellStyle name="Normal 5 2 2 3 4 2 2" xfId="2276"/>
    <cellStyle name="Normal 5 2 2 3 4 2 2 2" xfId="2277"/>
    <cellStyle name="Normal 5 2 2 3 4 2 2_II_7_2 Liabilities Fcial interm" xfId="2278"/>
    <cellStyle name="Normal 5 2 2 3 4 2 3" xfId="2279"/>
    <cellStyle name="Normal 5 2 2 3 4 2 4" xfId="2280"/>
    <cellStyle name="Normal 5 2 2 3 4 2 5" xfId="2281"/>
    <cellStyle name="Normal 5 2 2 3 4 2_II_7_2 Liabilities Fcial interm" xfId="2282"/>
    <cellStyle name="Normal 5 2 2 3 4 3" xfId="2283"/>
    <cellStyle name="Normal 5 2 2 3 4 3 2" xfId="2284"/>
    <cellStyle name="Normal 5 2 2 3 4 3 3" xfId="2285"/>
    <cellStyle name="Normal 5 2 2 3 4 3 4" xfId="2286"/>
    <cellStyle name="Normal 5 2 2 3 4 3_II_7_2 Liabilities Fcial interm" xfId="2287"/>
    <cellStyle name="Normal 5 2 2 3 4 4" xfId="2288"/>
    <cellStyle name="Normal 5 2 2 3 4 4 2" xfId="2289"/>
    <cellStyle name="Normal 5 2 2 3 4 4 3" xfId="2290"/>
    <cellStyle name="Normal 5 2 2 3 4 4 4" xfId="2291"/>
    <cellStyle name="Normal 5 2 2 3 4 4_II_7_2 Liabilities Fcial interm" xfId="2292"/>
    <cellStyle name="Normal 5 2 2 3 4 5" xfId="2293"/>
    <cellStyle name="Normal 5 2 2 3 4 5 2" xfId="2294"/>
    <cellStyle name="Normal 5 2 2 3 4 5 3" xfId="2295"/>
    <cellStyle name="Normal 5 2 2 3 4 5_II_7_2 Liabilities Fcial interm" xfId="2296"/>
    <cellStyle name="Normal 5 2 2 3 4 6" xfId="2297"/>
    <cellStyle name="Normal 5 2 2 3 4 6 2" xfId="2298"/>
    <cellStyle name="Normal 5 2 2 3 4 7" xfId="2299"/>
    <cellStyle name="Normal 5 2 2 3 4_II_7_2 Liabilities Fcial interm" xfId="2300"/>
    <cellStyle name="Normal 5 2 2 3 5" xfId="2301"/>
    <cellStyle name="Normal 5 2 2 3 5 2" xfId="2302"/>
    <cellStyle name="Normal 5 2 2 3 5 2 2" xfId="2303"/>
    <cellStyle name="Normal 5 2 2 3 5 2 3" xfId="2304"/>
    <cellStyle name="Normal 5 2 2 3 5 2_II_7_2 Liabilities Fcial interm" xfId="2305"/>
    <cellStyle name="Normal 5 2 2 3 5 3" xfId="2306"/>
    <cellStyle name="Normal 5 2 2 3 5 3 2" xfId="2307"/>
    <cellStyle name="Normal 5 2 2 3 5 3_II_7_2 Liabilities Fcial interm" xfId="2308"/>
    <cellStyle name="Normal 5 2 2 3 5 4" xfId="2309"/>
    <cellStyle name="Normal 5 2 2 3 5 5" xfId="2310"/>
    <cellStyle name="Normal 5 2 2 3 5_II_7_2 Liabilities Fcial interm" xfId="2311"/>
    <cellStyle name="Normal 5 2 2 3 6" xfId="2312"/>
    <cellStyle name="Normal 5 2 2 3 6 2" xfId="2313"/>
    <cellStyle name="Normal 5 2 2 3 6 2 2" xfId="2314"/>
    <cellStyle name="Normal 5 2 2 3 6 2_II_7_2 Liabilities Fcial interm" xfId="2315"/>
    <cellStyle name="Normal 5 2 2 3 6 3" xfId="2316"/>
    <cellStyle name="Normal 5 2 2 3 6 4" xfId="2317"/>
    <cellStyle name="Normal 5 2 2 3 6_II_7_2 Liabilities Fcial interm" xfId="2318"/>
    <cellStyle name="Normal 5 2 2 3 7" xfId="2319"/>
    <cellStyle name="Normal 5 2 2 3 7 2" xfId="2320"/>
    <cellStyle name="Normal 5 2 2 3 7 3" xfId="2321"/>
    <cellStyle name="Normal 5 2 2 3 7 4" xfId="2322"/>
    <cellStyle name="Normal 5 2 2 3 7_II_7_2 Liabilities Fcial interm" xfId="2323"/>
    <cellStyle name="Normal 5 2 2 3 8" xfId="2324"/>
    <cellStyle name="Normal 5 2 2 3 8 2" xfId="2325"/>
    <cellStyle name="Normal 5 2 2 3 8 3" xfId="2326"/>
    <cellStyle name="Normal 5 2 2 3 8 4" xfId="2327"/>
    <cellStyle name="Normal 5 2 2 3 8_II_7_2 Liabilities Fcial interm" xfId="2328"/>
    <cellStyle name="Normal 5 2 2 3 9" xfId="2329"/>
    <cellStyle name="Normal 5 2 2 3 9 2" xfId="2330"/>
    <cellStyle name="Normal 5 2 2 3 9 3" xfId="2331"/>
    <cellStyle name="Normal 5 2 2 3 9_II_7_2 Liabilities Fcial interm" xfId="2332"/>
    <cellStyle name="Normal 5 2 2 3_II_7_2 Liabilities Fcial interm" xfId="2333"/>
    <cellStyle name="Normal 5 2 3" xfId="2334"/>
    <cellStyle name="Normal 5 2 3 10" xfId="2335"/>
    <cellStyle name="Normal 5 2 3 10 2" xfId="2336"/>
    <cellStyle name="Normal 5 2 3 11" xfId="2337"/>
    <cellStyle name="Normal 5 2 3 12" xfId="2338"/>
    <cellStyle name="Normal 5 2 3 2" xfId="2339"/>
    <cellStyle name="Normal 5 2 3 2 10" xfId="2340"/>
    <cellStyle name="Normal 5 2 3 2 2" xfId="2341"/>
    <cellStyle name="Normal 5 2 3 2 2 2" xfId="2342"/>
    <cellStyle name="Normal 5 2 3 2 2 2 2" xfId="2343"/>
    <cellStyle name="Normal 5 2 3 2 2 2 2 2" xfId="2344"/>
    <cellStyle name="Normal 5 2 3 2 2 2 2_II_7_2 Liabilities Fcial interm" xfId="2345"/>
    <cellStyle name="Normal 5 2 3 2 2 2 3" xfId="2346"/>
    <cellStyle name="Normal 5 2 3 2 2 2 4" xfId="2347"/>
    <cellStyle name="Normal 5 2 3 2 2 2 5" xfId="2348"/>
    <cellStyle name="Normal 5 2 3 2 2 2_II_7_2 Liabilities Fcial interm" xfId="2349"/>
    <cellStyle name="Normal 5 2 3 2 2 3" xfId="2350"/>
    <cellStyle name="Normal 5 2 3 2 2 3 2" xfId="2351"/>
    <cellStyle name="Normal 5 2 3 2 2 3 3" xfId="2352"/>
    <cellStyle name="Normal 5 2 3 2 2 3 4" xfId="2353"/>
    <cellStyle name="Normal 5 2 3 2 2 3_II_7_2 Liabilities Fcial interm" xfId="2354"/>
    <cellStyle name="Normal 5 2 3 2 2 4" xfId="2355"/>
    <cellStyle name="Normal 5 2 3 2 2 4 2" xfId="2356"/>
    <cellStyle name="Normal 5 2 3 2 2 4 3" xfId="2357"/>
    <cellStyle name="Normal 5 2 3 2 2 4 4" xfId="2358"/>
    <cellStyle name="Normal 5 2 3 2 2 4_II_7_2 Liabilities Fcial interm" xfId="2359"/>
    <cellStyle name="Normal 5 2 3 2 2 5" xfId="2360"/>
    <cellStyle name="Normal 5 2 3 2 2 5 2" xfId="2361"/>
    <cellStyle name="Normal 5 2 3 2 2 5 3" xfId="2362"/>
    <cellStyle name="Normal 5 2 3 2 2 5 4" xfId="2363"/>
    <cellStyle name="Normal 5 2 3 2 2 5_II_7_2 Liabilities Fcial interm" xfId="2364"/>
    <cellStyle name="Normal 5 2 3 2 2 6" xfId="2365"/>
    <cellStyle name="Normal 5 2 3 2 2 6 2" xfId="2366"/>
    <cellStyle name="Normal 5 2 3 2 2 6 3" xfId="2367"/>
    <cellStyle name="Normal 5 2 3 2 2 6_II_7_2 Liabilities Fcial interm" xfId="2368"/>
    <cellStyle name="Normal 5 2 3 2 2 7" xfId="2369"/>
    <cellStyle name="Normal 5 2 3 2 2 7 2" xfId="2370"/>
    <cellStyle name="Normal 5 2 3 2 2 8" xfId="2371"/>
    <cellStyle name="Normal 5 2 3 2 2_II_7_2 Liabilities Fcial interm" xfId="2372"/>
    <cellStyle name="Normal 5 2 3 2 3" xfId="2373"/>
    <cellStyle name="Normal 5 2 3 2 3 2" xfId="2374"/>
    <cellStyle name="Normal 5 2 3 2 3 2 2" xfId="2375"/>
    <cellStyle name="Normal 5 2 3 2 3 2 3" xfId="2376"/>
    <cellStyle name="Normal 5 2 3 2 3 2 4" xfId="2377"/>
    <cellStyle name="Normal 5 2 3 2 3 2_II_7_2 Liabilities Fcial interm" xfId="2378"/>
    <cellStyle name="Normal 5 2 3 2 3 3" xfId="2379"/>
    <cellStyle name="Normal 5 2 3 2 3 3 2" xfId="2380"/>
    <cellStyle name="Normal 5 2 3 2 3 3 3" xfId="2381"/>
    <cellStyle name="Normal 5 2 3 2 3 3 4" xfId="2382"/>
    <cellStyle name="Normal 5 2 3 2 3 3_II_7_2 Liabilities Fcial interm" xfId="2383"/>
    <cellStyle name="Normal 5 2 3 2 3 4" xfId="2384"/>
    <cellStyle name="Normal 5 2 3 2 3 4 2" xfId="2385"/>
    <cellStyle name="Normal 5 2 3 2 3 4 3" xfId="2386"/>
    <cellStyle name="Normal 5 2 3 2 3 4 4" xfId="2387"/>
    <cellStyle name="Normal 5 2 3 2 3 4_II_7_2 Liabilities Fcial interm" xfId="2388"/>
    <cellStyle name="Normal 5 2 3 2 3 5" xfId="2389"/>
    <cellStyle name="Normal 5 2 3 2 3 5 2" xfId="2390"/>
    <cellStyle name="Normal 5 2 3 2 3 5 3" xfId="2391"/>
    <cellStyle name="Normal 5 2 3 2 3 5_II_7_2 Liabilities Fcial interm" xfId="2392"/>
    <cellStyle name="Normal 5 2 3 2 3 6" xfId="2393"/>
    <cellStyle name="Normal 5 2 3 2 3 6 2" xfId="2394"/>
    <cellStyle name="Normal 5 2 3 2 3 7" xfId="2395"/>
    <cellStyle name="Normal 5 2 3 2 3_II_7_2 Liabilities Fcial interm" xfId="2396"/>
    <cellStyle name="Normal 5 2 3 2 4" xfId="2397"/>
    <cellStyle name="Normal 5 2 3 2 4 2" xfId="2398"/>
    <cellStyle name="Normal 5 2 3 2 4 2 2" xfId="2399"/>
    <cellStyle name="Normal 5 2 3 2 4 2 3" xfId="2400"/>
    <cellStyle name="Normal 5 2 3 2 4 2_II_7_2 Liabilities Fcial interm" xfId="2401"/>
    <cellStyle name="Normal 5 2 3 2 4 3" xfId="2402"/>
    <cellStyle name="Normal 5 2 3 2 4 3 2" xfId="2403"/>
    <cellStyle name="Normal 5 2 3 2 4 4" xfId="2404"/>
    <cellStyle name="Normal 5 2 3 2 4_II_7_2 Liabilities Fcial interm" xfId="2405"/>
    <cellStyle name="Normal 5 2 3 2 5" xfId="2406"/>
    <cellStyle name="Normal 5 2 3 2 5 2" xfId="2407"/>
    <cellStyle name="Normal 5 2 3 2 5 2 2" xfId="2408"/>
    <cellStyle name="Normal 5 2 3 2 5 2_II_7_2 Liabilities Fcial interm" xfId="2409"/>
    <cellStyle name="Normal 5 2 3 2 5 3" xfId="2410"/>
    <cellStyle name="Normal 5 2 3 2 5 4" xfId="2411"/>
    <cellStyle name="Normal 5 2 3 2 5_II_7_2 Liabilities Fcial interm" xfId="2412"/>
    <cellStyle name="Normal 5 2 3 2 6" xfId="2413"/>
    <cellStyle name="Normal 5 2 3 2 6 2" xfId="2414"/>
    <cellStyle name="Normal 5 2 3 2 6 3" xfId="2415"/>
    <cellStyle name="Normal 5 2 3 2 6 4" xfId="2416"/>
    <cellStyle name="Normal 5 2 3 2 6_II_7_2 Liabilities Fcial interm" xfId="2417"/>
    <cellStyle name="Normal 5 2 3 2 7" xfId="2418"/>
    <cellStyle name="Normal 5 2 3 2 7 2" xfId="2419"/>
    <cellStyle name="Normal 5 2 3 2 7 3" xfId="2420"/>
    <cellStyle name="Normal 5 2 3 2 7_II_7_2 Liabilities Fcial interm" xfId="2421"/>
    <cellStyle name="Normal 5 2 3 2 8" xfId="2422"/>
    <cellStyle name="Normal 5 2 3 2 8 2" xfId="2423"/>
    <cellStyle name="Normal 5 2 3 2 9" xfId="2424"/>
    <cellStyle name="Normal 5 2 3 2_II_7_2 Liabilities Fcial interm" xfId="2425"/>
    <cellStyle name="Normal 5 2 3 3" xfId="2426"/>
    <cellStyle name="Normal 5 2 3 3 2" xfId="2427"/>
    <cellStyle name="Normal 5 2 3 3 2 2" xfId="2428"/>
    <cellStyle name="Normal 5 2 3 3 2 2 2" xfId="2429"/>
    <cellStyle name="Normal 5 2 3 3 2 2_II_7_2 Liabilities Fcial interm" xfId="2430"/>
    <cellStyle name="Normal 5 2 3 3 2 3" xfId="2431"/>
    <cellStyle name="Normal 5 2 3 3 2 4" xfId="2432"/>
    <cellStyle name="Normal 5 2 3 3 2 5" xfId="2433"/>
    <cellStyle name="Normal 5 2 3 3 2_II_7_2 Liabilities Fcial interm" xfId="2434"/>
    <cellStyle name="Normal 5 2 3 3 3" xfId="2435"/>
    <cellStyle name="Normal 5 2 3 3 3 2" xfId="2436"/>
    <cellStyle name="Normal 5 2 3 3 3 3" xfId="2437"/>
    <cellStyle name="Normal 5 2 3 3 3 4" xfId="2438"/>
    <cellStyle name="Normal 5 2 3 3 3_II_7_2 Liabilities Fcial interm" xfId="2439"/>
    <cellStyle name="Normal 5 2 3 3 4" xfId="2440"/>
    <cellStyle name="Normal 5 2 3 3 4 2" xfId="2441"/>
    <cellStyle name="Normal 5 2 3 3 4 3" xfId="2442"/>
    <cellStyle name="Normal 5 2 3 3 4 4" xfId="2443"/>
    <cellStyle name="Normal 5 2 3 3 4_II_7_2 Liabilities Fcial interm" xfId="2444"/>
    <cellStyle name="Normal 5 2 3 3 5" xfId="2445"/>
    <cellStyle name="Normal 5 2 3 3 5 2" xfId="2446"/>
    <cellStyle name="Normal 5 2 3 3 5 3" xfId="2447"/>
    <cellStyle name="Normal 5 2 3 3 5 4" xfId="2448"/>
    <cellStyle name="Normal 5 2 3 3 5_II_7_2 Liabilities Fcial interm" xfId="2449"/>
    <cellStyle name="Normal 5 2 3 3 6" xfId="2450"/>
    <cellStyle name="Normal 5 2 3 3 6 2" xfId="2451"/>
    <cellStyle name="Normal 5 2 3 3 6 3" xfId="2452"/>
    <cellStyle name="Normal 5 2 3 3 6 4" xfId="2453"/>
    <cellStyle name="Normal 5 2 3 3 6_II_7_2 Liabilities Fcial interm" xfId="2454"/>
    <cellStyle name="Normal 5 2 3 3 7" xfId="2455"/>
    <cellStyle name="Normal 5 2 3 3 7 2" xfId="2456"/>
    <cellStyle name="Normal 5 2 3 3 7 3" xfId="2457"/>
    <cellStyle name="Normal 5 2 3 3 7_II_7_2 Liabilities Fcial interm" xfId="2458"/>
    <cellStyle name="Normal 5 2 3 3 8" xfId="2459"/>
    <cellStyle name="Normal 5 2 3 3 8 2" xfId="2460"/>
    <cellStyle name="Normal 5 2 3 3 9" xfId="2461"/>
    <cellStyle name="Normal 5 2 3 3_II_7_2 Liabilities Fcial interm" xfId="2462"/>
    <cellStyle name="Normal 5 2 3 4" xfId="2463"/>
    <cellStyle name="Normal 5 2 3 4 2" xfId="2464"/>
    <cellStyle name="Normal 5 2 3 4 2 2" xfId="2465"/>
    <cellStyle name="Normal 5 2 3 4 2 2 2" xfId="2466"/>
    <cellStyle name="Normal 5 2 3 4 2 2_II_7_2 Liabilities Fcial interm" xfId="2467"/>
    <cellStyle name="Normal 5 2 3 4 2 3" xfId="2468"/>
    <cellStyle name="Normal 5 2 3 4 2 4" xfId="2469"/>
    <cellStyle name="Normal 5 2 3 4 2 5" xfId="2470"/>
    <cellStyle name="Normal 5 2 3 4 2_II_7_2 Liabilities Fcial interm" xfId="2471"/>
    <cellStyle name="Normal 5 2 3 4 3" xfId="2472"/>
    <cellStyle name="Normal 5 2 3 4 3 2" xfId="2473"/>
    <cellStyle name="Normal 5 2 3 4 3 3" xfId="2474"/>
    <cellStyle name="Normal 5 2 3 4 3 4" xfId="2475"/>
    <cellStyle name="Normal 5 2 3 4 3_II_7_2 Liabilities Fcial interm" xfId="2476"/>
    <cellStyle name="Normal 5 2 3 4 4" xfId="2477"/>
    <cellStyle name="Normal 5 2 3 4 4 2" xfId="2478"/>
    <cellStyle name="Normal 5 2 3 4 4 3" xfId="2479"/>
    <cellStyle name="Normal 5 2 3 4 4 4" xfId="2480"/>
    <cellStyle name="Normal 5 2 3 4 4_II_7_2 Liabilities Fcial interm" xfId="2481"/>
    <cellStyle name="Normal 5 2 3 4 5" xfId="2482"/>
    <cellStyle name="Normal 5 2 3 4 5 2" xfId="2483"/>
    <cellStyle name="Normal 5 2 3 4 5 3" xfId="2484"/>
    <cellStyle name="Normal 5 2 3 4 5_II_7_2 Liabilities Fcial interm" xfId="2485"/>
    <cellStyle name="Normal 5 2 3 4 6" xfId="2486"/>
    <cellStyle name="Normal 5 2 3 4 6 2" xfId="2487"/>
    <cellStyle name="Normal 5 2 3 4 7" xfId="2488"/>
    <cellStyle name="Normal 5 2 3 4_II_7_2 Liabilities Fcial interm" xfId="2489"/>
    <cellStyle name="Normal 5 2 3 5" xfId="2490"/>
    <cellStyle name="Normal 5 2 3 5 2" xfId="2491"/>
    <cellStyle name="Normal 5 2 3 5 2 2" xfId="2492"/>
    <cellStyle name="Normal 5 2 3 5 2 3" xfId="2493"/>
    <cellStyle name="Normal 5 2 3 5 2_II_7_2 Liabilities Fcial interm" xfId="2494"/>
    <cellStyle name="Normal 5 2 3 5 3" xfId="2495"/>
    <cellStyle name="Normal 5 2 3 5 3 2" xfId="2496"/>
    <cellStyle name="Normal 5 2 3 5 3_II_7_2 Liabilities Fcial interm" xfId="2497"/>
    <cellStyle name="Normal 5 2 3 5 4" xfId="2498"/>
    <cellStyle name="Normal 5 2 3 5 5" xfId="2499"/>
    <cellStyle name="Normal 5 2 3 5_II_7_2 Liabilities Fcial interm" xfId="2500"/>
    <cellStyle name="Normal 5 2 3 6" xfId="2501"/>
    <cellStyle name="Normal 5 2 3 6 2" xfId="2502"/>
    <cellStyle name="Normal 5 2 3 6 2 2" xfId="2503"/>
    <cellStyle name="Normal 5 2 3 6 2_II_7_2 Liabilities Fcial interm" xfId="2504"/>
    <cellStyle name="Normal 5 2 3 6 3" xfId="2505"/>
    <cellStyle name="Normal 5 2 3 6 4" xfId="2506"/>
    <cellStyle name="Normal 5 2 3 6_II_7_2 Liabilities Fcial interm" xfId="2507"/>
    <cellStyle name="Normal 5 2 3 7" xfId="2508"/>
    <cellStyle name="Normal 5 2 3 7 2" xfId="2509"/>
    <cellStyle name="Normal 5 2 3 7 3" xfId="2510"/>
    <cellStyle name="Normal 5 2 3 7 4" xfId="2511"/>
    <cellStyle name="Normal 5 2 3 7_II_7_2 Liabilities Fcial interm" xfId="2512"/>
    <cellStyle name="Normal 5 2 3 8" xfId="2513"/>
    <cellStyle name="Normal 5 2 3 8 2" xfId="2514"/>
    <cellStyle name="Normal 5 2 3 8 3" xfId="2515"/>
    <cellStyle name="Normal 5 2 3 8 4" xfId="2516"/>
    <cellStyle name="Normal 5 2 3 8_II_7_2 Liabilities Fcial interm" xfId="2517"/>
    <cellStyle name="Normal 5 2 3 9" xfId="2518"/>
    <cellStyle name="Normal 5 2 3 9 2" xfId="2519"/>
    <cellStyle name="Normal 5 2 3 9 3" xfId="2520"/>
    <cellStyle name="Normal 5 2 3 9_II_7_2 Liabilities Fcial interm" xfId="2521"/>
    <cellStyle name="Normal 5 2 3_II_7_2 Liabilities Fcial interm" xfId="2522"/>
    <cellStyle name="Normal 5 2 4" xfId="2523"/>
    <cellStyle name="Normal 5 2 4 10" xfId="2524"/>
    <cellStyle name="Normal 5 2 4 10 2" xfId="2525"/>
    <cellStyle name="Normal 5 2 4 11" xfId="2526"/>
    <cellStyle name="Normal 5 2 4 12" xfId="2527"/>
    <cellStyle name="Normal 5 2 4 2" xfId="2528"/>
    <cellStyle name="Normal 5 2 4 2 10" xfId="2529"/>
    <cellStyle name="Normal 5 2 4 2 2" xfId="2530"/>
    <cellStyle name="Normal 5 2 4 2 2 2" xfId="2531"/>
    <cellStyle name="Normal 5 2 4 2 2 2 2" xfId="2532"/>
    <cellStyle name="Normal 5 2 4 2 2 2 2 2" xfId="2533"/>
    <cellStyle name="Normal 5 2 4 2 2 2 2_II_7_2 Liabilities Fcial interm" xfId="2534"/>
    <cellStyle name="Normal 5 2 4 2 2 2 3" xfId="2535"/>
    <cellStyle name="Normal 5 2 4 2 2 2 4" xfId="2536"/>
    <cellStyle name="Normal 5 2 4 2 2 2 5" xfId="2537"/>
    <cellStyle name="Normal 5 2 4 2 2 2_II_7_2 Liabilities Fcial interm" xfId="2538"/>
    <cellStyle name="Normal 5 2 4 2 2 3" xfId="2539"/>
    <cellStyle name="Normal 5 2 4 2 2 3 2" xfId="2540"/>
    <cellStyle name="Normal 5 2 4 2 2 3 3" xfId="2541"/>
    <cellStyle name="Normal 5 2 4 2 2 3 4" xfId="2542"/>
    <cellStyle name="Normal 5 2 4 2 2 3_II_7_2 Liabilities Fcial interm" xfId="2543"/>
    <cellStyle name="Normal 5 2 4 2 2 4" xfId="2544"/>
    <cellStyle name="Normal 5 2 4 2 2 4 2" xfId="2545"/>
    <cellStyle name="Normal 5 2 4 2 2 4 3" xfId="2546"/>
    <cellStyle name="Normal 5 2 4 2 2 4 4" xfId="2547"/>
    <cellStyle name="Normal 5 2 4 2 2 4_II_7_2 Liabilities Fcial interm" xfId="2548"/>
    <cellStyle name="Normal 5 2 4 2 2 5" xfId="2549"/>
    <cellStyle name="Normal 5 2 4 2 2 5 2" xfId="2550"/>
    <cellStyle name="Normal 5 2 4 2 2 5 3" xfId="2551"/>
    <cellStyle name="Normal 5 2 4 2 2 5 4" xfId="2552"/>
    <cellStyle name="Normal 5 2 4 2 2 5_II_7_2 Liabilities Fcial interm" xfId="2553"/>
    <cellStyle name="Normal 5 2 4 2 2 6" xfId="2554"/>
    <cellStyle name="Normal 5 2 4 2 2 6 2" xfId="2555"/>
    <cellStyle name="Normal 5 2 4 2 2 6 3" xfId="2556"/>
    <cellStyle name="Normal 5 2 4 2 2 6_II_7_2 Liabilities Fcial interm" xfId="2557"/>
    <cellStyle name="Normal 5 2 4 2 2 7" xfId="2558"/>
    <cellStyle name="Normal 5 2 4 2 2 7 2" xfId="2559"/>
    <cellStyle name="Normal 5 2 4 2 2 8" xfId="2560"/>
    <cellStyle name="Normal 5 2 4 2 2_II_7_2 Liabilities Fcial interm" xfId="2561"/>
    <cellStyle name="Normal 5 2 4 2 3" xfId="2562"/>
    <cellStyle name="Normal 5 2 4 2 3 2" xfId="2563"/>
    <cellStyle name="Normal 5 2 4 2 3 2 2" xfId="2564"/>
    <cellStyle name="Normal 5 2 4 2 3 2 3" xfId="2565"/>
    <cellStyle name="Normal 5 2 4 2 3 2 4" xfId="2566"/>
    <cellStyle name="Normal 5 2 4 2 3 2_II_7_2 Liabilities Fcial interm" xfId="2567"/>
    <cellStyle name="Normal 5 2 4 2 3 3" xfId="2568"/>
    <cellStyle name="Normal 5 2 4 2 3 3 2" xfId="2569"/>
    <cellStyle name="Normal 5 2 4 2 3 3 3" xfId="2570"/>
    <cellStyle name="Normal 5 2 4 2 3 3 4" xfId="2571"/>
    <cellStyle name="Normal 5 2 4 2 3 3_II_7_2 Liabilities Fcial interm" xfId="2572"/>
    <cellStyle name="Normal 5 2 4 2 3 4" xfId="2573"/>
    <cellStyle name="Normal 5 2 4 2 3 4 2" xfId="2574"/>
    <cellStyle name="Normal 5 2 4 2 3 4 3" xfId="2575"/>
    <cellStyle name="Normal 5 2 4 2 3 4 4" xfId="2576"/>
    <cellStyle name="Normal 5 2 4 2 3 4_II_7_2 Liabilities Fcial interm" xfId="2577"/>
    <cellStyle name="Normal 5 2 4 2 3 5" xfId="2578"/>
    <cellStyle name="Normal 5 2 4 2 3 5 2" xfId="2579"/>
    <cellStyle name="Normal 5 2 4 2 3 5 3" xfId="2580"/>
    <cellStyle name="Normal 5 2 4 2 3 5_II_7_2 Liabilities Fcial interm" xfId="2581"/>
    <cellStyle name="Normal 5 2 4 2 3 6" xfId="2582"/>
    <cellStyle name="Normal 5 2 4 2 3 6 2" xfId="2583"/>
    <cellStyle name="Normal 5 2 4 2 3 7" xfId="2584"/>
    <cellStyle name="Normal 5 2 4 2 3_II_7_2 Liabilities Fcial interm" xfId="2585"/>
    <cellStyle name="Normal 5 2 4 2 4" xfId="2586"/>
    <cellStyle name="Normal 5 2 4 2 4 2" xfId="2587"/>
    <cellStyle name="Normal 5 2 4 2 4 2 2" xfId="2588"/>
    <cellStyle name="Normal 5 2 4 2 4 2 3" xfId="2589"/>
    <cellStyle name="Normal 5 2 4 2 4 2_II_7_2 Liabilities Fcial interm" xfId="2590"/>
    <cellStyle name="Normal 5 2 4 2 4 3" xfId="2591"/>
    <cellStyle name="Normal 5 2 4 2 4 3 2" xfId="2592"/>
    <cellStyle name="Normal 5 2 4 2 4 4" xfId="2593"/>
    <cellStyle name="Normal 5 2 4 2 4_II_7_2 Liabilities Fcial interm" xfId="2594"/>
    <cellStyle name="Normal 5 2 4 2 5" xfId="2595"/>
    <cellStyle name="Normal 5 2 4 2 5 2" xfId="2596"/>
    <cellStyle name="Normal 5 2 4 2 5 2 2" xfId="2597"/>
    <cellStyle name="Normal 5 2 4 2 5 2_II_7_2 Liabilities Fcial interm" xfId="2598"/>
    <cellStyle name="Normal 5 2 4 2 5 3" xfId="2599"/>
    <cellStyle name="Normal 5 2 4 2 5 4" xfId="2600"/>
    <cellStyle name="Normal 5 2 4 2 5_II_7_2 Liabilities Fcial interm" xfId="2601"/>
    <cellStyle name="Normal 5 2 4 2 6" xfId="2602"/>
    <cellStyle name="Normal 5 2 4 2 6 2" xfId="2603"/>
    <cellStyle name="Normal 5 2 4 2 6 3" xfId="2604"/>
    <cellStyle name="Normal 5 2 4 2 6 4" xfId="2605"/>
    <cellStyle name="Normal 5 2 4 2 6_II_7_2 Liabilities Fcial interm" xfId="2606"/>
    <cellStyle name="Normal 5 2 4 2 7" xfId="2607"/>
    <cellStyle name="Normal 5 2 4 2 7 2" xfId="2608"/>
    <cellStyle name="Normal 5 2 4 2 7 3" xfId="2609"/>
    <cellStyle name="Normal 5 2 4 2 7_II_7_2 Liabilities Fcial interm" xfId="2610"/>
    <cellStyle name="Normal 5 2 4 2 8" xfId="2611"/>
    <cellStyle name="Normal 5 2 4 2 8 2" xfId="2612"/>
    <cellStyle name="Normal 5 2 4 2 9" xfId="2613"/>
    <cellStyle name="Normal 5 2 4 2_II_7_2 Liabilities Fcial interm" xfId="2614"/>
    <cellStyle name="Normal 5 2 4 3" xfId="2615"/>
    <cellStyle name="Normal 5 2 4 3 2" xfId="2616"/>
    <cellStyle name="Normal 5 2 4 3 2 2" xfId="2617"/>
    <cellStyle name="Normal 5 2 4 3 2 2 2" xfId="2618"/>
    <cellStyle name="Normal 5 2 4 3 2 2_II_7_2 Liabilities Fcial interm" xfId="2619"/>
    <cellStyle name="Normal 5 2 4 3 2 3" xfId="2620"/>
    <cellStyle name="Normal 5 2 4 3 2 4" xfId="2621"/>
    <cellStyle name="Normal 5 2 4 3 2 5" xfId="2622"/>
    <cellStyle name="Normal 5 2 4 3 2_II_7_2 Liabilities Fcial interm" xfId="2623"/>
    <cellStyle name="Normal 5 2 4 3 3" xfId="2624"/>
    <cellStyle name="Normal 5 2 4 3 3 2" xfId="2625"/>
    <cellStyle name="Normal 5 2 4 3 3 3" xfId="2626"/>
    <cellStyle name="Normal 5 2 4 3 3 4" xfId="2627"/>
    <cellStyle name="Normal 5 2 4 3 3_II_7_2 Liabilities Fcial interm" xfId="2628"/>
    <cellStyle name="Normal 5 2 4 3 4" xfId="2629"/>
    <cellStyle name="Normal 5 2 4 3 4 2" xfId="2630"/>
    <cellStyle name="Normal 5 2 4 3 4 3" xfId="2631"/>
    <cellStyle name="Normal 5 2 4 3 4 4" xfId="2632"/>
    <cellStyle name="Normal 5 2 4 3 4_II_7_2 Liabilities Fcial interm" xfId="2633"/>
    <cellStyle name="Normal 5 2 4 3 5" xfId="2634"/>
    <cellStyle name="Normal 5 2 4 3 5 2" xfId="2635"/>
    <cellStyle name="Normal 5 2 4 3 5 3" xfId="2636"/>
    <cellStyle name="Normal 5 2 4 3 5 4" xfId="2637"/>
    <cellStyle name="Normal 5 2 4 3 5_II_7_2 Liabilities Fcial interm" xfId="2638"/>
    <cellStyle name="Normal 5 2 4 3 6" xfId="2639"/>
    <cellStyle name="Normal 5 2 4 3 6 2" xfId="2640"/>
    <cellStyle name="Normal 5 2 4 3 6 3" xfId="2641"/>
    <cellStyle name="Normal 5 2 4 3 6 4" xfId="2642"/>
    <cellStyle name="Normal 5 2 4 3 6_II_7_2 Liabilities Fcial interm" xfId="2643"/>
    <cellStyle name="Normal 5 2 4 3 7" xfId="2644"/>
    <cellStyle name="Normal 5 2 4 3 7 2" xfId="2645"/>
    <cellStyle name="Normal 5 2 4 3 7 3" xfId="2646"/>
    <cellStyle name="Normal 5 2 4 3 7_II_7_2 Liabilities Fcial interm" xfId="2647"/>
    <cellStyle name="Normal 5 2 4 3 8" xfId="2648"/>
    <cellStyle name="Normal 5 2 4 3 8 2" xfId="2649"/>
    <cellStyle name="Normal 5 2 4 3 9" xfId="2650"/>
    <cellStyle name="Normal 5 2 4 3_II_7_2 Liabilities Fcial interm" xfId="2651"/>
    <cellStyle name="Normal 5 2 4 4" xfId="2652"/>
    <cellStyle name="Normal 5 2 4 4 2" xfId="2653"/>
    <cellStyle name="Normal 5 2 4 4 2 2" xfId="2654"/>
    <cellStyle name="Normal 5 2 4 4 2 2 2" xfId="2655"/>
    <cellStyle name="Normal 5 2 4 4 2 2_II_7_2 Liabilities Fcial interm" xfId="2656"/>
    <cellStyle name="Normal 5 2 4 4 2 3" xfId="2657"/>
    <cellStyle name="Normal 5 2 4 4 2 4" xfId="2658"/>
    <cellStyle name="Normal 5 2 4 4 2 5" xfId="2659"/>
    <cellStyle name="Normal 5 2 4 4 2_II_7_2 Liabilities Fcial interm" xfId="2660"/>
    <cellStyle name="Normal 5 2 4 4 3" xfId="2661"/>
    <cellStyle name="Normal 5 2 4 4 3 2" xfId="2662"/>
    <cellStyle name="Normal 5 2 4 4 3 3" xfId="2663"/>
    <cellStyle name="Normal 5 2 4 4 3 4" xfId="2664"/>
    <cellStyle name="Normal 5 2 4 4 3_II_7_2 Liabilities Fcial interm" xfId="2665"/>
    <cellStyle name="Normal 5 2 4 4 4" xfId="2666"/>
    <cellStyle name="Normal 5 2 4 4 4 2" xfId="2667"/>
    <cellStyle name="Normal 5 2 4 4 4 3" xfId="2668"/>
    <cellStyle name="Normal 5 2 4 4 4 4" xfId="2669"/>
    <cellStyle name="Normal 5 2 4 4 4_II_7_2 Liabilities Fcial interm" xfId="2670"/>
    <cellStyle name="Normal 5 2 4 4 5" xfId="2671"/>
    <cellStyle name="Normal 5 2 4 4 5 2" xfId="2672"/>
    <cellStyle name="Normal 5 2 4 4 5 3" xfId="2673"/>
    <cellStyle name="Normal 5 2 4 4 5_II_7_2 Liabilities Fcial interm" xfId="2674"/>
    <cellStyle name="Normal 5 2 4 4 6" xfId="2675"/>
    <cellStyle name="Normal 5 2 4 4 6 2" xfId="2676"/>
    <cellStyle name="Normal 5 2 4 4 7" xfId="2677"/>
    <cellStyle name="Normal 5 2 4 4_II_7_2 Liabilities Fcial interm" xfId="2678"/>
    <cellStyle name="Normal 5 2 4 5" xfId="2679"/>
    <cellStyle name="Normal 5 2 4 5 2" xfId="2680"/>
    <cellStyle name="Normal 5 2 4 5 2 2" xfId="2681"/>
    <cellStyle name="Normal 5 2 4 5 2 3" xfId="2682"/>
    <cellStyle name="Normal 5 2 4 5 2_II_7_2 Liabilities Fcial interm" xfId="2683"/>
    <cellStyle name="Normal 5 2 4 5 3" xfId="2684"/>
    <cellStyle name="Normal 5 2 4 5 3 2" xfId="2685"/>
    <cellStyle name="Normal 5 2 4 5 3_II_7_2 Liabilities Fcial interm" xfId="2686"/>
    <cellStyle name="Normal 5 2 4 5 4" xfId="2687"/>
    <cellStyle name="Normal 5 2 4 5 5" xfId="2688"/>
    <cellStyle name="Normal 5 2 4 5_II_7_2 Liabilities Fcial interm" xfId="2689"/>
    <cellStyle name="Normal 5 2 4 6" xfId="2690"/>
    <cellStyle name="Normal 5 2 4 6 2" xfId="2691"/>
    <cellStyle name="Normal 5 2 4 6 2 2" xfId="2692"/>
    <cellStyle name="Normal 5 2 4 6 2_II_7_2 Liabilities Fcial interm" xfId="2693"/>
    <cellStyle name="Normal 5 2 4 6 3" xfId="2694"/>
    <cellStyle name="Normal 5 2 4 6 4" xfId="2695"/>
    <cellStyle name="Normal 5 2 4 6_II_7_2 Liabilities Fcial interm" xfId="2696"/>
    <cellStyle name="Normal 5 2 4 7" xfId="2697"/>
    <cellStyle name="Normal 5 2 4 7 2" xfId="2698"/>
    <cellStyle name="Normal 5 2 4 7 3" xfId="2699"/>
    <cellStyle name="Normal 5 2 4 7 4" xfId="2700"/>
    <cellStyle name="Normal 5 2 4 7_II_7_2 Liabilities Fcial interm" xfId="2701"/>
    <cellStyle name="Normal 5 2 4 8" xfId="2702"/>
    <cellStyle name="Normal 5 2 4 8 2" xfId="2703"/>
    <cellStyle name="Normal 5 2 4 8 3" xfId="2704"/>
    <cellStyle name="Normal 5 2 4 8 4" xfId="2705"/>
    <cellStyle name="Normal 5 2 4 8_II_7_2 Liabilities Fcial interm" xfId="2706"/>
    <cellStyle name="Normal 5 2 4 9" xfId="2707"/>
    <cellStyle name="Normal 5 2 4 9 2" xfId="2708"/>
    <cellStyle name="Normal 5 2 4 9 3" xfId="2709"/>
    <cellStyle name="Normal 5 2 4 9_II_7_2 Liabilities Fcial interm" xfId="2710"/>
    <cellStyle name="Normal 5 2 4_II_7_2 Liabilities Fcial interm" xfId="2711"/>
    <cellStyle name="Normal 5 3" xfId="2712"/>
    <cellStyle name="Normal 5 3 2" xfId="2713"/>
    <cellStyle name="Normal 5 3 2 10" xfId="2714"/>
    <cellStyle name="Normal 5 3 2 10 2" xfId="2715"/>
    <cellStyle name="Normal 5 3 2 10 3" xfId="2716"/>
    <cellStyle name="Normal 5 3 2 10_II_7_2 Liabilities Fcial interm" xfId="2717"/>
    <cellStyle name="Normal 5 3 2 11" xfId="2718"/>
    <cellStyle name="Normal 5 3 2 11 2" xfId="2719"/>
    <cellStyle name="Normal 5 3 2 12" xfId="2720"/>
    <cellStyle name="Normal 5 3 2 13" xfId="2721"/>
    <cellStyle name="Normal 5 3 2 2" xfId="2722"/>
    <cellStyle name="Normal 5 3 2 2 10" xfId="2723"/>
    <cellStyle name="Normal 5 3 2 2 10 2" xfId="2724"/>
    <cellStyle name="Normal 5 3 2 2 11" xfId="2725"/>
    <cellStyle name="Normal 5 3 2 2 12" xfId="2726"/>
    <cellStyle name="Normal 5 3 2 2 2" xfId="2727"/>
    <cellStyle name="Normal 5 3 2 2 2 10" xfId="2728"/>
    <cellStyle name="Normal 5 3 2 2 2 2" xfId="2729"/>
    <cellStyle name="Normal 5 3 2 2 2 2 2" xfId="2730"/>
    <cellStyle name="Normal 5 3 2 2 2 2 2 2" xfId="2731"/>
    <cellStyle name="Normal 5 3 2 2 2 2 2 2 2" xfId="2732"/>
    <cellStyle name="Normal 5 3 2 2 2 2 2 2_II_7_2 Liabilities Fcial interm" xfId="2733"/>
    <cellStyle name="Normal 5 3 2 2 2 2 2 3" xfId="2734"/>
    <cellStyle name="Normal 5 3 2 2 2 2 2 4" xfId="2735"/>
    <cellStyle name="Normal 5 3 2 2 2 2 2 5" xfId="2736"/>
    <cellStyle name="Normal 5 3 2 2 2 2 2_II_7_2 Liabilities Fcial interm" xfId="2737"/>
    <cellStyle name="Normal 5 3 2 2 2 2 3" xfId="2738"/>
    <cellStyle name="Normal 5 3 2 2 2 2 3 2" xfId="2739"/>
    <cellStyle name="Normal 5 3 2 2 2 2 3 3" xfId="2740"/>
    <cellStyle name="Normal 5 3 2 2 2 2 3 4" xfId="2741"/>
    <cellStyle name="Normal 5 3 2 2 2 2 3_II_7_2 Liabilities Fcial interm" xfId="2742"/>
    <cellStyle name="Normal 5 3 2 2 2 2 4" xfId="2743"/>
    <cellStyle name="Normal 5 3 2 2 2 2 4 2" xfId="2744"/>
    <cellStyle name="Normal 5 3 2 2 2 2 4 3" xfId="2745"/>
    <cellStyle name="Normal 5 3 2 2 2 2 4 4" xfId="2746"/>
    <cellStyle name="Normal 5 3 2 2 2 2 4_II_7_2 Liabilities Fcial interm" xfId="2747"/>
    <cellStyle name="Normal 5 3 2 2 2 2 5" xfId="2748"/>
    <cellStyle name="Normal 5 3 2 2 2 2 5 2" xfId="2749"/>
    <cellStyle name="Normal 5 3 2 2 2 2 5 3" xfId="2750"/>
    <cellStyle name="Normal 5 3 2 2 2 2 5 4" xfId="2751"/>
    <cellStyle name="Normal 5 3 2 2 2 2 5_II_7_2 Liabilities Fcial interm" xfId="2752"/>
    <cellStyle name="Normal 5 3 2 2 2 2 6" xfId="2753"/>
    <cellStyle name="Normal 5 3 2 2 2 2 6 2" xfId="2754"/>
    <cellStyle name="Normal 5 3 2 2 2 2 6 3" xfId="2755"/>
    <cellStyle name="Normal 5 3 2 2 2 2 6_II_7_2 Liabilities Fcial interm" xfId="2756"/>
    <cellStyle name="Normal 5 3 2 2 2 2 7" xfId="2757"/>
    <cellStyle name="Normal 5 3 2 2 2 2 7 2" xfId="2758"/>
    <cellStyle name="Normal 5 3 2 2 2 2 8" xfId="2759"/>
    <cellStyle name="Normal 5 3 2 2 2 2_II_7_2 Liabilities Fcial interm" xfId="2760"/>
    <cellStyle name="Normal 5 3 2 2 2 3" xfId="2761"/>
    <cellStyle name="Normal 5 3 2 2 2 3 2" xfId="2762"/>
    <cellStyle name="Normal 5 3 2 2 2 3 2 2" xfId="2763"/>
    <cellStyle name="Normal 5 3 2 2 2 3 2 3" xfId="2764"/>
    <cellStyle name="Normal 5 3 2 2 2 3 2 4" xfId="2765"/>
    <cellStyle name="Normal 5 3 2 2 2 3 2_II_7_2 Liabilities Fcial interm" xfId="2766"/>
    <cellStyle name="Normal 5 3 2 2 2 3 3" xfId="2767"/>
    <cellStyle name="Normal 5 3 2 2 2 3 3 2" xfId="2768"/>
    <cellStyle name="Normal 5 3 2 2 2 3 3 3" xfId="2769"/>
    <cellStyle name="Normal 5 3 2 2 2 3 3 4" xfId="2770"/>
    <cellStyle name="Normal 5 3 2 2 2 3 3_II_7_2 Liabilities Fcial interm" xfId="2771"/>
    <cellStyle name="Normal 5 3 2 2 2 3 4" xfId="2772"/>
    <cellStyle name="Normal 5 3 2 2 2 3 4 2" xfId="2773"/>
    <cellStyle name="Normal 5 3 2 2 2 3 4 3" xfId="2774"/>
    <cellStyle name="Normal 5 3 2 2 2 3 4 4" xfId="2775"/>
    <cellStyle name="Normal 5 3 2 2 2 3 4_II_7_2 Liabilities Fcial interm" xfId="2776"/>
    <cellStyle name="Normal 5 3 2 2 2 3 5" xfId="2777"/>
    <cellStyle name="Normal 5 3 2 2 2 3 5 2" xfId="2778"/>
    <cellStyle name="Normal 5 3 2 2 2 3 5 3" xfId="2779"/>
    <cellStyle name="Normal 5 3 2 2 2 3 5_II_7_2 Liabilities Fcial interm" xfId="2780"/>
    <cellStyle name="Normal 5 3 2 2 2 3 6" xfId="2781"/>
    <cellStyle name="Normal 5 3 2 2 2 3 6 2" xfId="2782"/>
    <cellStyle name="Normal 5 3 2 2 2 3 7" xfId="2783"/>
    <cellStyle name="Normal 5 3 2 2 2 3_II_7_2 Liabilities Fcial interm" xfId="2784"/>
    <cellStyle name="Normal 5 3 2 2 2 4" xfId="2785"/>
    <cellStyle name="Normal 5 3 2 2 2 4 2" xfId="2786"/>
    <cellStyle name="Normal 5 3 2 2 2 4 2 2" xfId="2787"/>
    <cellStyle name="Normal 5 3 2 2 2 4 2 3" xfId="2788"/>
    <cellStyle name="Normal 5 3 2 2 2 4 2_II_7_2 Liabilities Fcial interm" xfId="2789"/>
    <cellStyle name="Normal 5 3 2 2 2 4 3" xfId="2790"/>
    <cellStyle name="Normal 5 3 2 2 2 4 3 2" xfId="2791"/>
    <cellStyle name="Normal 5 3 2 2 2 4 4" xfId="2792"/>
    <cellStyle name="Normal 5 3 2 2 2 4_II_7_2 Liabilities Fcial interm" xfId="2793"/>
    <cellStyle name="Normal 5 3 2 2 2 5" xfId="2794"/>
    <cellStyle name="Normal 5 3 2 2 2 5 2" xfId="2795"/>
    <cellStyle name="Normal 5 3 2 2 2 5 2 2" xfId="2796"/>
    <cellStyle name="Normal 5 3 2 2 2 5 2_II_7_2 Liabilities Fcial interm" xfId="2797"/>
    <cellStyle name="Normal 5 3 2 2 2 5 3" xfId="2798"/>
    <cellStyle name="Normal 5 3 2 2 2 5 4" xfId="2799"/>
    <cellStyle name="Normal 5 3 2 2 2 5_II_7_2 Liabilities Fcial interm" xfId="2800"/>
    <cellStyle name="Normal 5 3 2 2 2 6" xfId="2801"/>
    <cellStyle name="Normal 5 3 2 2 2 6 2" xfId="2802"/>
    <cellStyle name="Normal 5 3 2 2 2 6 3" xfId="2803"/>
    <cellStyle name="Normal 5 3 2 2 2 6 4" xfId="2804"/>
    <cellStyle name="Normal 5 3 2 2 2 6_II_7_2 Liabilities Fcial interm" xfId="2805"/>
    <cellStyle name="Normal 5 3 2 2 2 7" xfId="2806"/>
    <cellStyle name="Normal 5 3 2 2 2 7 2" xfId="2807"/>
    <cellStyle name="Normal 5 3 2 2 2 7 3" xfId="2808"/>
    <cellStyle name="Normal 5 3 2 2 2 7_II_7_2 Liabilities Fcial interm" xfId="2809"/>
    <cellStyle name="Normal 5 3 2 2 2 8" xfId="2810"/>
    <cellStyle name="Normal 5 3 2 2 2 8 2" xfId="2811"/>
    <cellStyle name="Normal 5 3 2 2 2 9" xfId="2812"/>
    <cellStyle name="Normal 5 3 2 2 2_II_7_2 Liabilities Fcial interm" xfId="2813"/>
    <cellStyle name="Normal 5 3 2 2 3" xfId="2814"/>
    <cellStyle name="Normal 5 3 2 2 3 2" xfId="2815"/>
    <cellStyle name="Normal 5 3 2 2 3 2 2" xfId="2816"/>
    <cellStyle name="Normal 5 3 2 2 3 2 2 2" xfId="2817"/>
    <cellStyle name="Normal 5 3 2 2 3 2 2_II_7_2 Liabilities Fcial interm" xfId="2818"/>
    <cellStyle name="Normal 5 3 2 2 3 2 3" xfId="2819"/>
    <cellStyle name="Normal 5 3 2 2 3 2 4" xfId="2820"/>
    <cellStyle name="Normal 5 3 2 2 3 2 5" xfId="2821"/>
    <cellStyle name="Normal 5 3 2 2 3 2_II_7_2 Liabilities Fcial interm" xfId="2822"/>
    <cellStyle name="Normal 5 3 2 2 3 3" xfId="2823"/>
    <cellStyle name="Normal 5 3 2 2 3 3 2" xfId="2824"/>
    <cellStyle name="Normal 5 3 2 2 3 3 3" xfId="2825"/>
    <cellStyle name="Normal 5 3 2 2 3 3 4" xfId="2826"/>
    <cellStyle name="Normal 5 3 2 2 3 3_II_7_2 Liabilities Fcial interm" xfId="2827"/>
    <cellStyle name="Normal 5 3 2 2 3 4" xfId="2828"/>
    <cellStyle name="Normal 5 3 2 2 3 4 2" xfId="2829"/>
    <cellStyle name="Normal 5 3 2 2 3 4 3" xfId="2830"/>
    <cellStyle name="Normal 5 3 2 2 3 4 4" xfId="2831"/>
    <cellStyle name="Normal 5 3 2 2 3 4_II_7_2 Liabilities Fcial interm" xfId="2832"/>
    <cellStyle name="Normal 5 3 2 2 3 5" xfId="2833"/>
    <cellStyle name="Normal 5 3 2 2 3 5 2" xfId="2834"/>
    <cellStyle name="Normal 5 3 2 2 3 5 3" xfId="2835"/>
    <cellStyle name="Normal 5 3 2 2 3 5 4" xfId="2836"/>
    <cellStyle name="Normal 5 3 2 2 3 5_II_7_2 Liabilities Fcial interm" xfId="2837"/>
    <cellStyle name="Normal 5 3 2 2 3 6" xfId="2838"/>
    <cellStyle name="Normal 5 3 2 2 3 6 2" xfId="2839"/>
    <cellStyle name="Normal 5 3 2 2 3 6 3" xfId="2840"/>
    <cellStyle name="Normal 5 3 2 2 3 6 4" xfId="2841"/>
    <cellStyle name="Normal 5 3 2 2 3 6_II_7_2 Liabilities Fcial interm" xfId="2842"/>
    <cellStyle name="Normal 5 3 2 2 3 7" xfId="2843"/>
    <cellStyle name="Normal 5 3 2 2 3 7 2" xfId="2844"/>
    <cellStyle name="Normal 5 3 2 2 3 7 3" xfId="2845"/>
    <cellStyle name="Normal 5 3 2 2 3 7_II_7_2 Liabilities Fcial interm" xfId="2846"/>
    <cellStyle name="Normal 5 3 2 2 3 8" xfId="2847"/>
    <cellStyle name="Normal 5 3 2 2 3 8 2" xfId="2848"/>
    <cellStyle name="Normal 5 3 2 2 3 9" xfId="2849"/>
    <cellStyle name="Normal 5 3 2 2 3_II_7_2 Liabilities Fcial interm" xfId="2850"/>
    <cellStyle name="Normal 5 3 2 2 4" xfId="2851"/>
    <cellStyle name="Normal 5 3 2 2 4 2" xfId="2852"/>
    <cellStyle name="Normal 5 3 2 2 4 2 2" xfId="2853"/>
    <cellStyle name="Normal 5 3 2 2 4 2 2 2" xfId="2854"/>
    <cellStyle name="Normal 5 3 2 2 4 2 2_II_7_2 Liabilities Fcial interm" xfId="2855"/>
    <cellStyle name="Normal 5 3 2 2 4 2 3" xfId="2856"/>
    <cellStyle name="Normal 5 3 2 2 4 2 4" xfId="2857"/>
    <cellStyle name="Normal 5 3 2 2 4 2 5" xfId="2858"/>
    <cellStyle name="Normal 5 3 2 2 4 2_II_7_2 Liabilities Fcial interm" xfId="2859"/>
    <cellStyle name="Normal 5 3 2 2 4 3" xfId="2860"/>
    <cellStyle name="Normal 5 3 2 2 4 3 2" xfId="2861"/>
    <cellStyle name="Normal 5 3 2 2 4 3 3" xfId="2862"/>
    <cellStyle name="Normal 5 3 2 2 4 3 4" xfId="2863"/>
    <cellStyle name="Normal 5 3 2 2 4 3_II_7_2 Liabilities Fcial interm" xfId="2864"/>
    <cellStyle name="Normal 5 3 2 2 4 4" xfId="2865"/>
    <cellStyle name="Normal 5 3 2 2 4 4 2" xfId="2866"/>
    <cellStyle name="Normal 5 3 2 2 4 4 3" xfId="2867"/>
    <cellStyle name="Normal 5 3 2 2 4 4 4" xfId="2868"/>
    <cellStyle name="Normal 5 3 2 2 4 4_II_7_2 Liabilities Fcial interm" xfId="2869"/>
    <cellStyle name="Normal 5 3 2 2 4 5" xfId="2870"/>
    <cellStyle name="Normal 5 3 2 2 4 5 2" xfId="2871"/>
    <cellStyle name="Normal 5 3 2 2 4 5 3" xfId="2872"/>
    <cellStyle name="Normal 5 3 2 2 4 5_II_7_2 Liabilities Fcial interm" xfId="2873"/>
    <cellStyle name="Normal 5 3 2 2 4 6" xfId="2874"/>
    <cellStyle name="Normal 5 3 2 2 4 6 2" xfId="2875"/>
    <cellStyle name="Normal 5 3 2 2 4 7" xfId="2876"/>
    <cellStyle name="Normal 5 3 2 2 4_II_7_2 Liabilities Fcial interm" xfId="2877"/>
    <cellStyle name="Normal 5 3 2 2 5" xfId="2878"/>
    <cellStyle name="Normal 5 3 2 2 5 2" xfId="2879"/>
    <cellStyle name="Normal 5 3 2 2 5 2 2" xfId="2880"/>
    <cellStyle name="Normal 5 3 2 2 5 2 3" xfId="2881"/>
    <cellStyle name="Normal 5 3 2 2 5 2_II_7_2 Liabilities Fcial interm" xfId="2882"/>
    <cellStyle name="Normal 5 3 2 2 5 3" xfId="2883"/>
    <cellStyle name="Normal 5 3 2 2 5 3 2" xfId="2884"/>
    <cellStyle name="Normal 5 3 2 2 5 3_II_7_2 Liabilities Fcial interm" xfId="2885"/>
    <cellStyle name="Normal 5 3 2 2 5 4" xfId="2886"/>
    <cellStyle name="Normal 5 3 2 2 5 5" xfId="2887"/>
    <cellStyle name="Normal 5 3 2 2 5_II_7_2 Liabilities Fcial interm" xfId="2888"/>
    <cellStyle name="Normal 5 3 2 2 6" xfId="2889"/>
    <cellStyle name="Normal 5 3 2 2 6 2" xfId="2890"/>
    <cellStyle name="Normal 5 3 2 2 6 2 2" xfId="2891"/>
    <cellStyle name="Normal 5 3 2 2 6 2_II_7_2 Liabilities Fcial interm" xfId="2892"/>
    <cellStyle name="Normal 5 3 2 2 6 3" xfId="2893"/>
    <cellStyle name="Normal 5 3 2 2 6 4" xfId="2894"/>
    <cellStyle name="Normal 5 3 2 2 6_II_7_2 Liabilities Fcial interm" xfId="2895"/>
    <cellStyle name="Normal 5 3 2 2 7" xfId="2896"/>
    <cellStyle name="Normal 5 3 2 2 7 2" xfId="2897"/>
    <cellStyle name="Normal 5 3 2 2 7 3" xfId="2898"/>
    <cellStyle name="Normal 5 3 2 2 7 4" xfId="2899"/>
    <cellStyle name="Normal 5 3 2 2 7_II_7_2 Liabilities Fcial interm" xfId="2900"/>
    <cellStyle name="Normal 5 3 2 2 8" xfId="2901"/>
    <cellStyle name="Normal 5 3 2 2 8 2" xfId="2902"/>
    <cellStyle name="Normal 5 3 2 2 8 3" xfId="2903"/>
    <cellStyle name="Normal 5 3 2 2 8 4" xfId="2904"/>
    <cellStyle name="Normal 5 3 2 2 8_II_7_2 Liabilities Fcial interm" xfId="2905"/>
    <cellStyle name="Normal 5 3 2 2 9" xfId="2906"/>
    <cellStyle name="Normal 5 3 2 2 9 2" xfId="2907"/>
    <cellStyle name="Normal 5 3 2 2 9 3" xfId="2908"/>
    <cellStyle name="Normal 5 3 2 2 9_II_7_2 Liabilities Fcial interm" xfId="2909"/>
    <cellStyle name="Normal 5 3 2 2_II_7_2 Liabilities Fcial interm" xfId="2910"/>
    <cellStyle name="Normal 5 3 2 3" xfId="2911"/>
    <cellStyle name="Normal 5 3 2 3 10" xfId="2912"/>
    <cellStyle name="Normal 5 3 2 3 2" xfId="2913"/>
    <cellStyle name="Normal 5 3 2 3 2 2" xfId="2914"/>
    <cellStyle name="Normal 5 3 2 3 2 2 2" xfId="2915"/>
    <cellStyle name="Normal 5 3 2 3 2 2 2 2" xfId="2916"/>
    <cellStyle name="Normal 5 3 2 3 2 2 2_II_7_2 Liabilities Fcial interm" xfId="2917"/>
    <cellStyle name="Normal 5 3 2 3 2 2 3" xfId="2918"/>
    <cellStyle name="Normal 5 3 2 3 2 2 4" xfId="2919"/>
    <cellStyle name="Normal 5 3 2 3 2 2 5" xfId="2920"/>
    <cellStyle name="Normal 5 3 2 3 2 2_II_7_2 Liabilities Fcial interm" xfId="2921"/>
    <cellStyle name="Normal 5 3 2 3 2 3" xfId="2922"/>
    <cellStyle name="Normal 5 3 2 3 2 3 2" xfId="2923"/>
    <cellStyle name="Normal 5 3 2 3 2 3 3" xfId="2924"/>
    <cellStyle name="Normal 5 3 2 3 2 3 4" xfId="2925"/>
    <cellStyle name="Normal 5 3 2 3 2 3_II_7_2 Liabilities Fcial interm" xfId="2926"/>
    <cellStyle name="Normal 5 3 2 3 2 4" xfId="2927"/>
    <cellStyle name="Normal 5 3 2 3 2 4 2" xfId="2928"/>
    <cellStyle name="Normal 5 3 2 3 2 4 3" xfId="2929"/>
    <cellStyle name="Normal 5 3 2 3 2 4 4" xfId="2930"/>
    <cellStyle name="Normal 5 3 2 3 2 4_II_7_2 Liabilities Fcial interm" xfId="2931"/>
    <cellStyle name="Normal 5 3 2 3 2 5" xfId="2932"/>
    <cellStyle name="Normal 5 3 2 3 2 5 2" xfId="2933"/>
    <cellStyle name="Normal 5 3 2 3 2 5 3" xfId="2934"/>
    <cellStyle name="Normal 5 3 2 3 2 5 4" xfId="2935"/>
    <cellStyle name="Normal 5 3 2 3 2 5_II_7_2 Liabilities Fcial interm" xfId="2936"/>
    <cellStyle name="Normal 5 3 2 3 2 6" xfId="2937"/>
    <cellStyle name="Normal 5 3 2 3 2 6 2" xfId="2938"/>
    <cellStyle name="Normal 5 3 2 3 2 6 3" xfId="2939"/>
    <cellStyle name="Normal 5 3 2 3 2 6_II_7_2 Liabilities Fcial interm" xfId="2940"/>
    <cellStyle name="Normal 5 3 2 3 2 7" xfId="2941"/>
    <cellStyle name="Normal 5 3 2 3 2 7 2" xfId="2942"/>
    <cellStyle name="Normal 5 3 2 3 2 8" xfId="2943"/>
    <cellStyle name="Normal 5 3 2 3 2_II_7_2 Liabilities Fcial interm" xfId="2944"/>
    <cellStyle name="Normal 5 3 2 3 3" xfId="2945"/>
    <cellStyle name="Normal 5 3 2 3 3 2" xfId="2946"/>
    <cellStyle name="Normal 5 3 2 3 3 2 2" xfId="2947"/>
    <cellStyle name="Normal 5 3 2 3 3 2 3" xfId="2948"/>
    <cellStyle name="Normal 5 3 2 3 3 2 4" xfId="2949"/>
    <cellStyle name="Normal 5 3 2 3 3 2_II_7_2 Liabilities Fcial interm" xfId="2950"/>
    <cellStyle name="Normal 5 3 2 3 3 3" xfId="2951"/>
    <cellStyle name="Normal 5 3 2 3 3 3 2" xfId="2952"/>
    <cellStyle name="Normal 5 3 2 3 3 3 3" xfId="2953"/>
    <cellStyle name="Normal 5 3 2 3 3 3 4" xfId="2954"/>
    <cellStyle name="Normal 5 3 2 3 3 3_II_7_2 Liabilities Fcial interm" xfId="2955"/>
    <cellStyle name="Normal 5 3 2 3 3 4" xfId="2956"/>
    <cellStyle name="Normal 5 3 2 3 3 4 2" xfId="2957"/>
    <cellStyle name="Normal 5 3 2 3 3 4 3" xfId="2958"/>
    <cellStyle name="Normal 5 3 2 3 3 4 4" xfId="2959"/>
    <cellStyle name="Normal 5 3 2 3 3 4_II_7_2 Liabilities Fcial interm" xfId="2960"/>
    <cellStyle name="Normal 5 3 2 3 3 5" xfId="2961"/>
    <cellStyle name="Normal 5 3 2 3 3 5 2" xfId="2962"/>
    <cellStyle name="Normal 5 3 2 3 3 5 3" xfId="2963"/>
    <cellStyle name="Normal 5 3 2 3 3 5_II_7_2 Liabilities Fcial interm" xfId="2964"/>
    <cellStyle name="Normal 5 3 2 3 3 6" xfId="2965"/>
    <cellStyle name="Normal 5 3 2 3 3 6 2" xfId="2966"/>
    <cellStyle name="Normal 5 3 2 3 3 7" xfId="2967"/>
    <cellStyle name="Normal 5 3 2 3 3_II_7_2 Liabilities Fcial interm" xfId="2968"/>
    <cellStyle name="Normal 5 3 2 3 4" xfId="2969"/>
    <cellStyle name="Normal 5 3 2 3 4 2" xfId="2970"/>
    <cellStyle name="Normal 5 3 2 3 4 2 2" xfId="2971"/>
    <cellStyle name="Normal 5 3 2 3 4 2 3" xfId="2972"/>
    <cellStyle name="Normal 5 3 2 3 4 2_II_7_2 Liabilities Fcial interm" xfId="2973"/>
    <cellStyle name="Normal 5 3 2 3 4 3" xfId="2974"/>
    <cellStyle name="Normal 5 3 2 3 4 3 2" xfId="2975"/>
    <cellStyle name="Normal 5 3 2 3 4 4" xfId="2976"/>
    <cellStyle name="Normal 5 3 2 3 4_II_7_2 Liabilities Fcial interm" xfId="2977"/>
    <cellStyle name="Normal 5 3 2 3 5" xfId="2978"/>
    <cellStyle name="Normal 5 3 2 3 5 2" xfId="2979"/>
    <cellStyle name="Normal 5 3 2 3 5 2 2" xfId="2980"/>
    <cellStyle name="Normal 5 3 2 3 5 2_II_7_2 Liabilities Fcial interm" xfId="2981"/>
    <cellStyle name="Normal 5 3 2 3 5 3" xfId="2982"/>
    <cellStyle name="Normal 5 3 2 3 5 4" xfId="2983"/>
    <cellStyle name="Normal 5 3 2 3 5_II_7_2 Liabilities Fcial interm" xfId="2984"/>
    <cellStyle name="Normal 5 3 2 3 6" xfId="2985"/>
    <cellStyle name="Normal 5 3 2 3 6 2" xfId="2986"/>
    <cellStyle name="Normal 5 3 2 3 6 3" xfId="2987"/>
    <cellStyle name="Normal 5 3 2 3 6 4" xfId="2988"/>
    <cellStyle name="Normal 5 3 2 3 6_II_7_2 Liabilities Fcial interm" xfId="2989"/>
    <cellStyle name="Normal 5 3 2 3 7" xfId="2990"/>
    <cellStyle name="Normal 5 3 2 3 7 2" xfId="2991"/>
    <cellStyle name="Normal 5 3 2 3 7 3" xfId="2992"/>
    <cellStyle name="Normal 5 3 2 3 7_II_7_2 Liabilities Fcial interm" xfId="2993"/>
    <cellStyle name="Normal 5 3 2 3 8" xfId="2994"/>
    <cellStyle name="Normal 5 3 2 3 8 2" xfId="2995"/>
    <cellStyle name="Normal 5 3 2 3 9" xfId="2996"/>
    <cellStyle name="Normal 5 3 2 3_II_7_2 Liabilities Fcial interm" xfId="2997"/>
    <cellStyle name="Normal 5 3 2 4" xfId="2998"/>
    <cellStyle name="Normal 5 3 2 4 2" xfId="2999"/>
    <cellStyle name="Normal 5 3 2 4 2 2" xfId="3000"/>
    <cellStyle name="Normal 5 3 2 4 2 2 2" xfId="3001"/>
    <cellStyle name="Normal 5 3 2 4 2 2_II_7_2 Liabilities Fcial interm" xfId="3002"/>
    <cellStyle name="Normal 5 3 2 4 2 3" xfId="3003"/>
    <cellStyle name="Normal 5 3 2 4 2 4" xfId="3004"/>
    <cellStyle name="Normal 5 3 2 4 2 5" xfId="3005"/>
    <cellStyle name="Normal 5 3 2 4 2_II_7_2 Liabilities Fcial interm" xfId="3006"/>
    <cellStyle name="Normal 5 3 2 4 3" xfId="3007"/>
    <cellStyle name="Normal 5 3 2 4 3 2" xfId="3008"/>
    <cellStyle name="Normal 5 3 2 4 3 3" xfId="3009"/>
    <cellStyle name="Normal 5 3 2 4 3 4" xfId="3010"/>
    <cellStyle name="Normal 5 3 2 4 3_II_7_2 Liabilities Fcial interm" xfId="3011"/>
    <cellStyle name="Normal 5 3 2 4 4" xfId="3012"/>
    <cellStyle name="Normal 5 3 2 4 4 2" xfId="3013"/>
    <cellStyle name="Normal 5 3 2 4 4 3" xfId="3014"/>
    <cellStyle name="Normal 5 3 2 4 4 4" xfId="3015"/>
    <cellStyle name="Normal 5 3 2 4 4_II_7_2 Liabilities Fcial interm" xfId="3016"/>
    <cellStyle name="Normal 5 3 2 4 5" xfId="3017"/>
    <cellStyle name="Normal 5 3 2 4 5 2" xfId="3018"/>
    <cellStyle name="Normal 5 3 2 4 5 3" xfId="3019"/>
    <cellStyle name="Normal 5 3 2 4 5 4" xfId="3020"/>
    <cellStyle name="Normal 5 3 2 4 5_II_7_2 Liabilities Fcial interm" xfId="3021"/>
    <cellStyle name="Normal 5 3 2 4 6" xfId="3022"/>
    <cellStyle name="Normal 5 3 2 4 6 2" xfId="3023"/>
    <cellStyle name="Normal 5 3 2 4 6 3" xfId="3024"/>
    <cellStyle name="Normal 5 3 2 4 6 4" xfId="3025"/>
    <cellStyle name="Normal 5 3 2 4 6_II_7_2 Liabilities Fcial interm" xfId="3026"/>
    <cellStyle name="Normal 5 3 2 4 7" xfId="3027"/>
    <cellStyle name="Normal 5 3 2 4 7 2" xfId="3028"/>
    <cellStyle name="Normal 5 3 2 4 7 3" xfId="3029"/>
    <cellStyle name="Normal 5 3 2 4 7_II_7_2 Liabilities Fcial interm" xfId="3030"/>
    <cellStyle name="Normal 5 3 2 4 8" xfId="3031"/>
    <cellStyle name="Normal 5 3 2 4 8 2" xfId="3032"/>
    <cellStyle name="Normal 5 3 2 4 9" xfId="3033"/>
    <cellStyle name="Normal 5 3 2 4_II_7_2 Liabilities Fcial interm" xfId="3034"/>
    <cellStyle name="Normal 5 3 2 5" xfId="3035"/>
    <cellStyle name="Normal 5 3 2 5 2" xfId="3036"/>
    <cellStyle name="Normal 5 3 2 5 2 2" xfId="3037"/>
    <cellStyle name="Normal 5 3 2 5 2 2 2" xfId="3038"/>
    <cellStyle name="Normal 5 3 2 5 2 2_II_7_2 Liabilities Fcial interm" xfId="3039"/>
    <cellStyle name="Normal 5 3 2 5 2 3" xfId="3040"/>
    <cellStyle name="Normal 5 3 2 5 2 4" xfId="3041"/>
    <cellStyle name="Normal 5 3 2 5 2 5" xfId="3042"/>
    <cellStyle name="Normal 5 3 2 5 2_II_7_2 Liabilities Fcial interm" xfId="3043"/>
    <cellStyle name="Normal 5 3 2 5 3" xfId="3044"/>
    <cellStyle name="Normal 5 3 2 5 3 2" xfId="3045"/>
    <cellStyle name="Normal 5 3 2 5 3 3" xfId="3046"/>
    <cellStyle name="Normal 5 3 2 5 3 4" xfId="3047"/>
    <cellStyle name="Normal 5 3 2 5 3_II_7_2 Liabilities Fcial interm" xfId="3048"/>
    <cellStyle name="Normal 5 3 2 5 4" xfId="3049"/>
    <cellStyle name="Normal 5 3 2 5 4 2" xfId="3050"/>
    <cellStyle name="Normal 5 3 2 5 4 3" xfId="3051"/>
    <cellStyle name="Normal 5 3 2 5 4 4" xfId="3052"/>
    <cellStyle name="Normal 5 3 2 5 4_II_7_2 Liabilities Fcial interm" xfId="3053"/>
    <cellStyle name="Normal 5 3 2 5 5" xfId="3054"/>
    <cellStyle name="Normal 5 3 2 5 5 2" xfId="3055"/>
    <cellStyle name="Normal 5 3 2 5 5 3" xfId="3056"/>
    <cellStyle name="Normal 5 3 2 5 5_II_7_2 Liabilities Fcial interm" xfId="3057"/>
    <cellStyle name="Normal 5 3 2 5 6" xfId="3058"/>
    <cellStyle name="Normal 5 3 2 5 6 2" xfId="3059"/>
    <cellStyle name="Normal 5 3 2 5 7" xfId="3060"/>
    <cellStyle name="Normal 5 3 2 5_II_7_2 Liabilities Fcial interm" xfId="3061"/>
    <cellStyle name="Normal 5 3 2 6" xfId="3062"/>
    <cellStyle name="Normal 5 3 2 6 2" xfId="3063"/>
    <cellStyle name="Normal 5 3 2 6 2 2" xfId="3064"/>
    <cellStyle name="Normal 5 3 2 6 2 3" xfId="3065"/>
    <cellStyle name="Normal 5 3 2 6 2_II_7_2 Liabilities Fcial interm" xfId="3066"/>
    <cellStyle name="Normal 5 3 2 6 3" xfId="3067"/>
    <cellStyle name="Normal 5 3 2 6 3 2" xfId="3068"/>
    <cellStyle name="Normal 5 3 2 6 3_II_7_2 Liabilities Fcial interm" xfId="3069"/>
    <cellStyle name="Normal 5 3 2 6 4" xfId="3070"/>
    <cellStyle name="Normal 5 3 2 6 5" xfId="3071"/>
    <cellStyle name="Normal 5 3 2 6_II_7_2 Liabilities Fcial interm" xfId="3072"/>
    <cellStyle name="Normal 5 3 2 7" xfId="3073"/>
    <cellStyle name="Normal 5 3 2 7 2" xfId="3074"/>
    <cellStyle name="Normal 5 3 2 7 2 2" xfId="3075"/>
    <cellStyle name="Normal 5 3 2 7 2_II_7_2 Liabilities Fcial interm" xfId="3076"/>
    <cellStyle name="Normal 5 3 2 7 3" xfId="3077"/>
    <cellStyle name="Normal 5 3 2 7 4" xfId="3078"/>
    <cellStyle name="Normal 5 3 2 7_II_7_2 Liabilities Fcial interm" xfId="3079"/>
    <cellStyle name="Normal 5 3 2 8" xfId="3080"/>
    <cellStyle name="Normal 5 3 2 8 2" xfId="3081"/>
    <cellStyle name="Normal 5 3 2 8 3" xfId="3082"/>
    <cellStyle name="Normal 5 3 2 8 4" xfId="3083"/>
    <cellStyle name="Normal 5 3 2 8_II_7_2 Liabilities Fcial interm" xfId="3084"/>
    <cellStyle name="Normal 5 3 2 9" xfId="3085"/>
    <cellStyle name="Normal 5 3 2 9 2" xfId="3086"/>
    <cellStyle name="Normal 5 3 2 9 3" xfId="3087"/>
    <cellStyle name="Normal 5 3 2 9 4" xfId="3088"/>
    <cellStyle name="Normal 5 3 2 9_II_7_2 Liabilities Fcial interm" xfId="3089"/>
    <cellStyle name="Normal 5 3 2_II_7_2 Liabilities Fcial interm" xfId="3090"/>
    <cellStyle name="Normal 5 3 3" xfId="3091"/>
    <cellStyle name="Normal 5 3 3 10" xfId="3092"/>
    <cellStyle name="Normal 5 3 3 10 2" xfId="3093"/>
    <cellStyle name="Normal 5 3 3 11" xfId="3094"/>
    <cellStyle name="Normal 5 3 3 12" xfId="3095"/>
    <cellStyle name="Normal 5 3 3 2" xfId="3096"/>
    <cellStyle name="Normal 5 3 3 2 10" xfId="3097"/>
    <cellStyle name="Normal 5 3 3 2 2" xfId="3098"/>
    <cellStyle name="Normal 5 3 3 2 2 2" xfId="3099"/>
    <cellStyle name="Normal 5 3 3 2 2 2 2" xfId="3100"/>
    <cellStyle name="Normal 5 3 3 2 2 2 2 2" xfId="3101"/>
    <cellStyle name="Normal 5 3 3 2 2 2 2_II_7_2 Liabilities Fcial interm" xfId="3102"/>
    <cellStyle name="Normal 5 3 3 2 2 2 3" xfId="3103"/>
    <cellStyle name="Normal 5 3 3 2 2 2 4" xfId="3104"/>
    <cellStyle name="Normal 5 3 3 2 2 2 5" xfId="3105"/>
    <cellStyle name="Normal 5 3 3 2 2 2_II_7_2 Liabilities Fcial interm" xfId="3106"/>
    <cellStyle name="Normal 5 3 3 2 2 3" xfId="3107"/>
    <cellStyle name="Normal 5 3 3 2 2 3 2" xfId="3108"/>
    <cellStyle name="Normal 5 3 3 2 2 3 3" xfId="3109"/>
    <cellStyle name="Normal 5 3 3 2 2 3 4" xfId="3110"/>
    <cellStyle name="Normal 5 3 3 2 2 3_II_7_2 Liabilities Fcial interm" xfId="3111"/>
    <cellStyle name="Normal 5 3 3 2 2 4" xfId="3112"/>
    <cellStyle name="Normal 5 3 3 2 2 4 2" xfId="3113"/>
    <cellStyle name="Normal 5 3 3 2 2 4 3" xfId="3114"/>
    <cellStyle name="Normal 5 3 3 2 2 4 4" xfId="3115"/>
    <cellStyle name="Normal 5 3 3 2 2 4_II_7_2 Liabilities Fcial interm" xfId="3116"/>
    <cellStyle name="Normal 5 3 3 2 2 5" xfId="3117"/>
    <cellStyle name="Normal 5 3 3 2 2 5 2" xfId="3118"/>
    <cellStyle name="Normal 5 3 3 2 2 5 3" xfId="3119"/>
    <cellStyle name="Normal 5 3 3 2 2 5 4" xfId="3120"/>
    <cellStyle name="Normal 5 3 3 2 2 5_II_7_2 Liabilities Fcial interm" xfId="3121"/>
    <cellStyle name="Normal 5 3 3 2 2 6" xfId="3122"/>
    <cellStyle name="Normal 5 3 3 2 2 6 2" xfId="3123"/>
    <cellStyle name="Normal 5 3 3 2 2 6 3" xfId="3124"/>
    <cellStyle name="Normal 5 3 3 2 2 6_II_7_2 Liabilities Fcial interm" xfId="3125"/>
    <cellStyle name="Normal 5 3 3 2 2 7" xfId="3126"/>
    <cellStyle name="Normal 5 3 3 2 2 7 2" xfId="3127"/>
    <cellStyle name="Normal 5 3 3 2 2 8" xfId="3128"/>
    <cellStyle name="Normal 5 3 3 2 2_II_7_2 Liabilities Fcial interm" xfId="3129"/>
    <cellStyle name="Normal 5 3 3 2 3" xfId="3130"/>
    <cellStyle name="Normal 5 3 3 2 3 2" xfId="3131"/>
    <cellStyle name="Normal 5 3 3 2 3 2 2" xfId="3132"/>
    <cellStyle name="Normal 5 3 3 2 3 2 3" xfId="3133"/>
    <cellStyle name="Normal 5 3 3 2 3 2 4" xfId="3134"/>
    <cellStyle name="Normal 5 3 3 2 3 2_II_7_2 Liabilities Fcial interm" xfId="3135"/>
    <cellStyle name="Normal 5 3 3 2 3 3" xfId="3136"/>
    <cellStyle name="Normal 5 3 3 2 3 3 2" xfId="3137"/>
    <cellStyle name="Normal 5 3 3 2 3 3 3" xfId="3138"/>
    <cellStyle name="Normal 5 3 3 2 3 3 4" xfId="3139"/>
    <cellStyle name="Normal 5 3 3 2 3 3_II_7_2 Liabilities Fcial interm" xfId="3140"/>
    <cellStyle name="Normal 5 3 3 2 3 4" xfId="3141"/>
    <cellStyle name="Normal 5 3 3 2 3 4 2" xfId="3142"/>
    <cellStyle name="Normal 5 3 3 2 3 4 3" xfId="3143"/>
    <cellStyle name="Normal 5 3 3 2 3 4 4" xfId="3144"/>
    <cellStyle name="Normal 5 3 3 2 3 4_II_7_2 Liabilities Fcial interm" xfId="3145"/>
    <cellStyle name="Normal 5 3 3 2 3 5" xfId="3146"/>
    <cellStyle name="Normal 5 3 3 2 3 5 2" xfId="3147"/>
    <cellStyle name="Normal 5 3 3 2 3 5 3" xfId="3148"/>
    <cellStyle name="Normal 5 3 3 2 3 5_II_7_2 Liabilities Fcial interm" xfId="3149"/>
    <cellStyle name="Normal 5 3 3 2 3 6" xfId="3150"/>
    <cellStyle name="Normal 5 3 3 2 3 6 2" xfId="3151"/>
    <cellStyle name="Normal 5 3 3 2 3 7" xfId="3152"/>
    <cellStyle name="Normal 5 3 3 2 3_II_7_2 Liabilities Fcial interm" xfId="3153"/>
    <cellStyle name="Normal 5 3 3 2 4" xfId="3154"/>
    <cellStyle name="Normal 5 3 3 2 4 2" xfId="3155"/>
    <cellStyle name="Normal 5 3 3 2 4 2 2" xfId="3156"/>
    <cellStyle name="Normal 5 3 3 2 4 2 3" xfId="3157"/>
    <cellStyle name="Normal 5 3 3 2 4 2_II_7_2 Liabilities Fcial interm" xfId="3158"/>
    <cellStyle name="Normal 5 3 3 2 4 3" xfId="3159"/>
    <cellStyle name="Normal 5 3 3 2 4 3 2" xfId="3160"/>
    <cellStyle name="Normal 5 3 3 2 4 4" xfId="3161"/>
    <cellStyle name="Normal 5 3 3 2 4_II_7_2 Liabilities Fcial interm" xfId="3162"/>
    <cellStyle name="Normal 5 3 3 2 5" xfId="3163"/>
    <cellStyle name="Normal 5 3 3 2 5 2" xfId="3164"/>
    <cellStyle name="Normal 5 3 3 2 5 2 2" xfId="3165"/>
    <cellStyle name="Normal 5 3 3 2 5 2_II_7_2 Liabilities Fcial interm" xfId="3166"/>
    <cellStyle name="Normal 5 3 3 2 5 3" xfId="3167"/>
    <cellStyle name="Normal 5 3 3 2 5 4" xfId="3168"/>
    <cellStyle name="Normal 5 3 3 2 5_II_7_2 Liabilities Fcial interm" xfId="3169"/>
    <cellStyle name="Normal 5 3 3 2 6" xfId="3170"/>
    <cellStyle name="Normal 5 3 3 2 6 2" xfId="3171"/>
    <cellStyle name="Normal 5 3 3 2 6 3" xfId="3172"/>
    <cellStyle name="Normal 5 3 3 2 6 4" xfId="3173"/>
    <cellStyle name="Normal 5 3 3 2 6_II_7_2 Liabilities Fcial interm" xfId="3174"/>
    <cellStyle name="Normal 5 3 3 2 7" xfId="3175"/>
    <cellStyle name="Normal 5 3 3 2 7 2" xfId="3176"/>
    <cellStyle name="Normal 5 3 3 2 7 3" xfId="3177"/>
    <cellStyle name="Normal 5 3 3 2 7_II_7_2 Liabilities Fcial interm" xfId="3178"/>
    <cellStyle name="Normal 5 3 3 2 8" xfId="3179"/>
    <cellStyle name="Normal 5 3 3 2 8 2" xfId="3180"/>
    <cellStyle name="Normal 5 3 3 2 9" xfId="3181"/>
    <cellStyle name="Normal 5 3 3 2_II_7_2 Liabilities Fcial interm" xfId="3182"/>
    <cellStyle name="Normal 5 3 3 3" xfId="3183"/>
    <cellStyle name="Normal 5 3 3 3 2" xfId="3184"/>
    <cellStyle name="Normal 5 3 3 3 2 2" xfId="3185"/>
    <cellStyle name="Normal 5 3 3 3 2 2 2" xfId="3186"/>
    <cellStyle name="Normal 5 3 3 3 2 2_II_7_2 Liabilities Fcial interm" xfId="3187"/>
    <cellStyle name="Normal 5 3 3 3 2 3" xfId="3188"/>
    <cellStyle name="Normal 5 3 3 3 2 4" xfId="3189"/>
    <cellStyle name="Normal 5 3 3 3 2 5" xfId="3190"/>
    <cellStyle name="Normal 5 3 3 3 2_II_7_2 Liabilities Fcial interm" xfId="3191"/>
    <cellStyle name="Normal 5 3 3 3 3" xfId="3192"/>
    <cellStyle name="Normal 5 3 3 3 3 2" xfId="3193"/>
    <cellStyle name="Normal 5 3 3 3 3 3" xfId="3194"/>
    <cellStyle name="Normal 5 3 3 3 3 4" xfId="3195"/>
    <cellStyle name="Normal 5 3 3 3 3_II_7_2 Liabilities Fcial interm" xfId="3196"/>
    <cellStyle name="Normal 5 3 3 3 4" xfId="3197"/>
    <cellStyle name="Normal 5 3 3 3 4 2" xfId="3198"/>
    <cellStyle name="Normal 5 3 3 3 4 3" xfId="3199"/>
    <cellStyle name="Normal 5 3 3 3 4 4" xfId="3200"/>
    <cellStyle name="Normal 5 3 3 3 4_II_7_2 Liabilities Fcial interm" xfId="3201"/>
    <cellStyle name="Normal 5 3 3 3 5" xfId="3202"/>
    <cellStyle name="Normal 5 3 3 3 5 2" xfId="3203"/>
    <cellStyle name="Normal 5 3 3 3 5 3" xfId="3204"/>
    <cellStyle name="Normal 5 3 3 3 5 4" xfId="3205"/>
    <cellStyle name="Normal 5 3 3 3 5_II_7_2 Liabilities Fcial interm" xfId="3206"/>
    <cellStyle name="Normal 5 3 3 3 6" xfId="3207"/>
    <cellStyle name="Normal 5 3 3 3 6 2" xfId="3208"/>
    <cellStyle name="Normal 5 3 3 3 6 3" xfId="3209"/>
    <cellStyle name="Normal 5 3 3 3 6 4" xfId="3210"/>
    <cellStyle name="Normal 5 3 3 3 6_II_7_2 Liabilities Fcial interm" xfId="3211"/>
    <cellStyle name="Normal 5 3 3 3 7" xfId="3212"/>
    <cellStyle name="Normal 5 3 3 3 7 2" xfId="3213"/>
    <cellStyle name="Normal 5 3 3 3 7 3" xfId="3214"/>
    <cellStyle name="Normal 5 3 3 3 7_II_7_2 Liabilities Fcial interm" xfId="3215"/>
    <cellStyle name="Normal 5 3 3 3 8" xfId="3216"/>
    <cellStyle name="Normal 5 3 3 3 8 2" xfId="3217"/>
    <cellStyle name="Normal 5 3 3 3 9" xfId="3218"/>
    <cellStyle name="Normal 5 3 3 3_II_7_2 Liabilities Fcial interm" xfId="3219"/>
    <cellStyle name="Normal 5 3 3 4" xfId="3220"/>
    <cellStyle name="Normal 5 3 3 4 2" xfId="3221"/>
    <cellStyle name="Normal 5 3 3 4 2 2" xfId="3222"/>
    <cellStyle name="Normal 5 3 3 4 2 2 2" xfId="3223"/>
    <cellStyle name="Normal 5 3 3 4 2 2_II_7_2 Liabilities Fcial interm" xfId="3224"/>
    <cellStyle name="Normal 5 3 3 4 2 3" xfId="3225"/>
    <cellStyle name="Normal 5 3 3 4 2 4" xfId="3226"/>
    <cellStyle name="Normal 5 3 3 4 2 5" xfId="3227"/>
    <cellStyle name="Normal 5 3 3 4 2_II_7_2 Liabilities Fcial interm" xfId="3228"/>
    <cellStyle name="Normal 5 3 3 4 3" xfId="3229"/>
    <cellStyle name="Normal 5 3 3 4 3 2" xfId="3230"/>
    <cellStyle name="Normal 5 3 3 4 3 3" xfId="3231"/>
    <cellStyle name="Normal 5 3 3 4 3 4" xfId="3232"/>
    <cellStyle name="Normal 5 3 3 4 3_II_7_2 Liabilities Fcial interm" xfId="3233"/>
    <cellStyle name="Normal 5 3 3 4 4" xfId="3234"/>
    <cellStyle name="Normal 5 3 3 4 4 2" xfId="3235"/>
    <cellStyle name="Normal 5 3 3 4 4 3" xfId="3236"/>
    <cellStyle name="Normal 5 3 3 4 4 4" xfId="3237"/>
    <cellStyle name="Normal 5 3 3 4 4_II_7_2 Liabilities Fcial interm" xfId="3238"/>
    <cellStyle name="Normal 5 3 3 4 5" xfId="3239"/>
    <cellStyle name="Normal 5 3 3 4 5 2" xfId="3240"/>
    <cellStyle name="Normal 5 3 3 4 5 3" xfId="3241"/>
    <cellStyle name="Normal 5 3 3 4 5_II_7_2 Liabilities Fcial interm" xfId="3242"/>
    <cellStyle name="Normal 5 3 3 4 6" xfId="3243"/>
    <cellStyle name="Normal 5 3 3 4 6 2" xfId="3244"/>
    <cellStyle name="Normal 5 3 3 4 7" xfId="3245"/>
    <cellStyle name="Normal 5 3 3 4_II_7_2 Liabilities Fcial interm" xfId="3246"/>
    <cellStyle name="Normal 5 3 3 5" xfId="3247"/>
    <cellStyle name="Normal 5 3 3 5 2" xfId="3248"/>
    <cellStyle name="Normal 5 3 3 5 2 2" xfId="3249"/>
    <cellStyle name="Normal 5 3 3 5 2 3" xfId="3250"/>
    <cellStyle name="Normal 5 3 3 5 2_II_7_2 Liabilities Fcial interm" xfId="3251"/>
    <cellStyle name="Normal 5 3 3 5 3" xfId="3252"/>
    <cellStyle name="Normal 5 3 3 5 3 2" xfId="3253"/>
    <cellStyle name="Normal 5 3 3 5 3_II_7_2 Liabilities Fcial interm" xfId="3254"/>
    <cellStyle name="Normal 5 3 3 5 4" xfId="3255"/>
    <cellStyle name="Normal 5 3 3 5 5" xfId="3256"/>
    <cellStyle name="Normal 5 3 3 5_II_7_2 Liabilities Fcial interm" xfId="3257"/>
    <cellStyle name="Normal 5 3 3 6" xfId="3258"/>
    <cellStyle name="Normal 5 3 3 6 2" xfId="3259"/>
    <cellStyle name="Normal 5 3 3 6 2 2" xfId="3260"/>
    <cellStyle name="Normal 5 3 3 6 2_II_7_2 Liabilities Fcial interm" xfId="3261"/>
    <cellStyle name="Normal 5 3 3 6 3" xfId="3262"/>
    <cellStyle name="Normal 5 3 3 6 4" xfId="3263"/>
    <cellStyle name="Normal 5 3 3 6_II_7_2 Liabilities Fcial interm" xfId="3264"/>
    <cellStyle name="Normal 5 3 3 7" xfId="3265"/>
    <cellStyle name="Normal 5 3 3 7 2" xfId="3266"/>
    <cellStyle name="Normal 5 3 3 7 3" xfId="3267"/>
    <cellStyle name="Normal 5 3 3 7 4" xfId="3268"/>
    <cellStyle name="Normal 5 3 3 7_II_7_2 Liabilities Fcial interm" xfId="3269"/>
    <cellStyle name="Normal 5 3 3 8" xfId="3270"/>
    <cellStyle name="Normal 5 3 3 8 2" xfId="3271"/>
    <cellStyle name="Normal 5 3 3 8 3" xfId="3272"/>
    <cellStyle name="Normal 5 3 3 8 4" xfId="3273"/>
    <cellStyle name="Normal 5 3 3 8_II_7_2 Liabilities Fcial interm" xfId="3274"/>
    <cellStyle name="Normal 5 3 3 9" xfId="3275"/>
    <cellStyle name="Normal 5 3 3 9 2" xfId="3276"/>
    <cellStyle name="Normal 5 3 3 9 3" xfId="3277"/>
    <cellStyle name="Normal 5 3 3 9_II_7_2 Liabilities Fcial interm" xfId="3278"/>
    <cellStyle name="Normal 5 3 3_II_7_2 Liabilities Fcial interm" xfId="3279"/>
    <cellStyle name="Normal 5 3 4" xfId="3280"/>
    <cellStyle name="Normal 5 3 4 10" xfId="3281"/>
    <cellStyle name="Normal 5 3 4 10 2" xfId="3282"/>
    <cellStyle name="Normal 5 3 4 11" xfId="3283"/>
    <cellStyle name="Normal 5 3 4 12" xfId="3284"/>
    <cellStyle name="Normal 5 3 4 2" xfId="3285"/>
    <cellStyle name="Normal 5 3 4 2 10" xfId="3286"/>
    <cellStyle name="Normal 5 3 4 2 2" xfId="3287"/>
    <cellStyle name="Normal 5 3 4 2 2 2" xfId="3288"/>
    <cellStyle name="Normal 5 3 4 2 2 2 2" xfId="3289"/>
    <cellStyle name="Normal 5 3 4 2 2 2 2 2" xfId="3290"/>
    <cellStyle name="Normal 5 3 4 2 2 2 2_II_7_2 Liabilities Fcial interm" xfId="3291"/>
    <cellStyle name="Normal 5 3 4 2 2 2 3" xfId="3292"/>
    <cellStyle name="Normal 5 3 4 2 2 2 4" xfId="3293"/>
    <cellStyle name="Normal 5 3 4 2 2 2 5" xfId="3294"/>
    <cellStyle name="Normal 5 3 4 2 2 2_II_7_2 Liabilities Fcial interm" xfId="3295"/>
    <cellStyle name="Normal 5 3 4 2 2 3" xfId="3296"/>
    <cellStyle name="Normal 5 3 4 2 2 3 2" xfId="3297"/>
    <cellStyle name="Normal 5 3 4 2 2 3 3" xfId="3298"/>
    <cellStyle name="Normal 5 3 4 2 2 3 4" xfId="3299"/>
    <cellStyle name="Normal 5 3 4 2 2 3_II_7_2 Liabilities Fcial interm" xfId="3300"/>
    <cellStyle name="Normal 5 3 4 2 2 4" xfId="3301"/>
    <cellStyle name="Normal 5 3 4 2 2 4 2" xfId="3302"/>
    <cellStyle name="Normal 5 3 4 2 2 4 3" xfId="3303"/>
    <cellStyle name="Normal 5 3 4 2 2 4 4" xfId="3304"/>
    <cellStyle name="Normal 5 3 4 2 2 4_II_7_2 Liabilities Fcial interm" xfId="3305"/>
    <cellStyle name="Normal 5 3 4 2 2 5" xfId="3306"/>
    <cellStyle name="Normal 5 3 4 2 2 5 2" xfId="3307"/>
    <cellStyle name="Normal 5 3 4 2 2 5 3" xfId="3308"/>
    <cellStyle name="Normal 5 3 4 2 2 5 4" xfId="3309"/>
    <cellStyle name="Normal 5 3 4 2 2 5_II_7_2 Liabilities Fcial interm" xfId="3310"/>
    <cellStyle name="Normal 5 3 4 2 2 6" xfId="3311"/>
    <cellStyle name="Normal 5 3 4 2 2 6 2" xfId="3312"/>
    <cellStyle name="Normal 5 3 4 2 2 6 3" xfId="3313"/>
    <cellStyle name="Normal 5 3 4 2 2 6_II_7_2 Liabilities Fcial interm" xfId="3314"/>
    <cellStyle name="Normal 5 3 4 2 2 7" xfId="3315"/>
    <cellStyle name="Normal 5 3 4 2 2 7 2" xfId="3316"/>
    <cellStyle name="Normal 5 3 4 2 2 8" xfId="3317"/>
    <cellStyle name="Normal 5 3 4 2 2_II_7_2 Liabilities Fcial interm" xfId="3318"/>
    <cellStyle name="Normal 5 3 4 2 3" xfId="3319"/>
    <cellStyle name="Normal 5 3 4 2 3 2" xfId="3320"/>
    <cellStyle name="Normal 5 3 4 2 3 2 2" xfId="3321"/>
    <cellStyle name="Normal 5 3 4 2 3 2 3" xfId="3322"/>
    <cellStyle name="Normal 5 3 4 2 3 2 4" xfId="3323"/>
    <cellStyle name="Normal 5 3 4 2 3 2_II_7_2 Liabilities Fcial interm" xfId="3324"/>
    <cellStyle name="Normal 5 3 4 2 3 3" xfId="3325"/>
    <cellStyle name="Normal 5 3 4 2 3 3 2" xfId="3326"/>
    <cellStyle name="Normal 5 3 4 2 3 3 3" xfId="3327"/>
    <cellStyle name="Normal 5 3 4 2 3 3 4" xfId="3328"/>
    <cellStyle name="Normal 5 3 4 2 3 3_II_7_2 Liabilities Fcial interm" xfId="3329"/>
    <cellStyle name="Normal 5 3 4 2 3 4" xfId="3330"/>
    <cellStyle name="Normal 5 3 4 2 3 4 2" xfId="3331"/>
    <cellStyle name="Normal 5 3 4 2 3 4 3" xfId="3332"/>
    <cellStyle name="Normal 5 3 4 2 3 4 4" xfId="3333"/>
    <cellStyle name="Normal 5 3 4 2 3 4_II_7_2 Liabilities Fcial interm" xfId="3334"/>
    <cellStyle name="Normal 5 3 4 2 3 5" xfId="3335"/>
    <cellStyle name="Normal 5 3 4 2 3 5 2" xfId="3336"/>
    <cellStyle name="Normal 5 3 4 2 3 5 3" xfId="3337"/>
    <cellStyle name="Normal 5 3 4 2 3 5_II_7_2 Liabilities Fcial interm" xfId="3338"/>
    <cellStyle name="Normal 5 3 4 2 3 6" xfId="3339"/>
    <cellStyle name="Normal 5 3 4 2 3 6 2" xfId="3340"/>
    <cellStyle name="Normal 5 3 4 2 3 7" xfId="3341"/>
    <cellStyle name="Normal 5 3 4 2 3_II_7_2 Liabilities Fcial interm" xfId="3342"/>
    <cellStyle name="Normal 5 3 4 2 4" xfId="3343"/>
    <cellStyle name="Normal 5 3 4 2 4 2" xfId="3344"/>
    <cellStyle name="Normal 5 3 4 2 4 2 2" xfId="3345"/>
    <cellStyle name="Normal 5 3 4 2 4 2 3" xfId="3346"/>
    <cellStyle name="Normal 5 3 4 2 4 2_II_7_2 Liabilities Fcial interm" xfId="3347"/>
    <cellStyle name="Normal 5 3 4 2 4 3" xfId="3348"/>
    <cellStyle name="Normal 5 3 4 2 4 3 2" xfId="3349"/>
    <cellStyle name="Normal 5 3 4 2 4 4" xfId="3350"/>
    <cellStyle name="Normal 5 3 4 2 4_II_7_2 Liabilities Fcial interm" xfId="3351"/>
    <cellStyle name="Normal 5 3 4 2 5" xfId="3352"/>
    <cellStyle name="Normal 5 3 4 2 5 2" xfId="3353"/>
    <cellStyle name="Normal 5 3 4 2 5 2 2" xfId="3354"/>
    <cellStyle name="Normal 5 3 4 2 5 2_II_7_2 Liabilities Fcial interm" xfId="3355"/>
    <cellStyle name="Normal 5 3 4 2 5 3" xfId="3356"/>
    <cellStyle name="Normal 5 3 4 2 5 4" xfId="3357"/>
    <cellStyle name="Normal 5 3 4 2 5_II_7_2 Liabilities Fcial interm" xfId="3358"/>
    <cellStyle name="Normal 5 3 4 2 6" xfId="3359"/>
    <cellStyle name="Normal 5 3 4 2 6 2" xfId="3360"/>
    <cellStyle name="Normal 5 3 4 2 6 3" xfId="3361"/>
    <cellStyle name="Normal 5 3 4 2 6 4" xfId="3362"/>
    <cellStyle name="Normal 5 3 4 2 6_II_7_2 Liabilities Fcial interm" xfId="3363"/>
    <cellStyle name="Normal 5 3 4 2 7" xfId="3364"/>
    <cellStyle name="Normal 5 3 4 2 7 2" xfId="3365"/>
    <cellStyle name="Normal 5 3 4 2 7 3" xfId="3366"/>
    <cellStyle name="Normal 5 3 4 2 7_II_7_2 Liabilities Fcial interm" xfId="3367"/>
    <cellStyle name="Normal 5 3 4 2 8" xfId="3368"/>
    <cellStyle name="Normal 5 3 4 2 8 2" xfId="3369"/>
    <cellStyle name="Normal 5 3 4 2 9" xfId="3370"/>
    <cellStyle name="Normal 5 3 4 2_II_7_2 Liabilities Fcial interm" xfId="3371"/>
    <cellStyle name="Normal 5 3 4 3" xfId="3372"/>
    <cellStyle name="Normal 5 3 4 3 2" xfId="3373"/>
    <cellStyle name="Normal 5 3 4 3 2 2" xfId="3374"/>
    <cellStyle name="Normal 5 3 4 3 2 2 2" xfId="3375"/>
    <cellStyle name="Normal 5 3 4 3 2 2_II_7_2 Liabilities Fcial interm" xfId="3376"/>
    <cellStyle name="Normal 5 3 4 3 2 3" xfId="3377"/>
    <cellStyle name="Normal 5 3 4 3 2 4" xfId="3378"/>
    <cellStyle name="Normal 5 3 4 3 2 5" xfId="3379"/>
    <cellStyle name="Normal 5 3 4 3 2_II_7_2 Liabilities Fcial interm" xfId="3380"/>
    <cellStyle name="Normal 5 3 4 3 3" xfId="3381"/>
    <cellStyle name="Normal 5 3 4 3 3 2" xfId="3382"/>
    <cellStyle name="Normal 5 3 4 3 3 3" xfId="3383"/>
    <cellStyle name="Normal 5 3 4 3 3 4" xfId="3384"/>
    <cellStyle name="Normal 5 3 4 3 3_II_7_2 Liabilities Fcial interm" xfId="3385"/>
    <cellStyle name="Normal 5 3 4 3 4" xfId="3386"/>
    <cellStyle name="Normal 5 3 4 3 4 2" xfId="3387"/>
    <cellStyle name="Normal 5 3 4 3 4 3" xfId="3388"/>
    <cellStyle name="Normal 5 3 4 3 4 4" xfId="3389"/>
    <cellStyle name="Normal 5 3 4 3 4_II_7_2 Liabilities Fcial interm" xfId="3390"/>
    <cellStyle name="Normal 5 3 4 3 5" xfId="3391"/>
    <cellStyle name="Normal 5 3 4 3 5 2" xfId="3392"/>
    <cellStyle name="Normal 5 3 4 3 5 3" xfId="3393"/>
    <cellStyle name="Normal 5 3 4 3 5 4" xfId="3394"/>
    <cellStyle name="Normal 5 3 4 3 5_II_7_2 Liabilities Fcial interm" xfId="3395"/>
    <cellStyle name="Normal 5 3 4 3 6" xfId="3396"/>
    <cellStyle name="Normal 5 3 4 3 6 2" xfId="3397"/>
    <cellStyle name="Normal 5 3 4 3 6 3" xfId="3398"/>
    <cellStyle name="Normal 5 3 4 3 6 4" xfId="3399"/>
    <cellStyle name="Normal 5 3 4 3 6_II_7_2 Liabilities Fcial interm" xfId="3400"/>
    <cellStyle name="Normal 5 3 4 3 7" xfId="3401"/>
    <cellStyle name="Normal 5 3 4 3 7 2" xfId="3402"/>
    <cellStyle name="Normal 5 3 4 3 7 3" xfId="3403"/>
    <cellStyle name="Normal 5 3 4 3 7_II_7_2 Liabilities Fcial interm" xfId="3404"/>
    <cellStyle name="Normal 5 3 4 3 8" xfId="3405"/>
    <cellStyle name="Normal 5 3 4 3 8 2" xfId="3406"/>
    <cellStyle name="Normal 5 3 4 3 9" xfId="3407"/>
    <cellStyle name="Normal 5 3 4 3_II_7_2 Liabilities Fcial interm" xfId="3408"/>
    <cellStyle name="Normal 5 3 4 4" xfId="3409"/>
    <cellStyle name="Normal 5 3 4 4 2" xfId="3410"/>
    <cellStyle name="Normal 5 3 4 4 2 2" xfId="3411"/>
    <cellStyle name="Normal 5 3 4 4 2 2 2" xfId="3412"/>
    <cellStyle name="Normal 5 3 4 4 2 2_II_7_2 Liabilities Fcial interm" xfId="3413"/>
    <cellStyle name="Normal 5 3 4 4 2 3" xfId="3414"/>
    <cellStyle name="Normal 5 3 4 4 2 4" xfId="3415"/>
    <cellStyle name="Normal 5 3 4 4 2 5" xfId="3416"/>
    <cellStyle name="Normal 5 3 4 4 2_II_7_2 Liabilities Fcial interm" xfId="3417"/>
    <cellStyle name="Normal 5 3 4 4 3" xfId="3418"/>
    <cellStyle name="Normal 5 3 4 4 3 2" xfId="3419"/>
    <cellStyle name="Normal 5 3 4 4 3 3" xfId="3420"/>
    <cellStyle name="Normal 5 3 4 4 3 4" xfId="3421"/>
    <cellStyle name="Normal 5 3 4 4 3_II_7_2 Liabilities Fcial interm" xfId="3422"/>
    <cellStyle name="Normal 5 3 4 4 4" xfId="3423"/>
    <cellStyle name="Normal 5 3 4 4 4 2" xfId="3424"/>
    <cellStyle name="Normal 5 3 4 4 4 3" xfId="3425"/>
    <cellStyle name="Normal 5 3 4 4 4 4" xfId="3426"/>
    <cellStyle name="Normal 5 3 4 4 4_II_7_2 Liabilities Fcial interm" xfId="3427"/>
    <cellStyle name="Normal 5 3 4 4 5" xfId="3428"/>
    <cellStyle name="Normal 5 3 4 4 5 2" xfId="3429"/>
    <cellStyle name="Normal 5 3 4 4 5 3" xfId="3430"/>
    <cellStyle name="Normal 5 3 4 4 5_II_7_2 Liabilities Fcial interm" xfId="3431"/>
    <cellStyle name="Normal 5 3 4 4 6" xfId="3432"/>
    <cellStyle name="Normal 5 3 4 4 6 2" xfId="3433"/>
    <cellStyle name="Normal 5 3 4 4 7" xfId="3434"/>
    <cellStyle name="Normal 5 3 4 4_II_7_2 Liabilities Fcial interm" xfId="3435"/>
    <cellStyle name="Normal 5 3 4 5" xfId="3436"/>
    <cellStyle name="Normal 5 3 4 5 2" xfId="3437"/>
    <cellStyle name="Normal 5 3 4 5 2 2" xfId="3438"/>
    <cellStyle name="Normal 5 3 4 5 2 3" xfId="3439"/>
    <cellStyle name="Normal 5 3 4 5 2_II_7_2 Liabilities Fcial interm" xfId="3440"/>
    <cellStyle name="Normal 5 3 4 5 3" xfId="3441"/>
    <cellStyle name="Normal 5 3 4 5 3 2" xfId="3442"/>
    <cellStyle name="Normal 5 3 4 5 3_II_7_2 Liabilities Fcial interm" xfId="3443"/>
    <cellStyle name="Normal 5 3 4 5 4" xfId="3444"/>
    <cellStyle name="Normal 5 3 4 5 5" xfId="3445"/>
    <cellStyle name="Normal 5 3 4 5_II_7_2 Liabilities Fcial interm" xfId="3446"/>
    <cellStyle name="Normal 5 3 4 6" xfId="3447"/>
    <cellStyle name="Normal 5 3 4 6 2" xfId="3448"/>
    <cellStyle name="Normal 5 3 4 6 2 2" xfId="3449"/>
    <cellStyle name="Normal 5 3 4 6 2_II_7_2 Liabilities Fcial interm" xfId="3450"/>
    <cellStyle name="Normal 5 3 4 6 3" xfId="3451"/>
    <cellStyle name="Normal 5 3 4 6 4" xfId="3452"/>
    <cellStyle name="Normal 5 3 4 6_II_7_2 Liabilities Fcial interm" xfId="3453"/>
    <cellStyle name="Normal 5 3 4 7" xfId="3454"/>
    <cellStyle name="Normal 5 3 4 7 2" xfId="3455"/>
    <cellStyle name="Normal 5 3 4 7 3" xfId="3456"/>
    <cellStyle name="Normal 5 3 4 7 4" xfId="3457"/>
    <cellStyle name="Normal 5 3 4 7_II_7_2 Liabilities Fcial interm" xfId="3458"/>
    <cellStyle name="Normal 5 3 4 8" xfId="3459"/>
    <cellStyle name="Normal 5 3 4 8 2" xfId="3460"/>
    <cellStyle name="Normal 5 3 4 8 3" xfId="3461"/>
    <cellStyle name="Normal 5 3 4 8 4" xfId="3462"/>
    <cellStyle name="Normal 5 3 4 8_II_7_2 Liabilities Fcial interm" xfId="3463"/>
    <cellStyle name="Normal 5 3 4 9" xfId="3464"/>
    <cellStyle name="Normal 5 3 4 9 2" xfId="3465"/>
    <cellStyle name="Normal 5 3 4 9 3" xfId="3466"/>
    <cellStyle name="Normal 5 3 4 9_II_7_2 Liabilities Fcial interm" xfId="3467"/>
    <cellStyle name="Normal 5 3 4_II_7_2 Liabilities Fcial interm" xfId="3468"/>
    <cellStyle name="Normal 5 4" xfId="3469"/>
    <cellStyle name="Normal 5 4 2" xfId="3470"/>
    <cellStyle name="Normal 5 4 2 10" xfId="3471"/>
    <cellStyle name="Normal 5 4 2 10 2" xfId="3472"/>
    <cellStyle name="Normal 5 4 2 11" xfId="3473"/>
    <cellStyle name="Normal 5 4 2 12" xfId="3474"/>
    <cellStyle name="Normal 5 4 2 2" xfId="3475"/>
    <cellStyle name="Normal 5 4 2 2 10" xfId="3476"/>
    <cellStyle name="Normal 5 4 2 2 2" xfId="3477"/>
    <cellStyle name="Normal 5 4 2 2 2 2" xfId="3478"/>
    <cellStyle name="Normal 5 4 2 2 2 2 2" xfId="3479"/>
    <cellStyle name="Normal 5 4 2 2 2 2 2 2" xfId="3480"/>
    <cellStyle name="Normal 5 4 2 2 2 2 2_II_7_2 Liabilities Fcial interm" xfId="3481"/>
    <cellStyle name="Normal 5 4 2 2 2 2 3" xfId="3482"/>
    <cellStyle name="Normal 5 4 2 2 2 2 4" xfId="3483"/>
    <cellStyle name="Normal 5 4 2 2 2 2 5" xfId="3484"/>
    <cellStyle name="Normal 5 4 2 2 2 2_II_7_2 Liabilities Fcial interm" xfId="3485"/>
    <cellStyle name="Normal 5 4 2 2 2 3" xfId="3486"/>
    <cellStyle name="Normal 5 4 2 2 2 3 2" xfId="3487"/>
    <cellStyle name="Normal 5 4 2 2 2 3 3" xfId="3488"/>
    <cellStyle name="Normal 5 4 2 2 2 3 4" xfId="3489"/>
    <cellStyle name="Normal 5 4 2 2 2 3_II_7_2 Liabilities Fcial interm" xfId="3490"/>
    <cellStyle name="Normal 5 4 2 2 2 4" xfId="3491"/>
    <cellStyle name="Normal 5 4 2 2 2 4 2" xfId="3492"/>
    <cellStyle name="Normal 5 4 2 2 2 4 3" xfId="3493"/>
    <cellStyle name="Normal 5 4 2 2 2 4 4" xfId="3494"/>
    <cellStyle name="Normal 5 4 2 2 2 4_II_7_2 Liabilities Fcial interm" xfId="3495"/>
    <cellStyle name="Normal 5 4 2 2 2 5" xfId="3496"/>
    <cellStyle name="Normal 5 4 2 2 2 5 2" xfId="3497"/>
    <cellStyle name="Normal 5 4 2 2 2 5 3" xfId="3498"/>
    <cellStyle name="Normal 5 4 2 2 2 5 4" xfId="3499"/>
    <cellStyle name="Normal 5 4 2 2 2 5_II_7_2 Liabilities Fcial interm" xfId="3500"/>
    <cellStyle name="Normal 5 4 2 2 2 6" xfId="3501"/>
    <cellStyle name="Normal 5 4 2 2 2 6 2" xfId="3502"/>
    <cellStyle name="Normal 5 4 2 2 2 6 3" xfId="3503"/>
    <cellStyle name="Normal 5 4 2 2 2 6_II_7_2 Liabilities Fcial interm" xfId="3504"/>
    <cellStyle name="Normal 5 4 2 2 2 7" xfId="3505"/>
    <cellStyle name="Normal 5 4 2 2 2 7 2" xfId="3506"/>
    <cellStyle name="Normal 5 4 2 2 2 8" xfId="3507"/>
    <cellStyle name="Normal 5 4 2 2 2_II_7_2 Liabilities Fcial interm" xfId="3508"/>
    <cellStyle name="Normal 5 4 2 2 3" xfId="3509"/>
    <cellStyle name="Normal 5 4 2 2 3 2" xfId="3510"/>
    <cellStyle name="Normal 5 4 2 2 3 2 2" xfId="3511"/>
    <cellStyle name="Normal 5 4 2 2 3 2 3" xfId="3512"/>
    <cellStyle name="Normal 5 4 2 2 3 2 4" xfId="3513"/>
    <cellStyle name="Normal 5 4 2 2 3 2_II_7_2 Liabilities Fcial interm" xfId="3514"/>
    <cellStyle name="Normal 5 4 2 2 3 3" xfId="3515"/>
    <cellStyle name="Normal 5 4 2 2 3 3 2" xfId="3516"/>
    <cellStyle name="Normal 5 4 2 2 3 3 3" xfId="3517"/>
    <cellStyle name="Normal 5 4 2 2 3 3 4" xfId="3518"/>
    <cellStyle name="Normal 5 4 2 2 3 3_II_7_2 Liabilities Fcial interm" xfId="3519"/>
    <cellStyle name="Normal 5 4 2 2 3 4" xfId="3520"/>
    <cellStyle name="Normal 5 4 2 2 3 4 2" xfId="3521"/>
    <cellStyle name="Normal 5 4 2 2 3 4 3" xfId="3522"/>
    <cellStyle name="Normal 5 4 2 2 3 4 4" xfId="3523"/>
    <cellStyle name="Normal 5 4 2 2 3 4_II_7_2 Liabilities Fcial interm" xfId="3524"/>
    <cellStyle name="Normal 5 4 2 2 3 5" xfId="3525"/>
    <cellStyle name="Normal 5 4 2 2 3 5 2" xfId="3526"/>
    <cellStyle name="Normal 5 4 2 2 3 5 3" xfId="3527"/>
    <cellStyle name="Normal 5 4 2 2 3 5_II_7_2 Liabilities Fcial interm" xfId="3528"/>
    <cellStyle name="Normal 5 4 2 2 3 6" xfId="3529"/>
    <cellStyle name="Normal 5 4 2 2 3 6 2" xfId="3530"/>
    <cellStyle name="Normal 5 4 2 2 3 7" xfId="3531"/>
    <cellStyle name="Normal 5 4 2 2 3_II_7_2 Liabilities Fcial interm" xfId="3532"/>
    <cellStyle name="Normal 5 4 2 2 4" xfId="3533"/>
    <cellStyle name="Normal 5 4 2 2 4 2" xfId="3534"/>
    <cellStyle name="Normal 5 4 2 2 4 2 2" xfId="3535"/>
    <cellStyle name="Normal 5 4 2 2 4 2 3" xfId="3536"/>
    <cellStyle name="Normal 5 4 2 2 4 2_II_7_2 Liabilities Fcial interm" xfId="3537"/>
    <cellStyle name="Normal 5 4 2 2 4 3" xfId="3538"/>
    <cellStyle name="Normal 5 4 2 2 4 3 2" xfId="3539"/>
    <cellStyle name="Normal 5 4 2 2 4 4" xfId="3540"/>
    <cellStyle name="Normal 5 4 2 2 4_II_7_2 Liabilities Fcial interm" xfId="3541"/>
    <cellStyle name="Normal 5 4 2 2 5" xfId="3542"/>
    <cellStyle name="Normal 5 4 2 2 5 2" xfId="3543"/>
    <cellStyle name="Normal 5 4 2 2 5 2 2" xfId="3544"/>
    <cellStyle name="Normal 5 4 2 2 5 2_II_7_2 Liabilities Fcial interm" xfId="3545"/>
    <cellStyle name="Normal 5 4 2 2 5 3" xfId="3546"/>
    <cellStyle name="Normal 5 4 2 2 5 4" xfId="3547"/>
    <cellStyle name="Normal 5 4 2 2 5_II_7_2 Liabilities Fcial interm" xfId="3548"/>
    <cellStyle name="Normal 5 4 2 2 6" xfId="3549"/>
    <cellStyle name="Normal 5 4 2 2 6 2" xfId="3550"/>
    <cellStyle name="Normal 5 4 2 2 6 3" xfId="3551"/>
    <cellStyle name="Normal 5 4 2 2 6 4" xfId="3552"/>
    <cellStyle name="Normal 5 4 2 2 6_II_7_2 Liabilities Fcial interm" xfId="3553"/>
    <cellStyle name="Normal 5 4 2 2 7" xfId="3554"/>
    <cellStyle name="Normal 5 4 2 2 7 2" xfId="3555"/>
    <cellStyle name="Normal 5 4 2 2 7 3" xfId="3556"/>
    <cellStyle name="Normal 5 4 2 2 7_II_7_2 Liabilities Fcial interm" xfId="3557"/>
    <cellStyle name="Normal 5 4 2 2 8" xfId="3558"/>
    <cellStyle name="Normal 5 4 2 2 8 2" xfId="3559"/>
    <cellStyle name="Normal 5 4 2 2 9" xfId="3560"/>
    <cellStyle name="Normal 5 4 2 2_II_7_2 Liabilities Fcial interm" xfId="3561"/>
    <cellStyle name="Normal 5 4 2 3" xfId="3562"/>
    <cellStyle name="Normal 5 4 2 3 2" xfId="3563"/>
    <cellStyle name="Normal 5 4 2 3 2 2" xfId="3564"/>
    <cellStyle name="Normal 5 4 2 3 2 2 2" xfId="3565"/>
    <cellStyle name="Normal 5 4 2 3 2 2_II_7_2 Liabilities Fcial interm" xfId="3566"/>
    <cellStyle name="Normal 5 4 2 3 2 3" xfId="3567"/>
    <cellStyle name="Normal 5 4 2 3 2 4" xfId="3568"/>
    <cellStyle name="Normal 5 4 2 3 2 5" xfId="3569"/>
    <cellStyle name="Normal 5 4 2 3 2_II_7_2 Liabilities Fcial interm" xfId="3570"/>
    <cellStyle name="Normal 5 4 2 3 3" xfId="3571"/>
    <cellStyle name="Normal 5 4 2 3 3 2" xfId="3572"/>
    <cellStyle name="Normal 5 4 2 3 3 3" xfId="3573"/>
    <cellStyle name="Normal 5 4 2 3 3 4" xfId="3574"/>
    <cellStyle name="Normal 5 4 2 3 3_II_7_2 Liabilities Fcial interm" xfId="3575"/>
    <cellStyle name="Normal 5 4 2 3 4" xfId="3576"/>
    <cellStyle name="Normal 5 4 2 3 4 2" xfId="3577"/>
    <cellStyle name="Normal 5 4 2 3 4 3" xfId="3578"/>
    <cellStyle name="Normal 5 4 2 3 4 4" xfId="3579"/>
    <cellStyle name="Normal 5 4 2 3 4_II_7_2 Liabilities Fcial interm" xfId="3580"/>
    <cellStyle name="Normal 5 4 2 3 5" xfId="3581"/>
    <cellStyle name="Normal 5 4 2 3 5 2" xfId="3582"/>
    <cellStyle name="Normal 5 4 2 3 5 3" xfId="3583"/>
    <cellStyle name="Normal 5 4 2 3 5 4" xfId="3584"/>
    <cellStyle name="Normal 5 4 2 3 5_II_7_2 Liabilities Fcial interm" xfId="3585"/>
    <cellStyle name="Normal 5 4 2 3 6" xfId="3586"/>
    <cellStyle name="Normal 5 4 2 3 6 2" xfId="3587"/>
    <cellStyle name="Normal 5 4 2 3 6 3" xfId="3588"/>
    <cellStyle name="Normal 5 4 2 3 6 4" xfId="3589"/>
    <cellStyle name="Normal 5 4 2 3 6_II_7_2 Liabilities Fcial interm" xfId="3590"/>
    <cellStyle name="Normal 5 4 2 3 7" xfId="3591"/>
    <cellStyle name="Normal 5 4 2 3 7 2" xfId="3592"/>
    <cellStyle name="Normal 5 4 2 3 7 3" xfId="3593"/>
    <cellStyle name="Normal 5 4 2 3 7_II_7_2 Liabilities Fcial interm" xfId="3594"/>
    <cellStyle name="Normal 5 4 2 3 8" xfId="3595"/>
    <cellStyle name="Normal 5 4 2 3 8 2" xfId="3596"/>
    <cellStyle name="Normal 5 4 2 3 9" xfId="3597"/>
    <cellStyle name="Normal 5 4 2 3_II_7_2 Liabilities Fcial interm" xfId="3598"/>
    <cellStyle name="Normal 5 4 2 4" xfId="3599"/>
    <cellStyle name="Normal 5 4 2 4 2" xfId="3600"/>
    <cellStyle name="Normal 5 4 2 4 2 2" xfId="3601"/>
    <cellStyle name="Normal 5 4 2 4 2 2 2" xfId="3602"/>
    <cellStyle name="Normal 5 4 2 4 2 2_II_7_2 Liabilities Fcial interm" xfId="3603"/>
    <cellStyle name="Normal 5 4 2 4 2 3" xfId="3604"/>
    <cellStyle name="Normal 5 4 2 4 2 4" xfId="3605"/>
    <cellStyle name="Normal 5 4 2 4 2 5" xfId="3606"/>
    <cellStyle name="Normal 5 4 2 4 2_II_7_2 Liabilities Fcial interm" xfId="3607"/>
    <cellStyle name="Normal 5 4 2 4 3" xfId="3608"/>
    <cellStyle name="Normal 5 4 2 4 3 2" xfId="3609"/>
    <cellStyle name="Normal 5 4 2 4 3 3" xfId="3610"/>
    <cellStyle name="Normal 5 4 2 4 3 4" xfId="3611"/>
    <cellStyle name="Normal 5 4 2 4 3_II_7_2 Liabilities Fcial interm" xfId="3612"/>
    <cellStyle name="Normal 5 4 2 4 4" xfId="3613"/>
    <cellStyle name="Normal 5 4 2 4 4 2" xfId="3614"/>
    <cellStyle name="Normal 5 4 2 4 4 3" xfId="3615"/>
    <cellStyle name="Normal 5 4 2 4 4 4" xfId="3616"/>
    <cellStyle name="Normal 5 4 2 4 4_II_7_2 Liabilities Fcial interm" xfId="3617"/>
    <cellStyle name="Normal 5 4 2 4 5" xfId="3618"/>
    <cellStyle name="Normal 5 4 2 4 5 2" xfId="3619"/>
    <cellStyle name="Normal 5 4 2 4 5 3" xfId="3620"/>
    <cellStyle name="Normal 5 4 2 4 5_II_7_2 Liabilities Fcial interm" xfId="3621"/>
    <cellStyle name="Normal 5 4 2 4 6" xfId="3622"/>
    <cellStyle name="Normal 5 4 2 4 6 2" xfId="3623"/>
    <cellStyle name="Normal 5 4 2 4 7" xfId="3624"/>
    <cellStyle name="Normal 5 4 2 4_II_7_2 Liabilities Fcial interm" xfId="3625"/>
    <cellStyle name="Normal 5 4 2 5" xfId="3626"/>
    <cellStyle name="Normal 5 4 2 5 2" xfId="3627"/>
    <cellStyle name="Normal 5 4 2 5 2 2" xfId="3628"/>
    <cellStyle name="Normal 5 4 2 5 2 3" xfId="3629"/>
    <cellStyle name="Normal 5 4 2 5 2_II_7_2 Liabilities Fcial interm" xfId="3630"/>
    <cellStyle name="Normal 5 4 2 5 3" xfId="3631"/>
    <cellStyle name="Normal 5 4 2 5 3 2" xfId="3632"/>
    <cellStyle name="Normal 5 4 2 5 3_II_7_2 Liabilities Fcial interm" xfId="3633"/>
    <cellStyle name="Normal 5 4 2 5 4" xfId="3634"/>
    <cellStyle name="Normal 5 4 2 5 5" xfId="3635"/>
    <cellStyle name="Normal 5 4 2 5_II_7_2 Liabilities Fcial interm" xfId="3636"/>
    <cellStyle name="Normal 5 4 2 6" xfId="3637"/>
    <cellStyle name="Normal 5 4 2 6 2" xfId="3638"/>
    <cellStyle name="Normal 5 4 2 6 2 2" xfId="3639"/>
    <cellStyle name="Normal 5 4 2 6 2_II_7_2 Liabilities Fcial interm" xfId="3640"/>
    <cellStyle name="Normal 5 4 2 6 3" xfId="3641"/>
    <cellStyle name="Normal 5 4 2 6 4" xfId="3642"/>
    <cellStyle name="Normal 5 4 2 6_II_7_2 Liabilities Fcial interm" xfId="3643"/>
    <cellStyle name="Normal 5 4 2 7" xfId="3644"/>
    <cellStyle name="Normal 5 4 2 7 2" xfId="3645"/>
    <cellStyle name="Normal 5 4 2 7 3" xfId="3646"/>
    <cellStyle name="Normal 5 4 2 7 4" xfId="3647"/>
    <cellStyle name="Normal 5 4 2 7_II_7_2 Liabilities Fcial interm" xfId="3648"/>
    <cellStyle name="Normal 5 4 2 8" xfId="3649"/>
    <cellStyle name="Normal 5 4 2 8 2" xfId="3650"/>
    <cellStyle name="Normal 5 4 2 8 3" xfId="3651"/>
    <cellStyle name="Normal 5 4 2 8 4" xfId="3652"/>
    <cellStyle name="Normal 5 4 2 8_II_7_2 Liabilities Fcial interm" xfId="3653"/>
    <cellStyle name="Normal 5 4 2 9" xfId="3654"/>
    <cellStyle name="Normal 5 4 2 9 2" xfId="3655"/>
    <cellStyle name="Normal 5 4 2 9 3" xfId="3656"/>
    <cellStyle name="Normal 5 4 2 9_II_7_2 Liabilities Fcial interm" xfId="3657"/>
    <cellStyle name="Normal 5 4 2_II_7_2 Liabilities Fcial interm" xfId="3658"/>
    <cellStyle name="Normal 5 4 3" xfId="3659"/>
    <cellStyle name="Normal 5 4 3 10" xfId="3660"/>
    <cellStyle name="Normal 5 4 3 10 2" xfId="3661"/>
    <cellStyle name="Normal 5 4 3 11" xfId="3662"/>
    <cellStyle name="Normal 5 4 3 12" xfId="3663"/>
    <cellStyle name="Normal 5 4 3 2" xfId="3664"/>
    <cellStyle name="Normal 5 4 3 2 10" xfId="3665"/>
    <cellStyle name="Normal 5 4 3 2 2" xfId="3666"/>
    <cellStyle name="Normal 5 4 3 2 2 2" xfId="3667"/>
    <cellStyle name="Normal 5 4 3 2 2 2 2" xfId="3668"/>
    <cellStyle name="Normal 5 4 3 2 2 2 2 2" xfId="3669"/>
    <cellStyle name="Normal 5 4 3 2 2 2 2_II_7_2 Liabilities Fcial interm" xfId="3670"/>
    <cellStyle name="Normal 5 4 3 2 2 2 3" xfId="3671"/>
    <cellStyle name="Normal 5 4 3 2 2 2 4" xfId="3672"/>
    <cellStyle name="Normal 5 4 3 2 2 2 5" xfId="3673"/>
    <cellStyle name="Normal 5 4 3 2 2 2_II_7_2 Liabilities Fcial interm" xfId="3674"/>
    <cellStyle name="Normal 5 4 3 2 2 3" xfId="3675"/>
    <cellStyle name="Normal 5 4 3 2 2 3 2" xfId="3676"/>
    <cellStyle name="Normal 5 4 3 2 2 3 3" xfId="3677"/>
    <cellStyle name="Normal 5 4 3 2 2 3 4" xfId="3678"/>
    <cellStyle name="Normal 5 4 3 2 2 3_II_7_2 Liabilities Fcial interm" xfId="3679"/>
    <cellStyle name="Normal 5 4 3 2 2 4" xfId="3680"/>
    <cellStyle name="Normal 5 4 3 2 2 4 2" xfId="3681"/>
    <cellStyle name="Normal 5 4 3 2 2 4 3" xfId="3682"/>
    <cellStyle name="Normal 5 4 3 2 2 4 4" xfId="3683"/>
    <cellStyle name="Normal 5 4 3 2 2 4_II_7_2 Liabilities Fcial interm" xfId="3684"/>
    <cellStyle name="Normal 5 4 3 2 2 5" xfId="3685"/>
    <cellStyle name="Normal 5 4 3 2 2 5 2" xfId="3686"/>
    <cellStyle name="Normal 5 4 3 2 2 5 3" xfId="3687"/>
    <cellStyle name="Normal 5 4 3 2 2 5 4" xfId="3688"/>
    <cellStyle name="Normal 5 4 3 2 2 5_II_7_2 Liabilities Fcial interm" xfId="3689"/>
    <cellStyle name="Normal 5 4 3 2 2 6" xfId="3690"/>
    <cellStyle name="Normal 5 4 3 2 2 6 2" xfId="3691"/>
    <cellStyle name="Normal 5 4 3 2 2 6 3" xfId="3692"/>
    <cellStyle name="Normal 5 4 3 2 2 6_II_7_2 Liabilities Fcial interm" xfId="3693"/>
    <cellStyle name="Normal 5 4 3 2 2 7" xfId="3694"/>
    <cellStyle name="Normal 5 4 3 2 2 7 2" xfId="3695"/>
    <cellStyle name="Normal 5 4 3 2 2 8" xfId="3696"/>
    <cellStyle name="Normal 5 4 3 2 2_II_7_2 Liabilities Fcial interm" xfId="3697"/>
    <cellStyle name="Normal 5 4 3 2 3" xfId="3698"/>
    <cellStyle name="Normal 5 4 3 2 3 2" xfId="3699"/>
    <cellStyle name="Normal 5 4 3 2 3 2 2" xfId="3700"/>
    <cellStyle name="Normal 5 4 3 2 3 2 3" xfId="3701"/>
    <cellStyle name="Normal 5 4 3 2 3 2 4" xfId="3702"/>
    <cellStyle name="Normal 5 4 3 2 3 2_II_7_2 Liabilities Fcial interm" xfId="3703"/>
    <cellStyle name="Normal 5 4 3 2 3 3" xfId="3704"/>
    <cellStyle name="Normal 5 4 3 2 3 3 2" xfId="3705"/>
    <cellStyle name="Normal 5 4 3 2 3 3 3" xfId="3706"/>
    <cellStyle name="Normal 5 4 3 2 3 3 4" xfId="3707"/>
    <cellStyle name="Normal 5 4 3 2 3 3_II_7_2 Liabilities Fcial interm" xfId="3708"/>
    <cellStyle name="Normal 5 4 3 2 3 4" xfId="3709"/>
    <cellStyle name="Normal 5 4 3 2 3 4 2" xfId="3710"/>
    <cellStyle name="Normal 5 4 3 2 3 4 3" xfId="3711"/>
    <cellStyle name="Normal 5 4 3 2 3 4 4" xfId="3712"/>
    <cellStyle name="Normal 5 4 3 2 3 4_II_7_2 Liabilities Fcial interm" xfId="3713"/>
    <cellStyle name="Normal 5 4 3 2 3 5" xfId="3714"/>
    <cellStyle name="Normal 5 4 3 2 3 5 2" xfId="3715"/>
    <cellStyle name="Normal 5 4 3 2 3 5 3" xfId="3716"/>
    <cellStyle name="Normal 5 4 3 2 3 5_II_7_2 Liabilities Fcial interm" xfId="3717"/>
    <cellStyle name="Normal 5 4 3 2 3 6" xfId="3718"/>
    <cellStyle name="Normal 5 4 3 2 3 6 2" xfId="3719"/>
    <cellStyle name="Normal 5 4 3 2 3 7" xfId="3720"/>
    <cellStyle name="Normal 5 4 3 2 3_II_7_2 Liabilities Fcial interm" xfId="3721"/>
    <cellStyle name="Normal 5 4 3 2 4" xfId="3722"/>
    <cellStyle name="Normal 5 4 3 2 4 2" xfId="3723"/>
    <cellStyle name="Normal 5 4 3 2 4 2 2" xfId="3724"/>
    <cellStyle name="Normal 5 4 3 2 4 2 3" xfId="3725"/>
    <cellStyle name="Normal 5 4 3 2 4 2_II_7_2 Liabilities Fcial interm" xfId="3726"/>
    <cellStyle name="Normal 5 4 3 2 4 3" xfId="3727"/>
    <cellStyle name="Normal 5 4 3 2 4 3 2" xfId="3728"/>
    <cellStyle name="Normal 5 4 3 2 4 4" xfId="3729"/>
    <cellStyle name="Normal 5 4 3 2 4_II_7_2 Liabilities Fcial interm" xfId="3730"/>
    <cellStyle name="Normal 5 4 3 2 5" xfId="3731"/>
    <cellStyle name="Normal 5 4 3 2 5 2" xfId="3732"/>
    <cellStyle name="Normal 5 4 3 2 5 2 2" xfId="3733"/>
    <cellStyle name="Normal 5 4 3 2 5 2_II_7_2 Liabilities Fcial interm" xfId="3734"/>
    <cellStyle name="Normal 5 4 3 2 5 3" xfId="3735"/>
    <cellStyle name="Normal 5 4 3 2 5 4" xfId="3736"/>
    <cellStyle name="Normal 5 4 3 2 5_II_7_2 Liabilities Fcial interm" xfId="3737"/>
    <cellStyle name="Normal 5 4 3 2 6" xfId="3738"/>
    <cellStyle name="Normal 5 4 3 2 6 2" xfId="3739"/>
    <cellStyle name="Normal 5 4 3 2 6 3" xfId="3740"/>
    <cellStyle name="Normal 5 4 3 2 6 4" xfId="3741"/>
    <cellStyle name="Normal 5 4 3 2 6_II_7_2 Liabilities Fcial interm" xfId="3742"/>
    <cellStyle name="Normal 5 4 3 2 7" xfId="3743"/>
    <cellStyle name="Normal 5 4 3 2 7 2" xfId="3744"/>
    <cellStyle name="Normal 5 4 3 2 7 3" xfId="3745"/>
    <cellStyle name="Normal 5 4 3 2 7_II_7_2 Liabilities Fcial interm" xfId="3746"/>
    <cellStyle name="Normal 5 4 3 2 8" xfId="3747"/>
    <cellStyle name="Normal 5 4 3 2 8 2" xfId="3748"/>
    <cellStyle name="Normal 5 4 3 2 9" xfId="3749"/>
    <cellStyle name="Normal 5 4 3 2_II_7_2 Liabilities Fcial interm" xfId="3750"/>
    <cellStyle name="Normal 5 4 3 3" xfId="3751"/>
    <cellStyle name="Normal 5 4 3 3 2" xfId="3752"/>
    <cellStyle name="Normal 5 4 3 3 2 2" xfId="3753"/>
    <cellStyle name="Normal 5 4 3 3 2 2 2" xfId="3754"/>
    <cellStyle name="Normal 5 4 3 3 2 2_II_7_2 Liabilities Fcial interm" xfId="3755"/>
    <cellStyle name="Normal 5 4 3 3 2 3" xfId="3756"/>
    <cellStyle name="Normal 5 4 3 3 2 4" xfId="3757"/>
    <cellStyle name="Normal 5 4 3 3 2 5" xfId="3758"/>
    <cellStyle name="Normal 5 4 3 3 2_II_7_2 Liabilities Fcial interm" xfId="3759"/>
    <cellStyle name="Normal 5 4 3 3 3" xfId="3760"/>
    <cellStyle name="Normal 5 4 3 3 3 2" xfId="3761"/>
    <cellStyle name="Normal 5 4 3 3 3 3" xfId="3762"/>
    <cellStyle name="Normal 5 4 3 3 3 4" xfId="3763"/>
    <cellStyle name="Normal 5 4 3 3 3_II_7_2 Liabilities Fcial interm" xfId="3764"/>
    <cellStyle name="Normal 5 4 3 3 4" xfId="3765"/>
    <cellStyle name="Normal 5 4 3 3 4 2" xfId="3766"/>
    <cellStyle name="Normal 5 4 3 3 4 3" xfId="3767"/>
    <cellStyle name="Normal 5 4 3 3 4 4" xfId="3768"/>
    <cellStyle name="Normal 5 4 3 3 4_II_7_2 Liabilities Fcial interm" xfId="3769"/>
    <cellStyle name="Normal 5 4 3 3 5" xfId="3770"/>
    <cellStyle name="Normal 5 4 3 3 5 2" xfId="3771"/>
    <cellStyle name="Normal 5 4 3 3 5 3" xfId="3772"/>
    <cellStyle name="Normal 5 4 3 3 5 4" xfId="3773"/>
    <cellStyle name="Normal 5 4 3 3 5_II_7_2 Liabilities Fcial interm" xfId="3774"/>
    <cellStyle name="Normal 5 4 3 3 6" xfId="3775"/>
    <cellStyle name="Normal 5 4 3 3 6 2" xfId="3776"/>
    <cellStyle name="Normal 5 4 3 3 6 3" xfId="3777"/>
    <cellStyle name="Normal 5 4 3 3 6 4" xfId="3778"/>
    <cellStyle name="Normal 5 4 3 3 6_II_7_2 Liabilities Fcial interm" xfId="3779"/>
    <cellStyle name="Normal 5 4 3 3 7" xfId="3780"/>
    <cellStyle name="Normal 5 4 3 3 7 2" xfId="3781"/>
    <cellStyle name="Normal 5 4 3 3 7 3" xfId="3782"/>
    <cellStyle name="Normal 5 4 3 3 7_II_7_2 Liabilities Fcial interm" xfId="3783"/>
    <cellStyle name="Normal 5 4 3 3 8" xfId="3784"/>
    <cellStyle name="Normal 5 4 3 3 8 2" xfId="3785"/>
    <cellStyle name="Normal 5 4 3 3 9" xfId="3786"/>
    <cellStyle name="Normal 5 4 3 3_II_7_2 Liabilities Fcial interm" xfId="3787"/>
    <cellStyle name="Normal 5 4 3 4" xfId="3788"/>
    <cellStyle name="Normal 5 4 3 4 2" xfId="3789"/>
    <cellStyle name="Normal 5 4 3 4 2 2" xfId="3790"/>
    <cellStyle name="Normal 5 4 3 4 2 2 2" xfId="3791"/>
    <cellStyle name="Normal 5 4 3 4 2 2_II_7_2 Liabilities Fcial interm" xfId="3792"/>
    <cellStyle name="Normal 5 4 3 4 2 3" xfId="3793"/>
    <cellStyle name="Normal 5 4 3 4 2 4" xfId="3794"/>
    <cellStyle name="Normal 5 4 3 4 2 5" xfId="3795"/>
    <cellStyle name="Normal 5 4 3 4 2_II_7_2 Liabilities Fcial interm" xfId="3796"/>
    <cellStyle name="Normal 5 4 3 4 3" xfId="3797"/>
    <cellStyle name="Normal 5 4 3 4 3 2" xfId="3798"/>
    <cellStyle name="Normal 5 4 3 4 3 3" xfId="3799"/>
    <cellStyle name="Normal 5 4 3 4 3 4" xfId="3800"/>
    <cellStyle name="Normal 5 4 3 4 3_II_7_2 Liabilities Fcial interm" xfId="3801"/>
    <cellStyle name="Normal 5 4 3 4 4" xfId="3802"/>
    <cellStyle name="Normal 5 4 3 4 4 2" xfId="3803"/>
    <cellStyle name="Normal 5 4 3 4 4 3" xfId="3804"/>
    <cellStyle name="Normal 5 4 3 4 4 4" xfId="3805"/>
    <cellStyle name="Normal 5 4 3 4 4_II_7_2 Liabilities Fcial interm" xfId="3806"/>
    <cellStyle name="Normal 5 4 3 4 5" xfId="3807"/>
    <cellStyle name="Normal 5 4 3 4 5 2" xfId="3808"/>
    <cellStyle name="Normal 5 4 3 4 5 3" xfId="3809"/>
    <cellStyle name="Normal 5 4 3 4 5_II_7_2 Liabilities Fcial interm" xfId="3810"/>
    <cellStyle name="Normal 5 4 3 4 6" xfId="3811"/>
    <cellStyle name="Normal 5 4 3 4 6 2" xfId="3812"/>
    <cellStyle name="Normal 5 4 3 4 7" xfId="3813"/>
    <cellStyle name="Normal 5 4 3 4_II_7_2 Liabilities Fcial interm" xfId="3814"/>
    <cellStyle name="Normal 5 4 3 5" xfId="3815"/>
    <cellStyle name="Normal 5 4 3 5 2" xfId="3816"/>
    <cellStyle name="Normal 5 4 3 5 2 2" xfId="3817"/>
    <cellStyle name="Normal 5 4 3 5 2 3" xfId="3818"/>
    <cellStyle name="Normal 5 4 3 5 2_II_7_2 Liabilities Fcial interm" xfId="3819"/>
    <cellStyle name="Normal 5 4 3 5 3" xfId="3820"/>
    <cellStyle name="Normal 5 4 3 5 3 2" xfId="3821"/>
    <cellStyle name="Normal 5 4 3 5 3_II_7_2 Liabilities Fcial interm" xfId="3822"/>
    <cellStyle name="Normal 5 4 3 5 4" xfId="3823"/>
    <cellStyle name="Normal 5 4 3 5 5" xfId="3824"/>
    <cellStyle name="Normal 5 4 3 5_II_7_2 Liabilities Fcial interm" xfId="3825"/>
    <cellStyle name="Normal 5 4 3 6" xfId="3826"/>
    <cellStyle name="Normal 5 4 3 6 2" xfId="3827"/>
    <cellStyle name="Normal 5 4 3 6 2 2" xfId="3828"/>
    <cellStyle name="Normal 5 4 3 6 2_II_7_2 Liabilities Fcial interm" xfId="3829"/>
    <cellStyle name="Normal 5 4 3 6 3" xfId="3830"/>
    <cellStyle name="Normal 5 4 3 6 4" xfId="3831"/>
    <cellStyle name="Normal 5 4 3 6_II_7_2 Liabilities Fcial interm" xfId="3832"/>
    <cellStyle name="Normal 5 4 3 7" xfId="3833"/>
    <cellStyle name="Normal 5 4 3 7 2" xfId="3834"/>
    <cellStyle name="Normal 5 4 3 7 3" xfId="3835"/>
    <cellStyle name="Normal 5 4 3 7 4" xfId="3836"/>
    <cellStyle name="Normal 5 4 3 7_II_7_2 Liabilities Fcial interm" xfId="3837"/>
    <cellStyle name="Normal 5 4 3 8" xfId="3838"/>
    <cellStyle name="Normal 5 4 3 8 2" xfId="3839"/>
    <cellStyle name="Normal 5 4 3 8 3" xfId="3840"/>
    <cellStyle name="Normal 5 4 3 8 4" xfId="3841"/>
    <cellStyle name="Normal 5 4 3 8_II_7_2 Liabilities Fcial interm" xfId="3842"/>
    <cellStyle name="Normal 5 4 3 9" xfId="3843"/>
    <cellStyle name="Normal 5 4 3 9 2" xfId="3844"/>
    <cellStyle name="Normal 5 4 3 9 3" xfId="3845"/>
    <cellStyle name="Normal 5 4 3 9_II_7_2 Liabilities Fcial interm" xfId="3846"/>
    <cellStyle name="Normal 5 4 3_II_7_2 Liabilities Fcial interm" xfId="3847"/>
    <cellStyle name="Normal 5 5" xfId="3848"/>
    <cellStyle name="Normal 5 5 2" xfId="3849"/>
    <cellStyle name="Normal 5 5 2 10" xfId="3850"/>
    <cellStyle name="Normal 5 5 2 10 2" xfId="3851"/>
    <cellStyle name="Normal 5 5 2 11" xfId="3852"/>
    <cellStyle name="Normal 5 5 2 12" xfId="3853"/>
    <cellStyle name="Normal 5 5 2 2" xfId="3854"/>
    <cellStyle name="Normal 5 5 2 2 10" xfId="3855"/>
    <cellStyle name="Normal 5 5 2 2 2" xfId="3856"/>
    <cellStyle name="Normal 5 5 2 2 2 2" xfId="3857"/>
    <cellStyle name="Normal 5 5 2 2 2 2 2" xfId="3858"/>
    <cellStyle name="Normal 5 5 2 2 2 2 2 2" xfId="3859"/>
    <cellStyle name="Normal 5 5 2 2 2 2 2_II_7_2 Liabilities Fcial interm" xfId="3860"/>
    <cellStyle name="Normal 5 5 2 2 2 2 3" xfId="3861"/>
    <cellStyle name="Normal 5 5 2 2 2 2 4" xfId="3862"/>
    <cellStyle name="Normal 5 5 2 2 2 2 5" xfId="3863"/>
    <cellStyle name="Normal 5 5 2 2 2 2_II_7_2 Liabilities Fcial interm" xfId="3864"/>
    <cellStyle name="Normal 5 5 2 2 2 3" xfId="3865"/>
    <cellStyle name="Normal 5 5 2 2 2 3 2" xfId="3866"/>
    <cellStyle name="Normal 5 5 2 2 2 3 3" xfId="3867"/>
    <cellStyle name="Normal 5 5 2 2 2 3 4" xfId="3868"/>
    <cellStyle name="Normal 5 5 2 2 2 3_II_7_2 Liabilities Fcial interm" xfId="3869"/>
    <cellStyle name="Normal 5 5 2 2 2 4" xfId="3870"/>
    <cellStyle name="Normal 5 5 2 2 2 4 2" xfId="3871"/>
    <cellStyle name="Normal 5 5 2 2 2 4 3" xfId="3872"/>
    <cellStyle name="Normal 5 5 2 2 2 4 4" xfId="3873"/>
    <cellStyle name="Normal 5 5 2 2 2 4_II_7_2 Liabilities Fcial interm" xfId="3874"/>
    <cellStyle name="Normal 5 5 2 2 2 5" xfId="3875"/>
    <cellStyle name="Normal 5 5 2 2 2 5 2" xfId="3876"/>
    <cellStyle name="Normal 5 5 2 2 2 5 3" xfId="3877"/>
    <cellStyle name="Normal 5 5 2 2 2 5 4" xfId="3878"/>
    <cellStyle name="Normal 5 5 2 2 2 5_II_7_2 Liabilities Fcial interm" xfId="3879"/>
    <cellStyle name="Normal 5 5 2 2 2 6" xfId="3880"/>
    <cellStyle name="Normal 5 5 2 2 2 6 2" xfId="3881"/>
    <cellStyle name="Normal 5 5 2 2 2 6 3" xfId="3882"/>
    <cellStyle name="Normal 5 5 2 2 2 6_II_7_2 Liabilities Fcial interm" xfId="3883"/>
    <cellStyle name="Normal 5 5 2 2 2 7" xfId="3884"/>
    <cellStyle name="Normal 5 5 2 2 2 7 2" xfId="3885"/>
    <cellStyle name="Normal 5 5 2 2 2 8" xfId="3886"/>
    <cellStyle name="Normal 5 5 2 2 2_II_7_2 Liabilities Fcial interm" xfId="3887"/>
    <cellStyle name="Normal 5 5 2 2 3" xfId="3888"/>
    <cellStyle name="Normal 5 5 2 2 3 2" xfId="3889"/>
    <cellStyle name="Normal 5 5 2 2 3 2 2" xfId="3890"/>
    <cellStyle name="Normal 5 5 2 2 3 2 3" xfId="3891"/>
    <cellStyle name="Normal 5 5 2 2 3 2 4" xfId="3892"/>
    <cellStyle name="Normal 5 5 2 2 3 2_II_7_2 Liabilities Fcial interm" xfId="3893"/>
    <cellStyle name="Normal 5 5 2 2 3 3" xfId="3894"/>
    <cellStyle name="Normal 5 5 2 2 3 3 2" xfId="3895"/>
    <cellStyle name="Normal 5 5 2 2 3 3 3" xfId="3896"/>
    <cellStyle name="Normal 5 5 2 2 3 3 4" xfId="3897"/>
    <cellStyle name="Normal 5 5 2 2 3 3_II_7_2 Liabilities Fcial interm" xfId="3898"/>
    <cellStyle name="Normal 5 5 2 2 3 4" xfId="3899"/>
    <cellStyle name="Normal 5 5 2 2 3 4 2" xfId="3900"/>
    <cellStyle name="Normal 5 5 2 2 3 4 3" xfId="3901"/>
    <cellStyle name="Normal 5 5 2 2 3 4 4" xfId="3902"/>
    <cellStyle name="Normal 5 5 2 2 3 4_II_7_2 Liabilities Fcial interm" xfId="3903"/>
    <cellStyle name="Normal 5 5 2 2 3 5" xfId="3904"/>
    <cellStyle name="Normal 5 5 2 2 3 5 2" xfId="3905"/>
    <cellStyle name="Normal 5 5 2 2 3 5 3" xfId="3906"/>
    <cellStyle name="Normal 5 5 2 2 3 5_II_7_2 Liabilities Fcial interm" xfId="3907"/>
    <cellStyle name="Normal 5 5 2 2 3 6" xfId="3908"/>
    <cellStyle name="Normal 5 5 2 2 3 6 2" xfId="3909"/>
    <cellStyle name="Normal 5 5 2 2 3 7" xfId="3910"/>
    <cellStyle name="Normal 5 5 2 2 3_II_7_2 Liabilities Fcial interm" xfId="3911"/>
    <cellStyle name="Normal 5 5 2 2 4" xfId="3912"/>
    <cellStyle name="Normal 5 5 2 2 4 2" xfId="3913"/>
    <cellStyle name="Normal 5 5 2 2 4 2 2" xfId="3914"/>
    <cellStyle name="Normal 5 5 2 2 4 2 3" xfId="3915"/>
    <cellStyle name="Normal 5 5 2 2 4 2_II_7_2 Liabilities Fcial interm" xfId="3916"/>
    <cellStyle name="Normal 5 5 2 2 4 3" xfId="3917"/>
    <cellStyle name="Normal 5 5 2 2 4 3 2" xfId="3918"/>
    <cellStyle name="Normal 5 5 2 2 4 4" xfId="3919"/>
    <cellStyle name="Normal 5 5 2 2 4_II_7_2 Liabilities Fcial interm" xfId="3920"/>
    <cellStyle name="Normal 5 5 2 2 5" xfId="3921"/>
    <cellStyle name="Normal 5 5 2 2 5 2" xfId="3922"/>
    <cellStyle name="Normal 5 5 2 2 5 2 2" xfId="3923"/>
    <cellStyle name="Normal 5 5 2 2 5 2_II_7_2 Liabilities Fcial interm" xfId="3924"/>
    <cellStyle name="Normal 5 5 2 2 5 3" xfId="3925"/>
    <cellStyle name="Normal 5 5 2 2 5 4" xfId="3926"/>
    <cellStyle name="Normal 5 5 2 2 5_II_7_2 Liabilities Fcial interm" xfId="3927"/>
    <cellStyle name="Normal 5 5 2 2 6" xfId="3928"/>
    <cellStyle name="Normal 5 5 2 2 6 2" xfId="3929"/>
    <cellStyle name="Normal 5 5 2 2 6 3" xfId="3930"/>
    <cellStyle name="Normal 5 5 2 2 6 4" xfId="3931"/>
    <cellStyle name="Normal 5 5 2 2 6_II_7_2 Liabilities Fcial interm" xfId="3932"/>
    <cellStyle name="Normal 5 5 2 2 7" xfId="3933"/>
    <cellStyle name="Normal 5 5 2 2 7 2" xfId="3934"/>
    <cellStyle name="Normal 5 5 2 2 7 3" xfId="3935"/>
    <cellStyle name="Normal 5 5 2 2 7_II_7_2 Liabilities Fcial interm" xfId="3936"/>
    <cellStyle name="Normal 5 5 2 2 8" xfId="3937"/>
    <cellStyle name="Normal 5 5 2 2 8 2" xfId="3938"/>
    <cellStyle name="Normal 5 5 2 2 9" xfId="3939"/>
    <cellStyle name="Normal 5 5 2 2_II_7_2 Liabilities Fcial interm" xfId="3940"/>
    <cellStyle name="Normal 5 5 2 3" xfId="3941"/>
    <cellStyle name="Normal 5 5 2 3 2" xfId="3942"/>
    <cellStyle name="Normal 5 5 2 3 2 2" xfId="3943"/>
    <cellStyle name="Normal 5 5 2 3 2 2 2" xfId="3944"/>
    <cellStyle name="Normal 5 5 2 3 2 2_II_7_2 Liabilities Fcial interm" xfId="3945"/>
    <cellStyle name="Normal 5 5 2 3 2 3" xfId="3946"/>
    <cellStyle name="Normal 5 5 2 3 2 4" xfId="3947"/>
    <cellStyle name="Normal 5 5 2 3 2 5" xfId="3948"/>
    <cellStyle name="Normal 5 5 2 3 2_II_7_2 Liabilities Fcial interm" xfId="3949"/>
    <cellStyle name="Normal 5 5 2 3 3" xfId="3950"/>
    <cellStyle name="Normal 5 5 2 3 3 2" xfId="3951"/>
    <cellStyle name="Normal 5 5 2 3 3 3" xfId="3952"/>
    <cellStyle name="Normal 5 5 2 3 3 4" xfId="3953"/>
    <cellStyle name="Normal 5 5 2 3 3_II_7_2 Liabilities Fcial interm" xfId="3954"/>
    <cellStyle name="Normal 5 5 2 3 4" xfId="3955"/>
    <cellStyle name="Normal 5 5 2 3 4 2" xfId="3956"/>
    <cellStyle name="Normal 5 5 2 3 4 3" xfId="3957"/>
    <cellStyle name="Normal 5 5 2 3 4 4" xfId="3958"/>
    <cellStyle name="Normal 5 5 2 3 4_II_7_2 Liabilities Fcial interm" xfId="3959"/>
    <cellStyle name="Normal 5 5 2 3 5" xfId="3960"/>
    <cellStyle name="Normal 5 5 2 3 5 2" xfId="3961"/>
    <cellStyle name="Normal 5 5 2 3 5 3" xfId="3962"/>
    <cellStyle name="Normal 5 5 2 3 5 4" xfId="3963"/>
    <cellStyle name="Normal 5 5 2 3 5_II_7_2 Liabilities Fcial interm" xfId="3964"/>
    <cellStyle name="Normal 5 5 2 3 6" xfId="3965"/>
    <cellStyle name="Normal 5 5 2 3 6 2" xfId="3966"/>
    <cellStyle name="Normal 5 5 2 3 6 3" xfId="3967"/>
    <cellStyle name="Normal 5 5 2 3 6 4" xfId="3968"/>
    <cellStyle name="Normal 5 5 2 3 6_II_7_2 Liabilities Fcial interm" xfId="3969"/>
    <cellStyle name="Normal 5 5 2 3 7" xfId="3970"/>
    <cellStyle name="Normal 5 5 2 3 7 2" xfId="3971"/>
    <cellStyle name="Normal 5 5 2 3 7 3" xfId="3972"/>
    <cellStyle name="Normal 5 5 2 3 7_II_7_2 Liabilities Fcial interm" xfId="3973"/>
    <cellStyle name="Normal 5 5 2 3 8" xfId="3974"/>
    <cellStyle name="Normal 5 5 2 3 8 2" xfId="3975"/>
    <cellStyle name="Normal 5 5 2 3 9" xfId="3976"/>
    <cellStyle name="Normal 5 5 2 3_II_7_2 Liabilities Fcial interm" xfId="3977"/>
    <cellStyle name="Normal 5 5 2 4" xfId="3978"/>
    <cellStyle name="Normal 5 5 2 4 2" xfId="3979"/>
    <cellStyle name="Normal 5 5 2 4 2 2" xfId="3980"/>
    <cellStyle name="Normal 5 5 2 4 2 2 2" xfId="3981"/>
    <cellStyle name="Normal 5 5 2 4 2 2_II_7_2 Liabilities Fcial interm" xfId="3982"/>
    <cellStyle name="Normal 5 5 2 4 2 3" xfId="3983"/>
    <cellStyle name="Normal 5 5 2 4 2 4" xfId="3984"/>
    <cellStyle name="Normal 5 5 2 4 2 5" xfId="3985"/>
    <cellStyle name="Normal 5 5 2 4 2_II_7_2 Liabilities Fcial interm" xfId="3986"/>
    <cellStyle name="Normal 5 5 2 4 3" xfId="3987"/>
    <cellStyle name="Normal 5 5 2 4 3 2" xfId="3988"/>
    <cellStyle name="Normal 5 5 2 4 3 3" xfId="3989"/>
    <cellStyle name="Normal 5 5 2 4 3 4" xfId="3990"/>
    <cellStyle name="Normal 5 5 2 4 3_II_7_2 Liabilities Fcial interm" xfId="3991"/>
    <cellStyle name="Normal 5 5 2 4 4" xfId="3992"/>
    <cellStyle name="Normal 5 5 2 4 4 2" xfId="3993"/>
    <cellStyle name="Normal 5 5 2 4 4 3" xfId="3994"/>
    <cellStyle name="Normal 5 5 2 4 4 4" xfId="3995"/>
    <cellStyle name="Normal 5 5 2 4 4_II_7_2 Liabilities Fcial interm" xfId="3996"/>
    <cellStyle name="Normal 5 5 2 4 5" xfId="3997"/>
    <cellStyle name="Normal 5 5 2 4 5 2" xfId="3998"/>
    <cellStyle name="Normal 5 5 2 4 5 3" xfId="3999"/>
    <cellStyle name="Normal 5 5 2 4 5_II_7_2 Liabilities Fcial interm" xfId="4000"/>
    <cellStyle name="Normal 5 5 2 4 6" xfId="4001"/>
    <cellStyle name="Normal 5 5 2 4 6 2" xfId="4002"/>
    <cellStyle name="Normal 5 5 2 4 7" xfId="4003"/>
    <cellStyle name="Normal 5 5 2 4_II_7_2 Liabilities Fcial interm" xfId="4004"/>
    <cellStyle name="Normal 5 5 2 5" xfId="4005"/>
    <cellStyle name="Normal 5 5 2 5 2" xfId="4006"/>
    <cellStyle name="Normal 5 5 2 5 2 2" xfId="4007"/>
    <cellStyle name="Normal 5 5 2 5 2 3" xfId="4008"/>
    <cellStyle name="Normal 5 5 2 5 2_II_7_2 Liabilities Fcial interm" xfId="4009"/>
    <cellStyle name="Normal 5 5 2 5 3" xfId="4010"/>
    <cellStyle name="Normal 5 5 2 5 3 2" xfId="4011"/>
    <cellStyle name="Normal 5 5 2 5 3_II_7_2 Liabilities Fcial interm" xfId="4012"/>
    <cellStyle name="Normal 5 5 2 5 4" xfId="4013"/>
    <cellStyle name="Normal 5 5 2 5 5" xfId="4014"/>
    <cellStyle name="Normal 5 5 2 5_II_7_2 Liabilities Fcial interm" xfId="4015"/>
    <cellStyle name="Normal 5 5 2 6" xfId="4016"/>
    <cellStyle name="Normal 5 5 2 6 2" xfId="4017"/>
    <cellStyle name="Normal 5 5 2 6 2 2" xfId="4018"/>
    <cellStyle name="Normal 5 5 2 6 2_II_7_2 Liabilities Fcial interm" xfId="4019"/>
    <cellStyle name="Normal 5 5 2 6 3" xfId="4020"/>
    <cellStyle name="Normal 5 5 2 6 4" xfId="4021"/>
    <cellStyle name="Normal 5 5 2 6_II_7_2 Liabilities Fcial interm" xfId="4022"/>
    <cellStyle name="Normal 5 5 2 7" xfId="4023"/>
    <cellStyle name="Normal 5 5 2 7 2" xfId="4024"/>
    <cellStyle name="Normal 5 5 2 7 3" xfId="4025"/>
    <cellStyle name="Normal 5 5 2 7 4" xfId="4026"/>
    <cellStyle name="Normal 5 5 2 7_II_7_2 Liabilities Fcial interm" xfId="4027"/>
    <cellStyle name="Normal 5 5 2 8" xfId="4028"/>
    <cellStyle name="Normal 5 5 2 8 2" xfId="4029"/>
    <cellStyle name="Normal 5 5 2 8 3" xfId="4030"/>
    <cellStyle name="Normal 5 5 2 8 4" xfId="4031"/>
    <cellStyle name="Normal 5 5 2 8_II_7_2 Liabilities Fcial interm" xfId="4032"/>
    <cellStyle name="Normal 5 5 2 9" xfId="4033"/>
    <cellStyle name="Normal 5 5 2 9 2" xfId="4034"/>
    <cellStyle name="Normal 5 5 2 9 3" xfId="4035"/>
    <cellStyle name="Normal 5 5 2 9_II_7_2 Liabilities Fcial interm" xfId="4036"/>
    <cellStyle name="Normal 5 5 2_II_7_2 Liabilities Fcial interm" xfId="4037"/>
    <cellStyle name="Normal 5 6" xfId="4038"/>
    <cellStyle name="Normal 5 7" xfId="4039"/>
    <cellStyle name="Normal 5 8" xfId="4040"/>
    <cellStyle name="Normal 5 9" xfId="4041"/>
    <cellStyle name="Normal 50" xfId="4042"/>
    <cellStyle name="Normal 50 2" xfId="4043"/>
    <cellStyle name="Normal 50 2 2" xfId="4044"/>
    <cellStyle name="Normal 50 2 3" xfId="4045"/>
    <cellStyle name="Normal 50 3" xfId="4046"/>
    <cellStyle name="Normal 51" xfId="4047"/>
    <cellStyle name="Normal 51 2" xfId="4048"/>
    <cellStyle name="Normal 51 2 2" xfId="4049"/>
    <cellStyle name="Normal 51 2 3" xfId="4050"/>
    <cellStyle name="Normal 51 3" xfId="4051"/>
    <cellStyle name="Normal 52" xfId="4052"/>
    <cellStyle name="Normal 52 2" xfId="4053"/>
    <cellStyle name="Normal 52 2 2" xfId="4054"/>
    <cellStyle name="Normal 52 2 3" xfId="4055"/>
    <cellStyle name="Normal 52 3" xfId="4056"/>
    <cellStyle name="Normal 53" xfId="4057"/>
    <cellStyle name="Normal 54" xfId="4058"/>
    <cellStyle name="Normal 55" xfId="4059"/>
    <cellStyle name="Normal 55 2" xfId="4060"/>
    <cellStyle name="Normal 55 3" xfId="4061"/>
    <cellStyle name="Normal 56" xfId="4062"/>
    <cellStyle name="Normal 57" xfId="4063"/>
    <cellStyle name="Normal 58" xfId="4064"/>
    <cellStyle name="Normal 59" xfId="4065"/>
    <cellStyle name="Normal 6" xfId="4066"/>
    <cellStyle name="Normal 6 2" xfId="4067"/>
    <cellStyle name="Normal 6 2 2" xfId="4068"/>
    <cellStyle name="Normal 6 3" xfId="4069"/>
    <cellStyle name="Normal 6 4" xfId="4070"/>
    <cellStyle name="Normal 6 4 2" xfId="4071"/>
    <cellStyle name="Normal 6 4_ACT FPHU NR" xfId="4072"/>
    <cellStyle name="Normal 6 5" xfId="4073"/>
    <cellStyle name="Normal 6 5 2" xfId="4074"/>
    <cellStyle name="Normal 6 5_ACT FPHU NR" xfId="4075"/>
    <cellStyle name="Normal 6_ACT BNDE NR" xfId="4076"/>
    <cellStyle name="Normal 60" xfId="4077"/>
    <cellStyle name="Normal 61" xfId="4078"/>
    <cellStyle name="Normal 62" xfId="4079"/>
    <cellStyle name="Normal 63" xfId="4080"/>
    <cellStyle name="Normal 64" xfId="4081"/>
    <cellStyle name="Normal 65" xfId="4082"/>
    <cellStyle name="Normal 66" xfId="4083"/>
    <cellStyle name="Normal 67" xfId="4084"/>
    <cellStyle name="Normal 68" xfId="4085"/>
    <cellStyle name="Normal 69" xfId="4086"/>
    <cellStyle name="Normal 7" xfId="4087"/>
    <cellStyle name="Normal 7 2" xfId="4088"/>
    <cellStyle name="Normal 7 2 2" xfId="4089"/>
    <cellStyle name="Normal 7 2_ACT BNDE NR" xfId="4090"/>
    <cellStyle name="Normal 7 3" xfId="4091"/>
    <cellStyle name="Normal 7 4" xfId="4092"/>
    <cellStyle name="Normal 7 5" xfId="4093"/>
    <cellStyle name="Normal 70" xfId="4094"/>
    <cellStyle name="Normal 71" xfId="4095"/>
    <cellStyle name="Normal 71 2" xfId="4096"/>
    <cellStyle name="Normal 72" xfId="4097"/>
    <cellStyle name="Normal 73" xfId="4098"/>
    <cellStyle name="Normal 73 2" xfId="4099"/>
    <cellStyle name="Normal 74" xfId="4100"/>
    <cellStyle name="Normal 74 2" xfId="4101"/>
    <cellStyle name="Normal 75" xfId="4102"/>
    <cellStyle name="Normal 75 2" xfId="4103"/>
    <cellStyle name="Normal 76" xfId="4104"/>
    <cellStyle name="Normal 77" xfId="4105"/>
    <cellStyle name="Normal 78" xfId="4106"/>
    <cellStyle name="Normal 79" xfId="4107"/>
    <cellStyle name="Normal 79 2" xfId="4108"/>
    <cellStyle name="Normal 8" xfId="4109"/>
    <cellStyle name="Normal 8 2" xfId="4110"/>
    <cellStyle name="Normal 8 3" xfId="4111"/>
    <cellStyle name="Normal 8 4" xfId="4112"/>
    <cellStyle name="Normal 8 4 2" xfId="4113"/>
    <cellStyle name="Normal 8 4_ACT FPHU NR" xfId="4114"/>
    <cellStyle name="Normal 8 5" xfId="4115"/>
    <cellStyle name="Normal 8_ACT BNDE NR" xfId="4116"/>
    <cellStyle name="Normal 80" xfId="4117"/>
    <cellStyle name="Normal 81" xfId="4118"/>
    <cellStyle name="Normal 82" xfId="4119"/>
    <cellStyle name="Normal 83" xfId="4120"/>
    <cellStyle name="Normal 83 2" xfId="4121"/>
    <cellStyle name="Normal 84" xfId="4122"/>
    <cellStyle name="Normal 84 2" xfId="4123"/>
    <cellStyle name="Normal 85" xfId="4124"/>
    <cellStyle name="Normal 86" xfId="4125"/>
    <cellStyle name="Normal 87" xfId="4126"/>
    <cellStyle name="Normal 88" xfId="4127"/>
    <cellStyle name="Normal 89" xfId="4128"/>
    <cellStyle name="Normal 9" xfId="4129"/>
    <cellStyle name="Normal 9 10" xfId="4130"/>
    <cellStyle name="Normal 9 11" xfId="4131"/>
    <cellStyle name="Normal 9 12" xfId="4132"/>
    <cellStyle name="Normal 9 13" xfId="4133"/>
    <cellStyle name="Normal 9 14" xfId="4134"/>
    <cellStyle name="Normal 9 15" xfId="4135"/>
    <cellStyle name="Normal 9 16" xfId="4136"/>
    <cellStyle name="Normal 9 2" xfId="4137"/>
    <cellStyle name="Normal 9 3" xfId="4138"/>
    <cellStyle name="Normal 9 4" xfId="4139"/>
    <cellStyle name="Normal 9 5" xfId="4140"/>
    <cellStyle name="Normal 9 6" xfId="4141"/>
    <cellStyle name="Normal 9 7" xfId="4142"/>
    <cellStyle name="Normal 9 8" xfId="4143"/>
    <cellStyle name="Normal 9 9" xfId="4144"/>
    <cellStyle name="Normal 9_ACT BNDE NR" xfId="4145"/>
    <cellStyle name="Normal 90" xfId="4146"/>
    <cellStyle name="Normal 90 2" xfId="4147"/>
    <cellStyle name="Normal 91" xfId="4148"/>
    <cellStyle name="Normal 92" xfId="4149"/>
    <cellStyle name="Normal 93" xfId="4150"/>
    <cellStyle name="Normal 94" xfId="4151"/>
    <cellStyle name="Normal 95" xfId="4152"/>
    <cellStyle name="Normal 96" xfId="4153"/>
    <cellStyle name="Normal 96 2" xfId="4154"/>
    <cellStyle name="Normal 97" xfId="4155"/>
    <cellStyle name="Normal 98" xfId="4156"/>
    <cellStyle name="Normal 99" xfId="4157"/>
    <cellStyle name="Normal Table" xfId="4158"/>
    <cellStyle name="Normal, Of which" xfId="4159"/>
    <cellStyle name="Normal_Dét en dev" xfId="4341"/>
    <cellStyle name="Normal_Détent en BIF" xfId="4340"/>
    <cellStyle name="Normal_II_15 Lending rates" xfId="4160"/>
    <cellStyle name="Normal_II_9 Banking liquidity" xfId="4161"/>
    <cellStyle name="Normal_ii4-1sitmonétaire actif" xfId="4342"/>
    <cellStyle name="Of which" xfId="4162"/>
    <cellStyle name="Percent" xfId="4182" builtinId="5"/>
    <cellStyle name="Percent [2]" xfId="4163"/>
    <cellStyle name="Percent [2] 10" xfId="4164"/>
    <cellStyle name="Percent [2] 2" xfId="4165"/>
    <cellStyle name="Percent [2] 3" xfId="4166"/>
    <cellStyle name="Percent [2] 4" xfId="4167"/>
    <cellStyle name="Percent [2] 5" xfId="4168"/>
    <cellStyle name="Percent [2] 6" xfId="4169"/>
    <cellStyle name="Percent [2] 7" xfId="4170"/>
    <cellStyle name="Percent [2] 8" xfId="4171"/>
    <cellStyle name="Percent [2] 9" xfId="4172"/>
    <cellStyle name="Percent 2" xfId="4173"/>
    <cellStyle name="Percent 3" xfId="4174"/>
    <cellStyle name="percentage difference" xfId="4175"/>
    <cellStyle name="percentage difference one decimal" xfId="4176"/>
    <cellStyle name="percentage difference zero decimal" xfId="4177"/>
    <cellStyle name="Percentual" xfId="4178"/>
    <cellStyle name="Ponto" xfId="4179"/>
    <cellStyle name="Porcentagem_SEP1196" xfId="4180"/>
    <cellStyle name="Porcentaje" xfId="4181"/>
    <cellStyle name="Pourcentage 2" xfId="4183"/>
    <cellStyle name="Pourcentage 2 10" xfId="4184"/>
    <cellStyle name="Pourcentage 2 11" xfId="4185"/>
    <cellStyle name="Pourcentage 2 12" xfId="4186"/>
    <cellStyle name="Pourcentage 2 13" xfId="4187"/>
    <cellStyle name="Pourcentage 2 14" xfId="4188"/>
    <cellStyle name="Pourcentage 2 15" xfId="4189"/>
    <cellStyle name="Pourcentage 2 16" xfId="4190"/>
    <cellStyle name="Pourcentage 2 17" xfId="4191"/>
    <cellStyle name="Pourcentage 2 18" xfId="4192"/>
    <cellStyle name="Pourcentage 2 19" xfId="4193"/>
    <cellStyle name="Pourcentage 2 2" xfId="4194"/>
    <cellStyle name="Pourcentage 2 2 2" xfId="4195"/>
    <cellStyle name="Pourcentage 2 2 3" xfId="4196"/>
    <cellStyle name="Pourcentage 2 2 4" xfId="4197"/>
    <cellStyle name="Pourcentage 2 2 5" xfId="4198"/>
    <cellStyle name="Pourcentage 2 20" xfId="4199"/>
    <cellStyle name="Pourcentage 2 21" xfId="4200"/>
    <cellStyle name="Pourcentage 2 22" xfId="4201"/>
    <cellStyle name="Pourcentage 2 23" xfId="4202"/>
    <cellStyle name="Pourcentage 2 24" xfId="4203"/>
    <cellStyle name="Pourcentage 2 3" xfId="4204"/>
    <cellStyle name="Pourcentage 2 3 2" xfId="4205"/>
    <cellStyle name="Pourcentage 2 3 3" xfId="4206"/>
    <cellStyle name="Pourcentage 2 3 4" xfId="4207"/>
    <cellStyle name="Pourcentage 2 3 5" xfId="4208"/>
    <cellStyle name="Pourcentage 2 4" xfId="4209"/>
    <cellStyle name="Pourcentage 2 5" xfId="4210"/>
    <cellStyle name="Pourcentage 2 6" xfId="4211"/>
    <cellStyle name="Pourcentage 2 7" xfId="4212"/>
    <cellStyle name="Pourcentage 2 8" xfId="4213"/>
    <cellStyle name="Pourcentage 2 9" xfId="4214"/>
    <cellStyle name="Pourcentage 3" xfId="4215"/>
    <cellStyle name="Pourcentage 3 2" xfId="4216"/>
    <cellStyle name="Pourcentage 3 2 2" xfId="4217"/>
    <cellStyle name="Pourcentage 3 2 3" xfId="4218"/>
    <cellStyle name="Pourcentage 3 2 4" xfId="4219"/>
    <cellStyle name="Pourcentage 3 2 5" xfId="4220"/>
    <cellStyle name="Pourcentage 3 2 6" xfId="4221"/>
    <cellStyle name="Pourcentage 3 3" xfId="4222"/>
    <cellStyle name="Pourcentage 3 3 2" xfId="4223"/>
    <cellStyle name="Pourcentage 3 3 3" xfId="4224"/>
    <cellStyle name="Pourcentage 3 3 4" xfId="4225"/>
    <cellStyle name="Pourcentage 3 3 5" xfId="4226"/>
    <cellStyle name="Pourcentage 3 4" xfId="4227"/>
    <cellStyle name="Pourcentage 3 5" xfId="4228"/>
    <cellStyle name="Pourcentage 3 6" xfId="4229"/>
    <cellStyle name="Pourcentage 3 7" xfId="4230"/>
    <cellStyle name="Pourcentage 3 8" xfId="4347"/>
    <cellStyle name="Pourcentage 4" xfId="4231"/>
    <cellStyle name="Pourcentage 4 2" xfId="4232"/>
    <cellStyle name="Pourcentage 4 3" xfId="4233"/>
    <cellStyle name="Pourcentage 4 4" xfId="4234"/>
    <cellStyle name="Pourcentage 4 5" xfId="4235"/>
    <cellStyle name="Pourcentage 5" xfId="4236"/>
    <cellStyle name="Pourcentage 6" xfId="4346"/>
    <cellStyle name="Presentation" xfId="4237"/>
    <cellStyle name="Publication" xfId="4238"/>
    <cellStyle name="Punto" xfId="4239"/>
    <cellStyle name="Punto0" xfId="4240"/>
    <cellStyle name="Red Text" xfId="4241"/>
    <cellStyle name="SAPBEXaggData" xfId="4242"/>
    <cellStyle name="SAPBEXaggDataEmph" xfId="4243"/>
    <cellStyle name="SAPBEXaggItem" xfId="4244"/>
    <cellStyle name="SAPBEXchaText" xfId="4245"/>
    <cellStyle name="SAPBEXexcBad" xfId="4246"/>
    <cellStyle name="SAPBEXexcCritical" xfId="4247"/>
    <cellStyle name="SAPBEXexcGood" xfId="4248"/>
    <cellStyle name="SAPBEXexcVeryBad" xfId="4249"/>
    <cellStyle name="SAPBEXfilterDrill" xfId="4250"/>
    <cellStyle name="SAPBEXfilterItem" xfId="4251"/>
    <cellStyle name="SAPBEXfilterText" xfId="4252"/>
    <cellStyle name="SAPBEXformats" xfId="4253"/>
    <cellStyle name="SAPBEXheaderData" xfId="4254"/>
    <cellStyle name="SAPBEXheaderItem" xfId="4255"/>
    <cellStyle name="SAPBEXheaderText" xfId="4256"/>
    <cellStyle name="SAPBEXresData" xfId="4257"/>
    <cellStyle name="SAPBEXresDataEmph" xfId="4258"/>
    <cellStyle name="SAPBEXresItem" xfId="4259"/>
    <cellStyle name="SAPBEXstdData" xfId="4260"/>
    <cellStyle name="SAPBEXstdDataEmph" xfId="4261"/>
    <cellStyle name="SAPBEXstdItem" xfId="4262"/>
    <cellStyle name="SAPBEXstdItem 2" xfId="4263"/>
    <cellStyle name="SAPBEXsubData" xfId="4264"/>
    <cellStyle name="SAPBEXsubDataEmph" xfId="4265"/>
    <cellStyle name="SAPBEXsubItem" xfId="4266"/>
    <cellStyle name="SAPBEXtitle" xfId="4267"/>
    <cellStyle name="SAPBEXundefined" xfId="4268"/>
    <cellStyle name="Sep. milhar [2]" xfId="4269"/>
    <cellStyle name="Separador de m" xfId="4270"/>
    <cellStyle name="Separador de m 10" xfId="4271"/>
    <cellStyle name="Separador de m 2" xfId="4272"/>
    <cellStyle name="Separador de m 3" xfId="4273"/>
    <cellStyle name="Separador de m 4" xfId="4274"/>
    <cellStyle name="Separador de m 5" xfId="4275"/>
    <cellStyle name="Separador de m 6" xfId="4276"/>
    <cellStyle name="Separador de m 7" xfId="4277"/>
    <cellStyle name="Separador de m 8" xfId="4278"/>
    <cellStyle name="Separador de m 9" xfId="4279"/>
    <cellStyle name="Separador de milhares [0]_A" xfId="4280"/>
    <cellStyle name="Separador de milhares_A" xfId="4281"/>
    <cellStyle name="Sheet Title" xfId="4282"/>
    <cellStyle name="Style1" xfId="4283"/>
    <cellStyle name="Text" xfId="4284"/>
    <cellStyle name="Text 10" xfId="4285"/>
    <cellStyle name="Text 2" xfId="4286"/>
    <cellStyle name="Text 3" xfId="4287"/>
    <cellStyle name="Text 4" xfId="4288"/>
    <cellStyle name="Text 5" xfId="4289"/>
    <cellStyle name="Text 6" xfId="4290"/>
    <cellStyle name="Text 7" xfId="4291"/>
    <cellStyle name="Text 8" xfId="4292"/>
    <cellStyle name="Text 9" xfId="4293"/>
    <cellStyle name="þ_x001d_ð‡_x000c_éþ÷_x000c_âþU_x0001__x001f__x000f_&quot;_x0007__x0001__x0001_" xfId="4294"/>
    <cellStyle name="þ_x001d_ð‡_x000c_éþ÷_x000c_âþU_x0001__x001f__x000f_&quot;_x000f__x0001__x0001_" xfId="4295"/>
    <cellStyle name="Titulo1" xfId="4296"/>
    <cellStyle name="Titulo2" xfId="4297"/>
    <cellStyle name="TopGrey" xfId="4298"/>
    <cellStyle name="V¡rgula" xfId="4299"/>
    <cellStyle name="V¡rgula0" xfId="4300"/>
    <cellStyle name="vaca" xfId="4301"/>
    <cellStyle name="Vírgula" xfId="4302"/>
    <cellStyle name="Vírgula 10" xfId="4303"/>
    <cellStyle name="Vírgula 2" xfId="4304"/>
    <cellStyle name="Vírgula 3" xfId="4305"/>
    <cellStyle name="Vírgula 4" xfId="4306"/>
    <cellStyle name="Vírgula 5" xfId="4307"/>
    <cellStyle name="Vírgula 6" xfId="4308"/>
    <cellStyle name="Vírgula 7" xfId="4309"/>
    <cellStyle name="Vírgula 8" xfId="4310"/>
    <cellStyle name="Vírgula 9" xfId="4311"/>
    <cellStyle name="WebAnchor1" xfId="4312"/>
    <cellStyle name="WebAnchor2" xfId="4313"/>
    <cellStyle name="WebAnchor3" xfId="4314"/>
    <cellStyle name="WebAnchor4" xfId="4315"/>
    <cellStyle name="WebAnchor5" xfId="4316"/>
    <cellStyle name="WebAnchor6" xfId="4317"/>
    <cellStyle name="WebAnchor7" xfId="4318"/>
    <cellStyle name="Webexclude" xfId="4319"/>
    <cellStyle name="WebFN" xfId="4320"/>
    <cellStyle name="WebFN1" xfId="4321"/>
    <cellStyle name="WebFN2" xfId="4322"/>
    <cellStyle name="WebFN3" xfId="4323"/>
    <cellStyle name="WebFN4" xfId="4324"/>
    <cellStyle name="WebHR" xfId="4325"/>
    <cellStyle name="WebIndent1" xfId="4326"/>
    <cellStyle name="WebIndent1wFN3" xfId="4327"/>
    <cellStyle name="WebIndent2" xfId="4328"/>
    <cellStyle name="WebNoBR" xfId="4329"/>
    <cellStyle name="ДАТА" xfId="4330"/>
    <cellStyle name="ДЕНЕЖНЫЙ_BOPENGC" xfId="4331"/>
    <cellStyle name="ЗАГОЛОВОК1" xfId="4332"/>
    <cellStyle name="ЗАГОЛОВОК2" xfId="4333"/>
    <cellStyle name="ИТОГОВЫЙ" xfId="4334"/>
    <cellStyle name="Обычный_BOPENGC" xfId="4335"/>
    <cellStyle name="ПРОЦЕНТНЫЙ_BOPENGC" xfId="4336"/>
    <cellStyle name="ТЕКСТ" xfId="4337"/>
    <cellStyle name="ФИКСИРОВАННЫЙ" xfId="4338"/>
    <cellStyle name="ФИНАНСОВЫЙ_BOPENGC" xfId="43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190500</xdr:rowOff>
    </xdr:from>
    <xdr:to>
      <xdr:col>1</xdr:col>
      <xdr:colOff>9525</xdr:colOff>
      <xdr:row>17</xdr:row>
      <xdr:rowOff>19050</xdr:rowOff>
    </xdr:to>
    <xdr:sp macro="" textlink="">
      <xdr:nvSpPr>
        <xdr:cNvPr id="27731" name="Line 1"/>
        <xdr:cNvSpPr>
          <a:spLocks noChangeShapeType="1"/>
        </xdr:cNvSpPr>
      </xdr:nvSpPr>
      <xdr:spPr bwMode="auto">
        <a:xfrm>
          <a:off x="0" y="990600"/>
          <a:ext cx="1733550" cy="217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1914525</xdr:colOff>
      <xdr:row>11</xdr:row>
      <xdr:rowOff>180975</xdr:rowOff>
    </xdr:to>
    <xdr:sp macro="" textlink="">
      <xdr:nvSpPr>
        <xdr:cNvPr id="8506" name="Line 3"/>
        <xdr:cNvSpPr>
          <a:spLocks noChangeShapeType="1"/>
        </xdr:cNvSpPr>
      </xdr:nvSpPr>
      <xdr:spPr bwMode="auto">
        <a:xfrm>
          <a:off x="9525" y="600075"/>
          <a:ext cx="140970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1914525</xdr:colOff>
      <xdr:row>11</xdr:row>
      <xdr:rowOff>180975</xdr:rowOff>
    </xdr:to>
    <xdr:sp macro="" textlink="">
      <xdr:nvSpPr>
        <xdr:cNvPr id="8507" name="Line 3"/>
        <xdr:cNvSpPr>
          <a:spLocks noChangeShapeType="1"/>
        </xdr:cNvSpPr>
      </xdr:nvSpPr>
      <xdr:spPr bwMode="auto">
        <a:xfrm>
          <a:off x="9525" y="600075"/>
          <a:ext cx="140970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0" y="819150"/>
          <a:ext cx="19240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</xdr:col>
      <xdr:colOff>9525</xdr:colOff>
      <xdr:row>10</xdr:row>
      <xdr:rowOff>0</xdr:rowOff>
    </xdr:to>
    <xdr:sp macro="" textlink="">
      <xdr:nvSpPr>
        <xdr:cNvPr id="12428" name="Line 2"/>
        <xdr:cNvSpPr>
          <a:spLocks noChangeShapeType="1"/>
        </xdr:cNvSpPr>
      </xdr:nvSpPr>
      <xdr:spPr bwMode="auto">
        <a:xfrm>
          <a:off x="0" y="819150"/>
          <a:ext cx="18002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16</xdr:row>
      <xdr:rowOff>0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19050" y="809625"/>
          <a:ext cx="1790700" cy="2390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9525</xdr:colOff>
      <xdr:row>12</xdr:row>
      <xdr:rowOff>9525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9525" y="809625"/>
          <a:ext cx="2343150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16502" name="Line 3"/>
        <xdr:cNvSpPr>
          <a:spLocks noChangeShapeType="1"/>
        </xdr:cNvSpPr>
      </xdr:nvSpPr>
      <xdr:spPr bwMode="auto">
        <a:xfrm>
          <a:off x="9525" y="609600"/>
          <a:ext cx="15430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9525" y="800100"/>
          <a:ext cx="14573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15598" name="Line 2"/>
        <xdr:cNvSpPr>
          <a:spLocks noChangeShapeType="1"/>
        </xdr:cNvSpPr>
      </xdr:nvSpPr>
      <xdr:spPr bwMode="auto">
        <a:xfrm>
          <a:off x="9525" y="800100"/>
          <a:ext cx="14573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19050</xdr:colOff>
      <xdr:row>13</xdr:row>
      <xdr:rowOff>9525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9525" y="800100"/>
          <a:ext cx="1400175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5</xdr:row>
      <xdr:rowOff>95250</xdr:rowOff>
    </xdr:from>
    <xdr:to>
      <xdr:col>0</xdr:col>
      <xdr:colOff>695325</xdr:colOff>
      <xdr:row>6</xdr:row>
      <xdr:rowOff>114300</xdr:rowOff>
    </xdr:to>
    <xdr:sp macro="" textlink="">
      <xdr:nvSpPr>
        <xdr:cNvPr id="19075" name="Text Box 2"/>
        <xdr:cNvSpPr txBox="1">
          <a:spLocks noChangeArrowheads="1"/>
        </xdr:cNvSpPr>
      </xdr:nvSpPr>
      <xdr:spPr bwMode="auto">
        <a:xfrm>
          <a:off x="600075" y="1181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 macro="" textlink="">
      <xdr:nvSpPr>
        <xdr:cNvPr id="19076" name="Line 4"/>
        <xdr:cNvSpPr>
          <a:spLocks noChangeShapeType="1"/>
        </xdr:cNvSpPr>
      </xdr:nvSpPr>
      <xdr:spPr bwMode="auto">
        <a:xfrm>
          <a:off x="9525" y="904875"/>
          <a:ext cx="1457325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1409700</xdr:colOff>
      <xdr:row>7</xdr:row>
      <xdr:rowOff>95250</xdr:rowOff>
    </xdr:from>
    <xdr:to>
      <xdr:col>2</xdr:col>
      <xdr:colOff>390525</xdr:colOff>
      <xdr:row>9</xdr:row>
      <xdr:rowOff>31750</xdr:rowOff>
    </xdr:to>
    <xdr:sp macro="" textlink="">
      <xdr:nvSpPr>
        <xdr:cNvPr id="19077" name="Text Box 5"/>
        <xdr:cNvSpPr txBox="1">
          <a:spLocks noChangeArrowheads="1"/>
        </xdr:cNvSpPr>
      </xdr:nvSpPr>
      <xdr:spPr bwMode="auto">
        <a:xfrm>
          <a:off x="1409700" y="15811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5</xdr:row>
      <xdr:rowOff>95250</xdr:rowOff>
    </xdr:from>
    <xdr:to>
      <xdr:col>0</xdr:col>
      <xdr:colOff>695325</xdr:colOff>
      <xdr:row>7</xdr:row>
      <xdr:rowOff>104775</xdr:rowOff>
    </xdr:to>
    <xdr:sp macro="" textlink="">
      <xdr:nvSpPr>
        <xdr:cNvPr id="19078" name="Text Box 2"/>
        <xdr:cNvSpPr txBox="1">
          <a:spLocks noChangeArrowheads="1"/>
        </xdr:cNvSpPr>
      </xdr:nvSpPr>
      <xdr:spPr bwMode="auto">
        <a:xfrm>
          <a:off x="600075" y="1181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 macro="" textlink="">
      <xdr:nvSpPr>
        <xdr:cNvPr id="19079" name="Line 4"/>
        <xdr:cNvSpPr>
          <a:spLocks noChangeShapeType="1"/>
        </xdr:cNvSpPr>
      </xdr:nvSpPr>
      <xdr:spPr bwMode="auto">
        <a:xfrm>
          <a:off x="9525" y="904875"/>
          <a:ext cx="1457325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1409700</xdr:colOff>
      <xdr:row>7</xdr:row>
      <xdr:rowOff>95250</xdr:rowOff>
    </xdr:from>
    <xdr:to>
      <xdr:col>2</xdr:col>
      <xdr:colOff>38100</xdr:colOff>
      <xdr:row>9</xdr:row>
      <xdr:rowOff>133350</xdr:rowOff>
    </xdr:to>
    <xdr:sp macro="" textlink="">
      <xdr:nvSpPr>
        <xdr:cNvPr id="19080" name="Text Box 5"/>
        <xdr:cNvSpPr txBox="1">
          <a:spLocks noChangeArrowheads="1"/>
        </xdr:cNvSpPr>
      </xdr:nvSpPr>
      <xdr:spPr bwMode="auto">
        <a:xfrm>
          <a:off x="1409700" y="15811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9525</xdr:rowOff>
    </xdr:from>
    <xdr:to>
      <xdr:col>1</xdr:col>
      <xdr:colOff>0</xdr:colOff>
      <xdr:row>15</xdr:row>
      <xdr:rowOff>0</xdr:rowOff>
    </xdr:to>
    <xdr:sp macro="" textlink="">
      <xdr:nvSpPr>
        <xdr:cNvPr id="19560" name="Line 3"/>
        <xdr:cNvSpPr>
          <a:spLocks noChangeShapeType="1"/>
        </xdr:cNvSpPr>
      </xdr:nvSpPr>
      <xdr:spPr bwMode="auto">
        <a:xfrm>
          <a:off x="28575" y="2009775"/>
          <a:ext cx="1781175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0</xdr:col>
      <xdr:colOff>1676400</xdr:colOff>
      <xdr:row>13</xdr:row>
      <xdr:rowOff>0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0" y="1209675"/>
          <a:ext cx="1266825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0</xdr:col>
      <xdr:colOff>1695450</xdr:colOff>
      <xdr:row>5</xdr:row>
      <xdr:rowOff>219075</xdr:rowOff>
    </xdr:to>
    <xdr:sp macro="" textlink="">
      <xdr:nvSpPr>
        <xdr:cNvPr id="20683" name="Line 4"/>
        <xdr:cNvSpPr>
          <a:spLocks noChangeShapeType="1"/>
        </xdr:cNvSpPr>
      </xdr:nvSpPr>
      <xdr:spPr bwMode="auto">
        <a:xfrm>
          <a:off x="0" y="819150"/>
          <a:ext cx="16954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684" name="Line 4"/>
        <xdr:cNvSpPr>
          <a:spLocks noChangeShapeType="1"/>
        </xdr:cNvSpPr>
      </xdr:nvSpPr>
      <xdr:spPr bwMode="auto">
        <a:xfrm>
          <a:off x="0" y="800100"/>
          <a:ext cx="17145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7</xdr:row>
      <xdr:rowOff>295275</xdr:rowOff>
    </xdr:to>
    <xdr:sp macro="" textlink="">
      <xdr:nvSpPr>
        <xdr:cNvPr id="21703" name="Line 4"/>
        <xdr:cNvSpPr>
          <a:spLocks noChangeShapeType="1"/>
        </xdr:cNvSpPr>
      </xdr:nvSpPr>
      <xdr:spPr bwMode="auto">
        <a:xfrm>
          <a:off x="0" y="38100"/>
          <a:ext cx="1628775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0</xdr:row>
      <xdr:rowOff>57150</xdr:rowOff>
    </xdr:from>
    <xdr:to>
      <xdr:col>1</xdr:col>
      <xdr:colOff>28575</xdr:colOff>
      <xdr:row>8</xdr:row>
      <xdr:rowOff>0</xdr:rowOff>
    </xdr:to>
    <xdr:sp macro="" textlink="">
      <xdr:nvSpPr>
        <xdr:cNvPr id="21704" name="Line 4"/>
        <xdr:cNvSpPr>
          <a:spLocks noChangeShapeType="1"/>
        </xdr:cNvSpPr>
      </xdr:nvSpPr>
      <xdr:spPr bwMode="auto">
        <a:xfrm>
          <a:off x="28575" y="57150"/>
          <a:ext cx="1628775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1676400</xdr:colOff>
      <xdr:row>9</xdr:row>
      <xdr:rowOff>161925</xdr:rowOff>
    </xdr:to>
    <xdr:sp macro="" textlink="">
      <xdr:nvSpPr>
        <xdr:cNvPr id="23649" name="Line 1"/>
        <xdr:cNvSpPr>
          <a:spLocks noChangeShapeType="1"/>
        </xdr:cNvSpPr>
      </xdr:nvSpPr>
      <xdr:spPr bwMode="auto">
        <a:xfrm>
          <a:off x="9525" y="800100"/>
          <a:ext cx="166687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7</xdr:row>
      <xdr:rowOff>95250</xdr:rowOff>
    </xdr:from>
    <xdr:to>
      <xdr:col>0</xdr:col>
      <xdr:colOff>695325</xdr:colOff>
      <xdr:row>9</xdr:row>
      <xdr:rowOff>3175</xdr:rowOff>
    </xdr:to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600075" y="149542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6</xdr:row>
      <xdr:rowOff>19050</xdr:rowOff>
    </xdr:from>
    <xdr:to>
      <xdr:col>1</xdr:col>
      <xdr:colOff>28575</xdr:colOff>
      <xdr:row>12</xdr:row>
      <xdr:rowOff>9525</xdr:rowOff>
    </xdr:to>
    <xdr:sp macro="" textlink="">
      <xdr:nvSpPr>
        <xdr:cNvPr id="24866" name="Line 4"/>
        <xdr:cNvSpPr>
          <a:spLocks noChangeShapeType="1"/>
        </xdr:cNvSpPr>
      </xdr:nvSpPr>
      <xdr:spPr bwMode="auto">
        <a:xfrm>
          <a:off x="9525" y="1219200"/>
          <a:ext cx="1800225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1409700</xdr:colOff>
      <xdr:row>9</xdr:row>
      <xdr:rowOff>95250</xdr:rowOff>
    </xdr:from>
    <xdr:to>
      <xdr:col>0</xdr:col>
      <xdr:colOff>1504950</xdr:colOff>
      <xdr:row>11</xdr:row>
      <xdr:rowOff>79375</xdr:rowOff>
    </xdr:to>
    <xdr:sp macro="" textlink="">
      <xdr:nvSpPr>
        <xdr:cNvPr id="24867" name="Text Box 5"/>
        <xdr:cNvSpPr txBox="1">
          <a:spLocks noChangeArrowheads="1"/>
        </xdr:cNvSpPr>
      </xdr:nvSpPr>
      <xdr:spPr bwMode="auto">
        <a:xfrm>
          <a:off x="1409700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25889" name="Line 3"/>
        <xdr:cNvSpPr>
          <a:spLocks noChangeShapeType="1"/>
        </xdr:cNvSpPr>
      </xdr:nvSpPr>
      <xdr:spPr bwMode="auto">
        <a:xfrm>
          <a:off x="9525" y="828675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25890" name="Line 3"/>
        <xdr:cNvSpPr>
          <a:spLocks noChangeShapeType="1"/>
        </xdr:cNvSpPr>
      </xdr:nvSpPr>
      <xdr:spPr bwMode="auto">
        <a:xfrm>
          <a:off x="9525" y="828675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25891" name="Line 3"/>
        <xdr:cNvSpPr>
          <a:spLocks noChangeShapeType="1"/>
        </xdr:cNvSpPr>
      </xdr:nvSpPr>
      <xdr:spPr bwMode="auto">
        <a:xfrm>
          <a:off x="9525" y="828675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26721" name="Line 4"/>
        <xdr:cNvSpPr>
          <a:spLocks noChangeShapeType="1"/>
        </xdr:cNvSpPr>
      </xdr:nvSpPr>
      <xdr:spPr bwMode="auto">
        <a:xfrm>
          <a:off x="9525" y="809625"/>
          <a:ext cx="162877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1</xdr:col>
      <xdr:colOff>0</xdr:colOff>
      <xdr:row>8</xdr:row>
      <xdr:rowOff>9525</xdr:rowOff>
    </xdr:to>
    <xdr:sp macro="" textlink="">
      <xdr:nvSpPr>
        <xdr:cNvPr id="22722" name="Line 4"/>
        <xdr:cNvSpPr>
          <a:spLocks noChangeShapeType="1"/>
        </xdr:cNvSpPr>
      </xdr:nvSpPr>
      <xdr:spPr bwMode="auto">
        <a:xfrm>
          <a:off x="9525" y="1019175"/>
          <a:ext cx="27051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</xdr:row>
      <xdr:rowOff>0</xdr:rowOff>
    </xdr:from>
    <xdr:to>
      <xdr:col>1</xdr:col>
      <xdr:colOff>0</xdr:colOff>
      <xdr:row>8</xdr:row>
      <xdr:rowOff>9525</xdr:rowOff>
    </xdr:to>
    <xdr:sp macro="" textlink="">
      <xdr:nvSpPr>
        <xdr:cNvPr id="22723" name="Line 4"/>
        <xdr:cNvSpPr>
          <a:spLocks noChangeShapeType="1"/>
        </xdr:cNvSpPr>
      </xdr:nvSpPr>
      <xdr:spPr bwMode="auto">
        <a:xfrm>
          <a:off x="9525" y="1019175"/>
          <a:ext cx="27051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1914525</xdr:colOff>
      <xdr:row>13</xdr:row>
      <xdr:rowOff>0</xdr:rowOff>
    </xdr:to>
    <xdr:sp macro="" textlink="">
      <xdr:nvSpPr>
        <xdr:cNvPr id="3254" name="Line 3"/>
        <xdr:cNvSpPr>
          <a:spLocks noChangeShapeType="1"/>
        </xdr:cNvSpPr>
      </xdr:nvSpPr>
      <xdr:spPr bwMode="auto">
        <a:xfrm>
          <a:off x="9525" y="809625"/>
          <a:ext cx="1476375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1666875</xdr:colOff>
      <xdr:row>9</xdr:row>
      <xdr:rowOff>152400</xdr:rowOff>
    </xdr:to>
    <xdr:sp macro="" textlink="">
      <xdr:nvSpPr>
        <xdr:cNvPr id="4274" name="Line 1"/>
        <xdr:cNvSpPr>
          <a:spLocks noChangeShapeType="1"/>
        </xdr:cNvSpPr>
      </xdr:nvSpPr>
      <xdr:spPr bwMode="auto">
        <a:xfrm>
          <a:off x="0" y="600075"/>
          <a:ext cx="1666875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0</xdr:colOff>
      <xdr:row>14</xdr:row>
      <xdr:rowOff>9525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0" y="1400175"/>
          <a:ext cx="20193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38100</xdr:rowOff>
    </xdr:from>
    <xdr:to>
      <xdr:col>1</xdr:col>
      <xdr:colOff>0</xdr:colOff>
      <xdr:row>10</xdr:row>
      <xdr:rowOff>0</xdr:rowOff>
    </xdr:to>
    <xdr:sp macro="" textlink="">
      <xdr:nvSpPr>
        <xdr:cNvPr id="6313" name="Line 1"/>
        <xdr:cNvSpPr>
          <a:spLocks noChangeShapeType="1"/>
        </xdr:cNvSpPr>
      </xdr:nvSpPr>
      <xdr:spPr bwMode="auto">
        <a:xfrm>
          <a:off x="19050" y="838200"/>
          <a:ext cx="166687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1</xdr:col>
      <xdr:colOff>0</xdr:colOff>
      <xdr:row>10</xdr:row>
      <xdr:rowOff>0</xdr:rowOff>
    </xdr:to>
    <xdr:sp macro="" textlink="">
      <xdr:nvSpPr>
        <xdr:cNvPr id="7331" name="Line 1"/>
        <xdr:cNvSpPr>
          <a:spLocks noChangeShapeType="1"/>
        </xdr:cNvSpPr>
      </xdr:nvSpPr>
      <xdr:spPr bwMode="auto">
        <a:xfrm>
          <a:off x="9525" y="819150"/>
          <a:ext cx="170497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0</xdr:colOff>
      <xdr:row>14</xdr:row>
      <xdr:rowOff>9525</xdr:rowOff>
    </xdr:to>
    <xdr:sp macro="" textlink="">
      <xdr:nvSpPr>
        <xdr:cNvPr id="9377" name="Line 1"/>
        <xdr:cNvSpPr>
          <a:spLocks noChangeShapeType="1"/>
        </xdr:cNvSpPr>
      </xdr:nvSpPr>
      <xdr:spPr bwMode="auto">
        <a:xfrm>
          <a:off x="9525" y="800100"/>
          <a:ext cx="123825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28575" y="800100"/>
          <a:ext cx="2333625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92"/>
  <sheetViews>
    <sheetView showGridLines="0" view="pageBreakPreview" zoomScale="75" zoomScaleNormal="100" zoomScaleSheetLayoutView="75" workbookViewId="0">
      <pane xSplit="1" ySplit="17" topLeftCell="B184" activePane="bottomRight" state="frozen"/>
      <selection activeCell="F58" sqref="F58"/>
      <selection pane="topRight" activeCell="F58" sqref="F58"/>
      <selection pane="bottomLeft" activeCell="F58" sqref="F58"/>
      <selection pane="bottomRight" activeCell="L196" sqref="L196"/>
    </sheetView>
  </sheetViews>
  <sheetFormatPr defaultColWidth="8.88671875" defaultRowHeight="12.75"/>
  <cols>
    <col min="1" max="1" width="20.109375" style="69" customWidth="1"/>
    <col min="2" max="2" width="7.33203125" style="69" bestFit="1" customWidth="1"/>
    <col min="3" max="3" width="8.109375" style="69" bestFit="1" customWidth="1"/>
    <col min="4" max="4" width="10.44140625" style="69" customWidth="1"/>
    <col min="5" max="5" width="12.6640625" style="69" bestFit="1" customWidth="1"/>
    <col min="6" max="6" width="8.109375" style="69" bestFit="1" customWidth="1"/>
    <col min="7" max="7" width="9.5546875" style="69" bestFit="1" customWidth="1"/>
    <col min="8" max="8" width="8.5546875" style="69" bestFit="1" customWidth="1"/>
    <col min="9" max="9" width="8.5546875" style="145" bestFit="1" customWidth="1"/>
    <col min="10" max="10" width="9" style="69" bestFit="1" customWidth="1"/>
    <col min="11" max="11" width="8.109375" style="69" bestFit="1" customWidth="1"/>
    <col min="12" max="12" width="7.77734375" style="69" bestFit="1" customWidth="1"/>
    <col min="13" max="13" width="8.44140625" style="152" bestFit="1" customWidth="1"/>
    <col min="14" max="14" width="7.77734375" style="69" bestFit="1" customWidth="1"/>
    <col min="15" max="15" width="7.21875" style="69" bestFit="1" customWidth="1"/>
    <col min="16" max="16" width="8.44140625" style="152" bestFit="1" customWidth="1"/>
    <col min="17" max="17" width="12.6640625" style="69" customWidth="1"/>
    <col min="18" max="18" width="10.77734375" style="69" customWidth="1"/>
    <col min="19" max="19" width="17.21875" style="69" bestFit="1" customWidth="1"/>
    <col min="20" max="16384" width="8.88671875" style="69"/>
  </cols>
  <sheetData>
    <row r="1" spans="1:19">
      <c r="A1" s="64"/>
      <c r="B1" s="65"/>
      <c r="C1" s="65"/>
      <c r="D1" s="65"/>
      <c r="E1" s="65"/>
      <c r="F1" s="65"/>
      <c r="G1" s="65"/>
      <c r="H1" s="65"/>
      <c r="I1" s="66"/>
      <c r="J1" s="65"/>
      <c r="K1" s="65"/>
      <c r="L1" s="65"/>
      <c r="M1" s="67"/>
      <c r="N1" s="65"/>
      <c r="O1" s="65"/>
      <c r="P1" s="67"/>
      <c r="Q1" s="68"/>
    </row>
    <row r="2" spans="1:19">
      <c r="A2" s="70"/>
      <c r="B2" s="71"/>
      <c r="C2" s="71"/>
      <c r="D2" s="71"/>
      <c r="E2" s="71"/>
      <c r="F2" s="71"/>
      <c r="G2" s="71"/>
      <c r="H2" s="71"/>
      <c r="I2" s="72" t="s">
        <v>0</v>
      </c>
      <c r="J2" s="71"/>
      <c r="K2" s="71"/>
      <c r="L2" s="71"/>
      <c r="M2" s="73"/>
      <c r="N2" s="71"/>
      <c r="O2" s="71"/>
      <c r="P2" s="73"/>
      <c r="Q2" s="74" t="s">
        <v>6</v>
      </c>
    </row>
    <row r="3" spans="1:19">
      <c r="A3" s="1193" t="s">
        <v>67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195"/>
    </row>
    <row r="4" spans="1:19">
      <c r="A4" s="1190" t="s">
        <v>113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2"/>
    </row>
    <row r="5" spans="1:19">
      <c r="A5" s="75"/>
      <c r="B5" s="76"/>
      <c r="C5" s="76"/>
      <c r="D5" s="76"/>
      <c r="E5" s="76"/>
      <c r="F5" s="76"/>
      <c r="G5" s="76"/>
      <c r="H5" s="76"/>
      <c r="I5" s="77"/>
      <c r="J5" s="76"/>
      <c r="K5" s="76"/>
      <c r="L5" s="76"/>
      <c r="M5" s="78"/>
      <c r="N5" s="76"/>
      <c r="O5" s="76"/>
      <c r="P5" s="78"/>
      <c r="Q5" s="79"/>
    </row>
    <row r="6" spans="1:19">
      <c r="A6" s="80"/>
      <c r="B6" s="71"/>
      <c r="C6" s="71"/>
      <c r="D6" s="71"/>
      <c r="E6" s="71"/>
      <c r="F6" s="71"/>
      <c r="G6" s="71"/>
      <c r="H6" s="71"/>
      <c r="I6" s="81"/>
      <c r="J6" s="82"/>
      <c r="K6" s="70"/>
      <c r="L6" s="71"/>
      <c r="M6" s="83"/>
      <c r="N6" s="70"/>
      <c r="O6" s="71"/>
      <c r="P6" s="83"/>
      <c r="Q6" s="82"/>
    </row>
    <row r="7" spans="1:19" ht="15.75" customHeight="1">
      <c r="A7" s="84" t="s">
        <v>12</v>
      </c>
      <c r="B7" s="1190" t="s">
        <v>16</v>
      </c>
      <c r="C7" s="1191"/>
      <c r="D7" s="1191"/>
      <c r="E7" s="1191"/>
      <c r="F7" s="1191"/>
      <c r="G7" s="1191"/>
      <c r="H7" s="1191"/>
      <c r="I7" s="1191"/>
      <c r="J7" s="1192"/>
      <c r="K7" s="1190" t="s">
        <v>17</v>
      </c>
      <c r="L7" s="1191"/>
      <c r="M7" s="1192"/>
      <c r="N7" s="1190" t="s">
        <v>18</v>
      </c>
      <c r="O7" s="1191"/>
      <c r="P7" s="1192"/>
      <c r="Q7" s="85" t="s">
        <v>32</v>
      </c>
    </row>
    <row r="8" spans="1:19">
      <c r="A8" s="84"/>
      <c r="B8" s="86"/>
      <c r="C8" s="71"/>
      <c r="D8" s="71"/>
      <c r="E8" s="71"/>
      <c r="F8" s="86"/>
      <c r="G8" s="86"/>
      <c r="H8" s="86"/>
      <c r="I8" s="81"/>
      <c r="J8" s="82"/>
      <c r="K8" s="87"/>
      <c r="L8" s="71"/>
      <c r="M8" s="83"/>
      <c r="N8" s="87"/>
      <c r="O8" s="71"/>
      <c r="P8" s="83"/>
      <c r="Q8" s="85" t="s">
        <v>33</v>
      </c>
      <c r="S8" s="88"/>
    </row>
    <row r="9" spans="1:19">
      <c r="A9" s="89"/>
      <c r="B9" s="90"/>
      <c r="C9" s="90"/>
      <c r="D9" s="90"/>
      <c r="E9" s="90"/>
      <c r="F9" s="90"/>
      <c r="G9" s="90"/>
      <c r="H9" s="90"/>
      <c r="I9" s="91"/>
      <c r="J9" s="92"/>
      <c r="K9" s="75"/>
      <c r="L9" s="76"/>
      <c r="M9" s="93"/>
      <c r="N9" s="75"/>
      <c r="O9" s="76"/>
      <c r="P9" s="93"/>
      <c r="Q9" s="85"/>
    </row>
    <row r="10" spans="1:19">
      <c r="A10" s="94"/>
      <c r="B10" s="95"/>
      <c r="C10" s="96"/>
      <c r="D10" s="96"/>
      <c r="E10" s="97" t="s">
        <v>26</v>
      </c>
      <c r="F10" s="96"/>
      <c r="G10" s="96"/>
      <c r="H10" s="98"/>
      <c r="I10" s="99"/>
      <c r="J10" s="100"/>
      <c r="K10" s="100"/>
      <c r="L10" s="71"/>
      <c r="M10" s="101"/>
      <c r="N10" s="100"/>
      <c r="O10" s="71"/>
      <c r="P10" s="101"/>
      <c r="Q10" s="85"/>
    </row>
    <row r="11" spans="1:19">
      <c r="A11" s="94"/>
      <c r="B11" s="102"/>
      <c r="C11" s="103"/>
      <c r="D11" s="104"/>
      <c r="E11" s="104"/>
      <c r="F11" s="104"/>
      <c r="G11" s="71"/>
      <c r="H11" s="82"/>
      <c r="I11" s="105" t="s">
        <v>29</v>
      </c>
      <c r="J11" s="106" t="s">
        <v>31</v>
      </c>
      <c r="K11" s="106" t="s">
        <v>29</v>
      </c>
      <c r="L11" s="107" t="s">
        <v>29</v>
      </c>
      <c r="M11" s="106" t="s">
        <v>31</v>
      </c>
      <c r="N11" s="106" t="s">
        <v>29</v>
      </c>
      <c r="O11" s="107" t="s">
        <v>29</v>
      </c>
      <c r="P11" s="106" t="s">
        <v>31</v>
      </c>
      <c r="Q11" s="82"/>
    </row>
    <row r="12" spans="1:19" ht="15.75" customHeight="1">
      <c r="A12" s="89"/>
      <c r="B12" s="1196" t="s">
        <v>35</v>
      </c>
      <c r="C12" s="1197"/>
      <c r="D12" s="1197"/>
      <c r="E12" s="1197"/>
      <c r="F12" s="1197"/>
      <c r="G12" s="108" t="s">
        <v>27</v>
      </c>
      <c r="H12" s="109" t="s">
        <v>9</v>
      </c>
      <c r="I12" s="105" t="s">
        <v>30</v>
      </c>
      <c r="J12" s="106" t="s">
        <v>28</v>
      </c>
      <c r="K12" s="110" t="s">
        <v>28</v>
      </c>
      <c r="L12" s="111" t="s">
        <v>30</v>
      </c>
      <c r="M12" s="106" t="s">
        <v>28</v>
      </c>
      <c r="N12" s="110" t="s">
        <v>28</v>
      </c>
      <c r="O12" s="111" t="s">
        <v>30</v>
      </c>
      <c r="P12" s="106" t="s">
        <v>28</v>
      </c>
      <c r="Q12" s="82"/>
    </row>
    <row r="13" spans="1:19">
      <c r="A13" s="84"/>
      <c r="B13" s="104"/>
      <c r="C13" s="104"/>
      <c r="D13" s="104"/>
      <c r="E13" s="104"/>
      <c r="F13" s="104"/>
      <c r="G13" s="112" t="s">
        <v>28</v>
      </c>
      <c r="H13" s="1059"/>
      <c r="I13" s="114"/>
      <c r="J13" s="115"/>
      <c r="K13" s="80"/>
      <c r="L13" s="71"/>
      <c r="M13" s="115"/>
      <c r="N13" s="80"/>
      <c r="O13" s="71"/>
      <c r="P13" s="115"/>
      <c r="Q13" s="82"/>
    </row>
    <row r="14" spans="1:19">
      <c r="A14" s="84" t="s">
        <v>34</v>
      </c>
      <c r="B14" s="116" t="s">
        <v>20</v>
      </c>
      <c r="C14" s="108" t="s">
        <v>21</v>
      </c>
      <c r="D14" s="108" t="s">
        <v>22</v>
      </c>
      <c r="E14" s="117" t="s">
        <v>24</v>
      </c>
      <c r="F14" s="118" t="s">
        <v>2</v>
      </c>
      <c r="G14" s="1056"/>
      <c r="H14" s="1059"/>
      <c r="I14" s="119"/>
      <c r="J14" s="80"/>
      <c r="K14" s="80"/>
      <c r="L14" s="71"/>
      <c r="M14" s="120"/>
      <c r="N14" s="80"/>
      <c r="O14" s="71"/>
      <c r="P14" s="120"/>
      <c r="Q14" s="80"/>
    </row>
    <row r="15" spans="1:19">
      <c r="A15" s="84"/>
      <c r="B15" s="116" t="s">
        <v>19</v>
      </c>
      <c r="C15" s="115"/>
      <c r="D15" s="106" t="s">
        <v>23</v>
      </c>
      <c r="E15" s="117" t="s">
        <v>25</v>
      </c>
      <c r="F15" s="87"/>
      <c r="G15" s="1059"/>
      <c r="H15" s="1059"/>
      <c r="I15" s="119"/>
      <c r="J15" s="80"/>
      <c r="K15" s="80"/>
      <c r="L15" s="71"/>
      <c r="M15" s="120"/>
      <c r="N15" s="80"/>
      <c r="O15" s="71"/>
      <c r="P15" s="120"/>
      <c r="Q15" s="80"/>
    </row>
    <row r="16" spans="1:19" ht="11.25" customHeight="1">
      <c r="A16" s="80"/>
      <c r="B16" s="82"/>
      <c r="C16" s="1056"/>
      <c r="D16" s="115"/>
      <c r="E16" s="71"/>
      <c r="F16" s="70"/>
      <c r="G16" s="1056"/>
      <c r="H16" s="1056"/>
      <c r="I16" s="114"/>
      <c r="J16" s="80"/>
      <c r="K16" s="80"/>
      <c r="L16" s="71"/>
      <c r="M16" s="120"/>
      <c r="N16" s="80"/>
      <c r="O16" s="71"/>
      <c r="P16" s="120"/>
      <c r="Q16" s="80"/>
    </row>
    <row r="17" spans="1:18">
      <c r="A17" s="80"/>
      <c r="B17" s="122"/>
      <c r="C17" s="121"/>
      <c r="D17" s="123" t="s">
        <v>3</v>
      </c>
      <c r="E17" s="71"/>
      <c r="F17" s="102"/>
      <c r="G17" s="121"/>
      <c r="H17" s="121"/>
      <c r="I17" s="124"/>
      <c r="J17" s="121"/>
      <c r="K17" s="121"/>
      <c r="L17" s="104"/>
      <c r="M17" s="125"/>
      <c r="N17" s="121"/>
      <c r="O17" s="104"/>
      <c r="P17" s="125"/>
      <c r="Q17" s="121"/>
    </row>
    <row r="18" spans="1:18">
      <c r="A18" s="126"/>
      <c r="B18" s="126"/>
      <c r="C18" s="126"/>
      <c r="D18" s="126"/>
      <c r="E18" s="126"/>
      <c r="F18" s="126"/>
      <c r="G18" s="65"/>
      <c r="H18" s="126"/>
      <c r="I18" s="66"/>
      <c r="J18" s="126"/>
      <c r="K18" s="65"/>
      <c r="L18" s="126"/>
      <c r="M18" s="109"/>
      <c r="N18" s="65"/>
      <c r="O18" s="126"/>
      <c r="P18" s="109"/>
      <c r="Q18" s="68"/>
    </row>
    <row r="19" spans="1:18" hidden="1">
      <c r="A19" s="127" t="s">
        <v>4</v>
      </c>
      <c r="B19" s="130">
        <v>1033.4000000000001</v>
      </c>
      <c r="C19" s="130">
        <v>181.7</v>
      </c>
      <c r="D19" s="130">
        <v>688.7</v>
      </c>
      <c r="E19" s="130">
        <v>327362.5</v>
      </c>
      <c r="F19" s="130">
        <v>329266.3</v>
      </c>
      <c r="G19" s="129">
        <v>5223.6000000000004</v>
      </c>
      <c r="H19" s="131">
        <v>334489.89999999997</v>
      </c>
      <c r="I19" s="132">
        <v>175397.7</v>
      </c>
      <c r="J19" s="131">
        <v>159092.19999999995</v>
      </c>
      <c r="K19" s="129">
        <v>125768.90000000001</v>
      </c>
      <c r="L19" s="130">
        <v>30009.400000000009</v>
      </c>
      <c r="M19" s="1">
        <v>95759.5</v>
      </c>
      <c r="N19" s="129">
        <v>125768.90000000001</v>
      </c>
      <c r="O19" s="130">
        <v>30009.400000000009</v>
      </c>
      <c r="P19" s="1">
        <v>95759.5</v>
      </c>
      <c r="Q19" s="128">
        <v>254851.69999999995</v>
      </c>
    </row>
    <row r="20" spans="1:18" hidden="1">
      <c r="A20" s="127" t="s">
        <v>5</v>
      </c>
      <c r="B20" s="130">
        <v>1304.8</v>
      </c>
      <c r="C20" s="130">
        <v>128093.7</v>
      </c>
      <c r="D20" s="130">
        <v>692.5</v>
      </c>
      <c r="E20" s="130">
        <v>267404.7</v>
      </c>
      <c r="F20" s="130">
        <v>397495.7</v>
      </c>
      <c r="G20" s="129">
        <v>3455.6000000000004</v>
      </c>
      <c r="H20" s="131">
        <v>400951.3</v>
      </c>
      <c r="I20" s="132">
        <v>255985.09999999998</v>
      </c>
      <c r="J20" s="131">
        <v>144966.20000000001</v>
      </c>
      <c r="K20" s="129">
        <v>155769.00000000003</v>
      </c>
      <c r="L20" s="130">
        <v>36237.599999999999</v>
      </c>
      <c r="M20" s="1">
        <v>119531.40000000002</v>
      </c>
      <c r="N20" s="129">
        <v>155769.00000000003</v>
      </c>
      <c r="O20" s="130">
        <v>36237.599999999999</v>
      </c>
      <c r="P20" s="1">
        <v>119531.40000000002</v>
      </c>
      <c r="Q20" s="128">
        <v>264497.60000000003</v>
      </c>
    </row>
    <row r="21" spans="1:18" hidden="1">
      <c r="A21" s="127" t="s">
        <v>7</v>
      </c>
      <c r="B21" s="130">
        <v>1678.2</v>
      </c>
      <c r="C21" s="130">
        <v>139030.6</v>
      </c>
      <c r="D21" s="130">
        <v>686.7</v>
      </c>
      <c r="E21" s="130">
        <v>268109.8</v>
      </c>
      <c r="F21" s="130">
        <v>409505.30000000005</v>
      </c>
      <c r="G21" s="129">
        <v>8766.9</v>
      </c>
      <c r="H21" s="131">
        <v>418272.20000000007</v>
      </c>
      <c r="I21" s="133">
        <v>276658.60000000003</v>
      </c>
      <c r="J21" s="131">
        <v>141613.60000000003</v>
      </c>
      <c r="K21" s="129">
        <v>162923</v>
      </c>
      <c r="L21" s="130">
        <v>50485.599999999991</v>
      </c>
      <c r="M21" s="1">
        <v>112437.40000000001</v>
      </c>
      <c r="N21" s="129">
        <v>162923</v>
      </c>
      <c r="O21" s="130">
        <v>50485.599999999991</v>
      </c>
      <c r="P21" s="1">
        <v>112437.40000000001</v>
      </c>
      <c r="Q21" s="128">
        <v>254051.00000000006</v>
      </c>
    </row>
    <row r="22" spans="1:18" hidden="1">
      <c r="A22" s="127" t="s">
        <v>8</v>
      </c>
      <c r="B22" s="130">
        <v>2045.5</v>
      </c>
      <c r="C22" s="130">
        <v>164634.5</v>
      </c>
      <c r="D22" s="130">
        <v>750.6</v>
      </c>
      <c r="E22" s="130">
        <v>235199.30000000002</v>
      </c>
      <c r="F22" s="130">
        <v>402629.9</v>
      </c>
      <c r="G22" s="129">
        <v>10113.9</v>
      </c>
      <c r="H22" s="131">
        <v>412743.80000000005</v>
      </c>
      <c r="I22" s="133">
        <v>330449.80000000005</v>
      </c>
      <c r="J22" s="131">
        <v>82294</v>
      </c>
      <c r="K22" s="129">
        <v>173267.6</v>
      </c>
      <c r="L22" s="130">
        <v>50036.000000000007</v>
      </c>
      <c r="M22" s="1">
        <v>123231.6</v>
      </c>
      <c r="N22" s="129">
        <v>173267.6</v>
      </c>
      <c r="O22" s="130">
        <v>50036.000000000007</v>
      </c>
      <c r="P22" s="1">
        <v>123231.6</v>
      </c>
      <c r="Q22" s="128">
        <v>205525.6</v>
      </c>
    </row>
    <row r="23" spans="1:18" s="88" customFormat="1" hidden="1">
      <c r="A23" s="134" t="s">
        <v>10</v>
      </c>
      <c r="B23" s="137">
        <v>2482.1</v>
      </c>
      <c r="C23" s="137">
        <v>199698.5</v>
      </c>
      <c r="D23" s="137">
        <v>856</v>
      </c>
      <c r="E23" s="137">
        <v>274465.8</v>
      </c>
      <c r="F23" s="137">
        <f>SUM(B23:E23)</f>
        <v>477502.4</v>
      </c>
      <c r="G23" s="136">
        <v>7523.1</v>
      </c>
      <c r="H23" s="131">
        <f>+F23+G23</f>
        <v>485025.5</v>
      </c>
      <c r="I23" s="136">
        <v>418096.6</v>
      </c>
      <c r="J23" s="131">
        <f>H23-I23</f>
        <v>66928.900000000023</v>
      </c>
      <c r="K23" s="136">
        <v>192680.5</v>
      </c>
      <c r="L23" s="137">
        <v>62971.7</v>
      </c>
      <c r="M23" s="1">
        <f>K23-L23</f>
        <v>129708.8</v>
      </c>
      <c r="N23" s="136">
        <v>0</v>
      </c>
      <c r="O23" s="137">
        <v>0</v>
      </c>
      <c r="P23" s="1">
        <f>N23-O23</f>
        <v>0</v>
      </c>
      <c r="Q23" s="128">
        <f>SUM(J23,M23,P23)</f>
        <v>196637.7</v>
      </c>
    </row>
    <row r="24" spans="1:18">
      <c r="A24" s="138" t="s">
        <v>11</v>
      </c>
      <c r="B24" s="130">
        <v>1943.7</v>
      </c>
      <c r="C24" s="130">
        <v>182851.4</v>
      </c>
      <c r="D24" s="130">
        <v>858.19999999998254</v>
      </c>
      <c r="E24" s="130">
        <v>309703.29999999993</v>
      </c>
      <c r="F24" s="130">
        <f>SUM(B24:E24)</f>
        <v>495356.59999999992</v>
      </c>
      <c r="G24" s="129">
        <v>5966.9</v>
      </c>
      <c r="H24" s="131">
        <f>+F24+G24</f>
        <v>501323.49999999994</v>
      </c>
      <c r="I24" s="133">
        <v>383189.69999999995</v>
      </c>
      <c r="J24" s="131">
        <f>H24-I24</f>
        <v>118133.79999999999</v>
      </c>
      <c r="K24" s="129">
        <v>201411.19999999998</v>
      </c>
      <c r="L24" s="130">
        <v>89788.900000000009</v>
      </c>
      <c r="M24" s="1">
        <f>K24-L24</f>
        <v>111622.29999999997</v>
      </c>
      <c r="N24" s="129">
        <v>0</v>
      </c>
      <c r="O24" s="130">
        <v>97.2</v>
      </c>
      <c r="P24" s="1">
        <f>N24-O24</f>
        <v>-97.2</v>
      </c>
      <c r="Q24" s="128">
        <f>SUM(J24,M24,P24)</f>
        <v>229658.89999999997</v>
      </c>
    </row>
    <row r="25" spans="1:18">
      <c r="A25" s="138" t="s">
        <v>13</v>
      </c>
      <c r="B25" s="130">
        <v>1802</v>
      </c>
      <c r="C25" s="130">
        <v>183917.8</v>
      </c>
      <c r="D25" s="130">
        <v>810.4</v>
      </c>
      <c r="E25" s="130">
        <f>6925.7+222912.8+76112.6+249.9</f>
        <v>306201</v>
      </c>
      <c r="F25" s="130">
        <f>SUM(B25:E25)</f>
        <v>492731.19999999995</v>
      </c>
      <c r="G25" s="129">
        <f>7285.1+1198.4</f>
        <v>8483.5</v>
      </c>
      <c r="H25" s="131">
        <f>+F25+G25</f>
        <v>501214.69999999995</v>
      </c>
      <c r="I25" s="133">
        <v>372538.8</v>
      </c>
      <c r="J25" s="131">
        <f>H25-I25</f>
        <v>128675.89999999997</v>
      </c>
      <c r="K25" s="129">
        <v>199601.2</v>
      </c>
      <c r="L25" s="130">
        <v>147751.79999999999</v>
      </c>
      <c r="M25" s="1">
        <v>51849.4</v>
      </c>
      <c r="N25" s="129">
        <v>0</v>
      </c>
      <c r="O25" s="130">
        <v>48.6</v>
      </c>
      <c r="P25" s="1">
        <f>N25-O25</f>
        <v>-48.6</v>
      </c>
      <c r="Q25" s="128">
        <f>SUM(J25,M25,P25)</f>
        <v>180476.69999999995</v>
      </c>
      <c r="R25" s="139"/>
    </row>
    <row r="26" spans="1:18">
      <c r="A26" s="138" t="s">
        <v>14</v>
      </c>
      <c r="B26" s="130">
        <v>1660.3</v>
      </c>
      <c r="C26" s="130">
        <v>88116.1</v>
      </c>
      <c r="D26" s="130">
        <v>808.1</v>
      </c>
      <c r="E26" s="130">
        <v>129945.5</v>
      </c>
      <c r="F26" s="130">
        <v>220530</v>
      </c>
      <c r="G26" s="129">
        <v>1299.6000000000001</v>
      </c>
      <c r="H26" s="131">
        <v>221829.6</v>
      </c>
      <c r="I26" s="133">
        <v>354815.2</v>
      </c>
      <c r="J26" s="140">
        <v>-132985.60000000001</v>
      </c>
      <c r="K26" s="129">
        <v>207089</v>
      </c>
      <c r="L26" s="130">
        <v>149973.5</v>
      </c>
      <c r="M26" s="1">
        <f>K26-L26</f>
        <v>57115.5</v>
      </c>
      <c r="N26" s="129">
        <v>0</v>
      </c>
      <c r="O26" s="130">
        <v>0</v>
      </c>
      <c r="P26" s="1">
        <v>0</v>
      </c>
      <c r="Q26" s="128">
        <f>SUM(J26,M26,P26)</f>
        <v>-75870.100000000006</v>
      </c>
      <c r="R26" s="139"/>
    </row>
    <row r="27" spans="1:18">
      <c r="A27" s="138" t="s">
        <v>15</v>
      </c>
      <c r="B27" s="128">
        <v>1893.1</v>
      </c>
      <c r="C27" s="129">
        <v>19330.2</v>
      </c>
      <c r="D27" s="130">
        <v>44971.7</v>
      </c>
      <c r="E27" s="129">
        <f>54356.4+39503.8+894.5+61.3</f>
        <v>94816.000000000015</v>
      </c>
      <c r="F27" s="130">
        <f>SUM(B27:E27)</f>
        <v>161011</v>
      </c>
      <c r="G27" s="129">
        <f>4225.3+1198.4</f>
        <v>5423.7000000000007</v>
      </c>
      <c r="H27" s="1075">
        <f>+F27+G27</f>
        <v>166434.70000000001</v>
      </c>
      <c r="I27" s="133">
        <v>328508.5</v>
      </c>
      <c r="J27" s="140">
        <f>+H27-I27</f>
        <v>-162073.79999999999</v>
      </c>
      <c r="K27" s="129">
        <f>125357.6+96.8+31.7</f>
        <v>125486.1</v>
      </c>
      <c r="L27" s="130">
        <v>139935.4</v>
      </c>
      <c r="M27" s="1">
        <f>K27-L27</f>
        <v>-14449.299999999988</v>
      </c>
      <c r="N27" s="129"/>
      <c r="O27" s="130"/>
      <c r="P27" s="1">
        <f t="shared" ref="P27:P89" si="0">N27-O27</f>
        <v>0</v>
      </c>
      <c r="Q27" s="128">
        <f>SUM(J27,M27)</f>
        <v>-176523.09999999998</v>
      </c>
      <c r="R27" s="139"/>
    </row>
    <row r="28" spans="1:18">
      <c r="A28" s="138" t="s">
        <v>669</v>
      </c>
      <c r="B28" s="128">
        <v>2211.8000000000002</v>
      </c>
      <c r="C28" s="129">
        <v>1985.6</v>
      </c>
      <c r="D28" s="130">
        <v>50235.6</v>
      </c>
      <c r="E28" s="129">
        <f>15509.5+102648+14339.9</f>
        <v>132497.4</v>
      </c>
      <c r="F28" s="130">
        <f>SUM(B28:E28)</f>
        <v>186930.4</v>
      </c>
      <c r="G28" s="129">
        <f>11261+1198.4</f>
        <v>12459.4</v>
      </c>
      <c r="H28" s="1075">
        <f>+F28+G28</f>
        <v>199389.8</v>
      </c>
      <c r="I28" s="133">
        <v>338555.6</v>
      </c>
      <c r="J28" s="140">
        <f>+H28-I28</f>
        <v>-139165.79999999999</v>
      </c>
      <c r="K28" s="129">
        <f>146007.1+96.8+29.1</f>
        <v>146133</v>
      </c>
      <c r="L28" s="130">
        <v>156052.6</v>
      </c>
      <c r="M28" s="1">
        <f>K28-L28</f>
        <v>-9919.6000000000058</v>
      </c>
      <c r="N28" s="130">
        <v>0</v>
      </c>
      <c r="O28" s="130">
        <v>0</v>
      </c>
      <c r="P28" s="1">
        <f>N28-O28</f>
        <v>0</v>
      </c>
      <c r="Q28" s="128">
        <f>SUM(J28,M28,P28)</f>
        <v>-149085.4</v>
      </c>
      <c r="R28" s="139"/>
    </row>
    <row r="29" spans="1:18">
      <c r="A29" s="113"/>
      <c r="B29" s="128"/>
      <c r="C29" s="129"/>
      <c r="D29" s="130"/>
      <c r="E29" s="129"/>
      <c r="F29" s="130"/>
      <c r="G29" s="141"/>
      <c r="H29" s="1075"/>
      <c r="I29" s="133"/>
      <c r="J29" s="1075"/>
      <c r="K29" s="129"/>
      <c r="L29" s="130"/>
      <c r="M29" s="1"/>
      <c r="N29" s="129"/>
      <c r="O29" s="130"/>
      <c r="P29" s="1"/>
      <c r="Q29" s="128"/>
    </row>
    <row r="30" spans="1:18" hidden="1">
      <c r="A30" s="113" t="s">
        <v>61</v>
      </c>
      <c r="B30" s="128">
        <v>1933.3</v>
      </c>
      <c r="C30" s="129">
        <v>196400.6</v>
      </c>
      <c r="D30" s="130">
        <v>859</v>
      </c>
      <c r="E30" s="129">
        <v>287470.3</v>
      </c>
      <c r="F30" s="130">
        <v>486663.19999999995</v>
      </c>
      <c r="G30" s="129">
        <v>4899.7000000000007</v>
      </c>
      <c r="H30" s="1075">
        <v>491562.89999999997</v>
      </c>
      <c r="I30" s="133">
        <v>396544.3</v>
      </c>
      <c r="J30" s="1075">
        <v>95018.599999999977</v>
      </c>
      <c r="K30" s="129">
        <v>216698.30000000002</v>
      </c>
      <c r="L30" s="130">
        <v>100768.8</v>
      </c>
      <c r="M30" s="1">
        <v>115929.50000000001</v>
      </c>
      <c r="N30" s="129">
        <v>0</v>
      </c>
      <c r="O30" s="130">
        <v>97.2</v>
      </c>
      <c r="P30" s="1">
        <v>-97.2</v>
      </c>
      <c r="Q30" s="128">
        <v>210850.89999999997</v>
      </c>
      <c r="R30" s="139"/>
    </row>
    <row r="31" spans="1:18" hidden="1">
      <c r="A31" s="113" t="s">
        <v>710</v>
      </c>
      <c r="B31" s="128">
        <v>1967.1</v>
      </c>
      <c r="C31" s="129">
        <v>196712.9</v>
      </c>
      <c r="D31" s="130">
        <v>860.4</v>
      </c>
      <c r="E31" s="129">
        <v>284533.90000000002</v>
      </c>
      <c r="F31" s="130">
        <v>484074.30000000005</v>
      </c>
      <c r="G31" s="129">
        <v>2530</v>
      </c>
      <c r="H31" s="1075">
        <v>486604.30000000005</v>
      </c>
      <c r="I31" s="133">
        <v>397532.8</v>
      </c>
      <c r="J31" s="1075">
        <v>89071.500000000058</v>
      </c>
      <c r="K31" s="129">
        <v>198408.8</v>
      </c>
      <c r="L31" s="130">
        <v>102707.5</v>
      </c>
      <c r="M31" s="1">
        <v>95701.299999999988</v>
      </c>
      <c r="N31" s="129">
        <v>0</v>
      </c>
      <c r="O31" s="130">
        <v>97.1</v>
      </c>
      <c r="P31" s="1">
        <v>-97.1</v>
      </c>
      <c r="Q31" s="128">
        <v>184675.70000000004</v>
      </c>
      <c r="R31" s="139"/>
    </row>
    <row r="32" spans="1:18" hidden="1">
      <c r="A32" s="113" t="s">
        <v>636</v>
      </c>
      <c r="B32" s="128">
        <v>1822.1</v>
      </c>
      <c r="C32" s="129">
        <v>188332.9</v>
      </c>
      <c r="D32" s="130">
        <v>829.8</v>
      </c>
      <c r="E32" s="129">
        <v>325731.40000000002</v>
      </c>
      <c r="F32" s="130">
        <v>516716.2</v>
      </c>
      <c r="G32" s="129">
        <v>8188.6</v>
      </c>
      <c r="H32" s="1075">
        <v>524904.80000000005</v>
      </c>
      <c r="I32" s="133">
        <v>382067.5</v>
      </c>
      <c r="J32" s="1075">
        <v>142837.30000000005</v>
      </c>
      <c r="K32" s="129">
        <v>193925</v>
      </c>
      <c r="L32" s="130">
        <v>123903.5</v>
      </c>
      <c r="M32" s="1">
        <v>70021.5</v>
      </c>
      <c r="N32" s="129">
        <v>0</v>
      </c>
      <c r="O32" s="130">
        <v>72.900000000000006</v>
      </c>
      <c r="P32" s="1">
        <v>-72.900000000000006</v>
      </c>
      <c r="Q32" s="128">
        <v>212785.90000000005</v>
      </c>
      <c r="R32" s="139"/>
    </row>
    <row r="33" spans="1:18" hidden="1">
      <c r="A33" s="113" t="s">
        <v>664</v>
      </c>
      <c r="B33" s="128">
        <v>1802</v>
      </c>
      <c r="C33" s="129">
        <v>183917.8</v>
      </c>
      <c r="D33" s="130">
        <v>810.4</v>
      </c>
      <c r="E33" s="129">
        <v>306201</v>
      </c>
      <c r="F33" s="130">
        <v>492731.19999999995</v>
      </c>
      <c r="G33" s="129">
        <v>8483.5</v>
      </c>
      <c r="H33" s="1075">
        <v>501214.69999999995</v>
      </c>
      <c r="I33" s="133">
        <v>372538.8</v>
      </c>
      <c r="J33" s="1075">
        <v>128675.89999999997</v>
      </c>
      <c r="K33" s="129">
        <v>199601.2</v>
      </c>
      <c r="L33" s="130">
        <v>147751.79999999999</v>
      </c>
      <c r="M33" s="1">
        <v>51849.4</v>
      </c>
      <c r="N33" s="129">
        <v>0</v>
      </c>
      <c r="O33" s="130">
        <v>48.6</v>
      </c>
      <c r="P33" s="1">
        <v>-48.6</v>
      </c>
      <c r="Q33" s="128">
        <v>180476.69999999995</v>
      </c>
      <c r="R33" s="139"/>
    </row>
    <row r="34" spans="1:18" hidden="1">
      <c r="A34" s="113"/>
      <c r="B34" s="128"/>
      <c r="C34" s="129"/>
      <c r="D34" s="130"/>
      <c r="E34" s="129"/>
      <c r="F34" s="130"/>
      <c r="G34" s="129"/>
      <c r="H34" s="1075"/>
      <c r="I34" s="133"/>
      <c r="J34" s="1075"/>
      <c r="K34" s="129"/>
      <c r="L34" s="130"/>
      <c r="M34" s="1"/>
      <c r="N34" s="129"/>
      <c r="O34" s="130"/>
      <c r="P34" s="1"/>
      <c r="Q34" s="128"/>
      <c r="R34" s="139"/>
    </row>
    <row r="35" spans="1:18">
      <c r="A35" s="113" t="s">
        <v>53</v>
      </c>
      <c r="B35" s="128">
        <v>1778.4</v>
      </c>
      <c r="C35" s="129">
        <v>174701.8</v>
      </c>
      <c r="D35" s="130">
        <v>775.5</v>
      </c>
      <c r="E35" s="129">
        <v>292147.59999999998</v>
      </c>
      <c r="F35" s="130">
        <v>469403.29999999993</v>
      </c>
      <c r="G35" s="129">
        <v>3107.7</v>
      </c>
      <c r="H35" s="1075">
        <v>472510.99999999994</v>
      </c>
      <c r="I35" s="133">
        <v>356984.6</v>
      </c>
      <c r="J35" s="1075">
        <v>115526.39999999997</v>
      </c>
      <c r="K35" s="129">
        <v>191610</v>
      </c>
      <c r="L35" s="130">
        <v>146245.4</v>
      </c>
      <c r="M35" s="1">
        <v>45364.600000000006</v>
      </c>
      <c r="N35" s="129">
        <v>0</v>
      </c>
      <c r="O35" s="130">
        <v>24.3</v>
      </c>
      <c r="P35" s="1">
        <v>-24.3</v>
      </c>
      <c r="Q35" s="128">
        <v>160866.69999999998</v>
      </c>
      <c r="R35" s="139"/>
    </row>
    <row r="36" spans="1:18">
      <c r="A36" s="113" t="s">
        <v>44</v>
      </c>
      <c r="B36" s="128">
        <v>1781.7</v>
      </c>
      <c r="C36" s="129">
        <v>176983.9</v>
      </c>
      <c r="D36" s="130">
        <v>792.1</v>
      </c>
      <c r="E36" s="129">
        <v>191644.69999999998</v>
      </c>
      <c r="F36" s="130">
        <v>371202.4</v>
      </c>
      <c r="G36" s="129">
        <v>2014.8000000000002</v>
      </c>
      <c r="H36" s="1075">
        <v>373217.2</v>
      </c>
      <c r="I36" s="133">
        <v>361289.7</v>
      </c>
      <c r="J36" s="1075">
        <v>11927.5</v>
      </c>
      <c r="K36" s="129">
        <v>192773.59999999998</v>
      </c>
      <c r="L36" s="130">
        <v>139562.5</v>
      </c>
      <c r="M36" s="1">
        <v>53211.099999999977</v>
      </c>
      <c r="N36" s="129">
        <v>0</v>
      </c>
      <c r="O36" s="130">
        <v>0</v>
      </c>
      <c r="P36" s="1">
        <v>0</v>
      </c>
      <c r="Q36" s="128">
        <v>65138.599999999977</v>
      </c>
      <c r="R36" s="139"/>
    </row>
    <row r="37" spans="1:18">
      <c r="A37" s="113" t="s">
        <v>47</v>
      </c>
      <c r="B37" s="128">
        <v>1720.4</v>
      </c>
      <c r="C37" s="129">
        <v>165076</v>
      </c>
      <c r="D37" s="130">
        <v>800.5</v>
      </c>
      <c r="E37" s="129">
        <v>105121.8</v>
      </c>
      <c r="F37" s="130">
        <v>272718.7</v>
      </c>
      <c r="G37" s="129">
        <v>1536</v>
      </c>
      <c r="H37" s="1075">
        <v>274254.7</v>
      </c>
      <c r="I37" s="133">
        <v>351304.8</v>
      </c>
      <c r="J37" s="140">
        <v>-77050.100000000006</v>
      </c>
      <c r="K37" s="129">
        <v>179072.1</v>
      </c>
      <c r="L37" s="130">
        <v>135266.6</v>
      </c>
      <c r="M37" s="1">
        <v>43805.5</v>
      </c>
      <c r="N37" s="129">
        <v>0</v>
      </c>
      <c r="O37" s="130">
        <v>0</v>
      </c>
      <c r="P37" s="1">
        <v>0</v>
      </c>
      <c r="Q37" s="128">
        <v>-33244.600000000006</v>
      </c>
      <c r="R37" s="139"/>
    </row>
    <row r="38" spans="1:18">
      <c r="A38" s="113" t="s">
        <v>50</v>
      </c>
      <c r="B38" s="128">
        <v>1660.3</v>
      </c>
      <c r="C38" s="129">
        <v>88116.1</v>
      </c>
      <c r="D38" s="130">
        <v>808.1</v>
      </c>
      <c r="E38" s="129">
        <v>129945.5</v>
      </c>
      <c r="F38" s="130">
        <v>220530</v>
      </c>
      <c r="G38" s="129">
        <v>1299.6000000000001</v>
      </c>
      <c r="H38" s="1075">
        <v>221829.6</v>
      </c>
      <c r="I38" s="133">
        <v>354815.2</v>
      </c>
      <c r="J38" s="140">
        <v>-132985.60000000001</v>
      </c>
      <c r="K38" s="129">
        <v>207089</v>
      </c>
      <c r="L38" s="130">
        <v>149973.5</v>
      </c>
      <c r="M38" s="1">
        <f>K38-L38</f>
        <v>57115.5</v>
      </c>
      <c r="N38" s="129">
        <v>0</v>
      </c>
      <c r="O38" s="130">
        <v>0</v>
      </c>
      <c r="P38" s="1">
        <v>0</v>
      </c>
      <c r="Q38" s="128">
        <f>SUM(J38,M38,P38)</f>
        <v>-75870.100000000006</v>
      </c>
      <c r="R38" s="139"/>
    </row>
    <row r="39" spans="1:18">
      <c r="A39" s="113"/>
      <c r="B39" s="128"/>
      <c r="C39" s="129"/>
      <c r="D39" s="130"/>
      <c r="E39" s="129"/>
      <c r="F39" s="130"/>
      <c r="G39" s="129"/>
      <c r="H39" s="1075"/>
      <c r="I39" s="133"/>
      <c r="J39" s="140"/>
      <c r="K39" s="129"/>
      <c r="L39" s="130"/>
      <c r="M39" s="1"/>
      <c r="N39" s="129"/>
      <c r="O39" s="130"/>
      <c r="P39" s="1"/>
      <c r="Q39" s="128"/>
      <c r="R39" s="139"/>
    </row>
    <row r="40" spans="1:18">
      <c r="A40" s="113" t="s">
        <v>65</v>
      </c>
      <c r="B40" s="128">
        <v>1943</v>
      </c>
      <c r="C40" s="129">
        <v>31919</v>
      </c>
      <c r="D40" s="130">
        <v>45023.1</v>
      </c>
      <c r="E40" s="129">
        <v>73905.5</v>
      </c>
      <c r="F40" s="130">
        <v>152790.6</v>
      </c>
      <c r="G40" s="129">
        <v>2429.1999999999998</v>
      </c>
      <c r="H40" s="1075">
        <v>155219.80000000002</v>
      </c>
      <c r="I40" s="133">
        <v>350173.8</v>
      </c>
      <c r="J40" s="140">
        <v>-194953.99999999997</v>
      </c>
      <c r="K40" s="129">
        <v>182809.69999999998</v>
      </c>
      <c r="L40" s="130">
        <v>148879.5</v>
      </c>
      <c r="M40" s="1">
        <v>33930.199999999983</v>
      </c>
      <c r="N40" s="129">
        <v>0</v>
      </c>
      <c r="O40" s="130">
        <v>0</v>
      </c>
      <c r="P40" s="1">
        <v>0</v>
      </c>
      <c r="Q40" s="128">
        <v>-161023.79999999999</v>
      </c>
      <c r="R40" s="139"/>
    </row>
    <row r="41" spans="1:18">
      <c r="A41" s="113" t="s">
        <v>44</v>
      </c>
      <c r="B41" s="128">
        <v>2102.1999999999998</v>
      </c>
      <c r="C41" s="129">
        <v>31971.9</v>
      </c>
      <c r="D41" s="130">
        <v>45217.4</v>
      </c>
      <c r="E41" s="129">
        <v>84217.1</v>
      </c>
      <c r="F41" s="130">
        <v>163508.6</v>
      </c>
      <c r="G41" s="129">
        <v>2326.8000000000002</v>
      </c>
      <c r="H41" s="1075">
        <v>165835.4</v>
      </c>
      <c r="I41" s="133">
        <v>351838.8</v>
      </c>
      <c r="J41" s="140">
        <v>-186003.4</v>
      </c>
      <c r="K41" s="129">
        <v>163223.69999999998</v>
      </c>
      <c r="L41" s="130">
        <v>143107</v>
      </c>
      <c r="M41" s="1">
        <v>20116.699999999983</v>
      </c>
      <c r="N41" s="129">
        <v>0</v>
      </c>
      <c r="O41" s="130">
        <v>0</v>
      </c>
      <c r="P41" s="1">
        <v>0</v>
      </c>
      <c r="Q41" s="128">
        <v>-165886.70000000001</v>
      </c>
      <c r="R41" s="139"/>
    </row>
    <row r="42" spans="1:18">
      <c r="A42" s="113" t="s">
        <v>47</v>
      </c>
      <c r="B42" s="128">
        <v>2139.1999999999998</v>
      </c>
      <c r="C42" s="129">
        <v>16443.5</v>
      </c>
      <c r="D42" s="130">
        <v>45578.3</v>
      </c>
      <c r="E42" s="129">
        <v>88668.4</v>
      </c>
      <c r="F42" s="130">
        <v>152829.4</v>
      </c>
      <c r="G42" s="129">
        <v>4564.1000000000004</v>
      </c>
      <c r="H42" s="1075">
        <v>157393.5</v>
      </c>
      <c r="I42" s="133">
        <v>338994.5</v>
      </c>
      <c r="J42" s="140">
        <v>-181601</v>
      </c>
      <c r="K42" s="129">
        <v>129120.3</v>
      </c>
      <c r="L42" s="130">
        <v>139965.1</v>
      </c>
      <c r="M42" s="1">
        <v>-10844.800000000003</v>
      </c>
      <c r="N42" s="129">
        <v>0</v>
      </c>
      <c r="O42" s="130">
        <v>0</v>
      </c>
      <c r="P42" s="1">
        <v>0</v>
      </c>
      <c r="Q42" s="128">
        <v>-192445.8</v>
      </c>
      <c r="R42" s="139"/>
    </row>
    <row r="43" spans="1:18">
      <c r="A43" s="113" t="s">
        <v>50</v>
      </c>
      <c r="B43" s="128">
        <v>1893.1</v>
      </c>
      <c r="C43" s="129">
        <v>19330.2</v>
      </c>
      <c r="D43" s="130">
        <v>44971.7</v>
      </c>
      <c r="E43" s="129">
        <v>94816.000000000015</v>
      </c>
      <c r="F43" s="130">
        <v>161011</v>
      </c>
      <c r="G43" s="129">
        <v>5423.7000000000007</v>
      </c>
      <c r="H43" s="1075">
        <v>166434.70000000001</v>
      </c>
      <c r="I43" s="133">
        <v>328508.5</v>
      </c>
      <c r="J43" s="140">
        <v>-162073.79999999999</v>
      </c>
      <c r="K43" s="129">
        <v>125486.1</v>
      </c>
      <c r="L43" s="130">
        <v>139935.4</v>
      </c>
      <c r="M43" s="1">
        <v>-14449.299999999988</v>
      </c>
      <c r="N43" s="129">
        <v>0</v>
      </c>
      <c r="O43" s="130">
        <v>0</v>
      </c>
      <c r="P43" s="1">
        <v>0</v>
      </c>
      <c r="Q43" s="128">
        <v>-176523.09999999998</v>
      </c>
      <c r="R43" s="139"/>
    </row>
    <row r="44" spans="1:18">
      <c r="A44" s="113"/>
      <c r="B44" s="128"/>
      <c r="C44" s="129"/>
      <c r="D44" s="130"/>
      <c r="E44" s="129"/>
      <c r="F44" s="130"/>
      <c r="G44" s="129"/>
      <c r="H44" s="1075"/>
      <c r="I44" s="133"/>
      <c r="J44" s="140"/>
      <c r="K44" s="129"/>
      <c r="L44" s="130"/>
      <c r="M44" s="1"/>
      <c r="N44" s="129"/>
      <c r="O44" s="130"/>
      <c r="P44" s="1"/>
      <c r="Q44" s="128"/>
      <c r="R44" s="139"/>
    </row>
    <row r="45" spans="1:18">
      <c r="A45" s="113" t="s">
        <v>66</v>
      </c>
      <c r="B45" s="128">
        <v>2063.9</v>
      </c>
      <c r="C45" s="129">
        <v>5656.1</v>
      </c>
      <c r="D45" s="130">
        <v>45880.6</v>
      </c>
      <c r="E45" s="129">
        <v>121117.99999999999</v>
      </c>
      <c r="F45" s="130">
        <v>174718.59999999998</v>
      </c>
      <c r="G45" s="129">
        <v>20073.7</v>
      </c>
      <c r="H45" s="1075">
        <v>194792.3</v>
      </c>
      <c r="I45" s="133">
        <v>327928.2</v>
      </c>
      <c r="J45" s="140">
        <v>-133135.90000000002</v>
      </c>
      <c r="K45" s="129">
        <v>118563.4</v>
      </c>
      <c r="L45" s="130">
        <v>150057.70000000001</v>
      </c>
      <c r="M45" s="1">
        <v>-31494.300000000017</v>
      </c>
      <c r="N45" s="130">
        <v>0</v>
      </c>
      <c r="O45" s="130">
        <v>0</v>
      </c>
      <c r="P45" s="1">
        <v>0</v>
      </c>
      <c r="Q45" s="128">
        <f>SUM(J45,M45,P45)</f>
        <v>-164630.20000000004</v>
      </c>
      <c r="R45" s="139"/>
    </row>
    <row r="46" spans="1:18">
      <c r="A46" s="113" t="s">
        <v>62</v>
      </c>
      <c r="B46" s="128">
        <v>2081.1</v>
      </c>
      <c r="C46" s="129">
        <v>10543.6</v>
      </c>
      <c r="D46" s="130">
        <v>48011.199999999997</v>
      </c>
      <c r="E46" s="129">
        <v>118822.7</v>
      </c>
      <c r="F46" s="130">
        <v>179458.59999999998</v>
      </c>
      <c r="G46" s="129">
        <v>21369</v>
      </c>
      <c r="H46" s="1075">
        <v>200827.59999999998</v>
      </c>
      <c r="I46" s="133">
        <v>341304.6</v>
      </c>
      <c r="J46" s="140">
        <v>-140477</v>
      </c>
      <c r="K46" s="129">
        <v>153908.6</v>
      </c>
      <c r="L46" s="130">
        <v>166549</v>
      </c>
      <c r="M46" s="1">
        <v>-12640.399999999994</v>
      </c>
      <c r="N46" s="130">
        <v>0</v>
      </c>
      <c r="O46" s="130">
        <v>0</v>
      </c>
      <c r="P46" s="1">
        <v>0</v>
      </c>
      <c r="Q46" s="128">
        <f>SUM(J46,M46,P46)</f>
        <v>-153117.4</v>
      </c>
      <c r="R46" s="139"/>
    </row>
    <row r="47" spans="1:18">
      <c r="A47" s="113" t="s">
        <v>63</v>
      </c>
      <c r="B47" s="128">
        <v>2173.5</v>
      </c>
      <c r="C47" s="129">
        <v>2158.1</v>
      </c>
      <c r="D47" s="130">
        <v>49331.9</v>
      </c>
      <c r="E47" s="129">
        <f>47310.5+73613+138.3</f>
        <v>121061.8</v>
      </c>
      <c r="F47" s="130">
        <f>SUM(B47:E47)</f>
        <v>174725.3</v>
      </c>
      <c r="G47" s="129">
        <f>22804.7+1198.4</f>
        <v>24003.100000000002</v>
      </c>
      <c r="H47" s="1075">
        <f>+F47+G47</f>
        <v>198728.4</v>
      </c>
      <c r="I47" s="133">
        <v>332752.2</v>
      </c>
      <c r="J47" s="140">
        <f>+H47-I47</f>
        <v>-134023.80000000002</v>
      </c>
      <c r="K47" s="129">
        <f>47.5+96.8+141625.7</f>
        <v>141770</v>
      </c>
      <c r="L47" s="130">
        <v>184125.7</v>
      </c>
      <c r="M47" s="1">
        <f>K47-L47</f>
        <v>-42355.700000000012</v>
      </c>
      <c r="N47" s="130">
        <v>0</v>
      </c>
      <c r="O47" s="130">
        <v>0</v>
      </c>
      <c r="P47" s="1">
        <f>N47-O47</f>
        <v>0</v>
      </c>
      <c r="Q47" s="128">
        <f>SUM(J47,M47,P47)</f>
        <v>-176379.50000000003</v>
      </c>
      <c r="R47" s="139"/>
    </row>
    <row r="48" spans="1:18">
      <c r="A48" s="113" t="s">
        <v>64</v>
      </c>
      <c r="B48" s="128">
        <v>2211.8000000000002</v>
      </c>
      <c r="C48" s="129">
        <v>1985.5</v>
      </c>
      <c r="D48" s="130">
        <v>49876.800000000003</v>
      </c>
      <c r="E48" s="129">
        <v>126513.5</v>
      </c>
      <c r="F48" s="130">
        <f>SUM(B48:E48)</f>
        <v>180587.6</v>
      </c>
      <c r="G48" s="129">
        <f>12214.2+1198.4</f>
        <v>13412.6</v>
      </c>
      <c r="H48" s="1075">
        <f>+F48+G48</f>
        <v>194000.2</v>
      </c>
      <c r="I48" s="133">
        <v>338480.6</v>
      </c>
      <c r="J48" s="140">
        <f>+H48-I48</f>
        <v>-144480.39999999997</v>
      </c>
      <c r="K48" s="129">
        <f>146007.1+96.8+29.1</f>
        <v>146133</v>
      </c>
      <c r="L48" s="130">
        <v>156052.6</v>
      </c>
      <c r="M48" s="1">
        <f>K48-L48</f>
        <v>-9919.6000000000058</v>
      </c>
      <c r="N48" s="130">
        <v>0</v>
      </c>
      <c r="O48" s="130">
        <v>0</v>
      </c>
      <c r="P48" s="1">
        <f>N48-O48</f>
        <v>0</v>
      </c>
      <c r="Q48" s="128">
        <f>SUM(J48,M48,P48)</f>
        <v>-154399.99999999997</v>
      </c>
      <c r="R48" s="139"/>
    </row>
    <row r="49" spans="1:18">
      <c r="A49" s="113"/>
      <c r="B49" s="128"/>
      <c r="C49" s="129"/>
      <c r="D49" s="130"/>
      <c r="E49" s="129"/>
      <c r="F49" s="130"/>
      <c r="G49" s="129"/>
      <c r="H49" s="1075"/>
      <c r="I49" s="133"/>
      <c r="J49" s="140"/>
      <c r="K49" s="129"/>
      <c r="L49" s="130"/>
      <c r="M49" s="1"/>
      <c r="N49" s="129"/>
      <c r="O49" s="130"/>
      <c r="P49" s="1"/>
      <c r="Q49" s="128"/>
      <c r="R49" s="139"/>
    </row>
    <row r="50" spans="1:18">
      <c r="A50" s="113" t="s">
        <v>684</v>
      </c>
      <c r="B50" s="128">
        <v>2631.9</v>
      </c>
      <c r="C50" s="129">
        <v>2190.5</v>
      </c>
      <c r="D50" s="130">
        <v>51595.199999999997</v>
      </c>
      <c r="E50" s="129">
        <v>72076.2</v>
      </c>
      <c r="F50" s="130">
        <v>128493.79999999999</v>
      </c>
      <c r="G50" s="129">
        <v>25145.4</v>
      </c>
      <c r="H50" s="1075">
        <v>153639.19999999998</v>
      </c>
      <c r="I50" s="1075">
        <v>334143.8</v>
      </c>
      <c r="J50" s="140">
        <v>-180504.6</v>
      </c>
      <c r="K50" s="129">
        <v>169526.8</v>
      </c>
      <c r="L50" s="130">
        <v>158712.29999999999</v>
      </c>
      <c r="M50" s="1">
        <v>10814.5</v>
      </c>
      <c r="N50" s="130">
        <v>0</v>
      </c>
      <c r="O50" s="130">
        <v>0</v>
      </c>
      <c r="P50" s="1">
        <v>0</v>
      </c>
      <c r="Q50" s="128">
        <v>-169690.1</v>
      </c>
      <c r="R50" s="139"/>
    </row>
    <row r="51" spans="1:18">
      <c r="A51" s="113" t="s">
        <v>613</v>
      </c>
      <c r="B51" s="128">
        <v>2509.6999999999998</v>
      </c>
      <c r="C51" s="129">
        <v>6825.3</v>
      </c>
      <c r="D51" s="130">
        <v>54472.800000000003</v>
      </c>
      <c r="E51" s="129">
        <v>70773.5</v>
      </c>
      <c r="F51" s="130">
        <v>134581.29999999999</v>
      </c>
      <c r="G51" s="129">
        <v>18983.5</v>
      </c>
      <c r="H51" s="1075">
        <v>153564.79999999999</v>
      </c>
      <c r="I51" s="1075">
        <v>328843.90000000002</v>
      </c>
      <c r="J51" s="140">
        <v>-175279.10000000003</v>
      </c>
      <c r="K51" s="129">
        <v>172314.9</v>
      </c>
      <c r="L51" s="130">
        <v>198291.5</v>
      </c>
      <c r="M51" s="1">
        <v>-25976.600000000006</v>
      </c>
      <c r="N51" s="130">
        <v>0</v>
      </c>
      <c r="O51" s="130">
        <v>0</v>
      </c>
      <c r="P51" s="1">
        <v>0</v>
      </c>
      <c r="Q51" s="128">
        <v>-201255.70000000004</v>
      </c>
      <c r="R51" s="139"/>
    </row>
    <row r="52" spans="1:18">
      <c r="A52" s="113"/>
      <c r="B52" s="128"/>
      <c r="C52" s="129"/>
      <c r="D52" s="130"/>
      <c r="E52" s="129"/>
      <c r="F52" s="130"/>
      <c r="G52" s="129"/>
      <c r="H52" s="1075"/>
      <c r="I52" s="133"/>
      <c r="J52" s="140"/>
      <c r="K52" s="129"/>
      <c r="L52" s="130"/>
      <c r="M52" s="1"/>
      <c r="N52" s="129"/>
      <c r="O52" s="130"/>
      <c r="P52" s="1"/>
      <c r="Q52" s="128"/>
      <c r="R52" s="139"/>
    </row>
    <row r="53" spans="1:18" hidden="1">
      <c r="A53" s="113" t="s">
        <v>60</v>
      </c>
      <c r="B53" s="128">
        <v>1037</v>
      </c>
      <c r="C53" s="129">
        <v>443.4</v>
      </c>
      <c r="D53" s="130">
        <v>663.5</v>
      </c>
      <c r="E53" s="129">
        <v>222234.69999999998</v>
      </c>
      <c r="F53" s="130">
        <f t="shared" ref="F53:F64" si="1">SUM(B53:E53)</f>
        <v>224378.59999999998</v>
      </c>
      <c r="G53" s="129">
        <v>4182.3999999999996</v>
      </c>
      <c r="H53" s="1075">
        <f t="shared" ref="H53:H114" si="2">+F53+G53</f>
        <v>228560.99999999997</v>
      </c>
      <c r="I53" s="133">
        <v>157560.9</v>
      </c>
      <c r="J53" s="1075">
        <f t="shared" ref="J53:J121" si="3">H53-I53</f>
        <v>71000.099999999977</v>
      </c>
      <c r="K53" s="129">
        <v>95638.2</v>
      </c>
      <c r="L53" s="130">
        <v>23113.4</v>
      </c>
      <c r="M53" s="1">
        <f>K53-L53</f>
        <v>72524.799999999988</v>
      </c>
      <c r="N53" s="129"/>
      <c r="O53" s="130"/>
      <c r="P53" s="1">
        <f t="shared" si="0"/>
        <v>0</v>
      </c>
      <c r="Q53" s="128">
        <f t="shared" ref="Q53:Q64" si="4">SUM(J53,M53)</f>
        <v>143524.89999999997</v>
      </c>
    </row>
    <row r="54" spans="1:18" hidden="1">
      <c r="A54" s="113" t="s">
        <v>40</v>
      </c>
      <c r="B54" s="128">
        <v>1096.4000000000001</v>
      </c>
      <c r="C54" s="129">
        <v>225.9</v>
      </c>
      <c r="D54" s="130">
        <v>671.2</v>
      </c>
      <c r="E54" s="129">
        <v>215986.7</v>
      </c>
      <c r="F54" s="130">
        <f t="shared" si="1"/>
        <v>217980.2</v>
      </c>
      <c r="G54" s="129">
        <v>3924.2</v>
      </c>
      <c r="H54" s="1075">
        <f t="shared" si="2"/>
        <v>221904.40000000002</v>
      </c>
      <c r="I54" s="133">
        <v>159092.1</v>
      </c>
      <c r="J54" s="1075">
        <f t="shared" si="3"/>
        <v>62812.300000000017</v>
      </c>
      <c r="K54" s="129">
        <v>103195.6</v>
      </c>
      <c r="L54" s="130">
        <v>21733.699999999997</v>
      </c>
      <c r="M54" s="1">
        <f t="shared" ref="M54:M122" si="5">K54-L54</f>
        <v>81461.900000000009</v>
      </c>
      <c r="N54" s="129"/>
      <c r="O54" s="130"/>
      <c r="P54" s="1">
        <f t="shared" si="0"/>
        <v>0</v>
      </c>
      <c r="Q54" s="128">
        <f t="shared" si="4"/>
        <v>144274.20000000001</v>
      </c>
    </row>
    <row r="55" spans="1:18" hidden="1">
      <c r="A55" s="113" t="s">
        <v>41</v>
      </c>
      <c r="B55" s="128">
        <v>1068.4000000000001</v>
      </c>
      <c r="C55" s="129">
        <v>235.3</v>
      </c>
      <c r="D55" s="130">
        <v>699.3</v>
      </c>
      <c r="E55" s="129">
        <v>222758.3</v>
      </c>
      <c r="F55" s="130">
        <f t="shared" si="1"/>
        <v>224761.3</v>
      </c>
      <c r="G55" s="129">
        <v>3933.7</v>
      </c>
      <c r="H55" s="1075">
        <f t="shared" si="2"/>
        <v>228695</v>
      </c>
      <c r="I55" s="133">
        <v>168291.5</v>
      </c>
      <c r="J55" s="1075">
        <f t="shared" si="3"/>
        <v>60403.5</v>
      </c>
      <c r="K55" s="129">
        <v>116002.2</v>
      </c>
      <c r="L55" s="130">
        <v>27821.300000000003</v>
      </c>
      <c r="M55" s="1">
        <f t="shared" si="5"/>
        <v>88180.9</v>
      </c>
      <c r="N55" s="129"/>
      <c r="O55" s="130"/>
      <c r="P55" s="1">
        <f t="shared" si="0"/>
        <v>0</v>
      </c>
      <c r="Q55" s="128">
        <f t="shared" si="4"/>
        <v>148584.4</v>
      </c>
    </row>
    <row r="56" spans="1:18" hidden="1">
      <c r="A56" s="113" t="s">
        <v>42</v>
      </c>
      <c r="B56" s="128">
        <v>989.7</v>
      </c>
      <c r="C56" s="129">
        <v>231.2</v>
      </c>
      <c r="D56" s="130">
        <v>687</v>
      </c>
      <c r="E56" s="129">
        <v>223435.59999999998</v>
      </c>
      <c r="F56" s="130">
        <f t="shared" si="1"/>
        <v>225343.49999999997</v>
      </c>
      <c r="G56" s="129">
        <v>3770</v>
      </c>
      <c r="H56" s="1075">
        <f t="shared" si="2"/>
        <v>229113.49999999997</v>
      </c>
      <c r="I56" s="133">
        <v>163484.1</v>
      </c>
      <c r="J56" s="1075">
        <f t="shared" si="3"/>
        <v>65629.399999999965</v>
      </c>
      <c r="K56" s="129">
        <v>109956.69999999998</v>
      </c>
      <c r="L56" s="130">
        <v>25249.1</v>
      </c>
      <c r="M56" s="1">
        <f t="shared" si="5"/>
        <v>84707.599999999977</v>
      </c>
      <c r="N56" s="129"/>
      <c r="O56" s="130"/>
      <c r="P56" s="1">
        <f t="shared" si="0"/>
        <v>0</v>
      </c>
      <c r="Q56" s="128">
        <f t="shared" si="4"/>
        <v>150336.99999999994</v>
      </c>
    </row>
    <row r="57" spans="1:18" hidden="1">
      <c r="A57" s="113" t="s">
        <v>43</v>
      </c>
      <c r="B57" s="128">
        <v>994.6</v>
      </c>
      <c r="C57" s="129">
        <v>50.7</v>
      </c>
      <c r="D57" s="130">
        <v>689.8</v>
      </c>
      <c r="E57" s="129">
        <v>219617.2</v>
      </c>
      <c r="F57" s="130">
        <f t="shared" si="1"/>
        <v>221352.30000000002</v>
      </c>
      <c r="G57" s="129">
        <v>3685.1000000000004</v>
      </c>
      <c r="H57" s="1075">
        <f t="shared" si="2"/>
        <v>225037.40000000002</v>
      </c>
      <c r="I57" s="133">
        <v>163549.40000000002</v>
      </c>
      <c r="J57" s="1075">
        <f t="shared" si="3"/>
        <v>61488</v>
      </c>
      <c r="K57" s="129">
        <v>103309.4</v>
      </c>
      <c r="L57" s="130">
        <v>24010.900000000005</v>
      </c>
      <c r="M57" s="1">
        <f t="shared" si="5"/>
        <v>79298.499999999985</v>
      </c>
      <c r="N57" s="129"/>
      <c r="O57" s="130"/>
      <c r="P57" s="1">
        <f t="shared" si="0"/>
        <v>0</v>
      </c>
      <c r="Q57" s="128">
        <f t="shared" si="4"/>
        <v>140786.5</v>
      </c>
    </row>
    <row r="58" spans="1:18" hidden="1">
      <c r="A58" s="113" t="s">
        <v>44</v>
      </c>
      <c r="B58" s="128">
        <v>1072.5999999999999</v>
      </c>
      <c r="C58" s="129">
        <v>888.8</v>
      </c>
      <c r="D58" s="130">
        <v>701.4</v>
      </c>
      <c r="E58" s="129">
        <v>216375.6</v>
      </c>
      <c r="F58" s="130">
        <f t="shared" si="1"/>
        <v>219038.4</v>
      </c>
      <c r="G58" s="129">
        <v>4023.6000000000004</v>
      </c>
      <c r="H58" s="1075">
        <f t="shared" si="2"/>
        <v>223062</v>
      </c>
      <c r="I58" s="1074">
        <v>166752.5</v>
      </c>
      <c r="J58" s="1075">
        <f t="shared" si="3"/>
        <v>56309.5</v>
      </c>
      <c r="K58" s="129">
        <v>111373.8</v>
      </c>
      <c r="L58" s="130">
        <v>28737.400000000005</v>
      </c>
      <c r="M58" s="1">
        <f t="shared" si="5"/>
        <v>82636.399999999994</v>
      </c>
      <c r="N58" s="129"/>
      <c r="O58" s="130"/>
      <c r="P58" s="1">
        <f t="shared" si="0"/>
        <v>0</v>
      </c>
      <c r="Q58" s="128">
        <f t="shared" si="4"/>
        <v>138945.9</v>
      </c>
    </row>
    <row r="59" spans="1:18" hidden="1">
      <c r="A59" s="113" t="s">
        <v>45</v>
      </c>
      <c r="B59" s="128">
        <v>1043.5999999999999</v>
      </c>
      <c r="C59" s="129">
        <v>879.9</v>
      </c>
      <c r="D59" s="130">
        <v>694.3</v>
      </c>
      <c r="E59" s="129">
        <v>239190.9</v>
      </c>
      <c r="F59" s="130">
        <f t="shared" si="1"/>
        <v>241808.69999999998</v>
      </c>
      <c r="G59" s="129">
        <v>6068.7000000000007</v>
      </c>
      <c r="H59" s="1075">
        <f t="shared" si="2"/>
        <v>247877.4</v>
      </c>
      <c r="I59" s="1074">
        <v>177733.2</v>
      </c>
      <c r="J59" s="1075">
        <f t="shared" si="3"/>
        <v>70144.199999999983</v>
      </c>
      <c r="K59" s="129">
        <v>103087.9</v>
      </c>
      <c r="L59" s="130">
        <v>28529.1</v>
      </c>
      <c r="M59" s="1">
        <f t="shared" si="5"/>
        <v>74558.799999999988</v>
      </c>
      <c r="N59" s="129"/>
      <c r="O59" s="130"/>
      <c r="P59" s="1">
        <f t="shared" si="0"/>
        <v>0</v>
      </c>
      <c r="Q59" s="128">
        <f t="shared" si="4"/>
        <v>144702.99999999997</v>
      </c>
    </row>
    <row r="60" spans="1:18" hidden="1">
      <c r="A60" s="113" t="s">
        <v>46</v>
      </c>
      <c r="B60" s="128">
        <v>952.2</v>
      </c>
      <c r="C60" s="129">
        <v>175.8</v>
      </c>
      <c r="D60" s="130">
        <v>667.1</v>
      </c>
      <c r="E60" s="129">
        <v>242984.30000000002</v>
      </c>
      <c r="F60" s="130">
        <f t="shared" si="1"/>
        <v>244779.40000000002</v>
      </c>
      <c r="G60" s="129">
        <v>5227.5</v>
      </c>
      <c r="H60" s="1075">
        <f t="shared" si="2"/>
        <v>250006.90000000002</v>
      </c>
      <c r="I60" s="1074">
        <v>170889.4</v>
      </c>
      <c r="J60" s="1075">
        <f t="shared" si="3"/>
        <v>79117.500000000029</v>
      </c>
      <c r="K60" s="129">
        <v>113713.59999999999</v>
      </c>
      <c r="L60" s="130">
        <v>27114.2</v>
      </c>
      <c r="M60" s="1">
        <f t="shared" si="5"/>
        <v>86599.4</v>
      </c>
      <c r="N60" s="129"/>
      <c r="O60" s="130"/>
      <c r="P60" s="1">
        <f t="shared" si="0"/>
        <v>0</v>
      </c>
      <c r="Q60" s="128">
        <f t="shared" si="4"/>
        <v>165716.90000000002</v>
      </c>
    </row>
    <row r="61" spans="1:18" hidden="1">
      <c r="A61" s="113" t="s">
        <v>47</v>
      </c>
      <c r="B61" s="128">
        <v>1010.3</v>
      </c>
      <c r="C61" s="129">
        <v>177.4</v>
      </c>
      <c r="D61" s="130">
        <v>673.3</v>
      </c>
      <c r="E61" s="129">
        <v>240677.8</v>
      </c>
      <c r="F61" s="130">
        <f t="shared" si="1"/>
        <v>242538.8</v>
      </c>
      <c r="G61" s="129">
        <v>5464.4</v>
      </c>
      <c r="H61" s="1075">
        <f t="shared" si="2"/>
        <v>248003.19999999998</v>
      </c>
      <c r="I61" s="1074">
        <v>172169.9</v>
      </c>
      <c r="J61" s="1075">
        <f t="shared" si="3"/>
        <v>75833.299999999988</v>
      </c>
      <c r="K61" s="129">
        <v>134420.80000000002</v>
      </c>
      <c r="L61" s="130">
        <v>27827.299999999996</v>
      </c>
      <c r="M61" s="1">
        <f t="shared" si="5"/>
        <v>106593.50000000003</v>
      </c>
      <c r="N61" s="129"/>
      <c r="O61" s="130"/>
      <c r="P61" s="1">
        <f t="shared" si="0"/>
        <v>0</v>
      </c>
      <c r="Q61" s="128">
        <f t="shared" si="4"/>
        <v>182426.80000000002</v>
      </c>
    </row>
    <row r="62" spans="1:18" hidden="1">
      <c r="A62" s="113" t="s">
        <v>48</v>
      </c>
      <c r="B62" s="128">
        <v>859.6</v>
      </c>
      <c r="C62" s="129">
        <v>318.5</v>
      </c>
      <c r="D62" s="130">
        <v>656</v>
      </c>
      <c r="E62" s="129">
        <v>255508.7</v>
      </c>
      <c r="F62" s="130">
        <f t="shared" si="1"/>
        <v>257342.80000000002</v>
      </c>
      <c r="G62" s="129">
        <v>5431.4</v>
      </c>
      <c r="H62" s="1075">
        <f t="shared" si="2"/>
        <v>262774.2</v>
      </c>
      <c r="I62" s="1074">
        <v>167470.6</v>
      </c>
      <c r="J62" s="1075">
        <f t="shared" si="3"/>
        <v>95303.6</v>
      </c>
      <c r="K62" s="129">
        <v>124242.09999999999</v>
      </c>
      <c r="L62" s="130">
        <v>27742.3</v>
      </c>
      <c r="M62" s="1">
        <f t="shared" si="5"/>
        <v>96499.799999999988</v>
      </c>
      <c r="N62" s="129"/>
      <c r="O62" s="130"/>
      <c r="P62" s="1">
        <f t="shared" si="0"/>
        <v>0</v>
      </c>
      <c r="Q62" s="128">
        <f t="shared" si="4"/>
        <v>191803.4</v>
      </c>
    </row>
    <row r="63" spans="1:18" hidden="1">
      <c r="A63" s="113" t="s">
        <v>49</v>
      </c>
      <c r="B63" s="128">
        <v>971.7</v>
      </c>
      <c r="C63" s="129">
        <v>156.1</v>
      </c>
      <c r="D63" s="130">
        <v>665.6</v>
      </c>
      <c r="E63" s="129">
        <v>269776</v>
      </c>
      <c r="F63" s="130">
        <f t="shared" si="1"/>
        <v>271569.40000000002</v>
      </c>
      <c r="G63" s="129">
        <v>5559.5</v>
      </c>
      <c r="H63" s="1075">
        <f t="shared" si="2"/>
        <v>277128.90000000002</v>
      </c>
      <c r="I63" s="1074">
        <v>169792.50000000003</v>
      </c>
      <c r="J63" s="1075">
        <f t="shared" si="3"/>
        <v>107336.4</v>
      </c>
      <c r="K63" s="129">
        <v>129104.30000000002</v>
      </c>
      <c r="L63" s="130">
        <v>29356.899999999998</v>
      </c>
      <c r="M63" s="1">
        <f t="shared" si="5"/>
        <v>99747.400000000023</v>
      </c>
      <c r="N63" s="129"/>
      <c r="O63" s="130"/>
      <c r="P63" s="1">
        <f t="shared" si="0"/>
        <v>0</v>
      </c>
      <c r="Q63" s="128">
        <f t="shared" si="4"/>
        <v>207083.80000000002</v>
      </c>
    </row>
    <row r="64" spans="1:18" hidden="1">
      <c r="A64" s="113" t="s">
        <v>50</v>
      </c>
      <c r="B64" s="128">
        <v>1033.4000000000001</v>
      </c>
      <c r="C64" s="129">
        <v>181.7</v>
      </c>
      <c r="D64" s="130">
        <v>688.7</v>
      </c>
      <c r="E64" s="129">
        <v>327362.5</v>
      </c>
      <c r="F64" s="130">
        <f t="shared" si="1"/>
        <v>329266.3</v>
      </c>
      <c r="G64" s="129">
        <v>5223.6000000000004</v>
      </c>
      <c r="H64" s="1075">
        <f t="shared" si="2"/>
        <v>334489.89999999997</v>
      </c>
      <c r="I64" s="1074">
        <v>175397.7</v>
      </c>
      <c r="J64" s="1075">
        <f t="shared" si="3"/>
        <v>159092.19999999995</v>
      </c>
      <c r="K64" s="129">
        <v>125768.90000000001</v>
      </c>
      <c r="L64" s="130">
        <v>30009.400000000009</v>
      </c>
      <c r="M64" s="1">
        <f t="shared" si="5"/>
        <v>95759.5</v>
      </c>
      <c r="N64" s="129"/>
      <c r="O64" s="130"/>
      <c r="P64" s="1">
        <f t="shared" si="0"/>
        <v>0</v>
      </c>
      <c r="Q64" s="128">
        <f t="shared" si="4"/>
        <v>254851.69999999995</v>
      </c>
    </row>
    <row r="65" spans="1:17" hidden="1">
      <c r="A65" s="142"/>
      <c r="B65" s="128"/>
      <c r="C65" s="129"/>
      <c r="D65" s="130"/>
      <c r="E65" s="129"/>
      <c r="F65" s="130"/>
      <c r="G65" s="129"/>
      <c r="H65" s="1075"/>
      <c r="I65" s="1074"/>
      <c r="J65" s="1075"/>
      <c r="K65" s="129"/>
      <c r="L65" s="130"/>
      <c r="M65" s="1"/>
      <c r="N65" s="129"/>
      <c r="O65" s="130"/>
      <c r="P65" s="1">
        <f t="shared" si="0"/>
        <v>0</v>
      </c>
      <c r="Q65" s="128"/>
    </row>
    <row r="66" spans="1:17" hidden="1">
      <c r="A66" s="113" t="s">
        <v>59</v>
      </c>
      <c r="B66" s="128">
        <v>1074.8</v>
      </c>
      <c r="C66" s="129">
        <v>176.3</v>
      </c>
      <c r="D66" s="130">
        <v>668</v>
      </c>
      <c r="E66" s="129">
        <v>303144.5</v>
      </c>
      <c r="F66" s="130">
        <f t="shared" ref="F66:F77" si="6">SUM(B66:E66)</f>
        <v>305063.59999999998</v>
      </c>
      <c r="G66" s="129">
        <v>6989.7000000000007</v>
      </c>
      <c r="H66" s="1075">
        <f t="shared" si="2"/>
        <v>312053.3</v>
      </c>
      <c r="I66" s="1074">
        <v>170683.4</v>
      </c>
      <c r="J66" s="1075">
        <f t="shared" si="3"/>
        <v>141369.9</v>
      </c>
      <c r="K66" s="129">
        <v>116140.49999999999</v>
      </c>
      <c r="L66" s="130">
        <v>27662.7</v>
      </c>
      <c r="M66" s="1">
        <f t="shared" si="5"/>
        <v>88477.799999999988</v>
      </c>
      <c r="N66" s="129"/>
      <c r="O66" s="130"/>
      <c r="P66" s="1">
        <f t="shared" si="0"/>
        <v>0</v>
      </c>
      <c r="Q66" s="128">
        <f t="shared" ref="Q66:Q77" si="7">SUM(J66,M66)</f>
        <v>229847.69999999998</v>
      </c>
    </row>
    <row r="67" spans="1:17" hidden="1">
      <c r="A67" s="113" t="s">
        <v>40</v>
      </c>
      <c r="B67" s="128">
        <v>1118.5999999999999</v>
      </c>
      <c r="C67" s="129">
        <v>109.9</v>
      </c>
      <c r="D67" s="130">
        <v>652.70000000000005</v>
      </c>
      <c r="E67" s="129">
        <v>294546.8</v>
      </c>
      <c r="F67" s="130">
        <f t="shared" si="6"/>
        <v>296428</v>
      </c>
      <c r="G67" s="129">
        <v>7176.7000000000007</v>
      </c>
      <c r="H67" s="1075">
        <f t="shared" si="2"/>
        <v>303604.7</v>
      </c>
      <c r="I67" s="1074">
        <v>178338.8</v>
      </c>
      <c r="J67" s="1075">
        <f t="shared" si="3"/>
        <v>125265.90000000002</v>
      </c>
      <c r="K67" s="129">
        <v>117864.69999999998</v>
      </c>
      <c r="L67" s="130">
        <v>27916.6</v>
      </c>
      <c r="M67" s="1">
        <f t="shared" si="5"/>
        <v>89948.099999999977</v>
      </c>
      <c r="N67" s="129"/>
      <c r="O67" s="130"/>
      <c r="P67" s="1">
        <f t="shared" si="0"/>
        <v>0</v>
      </c>
      <c r="Q67" s="128">
        <f t="shared" si="7"/>
        <v>215214</v>
      </c>
    </row>
    <row r="68" spans="1:17" hidden="1">
      <c r="A68" s="113" t="s">
        <v>41</v>
      </c>
      <c r="B68" s="128">
        <v>1094.0999999999999</v>
      </c>
      <c r="C68" s="129">
        <v>111.6</v>
      </c>
      <c r="D68" s="130">
        <v>662.7</v>
      </c>
      <c r="E68" s="129">
        <v>278039.10000000003</v>
      </c>
      <c r="F68" s="130">
        <f t="shared" si="6"/>
        <v>279907.50000000006</v>
      </c>
      <c r="G68" s="129">
        <v>6741.6</v>
      </c>
      <c r="H68" s="1075">
        <f t="shared" si="2"/>
        <v>286649.10000000003</v>
      </c>
      <c r="I68" s="1074">
        <v>180864.6</v>
      </c>
      <c r="J68" s="1075">
        <f t="shared" si="3"/>
        <v>105784.50000000003</v>
      </c>
      <c r="K68" s="129">
        <v>120440.8</v>
      </c>
      <c r="L68" s="130">
        <v>28111.9</v>
      </c>
      <c r="M68" s="1">
        <f t="shared" si="5"/>
        <v>92328.9</v>
      </c>
      <c r="N68" s="129"/>
      <c r="O68" s="130"/>
      <c r="P68" s="1">
        <f t="shared" si="0"/>
        <v>0</v>
      </c>
      <c r="Q68" s="128">
        <f t="shared" si="7"/>
        <v>198113.40000000002</v>
      </c>
    </row>
    <row r="69" spans="1:17" hidden="1">
      <c r="A69" s="113" t="s">
        <v>42</v>
      </c>
      <c r="B69" s="128">
        <v>1060</v>
      </c>
      <c r="C69" s="129">
        <v>111.5</v>
      </c>
      <c r="D69" s="130">
        <v>662.3</v>
      </c>
      <c r="E69" s="129">
        <v>264601.2</v>
      </c>
      <c r="F69" s="130">
        <f t="shared" si="6"/>
        <v>266435</v>
      </c>
      <c r="G69" s="129">
        <v>5492.8</v>
      </c>
      <c r="H69" s="1075">
        <f t="shared" si="2"/>
        <v>271927.8</v>
      </c>
      <c r="I69" s="1074">
        <v>181050.30000000002</v>
      </c>
      <c r="J69" s="1075">
        <f t="shared" si="3"/>
        <v>90877.499999999971</v>
      </c>
      <c r="K69" s="129">
        <v>126001.60000000001</v>
      </c>
      <c r="L69" s="130">
        <v>36224.19999999999</v>
      </c>
      <c r="M69" s="1">
        <f t="shared" si="5"/>
        <v>89777.400000000023</v>
      </c>
      <c r="N69" s="129"/>
      <c r="O69" s="130"/>
      <c r="P69" s="1">
        <f t="shared" si="0"/>
        <v>0</v>
      </c>
      <c r="Q69" s="128">
        <f t="shared" si="7"/>
        <v>180654.9</v>
      </c>
    </row>
    <row r="70" spans="1:17" hidden="1">
      <c r="A70" s="113" t="s">
        <v>43</v>
      </c>
      <c r="B70" s="128">
        <v>1143.5</v>
      </c>
      <c r="C70" s="129">
        <v>80.7</v>
      </c>
      <c r="D70" s="130">
        <v>679.5</v>
      </c>
      <c r="E70" s="129">
        <v>274451.90000000002</v>
      </c>
      <c r="F70" s="130">
        <f t="shared" si="6"/>
        <v>276355.60000000003</v>
      </c>
      <c r="G70" s="129">
        <v>4756.1000000000004</v>
      </c>
      <c r="H70" s="1075">
        <f t="shared" si="2"/>
        <v>281111.7</v>
      </c>
      <c r="I70" s="1074">
        <v>126775.29999999999</v>
      </c>
      <c r="J70" s="1075">
        <f t="shared" si="3"/>
        <v>154336.40000000002</v>
      </c>
      <c r="K70" s="129">
        <v>123079.29999999999</v>
      </c>
      <c r="L70" s="130">
        <v>34014</v>
      </c>
      <c r="M70" s="1">
        <f t="shared" si="5"/>
        <v>89065.299999999988</v>
      </c>
      <c r="N70" s="129"/>
      <c r="O70" s="130"/>
      <c r="P70" s="1">
        <f t="shared" si="0"/>
        <v>0</v>
      </c>
      <c r="Q70" s="128">
        <f t="shared" si="7"/>
        <v>243401.7</v>
      </c>
    </row>
    <row r="71" spans="1:17" hidden="1">
      <c r="A71" s="113" t="s">
        <v>44</v>
      </c>
      <c r="B71" s="128">
        <v>1120.5999999999999</v>
      </c>
      <c r="C71" s="129">
        <v>367.7</v>
      </c>
      <c r="D71" s="130">
        <v>686.8</v>
      </c>
      <c r="E71" s="129">
        <v>269075.8</v>
      </c>
      <c r="F71" s="130">
        <f t="shared" si="6"/>
        <v>271250.89999999997</v>
      </c>
      <c r="G71" s="129">
        <v>4660</v>
      </c>
      <c r="H71" s="1075">
        <f t="shared" si="2"/>
        <v>275910.89999999997</v>
      </c>
      <c r="I71" s="1074">
        <v>127669</v>
      </c>
      <c r="J71" s="1075">
        <f t="shared" si="3"/>
        <v>148241.89999999997</v>
      </c>
      <c r="K71" s="129">
        <v>125767.2</v>
      </c>
      <c r="L71" s="130">
        <v>37042.699999999997</v>
      </c>
      <c r="M71" s="1">
        <f t="shared" si="5"/>
        <v>88724.5</v>
      </c>
      <c r="N71" s="129"/>
      <c r="O71" s="130"/>
      <c r="P71" s="1">
        <f t="shared" si="0"/>
        <v>0</v>
      </c>
      <c r="Q71" s="128">
        <f t="shared" si="7"/>
        <v>236966.39999999997</v>
      </c>
    </row>
    <row r="72" spans="1:17" hidden="1">
      <c r="A72" s="113" t="s">
        <v>45</v>
      </c>
      <c r="B72" s="128">
        <v>1115.2</v>
      </c>
      <c r="C72" s="129">
        <v>12701.4</v>
      </c>
      <c r="D72" s="130">
        <v>687.6</v>
      </c>
      <c r="E72" s="129">
        <v>253205.2</v>
      </c>
      <c r="F72" s="130">
        <f t="shared" si="6"/>
        <v>267709.40000000002</v>
      </c>
      <c r="G72" s="129">
        <v>4478.7000000000007</v>
      </c>
      <c r="H72" s="1075">
        <f t="shared" si="2"/>
        <v>272188.10000000003</v>
      </c>
      <c r="I72" s="1074">
        <v>140035.5</v>
      </c>
      <c r="J72" s="1075">
        <f t="shared" si="3"/>
        <v>132152.60000000003</v>
      </c>
      <c r="K72" s="129">
        <v>119354.19999999998</v>
      </c>
      <c r="L72" s="130">
        <v>31841.699999999997</v>
      </c>
      <c r="M72" s="1">
        <f t="shared" si="5"/>
        <v>87512.499999999985</v>
      </c>
      <c r="N72" s="129"/>
      <c r="O72" s="130"/>
      <c r="P72" s="1">
        <f t="shared" si="0"/>
        <v>0</v>
      </c>
      <c r="Q72" s="128">
        <f t="shared" si="7"/>
        <v>219665.10000000003</v>
      </c>
    </row>
    <row r="73" spans="1:17" hidden="1">
      <c r="A73" s="113" t="s">
        <v>46</v>
      </c>
      <c r="B73" s="128">
        <v>1136.3</v>
      </c>
      <c r="C73" s="129">
        <v>122653.6</v>
      </c>
      <c r="D73" s="130">
        <v>693.4</v>
      </c>
      <c r="E73" s="129">
        <v>238703.09999999998</v>
      </c>
      <c r="F73" s="130">
        <f t="shared" si="6"/>
        <v>363186.39999999997</v>
      </c>
      <c r="G73" s="129">
        <v>3479.8</v>
      </c>
      <c r="H73" s="1075">
        <f t="shared" si="2"/>
        <v>366666.19999999995</v>
      </c>
      <c r="I73" s="1074">
        <v>250916.19999999998</v>
      </c>
      <c r="J73" s="1075">
        <f t="shared" si="3"/>
        <v>115749.99999999997</v>
      </c>
      <c r="K73" s="129">
        <v>126943.29999999999</v>
      </c>
      <c r="L73" s="130">
        <v>34910.100000000006</v>
      </c>
      <c r="M73" s="1">
        <f t="shared" si="5"/>
        <v>92033.199999999983</v>
      </c>
      <c r="N73" s="129"/>
      <c r="O73" s="130"/>
      <c r="P73" s="1">
        <f t="shared" si="0"/>
        <v>0</v>
      </c>
      <c r="Q73" s="128">
        <f t="shared" si="7"/>
        <v>207783.19999999995</v>
      </c>
    </row>
    <row r="74" spans="1:17" hidden="1">
      <c r="A74" s="113" t="s">
        <v>47</v>
      </c>
      <c r="B74" s="128">
        <v>1191</v>
      </c>
      <c r="C74" s="129">
        <v>129687.2</v>
      </c>
      <c r="D74" s="130">
        <v>699.5</v>
      </c>
      <c r="E74" s="129">
        <v>257969.09999999998</v>
      </c>
      <c r="F74" s="130">
        <f t="shared" si="6"/>
        <v>389546.8</v>
      </c>
      <c r="G74" s="129">
        <v>3715.8</v>
      </c>
      <c r="H74" s="1075">
        <f t="shared" si="2"/>
        <v>393262.6</v>
      </c>
      <c r="I74" s="1074">
        <v>259318.9</v>
      </c>
      <c r="J74" s="1075">
        <f t="shared" si="3"/>
        <v>133943.69999999998</v>
      </c>
      <c r="K74" s="129">
        <v>125532.20000000001</v>
      </c>
      <c r="L74" s="130">
        <v>37309.800000000003</v>
      </c>
      <c r="M74" s="1">
        <f t="shared" si="5"/>
        <v>88222.400000000009</v>
      </c>
      <c r="N74" s="129"/>
      <c r="O74" s="130"/>
      <c r="P74" s="1">
        <f t="shared" si="0"/>
        <v>0</v>
      </c>
      <c r="Q74" s="128">
        <f t="shared" si="7"/>
        <v>222166.09999999998</v>
      </c>
    </row>
    <row r="75" spans="1:17" hidden="1">
      <c r="A75" s="113" t="s">
        <v>48</v>
      </c>
      <c r="B75" s="128">
        <v>1240.0999999999999</v>
      </c>
      <c r="C75" s="129">
        <v>130455.6</v>
      </c>
      <c r="D75" s="130">
        <v>703.6</v>
      </c>
      <c r="E75" s="129">
        <v>254245.1</v>
      </c>
      <c r="F75" s="130">
        <f t="shared" si="6"/>
        <v>386644.4</v>
      </c>
      <c r="G75" s="129">
        <v>3322.7</v>
      </c>
      <c r="H75" s="1075">
        <f t="shared" si="2"/>
        <v>389967.10000000003</v>
      </c>
      <c r="I75" s="1074">
        <v>260952.5</v>
      </c>
      <c r="J75" s="1075">
        <f t="shared" si="3"/>
        <v>129014.60000000003</v>
      </c>
      <c r="K75" s="129">
        <v>124128.7</v>
      </c>
      <c r="L75" s="130">
        <v>37126.300000000003</v>
      </c>
      <c r="M75" s="1">
        <f t="shared" si="5"/>
        <v>87002.4</v>
      </c>
      <c r="N75" s="129"/>
      <c r="O75" s="130"/>
      <c r="P75" s="1">
        <f t="shared" si="0"/>
        <v>0</v>
      </c>
      <c r="Q75" s="128">
        <f t="shared" si="7"/>
        <v>216017.00000000003</v>
      </c>
    </row>
    <row r="76" spans="1:17" hidden="1">
      <c r="A76" s="113" t="s">
        <v>49</v>
      </c>
      <c r="B76" s="128">
        <v>1389.7</v>
      </c>
      <c r="C76" s="129">
        <v>132353.70000000001</v>
      </c>
      <c r="D76" s="130">
        <v>714</v>
      </c>
      <c r="E76" s="129">
        <v>246867.1</v>
      </c>
      <c r="F76" s="130">
        <f t="shared" si="6"/>
        <v>381324.5</v>
      </c>
      <c r="G76" s="129">
        <v>2909.8</v>
      </c>
      <c r="H76" s="1075">
        <f t="shared" si="2"/>
        <v>384234.3</v>
      </c>
      <c r="I76" s="1074">
        <v>263875.60000000003</v>
      </c>
      <c r="J76" s="1075">
        <f t="shared" si="3"/>
        <v>120358.69999999995</v>
      </c>
      <c r="K76" s="129">
        <v>130034.9</v>
      </c>
      <c r="L76" s="130">
        <v>37392.799999999996</v>
      </c>
      <c r="M76" s="1">
        <f t="shared" si="5"/>
        <v>92642.1</v>
      </c>
      <c r="N76" s="129"/>
      <c r="O76" s="130"/>
      <c r="P76" s="1">
        <f t="shared" si="0"/>
        <v>0</v>
      </c>
      <c r="Q76" s="128">
        <f t="shared" si="7"/>
        <v>213000.79999999996</v>
      </c>
    </row>
    <row r="77" spans="1:17" hidden="1">
      <c r="A77" s="113" t="s">
        <v>50</v>
      </c>
      <c r="B77" s="128">
        <v>1304.8</v>
      </c>
      <c r="C77" s="129">
        <v>128093.7</v>
      </c>
      <c r="D77" s="130">
        <v>692.5</v>
      </c>
      <c r="E77" s="129">
        <v>267404.7</v>
      </c>
      <c r="F77" s="130">
        <f t="shared" si="6"/>
        <v>397495.7</v>
      </c>
      <c r="G77" s="129">
        <v>3455.6000000000004</v>
      </c>
      <c r="H77" s="1075">
        <f t="shared" si="2"/>
        <v>400951.3</v>
      </c>
      <c r="I77" s="1074">
        <v>255985.09999999998</v>
      </c>
      <c r="J77" s="1075">
        <f t="shared" si="3"/>
        <v>144966.20000000001</v>
      </c>
      <c r="K77" s="129">
        <v>155769.00000000003</v>
      </c>
      <c r="L77" s="130">
        <v>36237.599999999999</v>
      </c>
      <c r="M77" s="1">
        <f t="shared" si="5"/>
        <v>119531.40000000002</v>
      </c>
      <c r="N77" s="129"/>
      <c r="O77" s="130"/>
      <c r="P77" s="1">
        <f t="shared" si="0"/>
        <v>0</v>
      </c>
      <c r="Q77" s="128">
        <f t="shared" si="7"/>
        <v>264497.60000000003</v>
      </c>
    </row>
    <row r="78" spans="1:17" hidden="1">
      <c r="A78" s="113"/>
      <c r="B78" s="128"/>
      <c r="C78" s="129"/>
      <c r="D78" s="130"/>
      <c r="E78" s="129"/>
      <c r="F78" s="130"/>
      <c r="G78" s="129"/>
      <c r="H78" s="1075"/>
      <c r="I78" s="1074"/>
      <c r="J78" s="1075"/>
      <c r="K78" s="129"/>
      <c r="L78" s="130"/>
      <c r="M78" s="1"/>
      <c r="N78" s="129"/>
      <c r="O78" s="130"/>
      <c r="P78" s="1">
        <f t="shared" si="0"/>
        <v>0</v>
      </c>
      <c r="Q78" s="128"/>
    </row>
    <row r="79" spans="1:17" hidden="1">
      <c r="A79" s="113" t="s">
        <v>58</v>
      </c>
      <c r="B79" s="128">
        <v>1291.5</v>
      </c>
      <c r="C79" s="129">
        <v>127598.1</v>
      </c>
      <c r="D79" s="130">
        <v>689.8</v>
      </c>
      <c r="E79" s="129">
        <v>275503.90000000002</v>
      </c>
      <c r="F79" s="130">
        <f t="shared" ref="F79:F90" si="8">SUM(B79:E79)</f>
        <v>405083.30000000005</v>
      </c>
      <c r="G79" s="129">
        <v>2905.9</v>
      </c>
      <c r="H79" s="1075">
        <f t="shared" si="2"/>
        <v>407989.20000000007</v>
      </c>
      <c r="I79" s="133">
        <v>254946.7</v>
      </c>
      <c r="J79" s="1075">
        <f t="shared" si="3"/>
        <v>153042.50000000006</v>
      </c>
      <c r="K79" s="129">
        <v>153536.5</v>
      </c>
      <c r="L79" s="130">
        <v>35732.400000000009</v>
      </c>
      <c r="M79" s="1">
        <f t="shared" si="5"/>
        <v>117804.09999999999</v>
      </c>
      <c r="N79" s="129"/>
      <c r="O79" s="130"/>
      <c r="P79" s="1">
        <f t="shared" si="0"/>
        <v>0</v>
      </c>
      <c r="Q79" s="128">
        <f t="shared" ref="Q79:Q89" si="9">SUM(J79,M79)</f>
        <v>270846.60000000003</v>
      </c>
    </row>
    <row r="80" spans="1:17" hidden="1">
      <c r="A80" s="113" t="s">
        <v>40</v>
      </c>
      <c r="B80" s="128">
        <v>1318.4</v>
      </c>
      <c r="C80" s="129">
        <v>125359.6</v>
      </c>
      <c r="D80" s="130">
        <v>677.7</v>
      </c>
      <c r="E80" s="129">
        <v>280367.2</v>
      </c>
      <c r="F80" s="130">
        <f t="shared" si="8"/>
        <v>407722.9</v>
      </c>
      <c r="G80" s="129">
        <v>4287.2000000000007</v>
      </c>
      <c r="H80" s="1075">
        <f t="shared" si="2"/>
        <v>412010.10000000003</v>
      </c>
      <c r="I80" s="133">
        <v>261782.6</v>
      </c>
      <c r="J80" s="1075">
        <f t="shared" si="3"/>
        <v>150227.50000000003</v>
      </c>
      <c r="K80" s="129">
        <v>157687.9</v>
      </c>
      <c r="L80" s="130">
        <v>35653.4</v>
      </c>
      <c r="M80" s="1">
        <f t="shared" si="5"/>
        <v>122034.5</v>
      </c>
      <c r="N80" s="129"/>
      <c r="O80" s="130"/>
      <c r="P80" s="1">
        <f t="shared" si="0"/>
        <v>0</v>
      </c>
      <c r="Q80" s="128">
        <f t="shared" si="9"/>
        <v>272262</v>
      </c>
    </row>
    <row r="81" spans="1:17" hidden="1">
      <c r="A81" s="113" t="s">
        <v>41</v>
      </c>
      <c r="B81" s="128">
        <v>1314.8</v>
      </c>
      <c r="C81" s="129">
        <v>124553.9</v>
      </c>
      <c r="D81" s="130">
        <v>673.3</v>
      </c>
      <c r="E81" s="129">
        <v>265831</v>
      </c>
      <c r="F81" s="130">
        <f t="shared" si="8"/>
        <v>392373</v>
      </c>
      <c r="G81" s="129">
        <v>4171.5</v>
      </c>
      <c r="H81" s="1075">
        <f t="shared" si="2"/>
        <v>396544.5</v>
      </c>
      <c r="I81" s="133">
        <v>260330.80000000002</v>
      </c>
      <c r="J81" s="1075">
        <f t="shared" si="3"/>
        <v>136213.69999999998</v>
      </c>
      <c r="K81" s="129">
        <v>155722.80000000005</v>
      </c>
      <c r="L81" s="130">
        <v>33546.700000000004</v>
      </c>
      <c r="M81" s="1">
        <f t="shared" si="5"/>
        <v>122176.10000000003</v>
      </c>
      <c r="N81" s="129"/>
      <c r="O81" s="130"/>
      <c r="P81" s="1">
        <f t="shared" si="0"/>
        <v>0</v>
      </c>
      <c r="Q81" s="128">
        <f t="shared" si="9"/>
        <v>258389.80000000002</v>
      </c>
    </row>
    <row r="82" spans="1:17" hidden="1">
      <c r="A82" s="113" t="s">
        <v>42</v>
      </c>
      <c r="B82" s="128">
        <v>1392.6</v>
      </c>
      <c r="C82" s="129">
        <v>123646.7</v>
      </c>
      <c r="D82" s="130">
        <v>668.4</v>
      </c>
      <c r="E82" s="129">
        <v>252588.50000000003</v>
      </c>
      <c r="F82" s="130">
        <f t="shared" si="8"/>
        <v>378296.2</v>
      </c>
      <c r="G82" s="129">
        <v>4343.3999999999996</v>
      </c>
      <c r="H82" s="1075">
        <f t="shared" si="2"/>
        <v>382639.60000000003</v>
      </c>
      <c r="I82" s="133">
        <v>257699.40000000002</v>
      </c>
      <c r="J82" s="1075">
        <f t="shared" si="3"/>
        <v>124940.20000000001</v>
      </c>
      <c r="K82" s="129">
        <v>148851.90000000002</v>
      </c>
      <c r="L82" s="130">
        <v>40011.5</v>
      </c>
      <c r="M82" s="1">
        <f t="shared" si="5"/>
        <v>108840.40000000002</v>
      </c>
      <c r="N82" s="129"/>
      <c r="O82" s="130"/>
      <c r="P82" s="1">
        <f t="shared" si="0"/>
        <v>0</v>
      </c>
      <c r="Q82" s="128">
        <f t="shared" si="9"/>
        <v>233780.60000000003</v>
      </c>
    </row>
    <row r="83" spans="1:17" hidden="1">
      <c r="A83" s="113" t="s">
        <v>43</v>
      </c>
      <c r="B83" s="128">
        <v>1440.2</v>
      </c>
      <c r="C83" s="129">
        <v>120848.9</v>
      </c>
      <c r="D83" s="130">
        <v>653.4</v>
      </c>
      <c r="E83" s="129">
        <v>235306.59999999998</v>
      </c>
      <c r="F83" s="130">
        <f t="shared" si="8"/>
        <v>358249.1</v>
      </c>
      <c r="G83" s="129">
        <v>4183.5</v>
      </c>
      <c r="H83" s="1075">
        <f t="shared" si="2"/>
        <v>362432.6</v>
      </c>
      <c r="I83" s="133">
        <v>251894.59999999998</v>
      </c>
      <c r="J83" s="1075">
        <f t="shared" si="3"/>
        <v>110538</v>
      </c>
      <c r="K83" s="129">
        <v>136564.19999999998</v>
      </c>
      <c r="L83" s="130">
        <v>35952.400000000001</v>
      </c>
      <c r="M83" s="1">
        <f t="shared" si="5"/>
        <v>100611.79999999999</v>
      </c>
      <c r="N83" s="129"/>
      <c r="O83" s="130"/>
      <c r="P83" s="1">
        <f t="shared" si="0"/>
        <v>0</v>
      </c>
      <c r="Q83" s="128">
        <f t="shared" si="9"/>
        <v>211149.8</v>
      </c>
    </row>
    <row r="84" spans="1:17" hidden="1">
      <c r="A84" s="113" t="s">
        <v>44</v>
      </c>
      <c r="B84" s="128">
        <v>1475</v>
      </c>
      <c r="C84" s="129">
        <v>120972.7</v>
      </c>
      <c r="D84" s="130">
        <v>654</v>
      </c>
      <c r="E84" s="129">
        <v>219261.3</v>
      </c>
      <c r="F84" s="130">
        <f t="shared" si="8"/>
        <v>342363</v>
      </c>
      <c r="G84" s="129">
        <v>3896.1000000000004</v>
      </c>
      <c r="H84" s="1075">
        <f t="shared" si="2"/>
        <v>346259.1</v>
      </c>
      <c r="I84" s="133">
        <v>252121.1</v>
      </c>
      <c r="J84" s="1075">
        <f t="shared" si="3"/>
        <v>94137.999999999971</v>
      </c>
      <c r="K84" s="129">
        <v>139243.59999999998</v>
      </c>
      <c r="L84" s="130">
        <v>37032.600000000006</v>
      </c>
      <c r="M84" s="1">
        <f t="shared" si="5"/>
        <v>102210.99999999997</v>
      </c>
      <c r="N84" s="129"/>
      <c r="O84" s="130"/>
      <c r="P84" s="1">
        <f t="shared" si="0"/>
        <v>0</v>
      </c>
      <c r="Q84" s="128">
        <f t="shared" si="9"/>
        <v>196348.99999999994</v>
      </c>
    </row>
    <row r="85" spans="1:17" hidden="1">
      <c r="A85" s="113" t="s">
        <v>45</v>
      </c>
      <c r="B85" s="128">
        <v>1390.5</v>
      </c>
      <c r="C85" s="129">
        <v>124796.9</v>
      </c>
      <c r="D85" s="130">
        <v>674.8</v>
      </c>
      <c r="E85" s="129">
        <v>221202.6</v>
      </c>
      <c r="F85" s="130">
        <f t="shared" si="8"/>
        <v>348064.8</v>
      </c>
      <c r="G85" s="129">
        <v>3963.1000000000004</v>
      </c>
      <c r="H85" s="1075">
        <f t="shared" si="2"/>
        <v>352027.89999999997</v>
      </c>
      <c r="I85" s="133">
        <v>260288</v>
      </c>
      <c r="J85" s="1075">
        <f t="shared" si="3"/>
        <v>91739.899999999965</v>
      </c>
      <c r="K85" s="129">
        <v>148565.79999999999</v>
      </c>
      <c r="L85" s="130">
        <v>39069.899999999994</v>
      </c>
      <c r="M85" s="1">
        <f t="shared" si="5"/>
        <v>109495.9</v>
      </c>
      <c r="N85" s="129"/>
      <c r="O85" s="130"/>
      <c r="P85" s="1">
        <f t="shared" si="0"/>
        <v>0</v>
      </c>
      <c r="Q85" s="128">
        <f t="shared" si="9"/>
        <v>201235.79999999996</v>
      </c>
    </row>
    <row r="86" spans="1:17" hidden="1">
      <c r="A86" s="113" t="s">
        <v>46</v>
      </c>
      <c r="B86" s="128">
        <v>1469.3</v>
      </c>
      <c r="C86" s="129">
        <v>136021.1</v>
      </c>
      <c r="D86" s="130">
        <v>669.2</v>
      </c>
      <c r="E86" s="129">
        <v>211068.09999999998</v>
      </c>
      <c r="F86" s="130">
        <f t="shared" si="8"/>
        <v>349227.69999999995</v>
      </c>
      <c r="G86" s="129">
        <v>5042.3999999999996</v>
      </c>
      <c r="H86" s="1075">
        <f t="shared" si="2"/>
        <v>354270.1</v>
      </c>
      <c r="I86" s="133">
        <v>270617.09999999998</v>
      </c>
      <c r="J86" s="1075">
        <f t="shared" si="3"/>
        <v>83653</v>
      </c>
      <c r="K86" s="129">
        <v>137763</v>
      </c>
      <c r="L86" s="130">
        <v>36289.300000000003</v>
      </c>
      <c r="M86" s="1">
        <f t="shared" si="5"/>
        <v>101473.7</v>
      </c>
      <c r="N86" s="129"/>
      <c r="O86" s="130"/>
      <c r="P86" s="1">
        <f t="shared" si="0"/>
        <v>0</v>
      </c>
      <c r="Q86" s="128">
        <f t="shared" si="9"/>
        <v>185126.7</v>
      </c>
    </row>
    <row r="87" spans="1:17" hidden="1">
      <c r="A87" s="113" t="s">
        <v>47</v>
      </c>
      <c r="B87" s="128">
        <v>1555</v>
      </c>
      <c r="C87" s="129">
        <v>139909.4</v>
      </c>
      <c r="D87" s="130">
        <v>688.3</v>
      </c>
      <c r="E87" s="129">
        <v>200071.4</v>
      </c>
      <c r="F87" s="130">
        <f t="shared" si="8"/>
        <v>342224.1</v>
      </c>
      <c r="G87" s="129">
        <v>6532.7999999999993</v>
      </c>
      <c r="H87" s="1075">
        <f t="shared" si="2"/>
        <v>348756.89999999997</v>
      </c>
      <c r="I87" s="133">
        <v>279209.8</v>
      </c>
      <c r="J87" s="1075">
        <f t="shared" si="3"/>
        <v>69547.099999999977</v>
      </c>
      <c r="K87" s="129">
        <v>135528.9</v>
      </c>
      <c r="L87" s="130">
        <v>37379.599999999999</v>
      </c>
      <c r="M87" s="1">
        <f t="shared" si="5"/>
        <v>98149.299999999988</v>
      </c>
      <c r="N87" s="129"/>
      <c r="O87" s="130"/>
      <c r="P87" s="1">
        <f t="shared" si="0"/>
        <v>0</v>
      </c>
      <c r="Q87" s="128">
        <f t="shared" si="9"/>
        <v>167696.39999999997</v>
      </c>
    </row>
    <row r="88" spans="1:17" hidden="1">
      <c r="A88" s="113" t="s">
        <v>48</v>
      </c>
      <c r="B88" s="128">
        <v>1593.5</v>
      </c>
      <c r="C88" s="129">
        <v>141490.79999999999</v>
      </c>
      <c r="D88" s="130">
        <v>698.7</v>
      </c>
      <c r="E88" s="129">
        <v>196503</v>
      </c>
      <c r="F88" s="130">
        <f t="shared" si="8"/>
        <v>340286</v>
      </c>
      <c r="G88" s="129">
        <v>7493.4</v>
      </c>
      <c r="H88" s="1075">
        <f t="shared" si="2"/>
        <v>347779.4</v>
      </c>
      <c r="I88" s="133">
        <v>281295.59999999998</v>
      </c>
      <c r="J88" s="1075">
        <f t="shared" si="3"/>
        <v>66483.800000000047</v>
      </c>
      <c r="K88" s="129">
        <v>148423.1</v>
      </c>
      <c r="L88" s="130">
        <v>40353.199999999997</v>
      </c>
      <c r="M88" s="1">
        <f t="shared" si="5"/>
        <v>108069.90000000001</v>
      </c>
      <c r="N88" s="129"/>
      <c r="O88" s="130"/>
      <c r="P88" s="1">
        <f t="shared" si="0"/>
        <v>0</v>
      </c>
      <c r="Q88" s="128">
        <f t="shared" si="9"/>
        <v>174553.70000000007</v>
      </c>
    </row>
    <row r="89" spans="1:17" hidden="1">
      <c r="A89" s="113" t="s">
        <v>49</v>
      </c>
      <c r="B89" s="128">
        <v>1624.7</v>
      </c>
      <c r="C89" s="129">
        <v>138203.1</v>
      </c>
      <c r="D89" s="130">
        <v>682.5</v>
      </c>
      <c r="E89" s="129">
        <v>201049</v>
      </c>
      <c r="F89" s="130">
        <f t="shared" si="8"/>
        <v>341559.30000000005</v>
      </c>
      <c r="G89" s="129">
        <v>7640</v>
      </c>
      <c r="H89" s="1075">
        <f t="shared" si="2"/>
        <v>349199.30000000005</v>
      </c>
      <c r="I89" s="133">
        <v>274549</v>
      </c>
      <c r="J89" s="1075">
        <f t="shared" si="3"/>
        <v>74650.300000000047</v>
      </c>
      <c r="K89" s="129">
        <v>150072.59999999998</v>
      </c>
      <c r="L89" s="130">
        <v>46726.1</v>
      </c>
      <c r="M89" s="1">
        <f t="shared" si="5"/>
        <v>103346.49999999997</v>
      </c>
      <c r="N89" s="129"/>
      <c r="O89" s="130"/>
      <c r="P89" s="1">
        <f t="shared" si="0"/>
        <v>0</v>
      </c>
      <c r="Q89" s="128">
        <f t="shared" si="9"/>
        <v>177996.80000000002</v>
      </c>
    </row>
    <row r="90" spans="1:17" hidden="1">
      <c r="A90" s="113" t="s">
        <v>50</v>
      </c>
      <c r="B90" s="128">
        <v>1678.2</v>
      </c>
      <c r="C90" s="129">
        <v>139030.6</v>
      </c>
      <c r="D90" s="130">
        <v>686.7</v>
      </c>
      <c r="E90" s="129">
        <v>268109.8</v>
      </c>
      <c r="F90" s="130">
        <f t="shared" si="8"/>
        <v>409505.30000000005</v>
      </c>
      <c r="G90" s="129">
        <v>8766.9</v>
      </c>
      <c r="H90" s="1075">
        <f t="shared" si="2"/>
        <v>418272.20000000007</v>
      </c>
      <c r="I90" s="133">
        <v>276658.60000000003</v>
      </c>
      <c r="J90" s="1075">
        <f t="shared" si="3"/>
        <v>141613.60000000003</v>
      </c>
      <c r="K90" s="129">
        <v>162923</v>
      </c>
      <c r="L90" s="130">
        <v>50485.599999999991</v>
      </c>
      <c r="M90" s="1">
        <f t="shared" si="5"/>
        <v>112437.40000000001</v>
      </c>
      <c r="N90" s="129">
        <v>0</v>
      </c>
      <c r="O90" s="130">
        <v>0</v>
      </c>
      <c r="P90" s="1">
        <f>N90-O90</f>
        <v>0</v>
      </c>
      <c r="Q90" s="128">
        <f>SUM(J90,M90,P90)</f>
        <v>254051.00000000006</v>
      </c>
    </row>
    <row r="91" spans="1:17" hidden="1">
      <c r="A91" s="113"/>
      <c r="B91" s="128"/>
      <c r="C91" s="129"/>
      <c r="D91" s="130"/>
      <c r="E91" s="129"/>
      <c r="F91" s="130"/>
      <c r="G91" s="129"/>
      <c r="H91" s="1075"/>
      <c r="I91" s="133"/>
      <c r="J91" s="1075"/>
      <c r="K91" s="129"/>
      <c r="L91" s="130"/>
      <c r="M91" s="1"/>
      <c r="N91" s="129"/>
      <c r="O91" s="130"/>
      <c r="P91" s="1"/>
      <c r="Q91" s="128"/>
    </row>
    <row r="92" spans="1:17" hidden="1">
      <c r="A92" s="113" t="s">
        <v>57</v>
      </c>
      <c r="B92" s="128">
        <v>1592.8</v>
      </c>
      <c r="C92" s="129">
        <v>141347.70000000001</v>
      </c>
      <c r="D92" s="130">
        <v>692.9</v>
      </c>
      <c r="E92" s="129">
        <v>258807.2</v>
      </c>
      <c r="F92" s="130">
        <f t="shared" ref="F92:F103" si="10">SUM(B92:E92)</f>
        <v>402440.6</v>
      </c>
      <c r="G92" s="129">
        <v>10593.4</v>
      </c>
      <c r="H92" s="1075">
        <f t="shared" si="2"/>
        <v>413034</v>
      </c>
      <c r="I92" s="133">
        <v>281587.09999999998</v>
      </c>
      <c r="J92" s="1075">
        <f t="shared" si="3"/>
        <v>131446.90000000002</v>
      </c>
      <c r="K92" s="129">
        <v>152646.00000000003</v>
      </c>
      <c r="L92" s="130">
        <v>44614.499999999993</v>
      </c>
      <c r="M92" s="1">
        <f t="shared" si="5"/>
        <v>108031.50000000003</v>
      </c>
      <c r="N92" s="129">
        <v>0</v>
      </c>
      <c r="O92" s="130">
        <v>0</v>
      </c>
      <c r="P92" s="1">
        <f t="shared" ref="P92:P116" si="11">N92-O92</f>
        <v>0</v>
      </c>
      <c r="Q92" s="128">
        <f t="shared" ref="Q92:Q160" si="12">SUM(J92,M92,P92)</f>
        <v>239478.40000000005</v>
      </c>
    </row>
    <row r="93" spans="1:17" hidden="1">
      <c r="A93" s="113" t="s">
        <v>40</v>
      </c>
      <c r="B93" s="128">
        <v>1678.2</v>
      </c>
      <c r="C93" s="129">
        <v>140620</v>
      </c>
      <c r="D93" s="130">
        <v>694.5</v>
      </c>
      <c r="E93" s="129">
        <v>283349.7</v>
      </c>
      <c r="F93" s="130">
        <f t="shared" si="10"/>
        <v>426342.40000000002</v>
      </c>
      <c r="G93" s="129">
        <v>11586.4</v>
      </c>
      <c r="H93" s="1075">
        <f t="shared" si="2"/>
        <v>437928.80000000005</v>
      </c>
      <c r="I93" s="133">
        <v>281664.40000000002</v>
      </c>
      <c r="J93" s="1075">
        <f t="shared" si="3"/>
        <v>156264.40000000002</v>
      </c>
      <c r="K93" s="129">
        <v>149996.80000000002</v>
      </c>
      <c r="L93" s="130">
        <v>49423.19999999999</v>
      </c>
      <c r="M93" s="1">
        <f t="shared" si="5"/>
        <v>100573.60000000003</v>
      </c>
      <c r="N93" s="129">
        <v>0</v>
      </c>
      <c r="O93" s="130">
        <v>0</v>
      </c>
      <c r="P93" s="1">
        <f t="shared" si="11"/>
        <v>0</v>
      </c>
      <c r="Q93" s="128">
        <f t="shared" si="12"/>
        <v>256838.00000000006</v>
      </c>
    </row>
    <row r="94" spans="1:17" hidden="1">
      <c r="A94" s="113" t="s">
        <v>41</v>
      </c>
      <c r="B94" s="128">
        <v>1704.1</v>
      </c>
      <c r="C94" s="129">
        <v>141665.1</v>
      </c>
      <c r="D94" s="130">
        <v>699.7</v>
      </c>
      <c r="E94" s="129">
        <v>271744.2</v>
      </c>
      <c r="F94" s="130">
        <f t="shared" si="10"/>
        <v>415813.10000000003</v>
      </c>
      <c r="G94" s="129">
        <v>10815.5</v>
      </c>
      <c r="H94" s="1075">
        <f t="shared" si="2"/>
        <v>426628.60000000003</v>
      </c>
      <c r="I94" s="133">
        <v>283289.5</v>
      </c>
      <c r="J94" s="1075">
        <f t="shared" si="3"/>
        <v>143339.10000000003</v>
      </c>
      <c r="K94" s="129">
        <v>143485.69999999995</v>
      </c>
      <c r="L94" s="130">
        <v>39002.5</v>
      </c>
      <c r="M94" s="1">
        <f t="shared" si="5"/>
        <v>104483.19999999995</v>
      </c>
      <c r="N94" s="129">
        <v>0</v>
      </c>
      <c r="O94" s="130">
        <v>0</v>
      </c>
      <c r="P94" s="1">
        <f t="shared" si="11"/>
        <v>0</v>
      </c>
      <c r="Q94" s="128">
        <f t="shared" si="12"/>
        <v>247822.3</v>
      </c>
    </row>
    <row r="95" spans="1:17" hidden="1">
      <c r="A95" s="113" t="s">
        <v>42</v>
      </c>
      <c r="B95" s="128">
        <v>1853.9</v>
      </c>
      <c r="C95" s="129">
        <v>158675.70000000001</v>
      </c>
      <c r="D95" s="130">
        <v>722.6</v>
      </c>
      <c r="E95" s="129">
        <v>284505.59999999998</v>
      </c>
      <c r="F95" s="130">
        <f t="shared" si="10"/>
        <v>445757.8</v>
      </c>
      <c r="G95" s="129">
        <v>9926.6</v>
      </c>
      <c r="H95" s="1075">
        <f t="shared" si="2"/>
        <v>455684.39999999997</v>
      </c>
      <c r="I95" s="133">
        <v>304102.80000000005</v>
      </c>
      <c r="J95" s="1075">
        <f t="shared" si="3"/>
        <v>151581.59999999992</v>
      </c>
      <c r="K95" s="129">
        <v>142072.69999999998</v>
      </c>
      <c r="L95" s="130">
        <v>43570.299999999996</v>
      </c>
      <c r="M95" s="1">
        <f t="shared" si="5"/>
        <v>98502.399999999994</v>
      </c>
      <c r="N95" s="129">
        <v>0</v>
      </c>
      <c r="O95" s="130">
        <v>0</v>
      </c>
      <c r="P95" s="1">
        <f t="shared" si="11"/>
        <v>0</v>
      </c>
      <c r="Q95" s="128">
        <f t="shared" si="12"/>
        <v>250083.99999999991</v>
      </c>
    </row>
    <row r="96" spans="1:17" hidden="1">
      <c r="A96" s="113" t="s">
        <v>43</v>
      </c>
      <c r="B96" s="128">
        <v>1842.5</v>
      </c>
      <c r="C96" s="129">
        <v>156290.6</v>
      </c>
      <c r="D96" s="130">
        <v>711.7</v>
      </c>
      <c r="E96" s="129">
        <v>277304.5</v>
      </c>
      <c r="F96" s="130">
        <f t="shared" si="10"/>
        <v>436149.30000000005</v>
      </c>
      <c r="G96" s="129">
        <v>8461.9</v>
      </c>
      <c r="H96" s="1075">
        <f t="shared" si="2"/>
        <v>444611.20000000007</v>
      </c>
      <c r="I96" s="133">
        <v>299175.7</v>
      </c>
      <c r="J96" s="1075">
        <f t="shared" si="3"/>
        <v>145435.50000000006</v>
      </c>
      <c r="K96" s="129">
        <v>136429.60000000003</v>
      </c>
      <c r="L96" s="130">
        <v>41594.699999999997</v>
      </c>
      <c r="M96" s="1">
        <f t="shared" si="5"/>
        <v>94834.900000000038</v>
      </c>
      <c r="N96" s="129">
        <v>0</v>
      </c>
      <c r="O96" s="130">
        <v>0</v>
      </c>
      <c r="P96" s="1">
        <f t="shared" si="11"/>
        <v>0</v>
      </c>
      <c r="Q96" s="128">
        <f t="shared" si="12"/>
        <v>240270.40000000008</v>
      </c>
    </row>
    <row r="97" spans="1:18" hidden="1">
      <c r="A97" s="113" t="s">
        <v>44</v>
      </c>
      <c r="B97" s="128">
        <v>1816.6</v>
      </c>
      <c r="C97" s="129">
        <v>157079.9</v>
      </c>
      <c r="D97" s="130">
        <v>715.3</v>
      </c>
      <c r="E97" s="129">
        <v>268057.40000000002</v>
      </c>
      <c r="F97" s="130">
        <f t="shared" si="10"/>
        <v>427669.2</v>
      </c>
      <c r="G97" s="129">
        <v>6572.7999999999993</v>
      </c>
      <c r="H97" s="1075">
        <f t="shared" si="2"/>
        <v>434242</v>
      </c>
      <c r="I97" s="133">
        <v>300858.90000000002</v>
      </c>
      <c r="J97" s="1075">
        <f t="shared" si="3"/>
        <v>133383.09999999998</v>
      </c>
      <c r="K97" s="129">
        <v>129712.2</v>
      </c>
      <c r="L97" s="130">
        <v>39056.400000000001</v>
      </c>
      <c r="M97" s="1">
        <f t="shared" si="5"/>
        <v>90655.799999999988</v>
      </c>
      <c r="N97" s="129">
        <v>0</v>
      </c>
      <c r="O97" s="130">
        <v>0</v>
      </c>
      <c r="P97" s="1">
        <f t="shared" si="11"/>
        <v>0</v>
      </c>
      <c r="Q97" s="128">
        <f t="shared" si="12"/>
        <v>224038.89999999997</v>
      </c>
    </row>
    <row r="98" spans="1:18" hidden="1">
      <c r="A98" s="113" t="s">
        <v>45</v>
      </c>
      <c r="B98" s="128">
        <v>1948.9</v>
      </c>
      <c r="C98" s="129">
        <v>171537.2</v>
      </c>
      <c r="D98" s="130">
        <v>721</v>
      </c>
      <c r="E98" s="129">
        <v>256308.99999999997</v>
      </c>
      <c r="F98" s="130">
        <f t="shared" si="10"/>
        <v>430516.1</v>
      </c>
      <c r="G98" s="129">
        <v>6457.4</v>
      </c>
      <c r="H98" s="1075">
        <f t="shared" si="2"/>
        <v>436973.5</v>
      </c>
      <c r="I98" s="133">
        <v>316978.40000000002</v>
      </c>
      <c r="J98" s="1075">
        <f t="shared" si="3"/>
        <v>119995.09999999998</v>
      </c>
      <c r="K98" s="129">
        <v>136658.50000000003</v>
      </c>
      <c r="L98" s="130">
        <v>42413.599999999999</v>
      </c>
      <c r="M98" s="1">
        <f t="shared" si="5"/>
        <v>94244.900000000023</v>
      </c>
      <c r="N98" s="129">
        <v>0</v>
      </c>
      <c r="O98" s="130">
        <v>0</v>
      </c>
      <c r="P98" s="1">
        <f t="shared" si="11"/>
        <v>0</v>
      </c>
      <c r="Q98" s="128">
        <f t="shared" si="12"/>
        <v>214240</v>
      </c>
    </row>
    <row r="99" spans="1:18" hidden="1">
      <c r="A99" s="113" t="s">
        <v>46</v>
      </c>
      <c r="B99" s="128">
        <v>2231.9</v>
      </c>
      <c r="C99" s="129">
        <v>172119.9</v>
      </c>
      <c r="D99" s="130">
        <v>729.5</v>
      </c>
      <c r="E99" s="129">
        <v>238971.10000000003</v>
      </c>
      <c r="F99" s="130">
        <f t="shared" si="10"/>
        <v>414052.4</v>
      </c>
      <c r="G99" s="129">
        <v>6040.5</v>
      </c>
      <c r="H99" s="1075">
        <f t="shared" si="2"/>
        <v>420092.9</v>
      </c>
      <c r="I99" s="133">
        <v>319000</v>
      </c>
      <c r="J99" s="1075">
        <f t="shared" si="3"/>
        <v>101092.90000000002</v>
      </c>
      <c r="K99" s="129">
        <v>137401.50000000003</v>
      </c>
      <c r="L99" s="130">
        <v>41757.4</v>
      </c>
      <c r="M99" s="1">
        <f t="shared" si="5"/>
        <v>95644.100000000035</v>
      </c>
      <c r="N99" s="129">
        <v>0</v>
      </c>
      <c r="O99" s="130">
        <v>0</v>
      </c>
      <c r="P99" s="1">
        <f t="shared" si="11"/>
        <v>0</v>
      </c>
      <c r="Q99" s="128">
        <f t="shared" si="12"/>
        <v>196737.00000000006</v>
      </c>
    </row>
    <row r="100" spans="1:18" hidden="1">
      <c r="A100" s="113" t="s">
        <v>47</v>
      </c>
      <c r="B100" s="128">
        <v>2001.3</v>
      </c>
      <c r="C100" s="129">
        <v>169415.7</v>
      </c>
      <c r="D100" s="130">
        <v>718</v>
      </c>
      <c r="E100" s="129">
        <v>216623.7</v>
      </c>
      <c r="F100" s="130">
        <f t="shared" si="10"/>
        <v>388758.7</v>
      </c>
      <c r="G100" s="129">
        <v>6131.6</v>
      </c>
      <c r="H100" s="1075">
        <f t="shared" si="2"/>
        <v>394890.3</v>
      </c>
      <c r="I100" s="133">
        <v>313648.90000000002</v>
      </c>
      <c r="J100" s="1075">
        <f t="shared" si="3"/>
        <v>81241.399999999965</v>
      </c>
      <c r="K100" s="129">
        <v>129686.30000000002</v>
      </c>
      <c r="L100" s="130">
        <v>41451.9</v>
      </c>
      <c r="M100" s="1">
        <f t="shared" si="5"/>
        <v>88234.400000000023</v>
      </c>
      <c r="N100" s="129">
        <v>0</v>
      </c>
      <c r="O100" s="130">
        <v>0</v>
      </c>
      <c r="P100" s="1">
        <f t="shared" si="11"/>
        <v>0</v>
      </c>
      <c r="Q100" s="128">
        <f t="shared" si="12"/>
        <v>169475.8</v>
      </c>
    </row>
    <row r="101" spans="1:18" hidden="1">
      <c r="A101" s="113" t="s">
        <v>48</v>
      </c>
      <c r="B101" s="128">
        <v>2136.1999999999998</v>
      </c>
      <c r="C101" s="129">
        <v>175588.7</v>
      </c>
      <c r="D101" s="130">
        <v>744.2</v>
      </c>
      <c r="E101" s="129">
        <v>203143.3</v>
      </c>
      <c r="F101" s="130">
        <f t="shared" si="10"/>
        <v>381612.4</v>
      </c>
      <c r="G101" s="129">
        <v>6997.2999999999993</v>
      </c>
      <c r="H101" s="1075">
        <f t="shared" si="2"/>
        <v>388609.7</v>
      </c>
      <c r="I101" s="133">
        <v>327004.7</v>
      </c>
      <c r="J101" s="1075">
        <f t="shared" si="3"/>
        <v>61605</v>
      </c>
      <c r="K101" s="129">
        <v>138503.9</v>
      </c>
      <c r="L101" s="130">
        <v>46518.7</v>
      </c>
      <c r="M101" s="1">
        <f t="shared" si="5"/>
        <v>91985.2</v>
      </c>
      <c r="N101" s="129">
        <v>0</v>
      </c>
      <c r="O101" s="130">
        <v>0</v>
      </c>
      <c r="P101" s="1">
        <f t="shared" si="11"/>
        <v>0</v>
      </c>
      <c r="Q101" s="128">
        <f t="shared" si="12"/>
        <v>153590.20000000001</v>
      </c>
      <c r="R101" s="145"/>
    </row>
    <row r="102" spans="1:18" hidden="1">
      <c r="A102" s="113" t="s">
        <v>49</v>
      </c>
      <c r="B102" s="128">
        <v>2215.6999999999998</v>
      </c>
      <c r="C102" s="129">
        <v>175988.7</v>
      </c>
      <c r="D102" s="130">
        <v>745.8</v>
      </c>
      <c r="E102" s="129">
        <v>199719.9</v>
      </c>
      <c r="F102" s="130">
        <f t="shared" si="10"/>
        <v>378670.1</v>
      </c>
      <c r="G102" s="129">
        <v>9353.5</v>
      </c>
      <c r="H102" s="1075">
        <f t="shared" si="2"/>
        <v>388023.6</v>
      </c>
      <c r="I102" s="133">
        <v>328313.3</v>
      </c>
      <c r="J102" s="1075">
        <f t="shared" si="3"/>
        <v>59710.299999999988</v>
      </c>
      <c r="K102" s="129">
        <v>156380.9</v>
      </c>
      <c r="L102" s="130">
        <v>54902.900000000009</v>
      </c>
      <c r="M102" s="1">
        <f t="shared" si="5"/>
        <v>101477.99999999999</v>
      </c>
      <c r="N102" s="129">
        <v>0</v>
      </c>
      <c r="O102" s="130">
        <v>0</v>
      </c>
      <c r="P102" s="1">
        <f t="shared" si="11"/>
        <v>0</v>
      </c>
      <c r="Q102" s="128">
        <f t="shared" si="12"/>
        <v>161188.29999999999</v>
      </c>
    </row>
    <row r="103" spans="1:18" hidden="1">
      <c r="A103" s="113" t="s">
        <v>50</v>
      </c>
      <c r="B103" s="128">
        <v>2045.5</v>
      </c>
      <c r="C103" s="129">
        <v>164634.5</v>
      </c>
      <c r="D103" s="130">
        <v>750.6</v>
      </c>
      <c r="E103" s="129">
        <v>235199.30000000002</v>
      </c>
      <c r="F103" s="130">
        <f t="shared" si="10"/>
        <v>402629.9</v>
      </c>
      <c r="G103" s="129">
        <v>10113.9</v>
      </c>
      <c r="H103" s="1075">
        <f t="shared" si="2"/>
        <v>412743.80000000005</v>
      </c>
      <c r="I103" s="133">
        <v>330449.80000000005</v>
      </c>
      <c r="J103" s="1075">
        <f t="shared" si="3"/>
        <v>82294</v>
      </c>
      <c r="K103" s="129">
        <v>173267.6</v>
      </c>
      <c r="L103" s="130">
        <v>50036.000000000007</v>
      </c>
      <c r="M103" s="1">
        <f t="shared" si="5"/>
        <v>123231.6</v>
      </c>
      <c r="N103" s="129">
        <v>0</v>
      </c>
      <c r="O103" s="130">
        <v>0</v>
      </c>
      <c r="P103" s="1">
        <f t="shared" si="11"/>
        <v>0</v>
      </c>
      <c r="Q103" s="128">
        <f t="shared" si="12"/>
        <v>205525.6</v>
      </c>
    </row>
    <row r="104" spans="1:18" hidden="1">
      <c r="A104" s="113"/>
      <c r="B104" s="128"/>
      <c r="C104" s="129"/>
      <c r="D104" s="130"/>
      <c r="E104" s="129"/>
      <c r="F104" s="130"/>
      <c r="G104" s="129"/>
      <c r="H104" s="1075"/>
      <c r="I104" s="133"/>
      <c r="J104" s="1075"/>
      <c r="K104" s="129"/>
      <c r="L104" s="130"/>
      <c r="M104" s="1"/>
      <c r="N104" s="129"/>
      <c r="O104" s="130"/>
      <c r="P104" s="1"/>
      <c r="Q104" s="128"/>
    </row>
    <row r="105" spans="1:18" hidden="1">
      <c r="A105" s="113" t="s">
        <v>56</v>
      </c>
      <c r="B105" s="128">
        <v>2322.1999999999998</v>
      </c>
      <c r="C105" s="129">
        <v>176671.9</v>
      </c>
      <c r="D105" s="130">
        <v>773.4</v>
      </c>
      <c r="E105" s="129">
        <v>268822.00000000006</v>
      </c>
      <c r="F105" s="130">
        <f t="shared" ref="F105:F116" si="13">SUM(B105:E105)</f>
        <v>448589.50000000006</v>
      </c>
      <c r="G105" s="129">
        <v>11511.4</v>
      </c>
      <c r="H105" s="1075">
        <f t="shared" si="2"/>
        <v>460100.90000000008</v>
      </c>
      <c r="I105" s="133">
        <v>347210.1</v>
      </c>
      <c r="J105" s="1075">
        <f t="shared" si="3"/>
        <v>112890.8000000001</v>
      </c>
      <c r="K105" s="129">
        <v>179393.09999999998</v>
      </c>
      <c r="L105" s="130">
        <v>53883.600000000006</v>
      </c>
      <c r="M105" s="1">
        <f t="shared" si="5"/>
        <v>125509.49999999997</v>
      </c>
      <c r="N105" s="130">
        <v>0</v>
      </c>
      <c r="O105" s="130">
        <v>0</v>
      </c>
      <c r="P105" s="1">
        <f t="shared" si="11"/>
        <v>0</v>
      </c>
      <c r="Q105" s="128">
        <f t="shared" si="12"/>
        <v>238400.30000000008</v>
      </c>
    </row>
    <row r="106" spans="1:18" hidden="1">
      <c r="A106" s="113" t="s">
        <v>40</v>
      </c>
      <c r="B106" s="128">
        <v>2432.3000000000002</v>
      </c>
      <c r="C106" s="129">
        <v>181301.4</v>
      </c>
      <c r="D106" s="130">
        <v>788.1</v>
      </c>
      <c r="E106" s="129">
        <v>259759.40000000002</v>
      </c>
      <c r="F106" s="130">
        <f t="shared" si="13"/>
        <v>444281.2</v>
      </c>
      <c r="G106" s="129">
        <v>8881.7000000000007</v>
      </c>
      <c r="H106" s="1075">
        <f t="shared" si="2"/>
        <v>453162.9</v>
      </c>
      <c r="I106" s="133">
        <v>354739</v>
      </c>
      <c r="J106" s="1075">
        <f t="shared" si="3"/>
        <v>98423.900000000023</v>
      </c>
      <c r="K106" s="129">
        <v>179987.70000000004</v>
      </c>
      <c r="L106" s="130">
        <v>56918.8</v>
      </c>
      <c r="M106" s="1">
        <f t="shared" si="5"/>
        <v>123068.90000000004</v>
      </c>
      <c r="N106" s="130">
        <v>0</v>
      </c>
      <c r="O106" s="130">
        <v>0</v>
      </c>
      <c r="P106" s="1">
        <f>N106-O106</f>
        <v>0</v>
      </c>
      <c r="Q106" s="128">
        <f t="shared" si="12"/>
        <v>221492.80000000005</v>
      </c>
    </row>
    <row r="107" spans="1:18" hidden="1">
      <c r="A107" s="113" t="s">
        <v>41</v>
      </c>
      <c r="B107" s="128">
        <v>2328</v>
      </c>
      <c r="C107" s="129">
        <v>179153.7</v>
      </c>
      <c r="D107" s="130">
        <v>778.8</v>
      </c>
      <c r="E107" s="129">
        <v>228377.30000000002</v>
      </c>
      <c r="F107" s="130">
        <f t="shared" si="13"/>
        <v>410637.80000000005</v>
      </c>
      <c r="G107" s="129">
        <v>8584.6</v>
      </c>
      <c r="H107" s="1075">
        <f t="shared" si="2"/>
        <v>419222.4</v>
      </c>
      <c r="I107" s="133">
        <v>351493.3</v>
      </c>
      <c r="J107" s="1075">
        <f t="shared" si="3"/>
        <v>67729.100000000035</v>
      </c>
      <c r="K107" s="129">
        <v>180705.5</v>
      </c>
      <c r="L107" s="130">
        <v>62213.7</v>
      </c>
      <c r="M107" s="1">
        <f t="shared" si="5"/>
        <v>118491.8</v>
      </c>
      <c r="N107" s="130">
        <v>0</v>
      </c>
      <c r="O107" s="130">
        <v>0</v>
      </c>
      <c r="P107" s="1">
        <f t="shared" si="11"/>
        <v>0</v>
      </c>
      <c r="Q107" s="128">
        <f t="shared" si="12"/>
        <v>186220.90000000002</v>
      </c>
    </row>
    <row r="108" spans="1:18" hidden="1">
      <c r="A108" s="113" t="s">
        <v>42</v>
      </c>
      <c r="B108" s="128">
        <v>2253.6999999999998</v>
      </c>
      <c r="C108" s="129">
        <v>179876.5</v>
      </c>
      <c r="D108" s="130">
        <v>781.9</v>
      </c>
      <c r="E108" s="129">
        <v>219303.5</v>
      </c>
      <c r="F108" s="130">
        <f t="shared" si="13"/>
        <v>402215.6</v>
      </c>
      <c r="G108" s="129">
        <v>7773.1</v>
      </c>
      <c r="H108" s="1075">
        <f t="shared" si="2"/>
        <v>409988.69999999995</v>
      </c>
      <c r="I108" s="133">
        <v>352132.9</v>
      </c>
      <c r="J108" s="1075">
        <f t="shared" si="3"/>
        <v>57855.79999999993</v>
      </c>
      <c r="K108" s="129">
        <v>176724.7</v>
      </c>
      <c r="L108" s="130">
        <v>70689</v>
      </c>
      <c r="M108" s="1">
        <f t="shared" si="5"/>
        <v>106035.70000000001</v>
      </c>
      <c r="N108" s="130">
        <v>0</v>
      </c>
      <c r="O108" s="130">
        <v>0</v>
      </c>
      <c r="P108" s="1">
        <f t="shared" si="11"/>
        <v>0</v>
      </c>
      <c r="Q108" s="128">
        <f t="shared" si="12"/>
        <v>163891.49999999994</v>
      </c>
    </row>
    <row r="109" spans="1:18" hidden="1">
      <c r="A109" s="113" t="s">
        <v>43</v>
      </c>
      <c r="B109" s="128">
        <v>2129.5</v>
      </c>
      <c r="C109" s="129">
        <v>176865.2</v>
      </c>
      <c r="D109" s="130">
        <v>768.8</v>
      </c>
      <c r="E109" s="129">
        <v>220544.19999999998</v>
      </c>
      <c r="F109" s="130">
        <f t="shared" si="13"/>
        <v>400307.69999999995</v>
      </c>
      <c r="G109" s="129">
        <v>6724.2999999999993</v>
      </c>
      <c r="H109" s="1075">
        <f t="shared" si="2"/>
        <v>407031.99999999994</v>
      </c>
      <c r="I109" s="133">
        <v>346496.6</v>
      </c>
      <c r="J109" s="1075">
        <f t="shared" si="3"/>
        <v>60535.399999999965</v>
      </c>
      <c r="K109" s="129">
        <v>151792.70000000001</v>
      </c>
      <c r="L109" s="130">
        <v>68426.7</v>
      </c>
      <c r="M109" s="1">
        <f t="shared" si="5"/>
        <v>83366.000000000015</v>
      </c>
      <c r="N109" s="130">
        <v>0</v>
      </c>
      <c r="O109" s="130">
        <v>0</v>
      </c>
      <c r="P109" s="1">
        <f t="shared" si="11"/>
        <v>0</v>
      </c>
      <c r="Q109" s="128">
        <f t="shared" si="12"/>
        <v>143901.39999999997</v>
      </c>
    </row>
    <row r="110" spans="1:18" hidden="1">
      <c r="A110" s="113" t="s">
        <v>44</v>
      </c>
      <c r="B110" s="128">
        <v>2179.4</v>
      </c>
      <c r="C110" s="129">
        <v>180253.4</v>
      </c>
      <c r="D110" s="130">
        <v>783.6</v>
      </c>
      <c r="E110" s="129">
        <v>211668.7</v>
      </c>
      <c r="F110" s="130">
        <f t="shared" si="13"/>
        <v>394885.1</v>
      </c>
      <c r="G110" s="129">
        <v>7532.5</v>
      </c>
      <c r="H110" s="1075">
        <f t="shared" si="2"/>
        <v>402417.6</v>
      </c>
      <c r="I110" s="133">
        <v>353109.6</v>
      </c>
      <c r="J110" s="1075">
        <f t="shared" si="3"/>
        <v>49308</v>
      </c>
      <c r="K110" s="129">
        <v>156569.30000000002</v>
      </c>
      <c r="L110" s="130">
        <v>78012.399999999994</v>
      </c>
      <c r="M110" s="1">
        <f t="shared" si="5"/>
        <v>78556.900000000023</v>
      </c>
      <c r="N110" s="130">
        <v>0</v>
      </c>
      <c r="O110" s="130">
        <v>0</v>
      </c>
      <c r="P110" s="1">
        <f t="shared" si="11"/>
        <v>0</v>
      </c>
      <c r="Q110" s="128">
        <f t="shared" si="12"/>
        <v>127864.90000000002</v>
      </c>
    </row>
    <row r="111" spans="1:18" hidden="1">
      <c r="A111" s="113" t="s">
        <v>45</v>
      </c>
      <c r="B111" s="128">
        <v>2299.6999999999998</v>
      </c>
      <c r="C111" s="129">
        <v>186375.8</v>
      </c>
      <c r="D111" s="130">
        <v>796.4</v>
      </c>
      <c r="E111" s="129">
        <v>212229</v>
      </c>
      <c r="F111" s="130">
        <f t="shared" si="13"/>
        <v>401700.9</v>
      </c>
      <c r="G111" s="129">
        <v>6684.6</v>
      </c>
      <c r="H111" s="1075">
        <f t="shared" si="2"/>
        <v>408385.5</v>
      </c>
      <c r="I111" s="133">
        <v>361512.7</v>
      </c>
      <c r="J111" s="1075">
        <f t="shared" si="3"/>
        <v>46872.799999999988</v>
      </c>
      <c r="K111" s="129">
        <v>164800.70000000001</v>
      </c>
      <c r="L111" s="130">
        <v>66663.799999999988</v>
      </c>
      <c r="M111" s="1">
        <f t="shared" si="5"/>
        <v>98136.900000000023</v>
      </c>
      <c r="N111" s="130">
        <v>0</v>
      </c>
      <c r="O111" s="130">
        <v>0</v>
      </c>
      <c r="P111" s="1">
        <f t="shared" si="11"/>
        <v>0</v>
      </c>
      <c r="Q111" s="128">
        <f t="shared" si="12"/>
        <v>145009.70000000001</v>
      </c>
    </row>
    <row r="112" spans="1:18" hidden="1">
      <c r="A112" s="113" t="s">
        <v>46</v>
      </c>
      <c r="B112" s="128">
        <v>2355</v>
      </c>
      <c r="C112" s="129">
        <v>196178.7</v>
      </c>
      <c r="D112" s="130">
        <v>806.9</v>
      </c>
      <c r="E112" s="129">
        <v>208565.1</v>
      </c>
      <c r="F112" s="130">
        <f t="shared" si="13"/>
        <v>407905.7</v>
      </c>
      <c r="G112" s="129">
        <v>5039.7000000000007</v>
      </c>
      <c r="H112" s="1075">
        <f t="shared" si="2"/>
        <v>412945.4</v>
      </c>
      <c r="I112" s="133">
        <v>373365.2</v>
      </c>
      <c r="J112" s="1075">
        <f t="shared" si="3"/>
        <v>39580.200000000012</v>
      </c>
      <c r="K112" s="129">
        <v>173543.9</v>
      </c>
      <c r="L112" s="130">
        <v>71446.5</v>
      </c>
      <c r="M112" s="1">
        <f t="shared" si="5"/>
        <v>102097.4</v>
      </c>
      <c r="N112" s="130">
        <v>0</v>
      </c>
      <c r="O112" s="130">
        <v>0</v>
      </c>
      <c r="P112" s="1">
        <f t="shared" si="11"/>
        <v>0</v>
      </c>
      <c r="Q112" s="128">
        <f t="shared" si="12"/>
        <v>141677.6</v>
      </c>
    </row>
    <row r="113" spans="1:21" hidden="1">
      <c r="A113" s="113" t="s">
        <v>47</v>
      </c>
      <c r="B113" s="128">
        <v>2542.8000000000002</v>
      </c>
      <c r="C113" s="129">
        <v>197524</v>
      </c>
      <c r="D113" s="130">
        <v>819.1</v>
      </c>
      <c r="E113" s="129">
        <v>225684.4</v>
      </c>
      <c r="F113" s="130">
        <f t="shared" si="13"/>
        <v>426570.3</v>
      </c>
      <c r="G113" s="129">
        <v>6255.2999999999993</v>
      </c>
      <c r="H113" s="1075">
        <f t="shared" si="2"/>
        <v>432825.59999999998</v>
      </c>
      <c r="I113" s="133">
        <v>377411.10000000003</v>
      </c>
      <c r="J113" s="1075">
        <f t="shared" si="3"/>
        <v>55414.499999999942</v>
      </c>
      <c r="K113" s="129">
        <v>166098.70000000001</v>
      </c>
      <c r="L113" s="130">
        <v>60502.900000000009</v>
      </c>
      <c r="M113" s="1">
        <f t="shared" si="5"/>
        <v>105595.8</v>
      </c>
      <c r="N113" s="130">
        <v>0</v>
      </c>
      <c r="O113" s="130">
        <v>0</v>
      </c>
      <c r="P113" s="1">
        <f t="shared" si="11"/>
        <v>0</v>
      </c>
      <c r="Q113" s="128">
        <f t="shared" si="12"/>
        <v>161010.29999999993</v>
      </c>
    </row>
    <row r="114" spans="1:21" hidden="1">
      <c r="A114" s="113" t="s">
        <v>48</v>
      </c>
      <c r="B114" s="128">
        <v>2458.6999999999998</v>
      </c>
      <c r="C114" s="129">
        <v>192194.1</v>
      </c>
      <c r="D114" s="130">
        <v>823.9</v>
      </c>
      <c r="E114" s="129">
        <v>220591.7</v>
      </c>
      <c r="F114" s="130">
        <f t="shared" si="13"/>
        <v>416068.4</v>
      </c>
      <c r="G114" s="129">
        <v>7424.2000000000007</v>
      </c>
      <c r="H114" s="1075">
        <f t="shared" si="2"/>
        <v>423492.60000000003</v>
      </c>
      <c r="I114" s="133">
        <v>372759.3</v>
      </c>
      <c r="J114" s="1075">
        <f t="shared" si="3"/>
        <v>50733.300000000047</v>
      </c>
      <c r="K114" s="129">
        <v>164341.09999999998</v>
      </c>
      <c r="L114" s="130">
        <v>64818.400000000009</v>
      </c>
      <c r="M114" s="1">
        <f t="shared" si="5"/>
        <v>99522.699999999968</v>
      </c>
      <c r="N114" s="130">
        <v>0</v>
      </c>
      <c r="O114" s="130">
        <v>0</v>
      </c>
      <c r="P114" s="1">
        <f t="shared" si="11"/>
        <v>0</v>
      </c>
      <c r="Q114" s="128">
        <f t="shared" si="12"/>
        <v>150256</v>
      </c>
    </row>
    <row r="115" spans="1:21" hidden="1">
      <c r="A115" s="113" t="s">
        <v>49</v>
      </c>
      <c r="B115" s="128">
        <v>2525.3000000000002</v>
      </c>
      <c r="C115" s="129">
        <v>195045.8</v>
      </c>
      <c r="D115" s="130">
        <v>836.1</v>
      </c>
      <c r="E115" s="129">
        <v>223335.49999999997</v>
      </c>
      <c r="F115" s="130">
        <f t="shared" si="13"/>
        <v>421742.69999999995</v>
      </c>
      <c r="G115" s="129">
        <v>6929.6</v>
      </c>
      <c r="H115" s="1075">
        <f>+F115+G115</f>
        <v>428672.29999999993</v>
      </c>
      <c r="I115" s="133">
        <v>378277.3</v>
      </c>
      <c r="J115" s="1075">
        <f t="shared" si="3"/>
        <v>50394.999999999942</v>
      </c>
      <c r="K115" s="129">
        <v>176416</v>
      </c>
      <c r="L115" s="130">
        <v>69376.799999999988</v>
      </c>
      <c r="M115" s="1">
        <f t="shared" si="5"/>
        <v>107039.20000000001</v>
      </c>
      <c r="N115" s="130">
        <v>0</v>
      </c>
      <c r="O115" s="130">
        <v>0</v>
      </c>
      <c r="P115" s="1">
        <f t="shared" si="11"/>
        <v>0</v>
      </c>
      <c r="Q115" s="128">
        <f t="shared" si="12"/>
        <v>157434.19999999995</v>
      </c>
    </row>
    <row r="116" spans="1:21" s="88" customFormat="1" hidden="1">
      <c r="A116" s="113" t="s">
        <v>50</v>
      </c>
      <c r="B116" s="135">
        <v>2482.1</v>
      </c>
      <c r="C116" s="136">
        <v>199698.5</v>
      </c>
      <c r="D116" s="137">
        <v>856</v>
      </c>
      <c r="E116" s="136">
        <v>274465.8</v>
      </c>
      <c r="F116" s="137">
        <f t="shared" si="13"/>
        <v>477502.4</v>
      </c>
      <c r="G116" s="136">
        <v>7523.1</v>
      </c>
      <c r="H116" s="1075">
        <f>+F116+G116</f>
        <v>485025.5</v>
      </c>
      <c r="I116" s="136">
        <v>418096.6</v>
      </c>
      <c r="J116" s="1075">
        <f t="shared" si="3"/>
        <v>66928.900000000023</v>
      </c>
      <c r="K116" s="136">
        <v>192680.5</v>
      </c>
      <c r="L116" s="137">
        <v>62971.7</v>
      </c>
      <c r="M116" s="1">
        <f t="shared" si="5"/>
        <v>129708.8</v>
      </c>
      <c r="N116" s="130">
        <v>0</v>
      </c>
      <c r="O116" s="137">
        <v>0</v>
      </c>
      <c r="P116" s="1">
        <f t="shared" si="11"/>
        <v>0</v>
      </c>
      <c r="Q116" s="128">
        <f t="shared" si="12"/>
        <v>196637.7</v>
      </c>
      <c r="S116" s="69"/>
      <c r="T116" s="69"/>
      <c r="U116" s="69"/>
    </row>
    <row r="117" spans="1:21" s="88" customFormat="1" hidden="1">
      <c r="A117" s="113"/>
      <c r="B117" s="135"/>
      <c r="C117" s="136"/>
      <c r="D117" s="137"/>
      <c r="E117" s="136"/>
      <c r="F117" s="137"/>
      <c r="G117" s="136"/>
      <c r="H117" s="1075"/>
      <c r="I117" s="136"/>
      <c r="J117" s="1075"/>
      <c r="K117" s="136"/>
      <c r="L117" s="137"/>
      <c r="M117" s="1"/>
      <c r="N117" s="130"/>
      <c r="O117" s="137"/>
      <c r="P117" s="1"/>
      <c r="Q117" s="128"/>
      <c r="S117" s="69"/>
      <c r="T117" s="69"/>
      <c r="U117" s="69"/>
    </row>
    <row r="118" spans="1:21" hidden="1">
      <c r="A118" s="113" t="s">
        <v>55</v>
      </c>
      <c r="B118" s="128">
        <v>2572.6</v>
      </c>
      <c r="C118" s="129">
        <v>205278.1</v>
      </c>
      <c r="D118" s="130">
        <v>880</v>
      </c>
      <c r="E118" s="129">
        <v>268155.30000000005</v>
      </c>
      <c r="F118" s="130">
        <f>SUM(B118:E118)</f>
        <v>476886.00000000006</v>
      </c>
      <c r="G118" s="129">
        <v>8046.9</v>
      </c>
      <c r="H118" s="1075">
        <f>+F118+G118</f>
        <v>484932.90000000008</v>
      </c>
      <c r="I118" s="133">
        <v>429150.2</v>
      </c>
      <c r="J118" s="1075">
        <f t="shared" si="3"/>
        <v>55782.70000000007</v>
      </c>
      <c r="K118" s="129">
        <v>209039.9</v>
      </c>
      <c r="L118" s="130">
        <v>68564.5</v>
      </c>
      <c r="M118" s="1">
        <f t="shared" si="5"/>
        <v>140475.4</v>
      </c>
      <c r="N118" s="130">
        <v>0</v>
      </c>
      <c r="O118" s="130">
        <v>8.1</v>
      </c>
      <c r="P118" s="1">
        <f t="shared" ref="P118:P129" si="14">N118-O118</f>
        <v>-8.1</v>
      </c>
      <c r="Q118" s="128">
        <f t="shared" si="12"/>
        <v>196250.00000000006</v>
      </c>
    </row>
    <row r="119" spans="1:21" hidden="1">
      <c r="A119" s="113" t="s">
        <v>40</v>
      </c>
      <c r="B119" s="128">
        <v>2650.3</v>
      </c>
      <c r="C119" s="129">
        <v>200002.4</v>
      </c>
      <c r="D119" s="130">
        <v>937</v>
      </c>
      <c r="E119" s="129">
        <v>339031.3</v>
      </c>
      <c r="F119" s="130">
        <f>SUM(B119:E119)</f>
        <v>542621</v>
      </c>
      <c r="G119" s="129">
        <v>6385.4</v>
      </c>
      <c r="H119" s="1075">
        <f>+F119+G119</f>
        <v>549006.4</v>
      </c>
      <c r="I119" s="133">
        <v>451586.9</v>
      </c>
      <c r="J119" s="1075">
        <f t="shared" si="3"/>
        <v>97419.5</v>
      </c>
      <c r="K119" s="129">
        <v>227852.4</v>
      </c>
      <c r="L119" s="130">
        <v>69500.799999999988</v>
      </c>
      <c r="M119" s="1">
        <f t="shared" si="5"/>
        <v>158351.6</v>
      </c>
      <c r="N119" s="130">
        <v>0</v>
      </c>
      <c r="O119" s="130">
        <v>16.2</v>
      </c>
      <c r="P119" s="1">
        <f t="shared" si="14"/>
        <v>-16.2</v>
      </c>
      <c r="Q119" s="128">
        <f t="shared" si="12"/>
        <v>255754.9</v>
      </c>
    </row>
    <row r="120" spans="1:21" hidden="1">
      <c r="A120" s="113" t="s">
        <v>41</v>
      </c>
      <c r="B120" s="128">
        <v>2438.9</v>
      </c>
      <c r="C120" s="129">
        <v>179366.6</v>
      </c>
      <c r="D120" s="130">
        <v>848.2</v>
      </c>
      <c r="E120" s="129">
        <v>269294.7</v>
      </c>
      <c r="F120" s="130">
        <f>SUM(B120:E120)</f>
        <v>451948.4</v>
      </c>
      <c r="G120" s="129">
        <v>4627.2000000000007</v>
      </c>
      <c r="H120" s="1075">
        <f t="shared" ref="H120:H137" si="15">+F120+G120</f>
        <v>456575.60000000003</v>
      </c>
      <c r="I120" s="133">
        <v>407828.7</v>
      </c>
      <c r="J120" s="1075">
        <f t="shared" si="3"/>
        <v>48746.900000000023</v>
      </c>
      <c r="K120" s="129">
        <v>213236.8</v>
      </c>
      <c r="L120" s="130">
        <v>64129.799999999996</v>
      </c>
      <c r="M120" s="1">
        <f t="shared" si="5"/>
        <v>149107</v>
      </c>
      <c r="N120" s="130">
        <v>0</v>
      </c>
      <c r="O120" s="130">
        <v>24.3</v>
      </c>
      <c r="P120" s="1">
        <f t="shared" si="14"/>
        <v>-24.3</v>
      </c>
      <c r="Q120" s="128">
        <f t="shared" si="12"/>
        <v>197829.60000000003</v>
      </c>
    </row>
    <row r="121" spans="1:21" hidden="1">
      <c r="A121" s="113" t="s">
        <v>42</v>
      </c>
      <c r="B121" s="128">
        <v>2228.6</v>
      </c>
      <c r="C121" s="129">
        <v>178604</v>
      </c>
      <c r="D121" s="130">
        <v>844.6</v>
      </c>
      <c r="E121" s="129">
        <v>264162.60000000003</v>
      </c>
      <c r="F121" s="130">
        <f t="shared" ref="F121:F137" si="16">SUM(B121:E121)</f>
        <v>445839.80000000005</v>
      </c>
      <c r="G121" s="129">
        <v>4745</v>
      </c>
      <c r="H121" s="1075">
        <f t="shared" si="15"/>
        <v>450584.80000000005</v>
      </c>
      <c r="I121" s="133">
        <v>405891.2</v>
      </c>
      <c r="J121" s="1075">
        <f t="shared" si="3"/>
        <v>44693.600000000035</v>
      </c>
      <c r="K121" s="129">
        <v>209200.40000000002</v>
      </c>
      <c r="L121" s="130">
        <v>57243.500000000007</v>
      </c>
      <c r="M121" s="1">
        <f t="shared" si="5"/>
        <v>151956.90000000002</v>
      </c>
      <c r="N121" s="130">
        <v>0</v>
      </c>
      <c r="O121" s="130">
        <v>32.4</v>
      </c>
      <c r="P121" s="1">
        <f t="shared" si="14"/>
        <v>-32.4</v>
      </c>
      <c r="Q121" s="128">
        <f t="shared" si="12"/>
        <v>196618.10000000006</v>
      </c>
    </row>
    <row r="122" spans="1:21" hidden="1">
      <c r="A122" s="113" t="s">
        <v>43</v>
      </c>
      <c r="B122" s="128">
        <v>2138.3000000000002</v>
      </c>
      <c r="C122" s="129">
        <v>175589.1</v>
      </c>
      <c r="D122" s="130">
        <v>830.3</v>
      </c>
      <c r="E122" s="129">
        <v>280961.79999999993</v>
      </c>
      <c r="F122" s="130">
        <f t="shared" si="16"/>
        <v>459519.49999999988</v>
      </c>
      <c r="G122" s="129">
        <v>4255.8</v>
      </c>
      <c r="H122" s="1075">
        <f t="shared" si="15"/>
        <v>463775.29999999987</v>
      </c>
      <c r="I122" s="133">
        <v>399562.69999999995</v>
      </c>
      <c r="J122" s="1075">
        <f t="shared" ref="J122:J137" si="17">H122-I122</f>
        <v>64212.599999999919</v>
      </c>
      <c r="K122" s="129">
        <v>185038.30000000002</v>
      </c>
      <c r="L122" s="130">
        <v>62889.8</v>
      </c>
      <c r="M122" s="1">
        <f t="shared" si="5"/>
        <v>122148.50000000001</v>
      </c>
      <c r="N122" s="130">
        <v>0</v>
      </c>
      <c r="O122" s="130">
        <v>40.5</v>
      </c>
      <c r="P122" s="1">
        <f t="shared" si="14"/>
        <v>-40.5</v>
      </c>
      <c r="Q122" s="128">
        <f t="shared" si="12"/>
        <v>186320.59999999992</v>
      </c>
    </row>
    <row r="123" spans="1:21" hidden="1">
      <c r="A123" s="113" t="s">
        <v>44</v>
      </c>
      <c r="B123" s="128">
        <v>1942.6</v>
      </c>
      <c r="C123" s="129">
        <v>176058.5</v>
      </c>
      <c r="D123" s="130">
        <v>832.5</v>
      </c>
      <c r="E123" s="129">
        <v>246048.1</v>
      </c>
      <c r="F123" s="130">
        <f t="shared" si="16"/>
        <v>424881.7</v>
      </c>
      <c r="G123" s="129">
        <v>2913.4</v>
      </c>
      <c r="H123" s="1075">
        <f t="shared" si="15"/>
        <v>427795.10000000003</v>
      </c>
      <c r="I123" s="133">
        <v>370829.69999999995</v>
      </c>
      <c r="J123" s="1075">
        <f t="shared" si="17"/>
        <v>56965.400000000081</v>
      </c>
      <c r="K123" s="129">
        <v>165969.40000000002</v>
      </c>
      <c r="L123" s="130">
        <v>64040.999999999993</v>
      </c>
      <c r="M123" s="1">
        <f t="shared" ref="M123:M129" si="18">K123-L123</f>
        <v>101928.40000000002</v>
      </c>
      <c r="N123" s="130">
        <v>0</v>
      </c>
      <c r="O123" s="130">
        <v>48.6</v>
      </c>
      <c r="P123" s="1">
        <f t="shared" si="14"/>
        <v>-48.6</v>
      </c>
      <c r="Q123" s="128">
        <f t="shared" si="12"/>
        <v>158845.2000000001</v>
      </c>
    </row>
    <row r="124" spans="1:21" hidden="1">
      <c r="A124" s="113" t="s">
        <v>45</v>
      </c>
      <c r="B124" s="128">
        <v>2017.7</v>
      </c>
      <c r="C124" s="129">
        <v>175762</v>
      </c>
      <c r="D124" s="130">
        <v>839</v>
      </c>
      <c r="E124" s="129">
        <v>278030.5</v>
      </c>
      <c r="F124" s="130">
        <f t="shared" si="16"/>
        <v>456649.2</v>
      </c>
      <c r="G124" s="129">
        <v>2842.7</v>
      </c>
      <c r="H124" s="1075">
        <f t="shared" si="15"/>
        <v>459491.9</v>
      </c>
      <c r="I124" s="133">
        <v>371231.19999999995</v>
      </c>
      <c r="J124" s="1075">
        <f t="shared" si="17"/>
        <v>88260.70000000007</v>
      </c>
      <c r="K124" s="129">
        <v>190726</v>
      </c>
      <c r="L124" s="130">
        <v>93196.400000000023</v>
      </c>
      <c r="M124" s="1">
        <f t="shared" si="18"/>
        <v>97529.599999999977</v>
      </c>
      <c r="N124" s="130">
        <v>0</v>
      </c>
      <c r="O124" s="130">
        <v>56.7</v>
      </c>
      <c r="P124" s="1">
        <f t="shared" si="14"/>
        <v>-56.7</v>
      </c>
      <c r="Q124" s="128">
        <f t="shared" si="12"/>
        <v>185733.60000000003</v>
      </c>
    </row>
    <row r="125" spans="1:21" hidden="1">
      <c r="A125" s="113" t="s">
        <v>46</v>
      </c>
      <c r="B125" s="128">
        <v>2136.1</v>
      </c>
      <c r="C125" s="129">
        <v>170420.4</v>
      </c>
      <c r="D125" s="130">
        <v>840.7</v>
      </c>
      <c r="E125" s="129">
        <v>269145.8</v>
      </c>
      <c r="F125" s="130">
        <f t="shared" si="16"/>
        <v>442543</v>
      </c>
      <c r="G125" s="129">
        <v>3073.2</v>
      </c>
      <c r="H125" s="1075">
        <f t="shared" si="15"/>
        <v>445616.2</v>
      </c>
      <c r="I125" s="133">
        <v>366147.9</v>
      </c>
      <c r="J125" s="1075">
        <f t="shared" si="17"/>
        <v>79468.299999999988</v>
      </c>
      <c r="K125" s="129">
        <v>185728.7</v>
      </c>
      <c r="L125" s="130">
        <v>97191.5</v>
      </c>
      <c r="M125" s="1">
        <f t="shared" si="18"/>
        <v>88537.200000000012</v>
      </c>
      <c r="N125" s="130">
        <v>0</v>
      </c>
      <c r="O125" s="130">
        <v>64.8</v>
      </c>
      <c r="P125" s="1">
        <f t="shared" si="14"/>
        <v>-64.8</v>
      </c>
      <c r="Q125" s="128">
        <f t="shared" si="12"/>
        <v>167940.7</v>
      </c>
    </row>
    <row r="126" spans="1:21" hidden="1">
      <c r="A126" s="113" t="s">
        <v>47</v>
      </c>
      <c r="B126" s="128">
        <v>2032</v>
      </c>
      <c r="C126" s="129">
        <v>182398.6</v>
      </c>
      <c r="D126" s="130">
        <v>850</v>
      </c>
      <c r="E126" s="129">
        <v>270941.5</v>
      </c>
      <c r="F126" s="130">
        <f t="shared" si="16"/>
        <v>456222.1</v>
      </c>
      <c r="G126" s="129">
        <v>3132.1000000000004</v>
      </c>
      <c r="H126" s="1075">
        <f t="shared" si="15"/>
        <v>459354.19999999995</v>
      </c>
      <c r="I126" s="133">
        <v>380943.4</v>
      </c>
      <c r="J126" s="1075">
        <f t="shared" si="17"/>
        <v>78410.79999999993</v>
      </c>
      <c r="K126" s="129">
        <v>183463.6</v>
      </c>
      <c r="L126" s="130">
        <v>97088.099999999991</v>
      </c>
      <c r="M126" s="1">
        <f t="shared" si="18"/>
        <v>86375.500000000015</v>
      </c>
      <c r="N126" s="130">
        <v>0</v>
      </c>
      <c r="O126" s="130">
        <v>72.900000000000006</v>
      </c>
      <c r="P126" s="1">
        <f t="shared" si="14"/>
        <v>-72.900000000000006</v>
      </c>
      <c r="Q126" s="128">
        <f t="shared" si="12"/>
        <v>164713.39999999994</v>
      </c>
    </row>
    <row r="127" spans="1:21" hidden="1">
      <c r="A127" s="113" t="s">
        <v>48</v>
      </c>
      <c r="B127" s="128">
        <v>2151.6</v>
      </c>
      <c r="C127" s="129">
        <v>182373.7</v>
      </c>
      <c r="D127" s="130">
        <v>856.2</v>
      </c>
      <c r="E127" s="129">
        <v>292561.59999999998</v>
      </c>
      <c r="F127" s="130">
        <f t="shared" si="16"/>
        <v>477943.1</v>
      </c>
      <c r="G127" s="129">
        <v>2878.5</v>
      </c>
      <c r="H127" s="1075">
        <f t="shared" si="15"/>
        <v>480821.6</v>
      </c>
      <c r="I127" s="133">
        <v>382194.3</v>
      </c>
      <c r="J127" s="1075">
        <f t="shared" si="17"/>
        <v>98627.299999999988</v>
      </c>
      <c r="K127" s="129">
        <v>183935.00000000006</v>
      </c>
      <c r="L127" s="130">
        <v>93801</v>
      </c>
      <c r="M127" s="1">
        <f t="shared" si="18"/>
        <v>90134.000000000058</v>
      </c>
      <c r="N127" s="130">
        <v>0</v>
      </c>
      <c r="O127" s="130">
        <v>81</v>
      </c>
      <c r="P127" s="1">
        <f t="shared" si="14"/>
        <v>-81</v>
      </c>
      <c r="Q127" s="128">
        <f t="shared" si="12"/>
        <v>188680.30000000005</v>
      </c>
    </row>
    <row r="128" spans="1:21" hidden="1">
      <c r="A128" s="113" t="s">
        <v>49</v>
      </c>
      <c r="B128" s="128">
        <v>2007.4</v>
      </c>
      <c r="C128" s="129">
        <v>181527.9</v>
      </c>
      <c r="D128" s="130">
        <v>852</v>
      </c>
      <c r="E128" s="129">
        <v>271956.90000000002</v>
      </c>
      <c r="F128" s="130">
        <f t="shared" si="16"/>
        <v>456344.2</v>
      </c>
      <c r="G128" s="129">
        <v>5133.1000000000004</v>
      </c>
      <c r="H128" s="1075">
        <f t="shared" si="15"/>
        <v>461477.3</v>
      </c>
      <c r="I128" s="133">
        <v>380221.19999999995</v>
      </c>
      <c r="J128" s="1075">
        <f t="shared" si="17"/>
        <v>81256.100000000035</v>
      </c>
      <c r="K128" s="129">
        <v>190482.5</v>
      </c>
      <c r="L128" s="130">
        <v>94747.3</v>
      </c>
      <c r="M128" s="1">
        <f t="shared" si="18"/>
        <v>95735.2</v>
      </c>
      <c r="N128" s="130">
        <v>0</v>
      </c>
      <c r="O128" s="130">
        <v>89.1</v>
      </c>
      <c r="P128" s="1">
        <f t="shared" si="14"/>
        <v>-89.1</v>
      </c>
      <c r="Q128" s="128">
        <f t="shared" si="12"/>
        <v>176902.20000000004</v>
      </c>
    </row>
    <row r="129" spans="1:18" hidden="1">
      <c r="A129" s="113" t="s">
        <v>50</v>
      </c>
      <c r="B129" s="128">
        <v>1943.7</v>
      </c>
      <c r="C129" s="129">
        <v>182851.4</v>
      </c>
      <c r="D129" s="130">
        <v>858.19999999998254</v>
      </c>
      <c r="E129" s="129">
        <v>309703.29999999993</v>
      </c>
      <c r="F129" s="130">
        <f t="shared" si="16"/>
        <v>495356.59999999992</v>
      </c>
      <c r="G129" s="129">
        <v>5966.9</v>
      </c>
      <c r="H129" s="1075">
        <f t="shared" si="15"/>
        <v>501323.49999999994</v>
      </c>
      <c r="I129" s="133">
        <v>383189.69999999995</v>
      </c>
      <c r="J129" s="1075">
        <f t="shared" si="17"/>
        <v>118133.79999999999</v>
      </c>
      <c r="K129" s="129">
        <v>201411.19999999998</v>
      </c>
      <c r="L129" s="130">
        <v>89788.900000000009</v>
      </c>
      <c r="M129" s="1">
        <f t="shared" si="18"/>
        <v>111622.29999999997</v>
      </c>
      <c r="N129" s="130">
        <v>0</v>
      </c>
      <c r="O129" s="130">
        <v>97.2</v>
      </c>
      <c r="P129" s="1">
        <f t="shared" si="14"/>
        <v>-97.2</v>
      </c>
      <c r="Q129" s="128">
        <f t="shared" si="12"/>
        <v>229658.89999999997</v>
      </c>
    </row>
    <row r="130" spans="1:18" hidden="1">
      <c r="A130" s="142"/>
      <c r="B130" s="128"/>
      <c r="C130" s="129"/>
      <c r="D130" s="130"/>
      <c r="E130" s="129"/>
      <c r="F130" s="130"/>
      <c r="G130" s="129"/>
      <c r="H130" s="1075"/>
      <c r="I130" s="133"/>
      <c r="J130" s="1075"/>
      <c r="K130" s="129"/>
      <c r="L130" s="130"/>
      <c r="M130" s="1"/>
      <c r="N130" s="130"/>
      <c r="O130" s="130"/>
      <c r="P130" s="1"/>
      <c r="Q130" s="128"/>
    </row>
    <row r="131" spans="1:18" hidden="1">
      <c r="A131" s="113" t="s">
        <v>54</v>
      </c>
      <c r="B131" s="128">
        <v>2013.5</v>
      </c>
      <c r="C131" s="129">
        <v>175305.1</v>
      </c>
      <c r="D131" s="130">
        <v>854.1</v>
      </c>
      <c r="E131" s="129">
        <v>292029.50000000006</v>
      </c>
      <c r="F131" s="130">
        <f t="shared" si="16"/>
        <v>470202.20000000007</v>
      </c>
      <c r="G131" s="129">
        <v>6218.6</v>
      </c>
      <c r="H131" s="1075">
        <f t="shared" si="15"/>
        <v>476420.80000000005</v>
      </c>
      <c r="I131" s="133">
        <v>374224.5</v>
      </c>
      <c r="J131" s="1075">
        <f t="shared" si="17"/>
        <v>102196.30000000005</v>
      </c>
      <c r="K131" s="129">
        <v>212478.3</v>
      </c>
      <c r="L131" s="130">
        <v>99764.6</v>
      </c>
      <c r="M131" s="1">
        <f t="shared" ref="M131:M136" si="19">K131-L131</f>
        <v>112713.69999999998</v>
      </c>
      <c r="N131" s="130">
        <v>0</v>
      </c>
      <c r="O131" s="130">
        <v>97.2</v>
      </c>
      <c r="P131" s="1">
        <f t="shared" ref="P131:P142" si="20">N131-O131</f>
        <v>-97.2</v>
      </c>
      <c r="Q131" s="128">
        <f t="shared" si="12"/>
        <v>214812.80000000002</v>
      </c>
    </row>
    <row r="132" spans="1:18" hidden="1">
      <c r="A132" s="113" t="s">
        <v>40</v>
      </c>
      <c r="B132" s="128">
        <v>1982.1</v>
      </c>
      <c r="C132" s="129">
        <v>185837.4</v>
      </c>
      <c r="D132" s="130">
        <v>857.4</v>
      </c>
      <c r="E132" s="129">
        <f>7943.2+48205.5+225471+106.2</f>
        <v>281725.90000000002</v>
      </c>
      <c r="F132" s="130">
        <f t="shared" si="16"/>
        <v>470402.80000000005</v>
      </c>
      <c r="G132" s="129">
        <f>5344.9+1198.4</f>
        <v>6543.2999999999993</v>
      </c>
      <c r="H132" s="1075">
        <f t="shared" si="15"/>
        <v>476946.10000000003</v>
      </c>
      <c r="I132" s="133">
        <v>385806.2</v>
      </c>
      <c r="J132" s="1075">
        <f t="shared" si="17"/>
        <v>91139.900000000023</v>
      </c>
      <c r="K132" s="129">
        <f>231156+33.1</f>
        <v>231189.1</v>
      </c>
      <c r="L132" s="130">
        <v>92448.2</v>
      </c>
      <c r="M132" s="1">
        <f t="shared" si="19"/>
        <v>138740.90000000002</v>
      </c>
      <c r="N132" s="130">
        <v>0</v>
      </c>
      <c r="O132" s="130">
        <v>97.2</v>
      </c>
      <c r="P132" s="1">
        <f t="shared" si="20"/>
        <v>-97.2</v>
      </c>
      <c r="Q132" s="128">
        <f t="shared" si="12"/>
        <v>229783.60000000003</v>
      </c>
    </row>
    <row r="133" spans="1:18" hidden="1">
      <c r="A133" s="113" t="s">
        <v>41</v>
      </c>
      <c r="B133" s="128">
        <v>1933.3</v>
      </c>
      <c r="C133" s="129">
        <v>196400.6</v>
      </c>
      <c r="D133" s="130">
        <v>859</v>
      </c>
      <c r="E133" s="129">
        <f>7520.6+25352.2+254482.7+114.8</f>
        <v>287470.3</v>
      </c>
      <c r="F133" s="130">
        <f t="shared" si="16"/>
        <v>486663.19999999995</v>
      </c>
      <c r="G133" s="129">
        <f>3701.3+1198.4</f>
        <v>4899.7000000000007</v>
      </c>
      <c r="H133" s="1075">
        <f t="shared" si="15"/>
        <v>491562.89999999997</v>
      </c>
      <c r="I133" s="133">
        <v>396544.3</v>
      </c>
      <c r="J133" s="1075">
        <f t="shared" si="17"/>
        <v>95018.599999999977</v>
      </c>
      <c r="K133" s="129">
        <f>216665.2+33.1</f>
        <v>216698.30000000002</v>
      </c>
      <c r="L133" s="130">
        <v>100768.8</v>
      </c>
      <c r="M133" s="1">
        <f t="shared" si="19"/>
        <v>115929.50000000001</v>
      </c>
      <c r="N133" s="130">
        <v>0</v>
      </c>
      <c r="O133" s="130">
        <v>97.2</v>
      </c>
      <c r="P133" s="1">
        <f t="shared" si="20"/>
        <v>-97.2</v>
      </c>
      <c r="Q133" s="128">
        <f t="shared" si="12"/>
        <v>210850.89999999997</v>
      </c>
      <c r="R133" s="139"/>
    </row>
    <row r="134" spans="1:18" hidden="1">
      <c r="A134" s="113" t="s">
        <v>42</v>
      </c>
      <c r="B134" s="128">
        <v>1931.1</v>
      </c>
      <c r="C134" s="129">
        <v>197221.5</v>
      </c>
      <c r="D134" s="130">
        <v>862.6</v>
      </c>
      <c r="E134" s="129">
        <f>5038+33466.1+246467.4+2886.8</f>
        <v>287858.3</v>
      </c>
      <c r="F134" s="130">
        <f t="shared" si="16"/>
        <v>487873.5</v>
      </c>
      <c r="G134" s="129">
        <f>4557.6+1198.4</f>
        <v>5756</v>
      </c>
      <c r="H134" s="1075">
        <f t="shared" si="15"/>
        <v>493629.5</v>
      </c>
      <c r="I134" s="133">
        <v>398474</v>
      </c>
      <c r="J134" s="1075">
        <f t="shared" si="17"/>
        <v>95155.5</v>
      </c>
      <c r="K134" s="129">
        <f>226481.1+33.1</f>
        <v>226514.2</v>
      </c>
      <c r="L134" s="130">
        <v>107327.7</v>
      </c>
      <c r="M134" s="1">
        <f t="shared" si="19"/>
        <v>119186.50000000001</v>
      </c>
      <c r="N134" s="130">
        <v>0</v>
      </c>
      <c r="O134" s="130">
        <v>97.1</v>
      </c>
      <c r="P134" s="1">
        <f t="shared" si="20"/>
        <v>-97.1</v>
      </c>
      <c r="Q134" s="128">
        <f t="shared" si="12"/>
        <v>214244.9</v>
      </c>
      <c r="R134" s="139"/>
    </row>
    <row r="135" spans="1:18" hidden="1">
      <c r="A135" s="113" t="s">
        <v>43</v>
      </c>
      <c r="B135" s="128">
        <v>1879.1</v>
      </c>
      <c r="C135" s="129">
        <v>196162.4</v>
      </c>
      <c r="D135" s="130">
        <v>857.7</v>
      </c>
      <c r="E135" s="129">
        <f>3847.6+195508.1+79291.8+74.8</f>
        <v>278722.3</v>
      </c>
      <c r="F135" s="130">
        <f t="shared" si="16"/>
        <v>477621.5</v>
      </c>
      <c r="G135" s="129">
        <f>3620.1+1198.4</f>
        <v>4818.5</v>
      </c>
      <c r="H135" s="1075">
        <f t="shared" si="15"/>
        <v>482440</v>
      </c>
      <c r="I135" s="133">
        <v>396516</v>
      </c>
      <c r="J135" s="1075">
        <f t="shared" si="17"/>
        <v>85924</v>
      </c>
      <c r="K135" s="129">
        <f>199368.7+33.1</f>
        <v>199401.80000000002</v>
      </c>
      <c r="L135" s="130">
        <f>101540+0.2</f>
        <v>101540.2</v>
      </c>
      <c r="M135" s="1">
        <f t="shared" si="19"/>
        <v>97861.60000000002</v>
      </c>
      <c r="N135" s="130">
        <v>0</v>
      </c>
      <c r="O135" s="130">
        <v>97.1</v>
      </c>
      <c r="P135" s="1">
        <f t="shared" si="20"/>
        <v>-97.1</v>
      </c>
      <c r="Q135" s="128">
        <f t="shared" si="12"/>
        <v>183688.50000000003</v>
      </c>
      <c r="R135" s="139"/>
    </row>
    <row r="136" spans="1:18" hidden="1">
      <c r="A136" s="113" t="s">
        <v>44</v>
      </c>
      <c r="B136" s="128">
        <v>1967.1</v>
      </c>
      <c r="C136" s="129">
        <v>196712.9</v>
      </c>
      <c r="D136" s="130">
        <v>860.4</v>
      </c>
      <c r="E136" s="129">
        <f>4560.1+231709+48175.3+89.5</f>
        <v>284533.90000000002</v>
      </c>
      <c r="F136" s="130">
        <f t="shared" si="16"/>
        <v>484074.30000000005</v>
      </c>
      <c r="G136" s="129">
        <f>1331.6+1198.4</f>
        <v>2530</v>
      </c>
      <c r="H136" s="1075">
        <f t="shared" si="15"/>
        <v>486604.30000000005</v>
      </c>
      <c r="I136" s="133">
        <v>397532.8</v>
      </c>
      <c r="J136" s="1075">
        <f t="shared" si="17"/>
        <v>89071.500000000058</v>
      </c>
      <c r="K136" s="129">
        <f>198369.9+38.9</f>
        <v>198408.8</v>
      </c>
      <c r="L136" s="130">
        <f>102707.1+0.4</f>
        <v>102707.5</v>
      </c>
      <c r="M136" s="1">
        <f t="shared" si="19"/>
        <v>95701.299999999988</v>
      </c>
      <c r="N136" s="130">
        <v>0</v>
      </c>
      <c r="O136" s="130">
        <v>97.1</v>
      </c>
      <c r="P136" s="1">
        <f t="shared" si="20"/>
        <v>-97.1</v>
      </c>
      <c r="Q136" s="128">
        <f t="shared" si="12"/>
        <v>184675.70000000004</v>
      </c>
      <c r="R136" s="139"/>
    </row>
    <row r="137" spans="1:18" hidden="1">
      <c r="A137" s="113" t="s">
        <v>45</v>
      </c>
      <c r="B137" s="128">
        <v>1934.8</v>
      </c>
      <c r="C137" s="129">
        <v>187062.5</v>
      </c>
      <c r="D137" s="130">
        <v>854.7</v>
      </c>
      <c r="E137" s="129">
        <f>6728.6+209621.9+47804.3+78.1</f>
        <v>264232.89999999997</v>
      </c>
      <c r="F137" s="130">
        <f t="shared" si="16"/>
        <v>454084.89999999997</v>
      </c>
      <c r="G137" s="129">
        <f>1313.9+1198.4</f>
        <v>2512.3000000000002</v>
      </c>
      <c r="H137" s="1075">
        <f t="shared" si="15"/>
        <v>456597.19999999995</v>
      </c>
      <c r="I137" s="133">
        <v>385996.79999999999</v>
      </c>
      <c r="J137" s="1075">
        <f t="shared" si="17"/>
        <v>70600.399999999965</v>
      </c>
      <c r="K137" s="129">
        <f>230470.1+90.9</f>
        <v>230561</v>
      </c>
      <c r="L137" s="130">
        <f>108563.8+2</f>
        <v>108565.8</v>
      </c>
      <c r="M137" s="1">
        <f>K137-L137</f>
        <v>121995.2</v>
      </c>
      <c r="N137" s="130">
        <v>0</v>
      </c>
      <c r="O137" s="130">
        <v>89</v>
      </c>
      <c r="P137" s="1">
        <f t="shared" si="20"/>
        <v>-89</v>
      </c>
      <c r="Q137" s="128">
        <f t="shared" si="12"/>
        <v>192506.59999999998</v>
      </c>
      <c r="R137" s="139"/>
    </row>
    <row r="138" spans="1:18" hidden="1">
      <c r="A138" s="113" t="s">
        <v>46</v>
      </c>
      <c r="B138" s="128">
        <v>1926.5</v>
      </c>
      <c r="C138" s="129">
        <v>182067.8</v>
      </c>
      <c r="D138" s="130">
        <v>846.6</v>
      </c>
      <c r="E138" s="129">
        <f>6764.7+213029.5+47872.7+56.3</f>
        <v>267723.2</v>
      </c>
      <c r="F138" s="130">
        <f>SUM(B138:E138)</f>
        <v>452564.1</v>
      </c>
      <c r="G138" s="129">
        <f>8047.1+1198.4</f>
        <v>9245.5</v>
      </c>
      <c r="H138" s="1075">
        <f>+F138+G138</f>
        <v>461809.6</v>
      </c>
      <c r="I138" s="133">
        <v>379199.7</v>
      </c>
      <c r="J138" s="1075">
        <f>H138-I138</f>
        <v>82609.899999999965</v>
      </c>
      <c r="K138" s="129">
        <f>193796.1+96.8</f>
        <v>193892.9</v>
      </c>
      <c r="L138" s="130">
        <f>125444.3+0.8</f>
        <v>125445.1</v>
      </c>
      <c r="M138" s="1">
        <f>K138-L138</f>
        <v>68447.799999999988</v>
      </c>
      <c r="N138" s="130">
        <v>0</v>
      </c>
      <c r="O138" s="130">
        <v>80.900000000000006</v>
      </c>
      <c r="P138" s="1">
        <f t="shared" si="20"/>
        <v>-80.900000000000006</v>
      </c>
      <c r="Q138" s="128">
        <f t="shared" si="12"/>
        <v>150976.79999999996</v>
      </c>
      <c r="R138" s="139"/>
    </row>
    <row r="139" spans="1:18" hidden="1">
      <c r="A139" s="113" t="s">
        <v>47</v>
      </c>
      <c r="B139" s="128">
        <v>1822.1</v>
      </c>
      <c r="C139" s="129">
        <v>188332.9</v>
      </c>
      <c r="D139" s="130">
        <v>829.8</v>
      </c>
      <c r="E139" s="129">
        <f>7510.5+175108.7+143041.6+70.6</f>
        <v>325731.40000000002</v>
      </c>
      <c r="F139" s="130">
        <f>SUM(B139:E139)</f>
        <v>516716.2</v>
      </c>
      <c r="G139" s="129">
        <f>6990.2+1198.4</f>
        <v>8188.6</v>
      </c>
      <c r="H139" s="1075">
        <f>+F139+G139</f>
        <v>524904.80000000005</v>
      </c>
      <c r="I139" s="133">
        <v>382067.5</v>
      </c>
      <c r="J139" s="1075">
        <f>H139-I139</f>
        <v>142837.30000000005</v>
      </c>
      <c r="K139" s="129">
        <f>193828.2+96.8</f>
        <v>193925</v>
      </c>
      <c r="L139" s="130">
        <f>123900.5+3</f>
        <v>123903.5</v>
      </c>
      <c r="M139" s="1">
        <f>K139-L139</f>
        <v>70021.5</v>
      </c>
      <c r="N139" s="130">
        <v>0</v>
      </c>
      <c r="O139" s="130">
        <v>72.900000000000006</v>
      </c>
      <c r="P139" s="1">
        <f t="shared" si="20"/>
        <v>-72.900000000000006</v>
      </c>
      <c r="Q139" s="128">
        <f t="shared" si="12"/>
        <v>212785.90000000005</v>
      </c>
      <c r="R139" s="139"/>
    </row>
    <row r="140" spans="1:18" hidden="1">
      <c r="A140" s="113" t="s">
        <v>48</v>
      </c>
      <c r="B140" s="128">
        <v>1788.4</v>
      </c>
      <c r="C140" s="129">
        <v>187590.6</v>
      </c>
      <c r="D140" s="130">
        <v>826.6</v>
      </c>
      <c r="E140" s="129">
        <f>6087.4+245040.7+68570.6+92.5</f>
        <v>319791.2</v>
      </c>
      <c r="F140" s="130">
        <f>SUM(B140:E140)</f>
        <v>509996.80000000005</v>
      </c>
      <c r="G140" s="129">
        <f>7935.9+1198.4</f>
        <v>9134.2999999999993</v>
      </c>
      <c r="H140" s="1075">
        <f>+F140+G140</f>
        <v>519131.10000000003</v>
      </c>
      <c r="I140" s="133">
        <v>380171.5</v>
      </c>
      <c r="J140" s="1075">
        <f>H140-I140</f>
        <v>138959.60000000003</v>
      </c>
      <c r="K140" s="129">
        <f>190368.4+96.8</f>
        <v>190465.19999999998</v>
      </c>
      <c r="L140" s="130">
        <f>126248.5+0.9</f>
        <v>126249.4</v>
      </c>
      <c r="M140" s="1">
        <f>K140-L140</f>
        <v>64215.799999999988</v>
      </c>
      <c r="N140" s="130">
        <v>0</v>
      </c>
      <c r="O140" s="130">
        <v>64.8</v>
      </c>
      <c r="P140" s="1">
        <f t="shared" si="20"/>
        <v>-64.8</v>
      </c>
      <c r="Q140" s="128">
        <f t="shared" si="12"/>
        <v>203110.60000000003</v>
      </c>
      <c r="R140" s="139"/>
    </row>
    <row r="141" spans="1:18" hidden="1">
      <c r="A141" s="113" t="s">
        <v>49</v>
      </c>
      <c r="B141" s="128">
        <v>1774.3</v>
      </c>
      <c r="C141" s="129">
        <v>185568.9</v>
      </c>
      <c r="D141" s="130">
        <v>817.6</v>
      </c>
      <c r="E141" s="129">
        <f>7487.9+247589.6+57612.3+717.4</f>
        <v>313407.2</v>
      </c>
      <c r="F141" s="130">
        <f>SUM(B141:E141)</f>
        <v>501568</v>
      </c>
      <c r="G141" s="129">
        <f>7466.4+1198.4</f>
        <v>8664.7999999999993</v>
      </c>
      <c r="H141" s="1075">
        <f>+F141+G141</f>
        <v>510232.8</v>
      </c>
      <c r="I141" s="133">
        <v>376171.7</v>
      </c>
      <c r="J141" s="1075">
        <f>H141-I141</f>
        <v>134061.09999999998</v>
      </c>
      <c r="K141" s="129">
        <f>176990.9+96.8</f>
        <v>177087.69999999998</v>
      </c>
      <c r="L141" s="130">
        <f>119263+1.9</f>
        <v>119264.9</v>
      </c>
      <c r="M141" s="1">
        <f>K141-L141</f>
        <v>57822.799999999988</v>
      </c>
      <c r="N141" s="130">
        <v>0</v>
      </c>
      <c r="O141" s="130">
        <v>56.7</v>
      </c>
      <c r="P141" s="1">
        <f t="shared" si="20"/>
        <v>-56.7</v>
      </c>
      <c r="Q141" s="128">
        <f t="shared" si="12"/>
        <v>191827.19999999995</v>
      </c>
      <c r="R141" s="139"/>
    </row>
    <row r="142" spans="1:18" hidden="1">
      <c r="A142" s="113" t="s">
        <v>50</v>
      </c>
      <c r="B142" s="128">
        <v>1802</v>
      </c>
      <c r="C142" s="129">
        <v>183917.8</v>
      </c>
      <c r="D142" s="130">
        <v>810.4</v>
      </c>
      <c r="E142" s="129">
        <f>6925.7+222912.8+76112.6+249.9</f>
        <v>306201</v>
      </c>
      <c r="F142" s="130">
        <f>SUM(B142:E142)</f>
        <v>492731.19999999995</v>
      </c>
      <c r="G142" s="129">
        <f>7285.1+1198.4</f>
        <v>8483.5</v>
      </c>
      <c r="H142" s="1075">
        <f>+F142+G142</f>
        <v>501214.69999999995</v>
      </c>
      <c r="I142" s="133">
        <v>372538.8</v>
      </c>
      <c r="J142" s="1075">
        <f>H142-I142</f>
        <v>128675.89999999997</v>
      </c>
      <c r="K142" s="129">
        <v>199601.2</v>
      </c>
      <c r="L142" s="130">
        <v>147751.79999999999</v>
      </c>
      <c r="M142" s="1">
        <v>51849.4</v>
      </c>
      <c r="N142" s="130">
        <v>0</v>
      </c>
      <c r="O142" s="130">
        <v>48.6</v>
      </c>
      <c r="P142" s="1">
        <f t="shared" si="20"/>
        <v>-48.6</v>
      </c>
      <c r="Q142" s="128">
        <f t="shared" si="12"/>
        <v>180476.69999999995</v>
      </c>
      <c r="R142" s="139"/>
    </row>
    <row r="143" spans="1:18" hidden="1">
      <c r="A143" s="113"/>
      <c r="B143" s="128"/>
      <c r="C143" s="129"/>
      <c r="D143" s="130"/>
      <c r="E143" s="129"/>
      <c r="F143" s="130"/>
      <c r="G143" s="129"/>
      <c r="H143" s="1075"/>
      <c r="I143" s="133"/>
      <c r="J143" s="1075"/>
      <c r="K143" s="129"/>
      <c r="L143" s="130"/>
      <c r="M143" s="1"/>
      <c r="N143" s="130"/>
      <c r="O143" s="130"/>
      <c r="P143" s="1"/>
      <c r="Q143" s="128"/>
      <c r="R143" s="139"/>
    </row>
    <row r="144" spans="1:18" hidden="1">
      <c r="A144" s="113" t="s">
        <v>51</v>
      </c>
      <c r="B144" s="128">
        <v>1893.4</v>
      </c>
      <c r="C144" s="129">
        <v>172860.79999999999</v>
      </c>
      <c r="D144" s="130">
        <v>788.7</v>
      </c>
      <c r="E144" s="129">
        <f>8776.8+204584.3+86742.4+106</f>
        <v>300209.5</v>
      </c>
      <c r="F144" s="130">
        <f t="shared" ref="F144:F155" si="21">SUM(B144:E144)</f>
        <v>475752.4</v>
      </c>
      <c r="G144" s="129">
        <f>7447.1+1198.4</f>
        <v>8645.5</v>
      </c>
      <c r="H144" s="1075">
        <f t="shared" ref="H144:H155" si="22">+F144+G144</f>
        <v>484397.9</v>
      </c>
      <c r="I144" s="133">
        <v>357331.8</v>
      </c>
      <c r="J144" s="1075">
        <f t="shared" ref="J144:J149" si="23">H144-I144</f>
        <v>127066.10000000003</v>
      </c>
      <c r="K144" s="129">
        <f>189174.3+96.8</f>
        <v>189271.09999999998</v>
      </c>
      <c r="L144" s="130">
        <f>141155.8+1.6</f>
        <v>141157.4</v>
      </c>
      <c r="M144" s="1">
        <f t="shared" ref="M144:M155" si="24">K144-L144</f>
        <v>48113.699999999983</v>
      </c>
      <c r="N144" s="130">
        <v>0</v>
      </c>
      <c r="O144" s="130">
        <v>40.5</v>
      </c>
      <c r="P144" s="1">
        <f t="shared" ref="P144:P155" si="25">N144-O144</f>
        <v>-40.5</v>
      </c>
      <c r="Q144" s="128">
        <f t="shared" si="12"/>
        <v>175139.30000000002</v>
      </c>
      <c r="R144" s="139"/>
    </row>
    <row r="145" spans="1:18" hidden="1">
      <c r="A145" s="113" t="s">
        <v>52</v>
      </c>
      <c r="B145" s="128">
        <v>1816</v>
      </c>
      <c r="C145" s="129">
        <v>169040.4</v>
      </c>
      <c r="D145" s="130">
        <v>792.2</v>
      </c>
      <c r="E145" s="129">
        <f>9023.9+199590.1+86892.7+192.2</f>
        <v>295698.90000000002</v>
      </c>
      <c r="F145" s="130">
        <f t="shared" si="21"/>
        <v>467347.5</v>
      </c>
      <c r="G145" s="129">
        <f>8025.8+1198.4</f>
        <v>9224.2000000000007</v>
      </c>
      <c r="H145" s="1075">
        <f t="shared" si="22"/>
        <v>476571.7</v>
      </c>
      <c r="I145" s="133">
        <v>354020.7</v>
      </c>
      <c r="J145" s="1075">
        <f t="shared" si="23"/>
        <v>122551</v>
      </c>
      <c r="K145" s="129">
        <f>177635.2+96.8</f>
        <v>177732</v>
      </c>
      <c r="L145" s="130">
        <f>147645.9+1.8</f>
        <v>147647.69999999998</v>
      </c>
      <c r="M145" s="1">
        <f t="shared" si="24"/>
        <v>30084.300000000017</v>
      </c>
      <c r="N145" s="130">
        <v>0</v>
      </c>
      <c r="O145" s="130">
        <v>32.4</v>
      </c>
      <c r="P145" s="1">
        <f t="shared" si="25"/>
        <v>-32.4</v>
      </c>
      <c r="Q145" s="128">
        <f t="shared" si="12"/>
        <v>152602.90000000002</v>
      </c>
      <c r="R145" s="139"/>
    </row>
    <row r="146" spans="1:18" hidden="1">
      <c r="A146" s="113" t="s">
        <v>53</v>
      </c>
      <c r="B146" s="128">
        <v>1778.4</v>
      </c>
      <c r="C146" s="129">
        <v>174701.8</v>
      </c>
      <c r="D146" s="130">
        <v>775.5</v>
      </c>
      <c r="E146" s="129">
        <f>8508.9+158067.3+125280+291.4</f>
        <v>292147.59999999998</v>
      </c>
      <c r="F146" s="130">
        <f t="shared" si="21"/>
        <v>469403.29999999993</v>
      </c>
      <c r="G146" s="129">
        <f>1909.3+1198.4</f>
        <v>3107.7</v>
      </c>
      <c r="H146" s="1075">
        <f t="shared" si="22"/>
        <v>472510.99999999994</v>
      </c>
      <c r="I146" s="133">
        <v>356984.6</v>
      </c>
      <c r="J146" s="1075">
        <f t="shared" si="23"/>
        <v>115526.39999999997</v>
      </c>
      <c r="K146" s="129">
        <v>191610</v>
      </c>
      <c r="L146" s="130">
        <f>146198.8+46.6</f>
        <v>146245.4</v>
      </c>
      <c r="M146" s="1">
        <f t="shared" si="24"/>
        <v>45364.600000000006</v>
      </c>
      <c r="N146" s="130">
        <v>0</v>
      </c>
      <c r="O146" s="130">
        <v>24.3</v>
      </c>
      <c r="P146" s="1">
        <f t="shared" si="25"/>
        <v>-24.3</v>
      </c>
      <c r="Q146" s="128">
        <f t="shared" si="12"/>
        <v>160866.69999999998</v>
      </c>
      <c r="R146" s="139"/>
    </row>
    <row r="147" spans="1:18" hidden="1">
      <c r="A147" s="113" t="s">
        <v>603</v>
      </c>
      <c r="B147" s="128">
        <v>1809.5</v>
      </c>
      <c r="C147" s="129">
        <v>176226.4</v>
      </c>
      <c r="D147" s="130">
        <v>788.7</v>
      </c>
      <c r="E147" s="129">
        <f>9506.5+130315.6+126104.3+281.6</f>
        <v>266208</v>
      </c>
      <c r="F147" s="130">
        <f t="shared" si="21"/>
        <v>445032.6</v>
      </c>
      <c r="G147" s="129">
        <f>7376.9+1198.4</f>
        <v>8575.2999999999993</v>
      </c>
      <c r="H147" s="1075">
        <f t="shared" si="22"/>
        <v>453607.89999999997</v>
      </c>
      <c r="I147" s="133">
        <v>360084.5</v>
      </c>
      <c r="J147" s="1075">
        <f t="shared" si="23"/>
        <v>93523.399999999965</v>
      </c>
      <c r="K147" s="129">
        <v>202405.59999999998</v>
      </c>
      <c r="L147" s="130">
        <f>147867.1+0.6</f>
        <v>147867.70000000001</v>
      </c>
      <c r="M147" s="1">
        <f t="shared" si="24"/>
        <v>54537.899999999965</v>
      </c>
      <c r="N147" s="130">
        <v>0</v>
      </c>
      <c r="O147" s="130">
        <v>16.2</v>
      </c>
      <c r="P147" s="1">
        <f t="shared" si="25"/>
        <v>-16.2</v>
      </c>
      <c r="Q147" s="128">
        <f t="shared" si="12"/>
        <v>148045.09999999992</v>
      </c>
      <c r="R147" s="139"/>
    </row>
    <row r="148" spans="1:18" hidden="1">
      <c r="A148" s="113" t="s">
        <v>609</v>
      </c>
      <c r="B148" s="128">
        <v>1793.2</v>
      </c>
      <c r="C148" s="129">
        <v>174492</v>
      </c>
      <c r="D148" s="130">
        <v>778.1</v>
      </c>
      <c r="E148" s="129">
        <f>7656.3+134736.2+125432.8+634.9</f>
        <v>268460.2</v>
      </c>
      <c r="F148" s="130">
        <f t="shared" si="21"/>
        <v>445523.5</v>
      </c>
      <c r="G148" s="129">
        <f>6469.5+1198.4</f>
        <v>7667.9</v>
      </c>
      <c r="H148" s="1075">
        <f t="shared" si="22"/>
        <v>453191.4</v>
      </c>
      <c r="I148" s="133">
        <v>356222.3</v>
      </c>
      <c r="J148" s="1075">
        <f t="shared" si="23"/>
        <v>96969.100000000035</v>
      </c>
      <c r="K148" s="129">
        <v>178435.19999999998</v>
      </c>
      <c r="L148" s="130">
        <f>136900.6+0.8</f>
        <v>136901.4</v>
      </c>
      <c r="M148" s="1">
        <f t="shared" si="24"/>
        <v>41533.799999999988</v>
      </c>
      <c r="N148" s="130">
        <v>0</v>
      </c>
      <c r="O148" s="130">
        <v>8.1</v>
      </c>
      <c r="P148" s="1">
        <f t="shared" si="25"/>
        <v>-8.1</v>
      </c>
      <c r="Q148" s="128">
        <f t="shared" si="12"/>
        <v>138494.80000000002</v>
      </c>
      <c r="R148" s="139"/>
    </row>
    <row r="149" spans="1:18" hidden="1">
      <c r="A149" s="113" t="s">
        <v>44</v>
      </c>
      <c r="B149" s="128">
        <v>1781.7</v>
      </c>
      <c r="C149" s="129">
        <v>176983.9</v>
      </c>
      <c r="D149" s="130">
        <v>792.1</v>
      </c>
      <c r="E149" s="129">
        <f>14575.9+50556.3+126206.2+306.3</f>
        <v>191644.69999999998</v>
      </c>
      <c r="F149" s="130">
        <f t="shared" si="21"/>
        <v>371202.4</v>
      </c>
      <c r="G149" s="129">
        <f>816.4+1198.4</f>
        <v>2014.8000000000002</v>
      </c>
      <c r="H149" s="1075">
        <f t="shared" si="22"/>
        <v>373217.2</v>
      </c>
      <c r="I149" s="133">
        <v>361289.7</v>
      </c>
      <c r="J149" s="1075">
        <f t="shared" si="23"/>
        <v>11927.5</v>
      </c>
      <c r="K149" s="129">
        <v>192773.59999999998</v>
      </c>
      <c r="L149" s="130">
        <f>139562.5</f>
        <v>139562.5</v>
      </c>
      <c r="M149" s="1">
        <f t="shared" si="24"/>
        <v>53211.099999999977</v>
      </c>
      <c r="N149" s="130">
        <v>0</v>
      </c>
      <c r="O149" s="130">
        <v>0</v>
      </c>
      <c r="P149" s="1">
        <f t="shared" si="25"/>
        <v>0</v>
      </c>
      <c r="Q149" s="128">
        <f t="shared" si="12"/>
        <v>65138.599999999977</v>
      </c>
      <c r="R149" s="139"/>
    </row>
    <row r="150" spans="1:18" hidden="1">
      <c r="A150" s="113" t="s">
        <v>615</v>
      </c>
      <c r="B150" s="128">
        <v>1648.2</v>
      </c>
      <c r="C150" s="129">
        <v>171841.9</v>
      </c>
      <c r="D150" s="130">
        <v>790.1</v>
      </c>
      <c r="E150" s="129">
        <f>13718.2+70923.3+92832.9+280.4</f>
        <v>177754.8</v>
      </c>
      <c r="F150" s="130">
        <f t="shared" si="21"/>
        <v>352035</v>
      </c>
      <c r="G150" s="129">
        <f>710.3+1198.4</f>
        <v>1908.7</v>
      </c>
      <c r="H150" s="1075">
        <f t="shared" si="22"/>
        <v>353943.7</v>
      </c>
      <c r="I150" s="133">
        <v>356249.3</v>
      </c>
      <c r="J150" s="140">
        <v>-2305.6</v>
      </c>
      <c r="K150" s="129">
        <v>167511</v>
      </c>
      <c r="L150" s="130">
        <v>135310.6</v>
      </c>
      <c r="M150" s="1">
        <f t="shared" si="24"/>
        <v>32200.399999999994</v>
      </c>
      <c r="N150" s="130">
        <v>0</v>
      </c>
      <c r="O150" s="130">
        <v>0</v>
      </c>
      <c r="P150" s="1">
        <f t="shared" si="25"/>
        <v>0</v>
      </c>
      <c r="Q150" s="128">
        <f t="shared" si="12"/>
        <v>29894.799999999996</v>
      </c>
      <c r="R150" s="139"/>
    </row>
    <row r="151" spans="1:18" hidden="1">
      <c r="A151" s="113" t="s">
        <v>621</v>
      </c>
      <c r="B151" s="128">
        <v>1729.2</v>
      </c>
      <c r="C151" s="129">
        <v>169523.6</v>
      </c>
      <c r="D151" s="130">
        <v>800.2</v>
      </c>
      <c r="E151" s="129">
        <v>138546.6</v>
      </c>
      <c r="F151" s="130">
        <f t="shared" si="21"/>
        <v>310599.60000000003</v>
      </c>
      <c r="G151" s="129">
        <v>1924.3</v>
      </c>
      <c r="H151" s="1075">
        <f t="shared" si="22"/>
        <v>312523.90000000002</v>
      </c>
      <c r="I151" s="133">
        <v>355556.2</v>
      </c>
      <c r="J151" s="140">
        <v>-43032.3</v>
      </c>
      <c r="K151" s="129">
        <v>188311.69999999998</v>
      </c>
      <c r="L151" s="130">
        <v>142073</v>
      </c>
      <c r="M151" s="1">
        <f t="shared" si="24"/>
        <v>46238.699999999983</v>
      </c>
      <c r="N151" s="130">
        <v>0</v>
      </c>
      <c r="O151" s="130">
        <v>0</v>
      </c>
      <c r="P151" s="1">
        <f t="shared" si="25"/>
        <v>0</v>
      </c>
      <c r="Q151" s="128">
        <f t="shared" si="12"/>
        <v>3206.3999999999796</v>
      </c>
      <c r="R151" s="139"/>
    </row>
    <row r="152" spans="1:18" hidden="1">
      <c r="A152" s="113" t="s">
        <v>47</v>
      </c>
      <c r="B152" s="128">
        <v>1720.4</v>
      </c>
      <c r="C152" s="129">
        <v>165076</v>
      </c>
      <c r="D152" s="130">
        <v>800.5</v>
      </c>
      <c r="E152" s="129">
        <v>105121.8</v>
      </c>
      <c r="F152" s="130">
        <f t="shared" si="21"/>
        <v>272718.7</v>
      </c>
      <c r="G152" s="129">
        <v>1536</v>
      </c>
      <c r="H152" s="1075">
        <f t="shared" si="22"/>
        <v>274254.7</v>
      </c>
      <c r="I152" s="133">
        <v>351304.8</v>
      </c>
      <c r="J152" s="140">
        <v>-77050.100000000006</v>
      </c>
      <c r="K152" s="129">
        <v>179072.09999999998</v>
      </c>
      <c r="L152" s="130">
        <v>135266.6</v>
      </c>
      <c r="M152" s="1">
        <f t="shared" si="24"/>
        <v>43805.499999999971</v>
      </c>
      <c r="N152" s="130">
        <v>0</v>
      </c>
      <c r="O152" s="130">
        <v>0</v>
      </c>
      <c r="P152" s="1">
        <f t="shared" si="25"/>
        <v>0</v>
      </c>
      <c r="Q152" s="128">
        <f t="shared" si="12"/>
        <v>-33244.600000000035</v>
      </c>
      <c r="R152" s="139"/>
    </row>
    <row r="153" spans="1:18" hidden="1">
      <c r="A153" s="113" t="s">
        <v>631</v>
      </c>
      <c r="B153" s="128">
        <v>1756.1</v>
      </c>
      <c r="C153" s="129">
        <v>141968.9</v>
      </c>
      <c r="D153" s="130">
        <v>795.6</v>
      </c>
      <c r="E153" s="129">
        <f>20218.8+31124.2+92961.3+268.2</f>
        <v>144572.5</v>
      </c>
      <c r="F153" s="130">
        <f t="shared" si="21"/>
        <v>289093.09999999998</v>
      </c>
      <c r="G153" s="129">
        <f>335.9+1198.4</f>
        <v>1534.3000000000002</v>
      </c>
      <c r="H153" s="1075">
        <f t="shared" si="22"/>
        <v>290627.39999999997</v>
      </c>
      <c r="I153" s="133">
        <v>349041.3</v>
      </c>
      <c r="J153" s="140">
        <v>-58413.9</v>
      </c>
      <c r="K153" s="129">
        <v>167200.69999999998</v>
      </c>
      <c r="L153" s="130">
        <v>132616.1</v>
      </c>
      <c r="M153" s="1">
        <f t="shared" si="24"/>
        <v>34584.599999999977</v>
      </c>
      <c r="N153" s="130">
        <v>0</v>
      </c>
      <c r="O153" s="130">
        <v>0</v>
      </c>
      <c r="P153" s="1">
        <f t="shared" si="25"/>
        <v>0</v>
      </c>
      <c r="Q153" s="128">
        <f t="shared" si="12"/>
        <v>-23829.300000000025</v>
      </c>
      <c r="R153" s="139"/>
    </row>
    <row r="154" spans="1:18" hidden="1">
      <c r="A154" s="113" t="s">
        <v>654</v>
      </c>
      <c r="B154" s="128">
        <v>1644.9</v>
      </c>
      <c r="C154" s="129">
        <v>142186.4</v>
      </c>
      <c r="D154" s="130">
        <v>796.8</v>
      </c>
      <c r="E154" s="129">
        <f>20576.6+19554.1+50749.2+352.2</f>
        <v>91232.099999999991</v>
      </c>
      <c r="F154" s="130">
        <f t="shared" si="21"/>
        <v>235860.19999999995</v>
      </c>
      <c r="G154" s="129">
        <f>438.5+1198.4</f>
        <v>1636.9</v>
      </c>
      <c r="H154" s="1075">
        <f t="shared" si="22"/>
        <v>237497.09999999995</v>
      </c>
      <c r="I154" s="133">
        <v>350334.2</v>
      </c>
      <c r="J154" s="140">
        <v>-112837.1</v>
      </c>
      <c r="K154" s="129">
        <v>182736.59999999998</v>
      </c>
      <c r="L154" s="130">
        <v>154302.79999999999</v>
      </c>
      <c r="M154" s="1">
        <f t="shared" si="24"/>
        <v>28433.799999999988</v>
      </c>
      <c r="N154" s="130">
        <v>0</v>
      </c>
      <c r="O154" s="130">
        <v>0</v>
      </c>
      <c r="P154" s="1">
        <f t="shared" si="25"/>
        <v>0</v>
      </c>
      <c r="Q154" s="128">
        <f t="shared" si="12"/>
        <v>-84403.300000000017</v>
      </c>
      <c r="R154" s="139"/>
    </row>
    <row r="155" spans="1:18" hidden="1">
      <c r="A155" s="113" t="s">
        <v>665</v>
      </c>
      <c r="B155" s="128">
        <v>1660.3</v>
      </c>
      <c r="C155" s="129">
        <v>88116.1</v>
      </c>
      <c r="D155" s="130">
        <v>808.1</v>
      </c>
      <c r="E155" s="129">
        <f>24263.1+48812.9+56599.6+269.9</f>
        <v>129945.5</v>
      </c>
      <c r="F155" s="130">
        <f t="shared" si="21"/>
        <v>220530</v>
      </c>
      <c r="G155" s="129">
        <f>101.2+1198.4</f>
        <v>1299.6000000000001</v>
      </c>
      <c r="H155" s="1075">
        <f t="shared" si="22"/>
        <v>221829.6</v>
      </c>
      <c r="I155" s="133">
        <v>354815.2</v>
      </c>
      <c r="J155" s="140">
        <v>-132985.60000000001</v>
      </c>
      <c r="K155" s="129">
        <v>207089</v>
      </c>
      <c r="L155" s="130">
        <v>149973.5</v>
      </c>
      <c r="M155" s="1">
        <f t="shared" si="24"/>
        <v>57115.5</v>
      </c>
      <c r="N155" s="130">
        <v>0</v>
      </c>
      <c r="O155" s="130">
        <v>0</v>
      </c>
      <c r="P155" s="1">
        <f t="shared" si="25"/>
        <v>0</v>
      </c>
      <c r="Q155" s="128">
        <f t="shared" si="12"/>
        <v>-75870.100000000006</v>
      </c>
      <c r="R155" s="139"/>
    </row>
    <row r="156" spans="1:18" hidden="1">
      <c r="A156" s="113"/>
      <c r="B156" s="128"/>
      <c r="C156" s="129"/>
      <c r="D156" s="130"/>
      <c r="E156" s="129"/>
      <c r="F156" s="130"/>
      <c r="G156" s="129"/>
      <c r="H156" s="1075"/>
      <c r="I156" s="133"/>
      <c r="J156" s="140"/>
      <c r="K156" s="129"/>
      <c r="L156" s="130"/>
      <c r="M156" s="1"/>
      <c r="N156" s="130"/>
      <c r="O156" s="130"/>
      <c r="P156" s="1"/>
      <c r="Q156" s="128"/>
      <c r="R156" s="139"/>
    </row>
    <row r="157" spans="1:18" hidden="1">
      <c r="A157" s="113" t="s">
        <v>39</v>
      </c>
      <c r="B157" s="128">
        <v>1750.1</v>
      </c>
      <c r="C157" s="129">
        <v>83715.399999999994</v>
      </c>
      <c r="D157" s="130">
        <v>809.7</v>
      </c>
      <c r="E157" s="129">
        <f>22794.1+44150.5+56907.5+3401.8</f>
        <v>127253.90000000001</v>
      </c>
      <c r="F157" s="130">
        <f t="shared" ref="F157:F162" si="26">SUM(B157:E157)</f>
        <v>213529.1</v>
      </c>
      <c r="G157" s="129">
        <f>545.6+1198.4</f>
        <v>1744</v>
      </c>
      <c r="H157" s="1075">
        <f t="shared" ref="H157:H189" si="27">+F157+G157</f>
        <v>215273.1</v>
      </c>
      <c r="I157" s="133">
        <v>351129.1</v>
      </c>
      <c r="J157" s="140">
        <f t="shared" ref="J157:J189" si="28">+H157-I157</f>
        <v>-135855.99999999997</v>
      </c>
      <c r="K157" s="129">
        <v>163636.69999999998</v>
      </c>
      <c r="L157" s="130">
        <v>147014.70000000001</v>
      </c>
      <c r="M157" s="1">
        <f t="shared" ref="M157:M168" si="29">K157-L157</f>
        <v>16621.999999999971</v>
      </c>
      <c r="N157" s="130">
        <v>0</v>
      </c>
      <c r="O157" s="130">
        <v>0</v>
      </c>
      <c r="P157" s="1">
        <f t="shared" ref="P157:P168" si="30">N157-O157</f>
        <v>0</v>
      </c>
      <c r="Q157" s="128">
        <f t="shared" si="12"/>
        <v>-119234</v>
      </c>
      <c r="R157" s="139"/>
    </row>
    <row r="158" spans="1:18" hidden="1">
      <c r="A158" s="113" t="s">
        <v>677</v>
      </c>
      <c r="B158" s="128">
        <v>1935.2</v>
      </c>
      <c r="C158" s="129">
        <v>32914.6</v>
      </c>
      <c r="D158" s="130">
        <v>44208</v>
      </c>
      <c r="E158" s="129">
        <f>26230.6+37522.3+32635.6+203.9</f>
        <v>96592.4</v>
      </c>
      <c r="F158" s="130">
        <f t="shared" si="26"/>
        <v>175650.19999999998</v>
      </c>
      <c r="G158" s="129">
        <f>1297+1198.4</f>
        <v>2495.4</v>
      </c>
      <c r="H158" s="1075">
        <f t="shared" si="27"/>
        <v>178145.59999999998</v>
      </c>
      <c r="I158" s="133">
        <v>344743.7</v>
      </c>
      <c r="J158" s="140">
        <f t="shared" si="28"/>
        <v>-166598.10000000003</v>
      </c>
      <c r="K158" s="129">
        <v>178520.4</v>
      </c>
      <c r="L158" s="130">
        <v>144711</v>
      </c>
      <c r="M158" s="1">
        <f t="shared" si="29"/>
        <v>33809.399999999994</v>
      </c>
      <c r="N158" s="130">
        <v>0</v>
      </c>
      <c r="O158" s="130">
        <v>0</v>
      </c>
      <c r="P158" s="1">
        <f t="shared" si="30"/>
        <v>0</v>
      </c>
      <c r="Q158" s="128">
        <f t="shared" si="12"/>
        <v>-132788.70000000004</v>
      </c>
      <c r="R158" s="139"/>
    </row>
    <row r="159" spans="1:18" hidden="1">
      <c r="A159" s="113" t="s">
        <v>65</v>
      </c>
      <c r="B159" s="128">
        <v>1943</v>
      </c>
      <c r="C159" s="129">
        <v>31919</v>
      </c>
      <c r="D159" s="130">
        <v>45023.1</v>
      </c>
      <c r="E159" s="129">
        <f>24949.3+12640.1+36026+290.1</f>
        <v>73905.5</v>
      </c>
      <c r="F159" s="130">
        <f t="shared" si="26"/>
        <v>152790.6</v>
      </c>
      <c r="G159" s="129">
        <f>1230.8+1198.4</f>
        <v>2429.1999999999998</v>
      </c>
      <c r="H159" s="1075">
        <f t="shared" si="27"/>
        <v>155219.80000000002</v>
      </c>
      <c r="I159" s="133">
        <v>350173.8</v>
      </c>
      <c r="J159" s="140">
        <f t="shared" si="28"/>
        <v>-194953.99999999997</v>
      </c>
      <c r="K159" s="129">
        <v>182809.69999999998</v>
      </c>
      <c r="L159" s="130">
        <v>148879.5</v>
      </c>
      <c r="M159" s="1">
        <f t="shared" si="29"/>
        <v>33930.199999999983</v>
      </c>
      <c r="N159" s="130">
        <v>0</v>
      </c>
      <c r="O159" s="130">
        <v>0</v>
      </c>
      <c r="P159" s="1">
        <f t="shared" si="30"/>
        <v>0</v>
      </c>
      <c r="Q159" s="128">
        <f t="shared" si="12"/>
        <v>-161023.79999999999</v>
      </c>
      <c r="R159" s="139"/>
    </row>
    <row r="160" spans="1:18" hidden="1">
      <c r="A160" s="113" t="s">
        <v>691</v>
      </c>
      <c r="B160" s="128">
        <v>2026.8</v>
      </c>
      <c r="C160" s="129">
        <v>32304.9</v>
      </c>
      <c r="D160" s="130">
        <v>45607</v>
      </c>
      <c r="E160" s="129">
        <f>23658.1+70049.5+3288.2+56</f>
        <v>97051.8</v>
      </c>
      <c r="F160" s="130">
        <f t="shared" si="26"/>
        <v>176990.5</v>
      </c>
      <c r="G160" s="129">
        <f>1344.5+1198.4</f>
        <v>2542.9</v>
      </c>
      <c r="H160" s="1075">
        <f t="shared" si="27"/>
        <v>179533.4</v>
      </c>
      <c r="I160" s="133">
        <v>355049.6</v>
      </c>
      <c r="J160" s="140">
        <f t="shared" si="28"/>
        <v>-175516.19999999998</v>
      </c>
      <c r="K160" s="129">
        <v>157788.59999999998</v>
      </c>
      <c r="L160" s="130">
        <v>151565.20000000001</v>
      </c>
      <c r="M160" s="1">
        <f t="shared" si="29"/>
        <v>6223.3999999999651</v>
      </c>
      <c r="N160" s="130">
        <v>0</v>
      </c>
      <c r="O160" s="130">
        <v>0</v>
      </c>
      <c r="P160" s="1">
        <f t="shared" si="30"/>
        <v>0</v>
      </c>
      <c r="Q160" s="128">
        <f t="shared" si="12"/>
        <v>-169292.80000000002</v>
      </c>
      <c r="R160" s="139"/>
    </row>
    <row r="161" spans="1:18" hidden="1">
      <c r="A161" s="113" t="s">
        <v>700</v>
      </c>
      <c r="B161" s="128">
        <v>1931.6</v>
      </c>
      <c r="C161" s="129">
        <v>32105.5</v>
      </c>
      <c r="D161" s="130">
        <v>45406.400000000001</v>
      </c>
      <c r="E161" s="129">
        <f>28588.9+43471.9+2790.8+91.7</f>
        <v>74943.3</v>
      </c>
      <c r="F161" s="130">
        <f t="shared" si="26"/>
        <v>154386.79999999999</v>
      </c>
      <c r="G161" s="129">
        <f>1127.7+1198.4</f>
        <v>2326.1000000000004</v>
      </c>
      <c r="H161" s="1075">
        <f t="shared" si="27"/>
        <v>156712.9</v>
      </c>
      <c r="I161" s="133">
        <v>352456.3</v>
      </c>
      <c r="J161" s="140">
        <f t="shared" si="28"/>
        <v>-195743.4</v>
      </c>
      <c r="K161" s="129">
        <v>155604.4</v>
      </c>
      <c r="L161" s="130">
        <v>155149.9</v>
      </c>
      <c r="M161" s="1">
        <f t="shared" si="29"/>
        <v>454.5</v>
      </c>
      <c r="N161" s="130">
        <v>0</v>
      </c>
      <c r="O161" s="130">
        <v>0</v>
      </c>
      <c r="P161" s="1">
        <f t="shared" si="30"/>
        <v>0</v>
      </c>
      <c r="Q161" s="128">
        <f t="shared" ref="Q161:Q176" si="31">SUM(J161,M161,P161)</f>
        <v>-195288.9</v>
      </c>
      <c r="R161" s="139"/>
    </row>
    <row r="162" spans="1:18" hidden="1">
      <c r="A162" s="113" t="s">
        <v>711</v>
      </c>
      <c r="B162" s="128">
        <v>2102.1999999999998</v>
      </c>
      <c r="C162" s="129">
        <v>31971.9</v>
      </c>
      <c r="D162" s="130">
        <v>45217.4</v>
      </c>
      <c r="E162" s="129">
        <f>32572.7+48635.4+2799+210</f>
        <v>84217.1</v>
      </c>
      <c r="F162" s="130">
        <f t="shared" si="26"/>
        <v>163508.6</v>
      </c>
      <c r="G162" s="129">
        <f>1128.4+1198.4</f>
        <v>2326.8000000000002</v>
      </c>
      <c r="H162" s="1075">
        <f t="shared" si="27"/>
        <v>165835.4</v>
      </c>
      <c r="I162" s="133">
        <v>351838.8</v>
      </c>
      <c r="J162" s="140">
        <f t="shared" si="28"/>
        <v>-186003.4</v>
      </c>
      <c r="K162" s="129">
        <v>163223.69999999998</v>
      </c>
      <c r="L162" s="130">
        <v>143107</v>
      </c>
      <c r="M162" s="1">
        <f t="shared" si="29"/>
        <v>20116.699999999983</v>
      </c>
      <c r="N162" s="130">
        <v>0</v>
      </c>
      <c r="O162" s="130">
        <v>0</v>
      </c>
      <c r="P162" s="1">
        <f t="shared" si="30"/>
        <v>0</v>
      </c>
      <c r="Q162" s="128">
        <f t="shared" si="31"/>
        <v>-165886.70000000001</v>
      </c>
      <c r="R162" s="139"/>
    </row>
    <row r="163" spans="1:18">
      <c r="A163" s="113" t="s">
        <v>730</v>
      </c>
      <c r="B163" s="128">
        <v>2141.8000000000002</v>
      </c>
      <c r="C163" s="129">
        <v>27286.9</v>
      </c>
      <c r="D163" s="130">
        <v>45223.1</v>
      </c>
      <c r="E163" s="129">
        <f>35663.2+32022.2+14939.5+91.4</f>
        <v>82716.299999999988</v>
      </c>
      <c r="F163" s="130">
        <f t="shared" ref="F163:F179" si="32">SUM(B163:E163)</f>
        <v>157368.09999999998</v>
      </c>
      <c r="G163" s="129">
        <f>1198.4+1994.8</f>
        <v>3193.2</v>
      </c>
      <c r="H163" s="1075">
        <f t="shared" si="27"/>
        <v>160561.29999999999</v>
      </c>
      <c r="I163" s="133">
        <v>346787.6</v>
      </c>
      <c r="J163" s="140">
        <f t="shared" si="28"/>
        <v>-186226.3</v>
      </c>
      <c r="K163" s="129">
        <v>141680.69999999998</v>
      </c>
      <c r="L163" s="130">
        <v>143986.79999999999</v>
      </c>
      <c r="M163" s="1">
        <f t="shared" si="29"/>
        <v>-2306.1000000000058</v>
      </c>
      <c r="N163" s="130">
        <v>0</v>
      </c>
      <c r="O163" s="130">
        <v>0</v>
      </c>
      <c r="P163" s="1">
        <f t="shared" si="30"/>
        <v>0</v>
      </c>
      <c r="Q163" s="128">
        <f t="shared" si="31"/>
        <v>-188532.4</v>
      </c>
      <c r="R163" s="139"/>
    </row>
    <row r="164" spans="1:18">
      <c r="A164" s="113" t="s">
        <v>46</v>
      </c>
      <c r="B164" s="128">
        <v>2116.3000000000002</v>
      </c>
      <c r="C164" s="129">
        <v>19545.400000000001</v>
      </c>
      <c r="D164" s="130">
        <v>45620</v>
      </c>
      <c r="E164" s="129">
        <f>37787+32733.6+7542.9+58.4</f>
        <v>78121.899999999994</v>
      </c>
      <c r="F164" s="130">
        <f t="shared" si="32"/>
        <v>145403.59999999998</v>
      </c>
      <c r="G164" s="129">
        <f>1198.4+1199.7</f>
        <v>2398.1000000000004</v>
      </c>
      <c r="H164" s="1075">
        <f t="shared" si="27"/>
        <v>147801.69999999998</v>
      </c>
      <c r="I164" s="133">
        <v>340352.3</v>
      </c>
      <c r="J164" s="140">
        <f t="shared" si="28"/>
        <v>-192550.6</v>
      </c>
      <c r="K164" s="129">
        <v>127492.8</v>
      </c>
      <c r="L164" s="130">
        <v>137165.5</v>
      </c>
      <c r="M164" s="1">
        <f t="shared" si="29"/>
        <v>-9672.6999999999971</v>
      </c>
      <c r="N164" s="130">
        <v>0</v>
      </c>
      <c r="O164" s="130">
        <v>0</v>
      </c>
      <c r="P164" s="1">
        <f t="shared" si="30"/>
        <v>0</v>
      </c>
      <c r="Q164" s="128">
        <f t="shared" si="31"/>
        <v>-202223.3</v>
      </c>
      <c r="R164" s="139"/>
    </row>
    <row r="165" spans="1:18">
      <c r="A165" s="113" t="s">
        <v>47</v>
      </c>
      <c r="B165" s="128">
        <v>2139.1999999999998</v>
      </c>
      <c r="C165" s="129">
        <v>16443.5</v>
      </c>
      <c r="D165" s="130">
        <v>45578.3</v>
      </c>
      <c r="E165" s="129">
        <f>45022.7+37687.8+5899.2+58.7</f>
        <v>88668.4</v>
      </c>
      <c r="F165" s="130">
        <f t="shared" si="32"/>
        <v>152829.4</v>
      </c>
      <c r="G165" s="129">
        <f>1198.4+3365.7</f>
        <v>4564.1000000000004</v>
      </c>
      <c r="H165" s="1075">
        <f t="shared" si="27"/>
        <v>157393.5</v>
      </c>
      <c r="I165" s="133">
        <v>338994.5</v>
      </c>
      <c r="J165" s="140">
        <f t="shared" si="28"/>
        <v>-181601</v>
      </c>
      <c r="K165" s="129">
        <v>129120.3</v>
      </c>
      <c r="L165" s="130">
        <v>139965.1</v>
      </c>
      <c r="M165" s="1">
        <f t="shared" si="29"/>
        <v>-10844.800000000003</v>
      </c>
      <c r="N165" s="130">
        <v>0</v>
      </c>
      <c r="O165" s="130">
        <v>0</v>
      </c>
      <c r="P165" s="1">
        <f t="shared" si="30"/>
        <v>0</v>
      </c>
      <c r="Q165" s="128">
        <f t="shared" si="31"/>
        <v>-192445.8</v>
      </c>
      <c r="R165" s="139"/>
    </row>
    <row r="166" spans="1:18">
      <c r="A166" s="113" t="s">
        <v>48</v>
      </c>
      <c r="B166" s="128">
        <v>2069.5</v>
      </c>
      <c r="C166" s="129">
        <v>16216.6</v>
      </c>
      <c r="D166" s="130">
        <v>45461.7</v>
      </c>
      <c r="E166" s="129">
        <f>49545.6+32854.7+2563.2+74.2</f>
        <v>85037.699999999983</v>
      </c>
      <c r="F166" s="130">
        <f t="shared" si="32"/>
        <v>148785.49999999997</v>
      </c>
      <c r="G166" s="129">
        <f>4487.8+1198.4</f>
        <v>5686.2000000000007</v>
      </c>
      <c r="H166" s="1075">
        <f t="shared" si="27"/>
        <v>154471.69999999998</v>
      </c>
      <c r="I166" s="133">
        <v>336106.5</v>
      </c>
      <c r="J166" s="140">
        <f t="shared" si="28"/>
        <v>-181634.80000000002</v>
      </c>
      <c r="K166" s="129">
        <v>127832.20000000001</v>
      </c>
      <c r="L166" s="130">
        <v>142544.6</v>
      </c>
      <c r="M166" s="1">
        <f t="shared" si="29"/>
        <v>-14712.399999999994</v>
      </c>
      <c r="N166" s="130">
        <v>0</v>
      </c>
      <c r="O166" s="130">
        <v>0</v>
      </c>
      <c r="P166" s="1">
        <f t="shared" si="30"/>
        <v>0</v>
      </c>
      <c r="Q166" s="128">
        <f t="shared" si="31"/>
        <v>-196347.2</v>
      </c>
      <c r="R166" s="139"/>
    </row>
    <row r="167" spans="1:18">
      <c r="A167" s="113" t="s">
        <v>49</v>
      </c>
      <c r="B167" s="128">
        <v>1959.7</v>
      </c>
      <c r="C167" s="129">
        <v>19424</v>
      </c>
      <c r="D167" s="130">
        <v>44934.8</v>
      </c>
      <c r="E167" s="129">
        <f>45102.2+30130.8+890.7+8587.8</f>
        <v>84711.5</v>
      </c>
      <c r="F167" s="130">
        <f t="shared" si="32"/>
        <v>151030</v>
      </c>
      <c r="G167" s="129">
        <f>4239.4+1198.4</f>
        <v>5437.7999999999993</v>
      </c>
      <c r="H167" s="1075">
        <f t="shared" si="27"/>
        <v>156467.79999999999</v>
      </c>
      <c r="I167" s="133">
        <v>330545.8</v>
      </c>
      <c r="J167" s="140">
        <f t="shared" si="28"/>
        <v>-174078</v>
      </c>
      <c r="K167" s="129">
        <v>143745.9</v>
      </c>
      <c r="L167" s="130">
        <v>150685.4</v>
      </c>
      <c r="M167" s="1">
        <f t="shared" si="29"/>
        <v>-6939.5</v>
      </c>
      <c r="N167" s="130">
        <v>0</v>
      </c>
      <c r="O167" s="130">
        <v>0</v>
      </c>
      <c r="P167" s="1">
        <f t="shared" si="30"/>
        <v>0</v>
      </c>
      <c r="Q167" s="128">
        <f t="shared" si="31"/>
        <v>-181017.5</v>
      </c>
      <c r="R167" s="139"/>
    </row>
    <row r="168" spans="1:18">
      <c r="A168" s="113" t="s">
        <v>50</v>
      </c>
      <c r="B168" s="128">
        <v>1893.1</v>
      </c>
      <c r="C168" s="129">
        <v>19330.2</v>
      </c>
      <c r="D168" s="130">
        <v>44971.7</v>
      </c>
      <c r="E168" s="129">
        <f>54356.4+39503.8+894.5+61.3</f>
        <v>94816.000000000015</v>
      </c>
      <c r="F168" s="130">
        <f t="shared" si="32"/>
        <v>161011</v>
      </c>
      <c r="G168" s="129">
        <f>4225.3+1198.4</f>
        <v>5423.7000000000007</v>
      </c>
      <c r="H168" s="1075">
        <f t="shared" si="27"/>
        <v>166434.70000000001</v>
      </c>
      <c r="I168" s="133">
        <v>328508.5</v>
      </c>
      <c r="J168" s="140">
        <f t="shared" si="28"/>
        <v>-162073.79999999999</v>
      </c>
      <c r="K168" s="129">
        <v>125486.1</v>
      </c>
      <c r="L168" s="130">
        <v>139935.4</v>
      </c>
      <c r="M168" s="1">
        <f t="shared" si="29"/>
        <v>-14449.299999999988</v>
      </c>
      <c r="N168" s="130">
        <v>0</v>
      </c>
      <c r="O168" s="130">
        <v>0</v>
      </c>
      <c r="P168" s="1">
        <f t="shared" si="30"/>
        <v>0</v>
      </c>
      <c r="Q168" s="128">
        <f t="shared" si="31"/>
        <v>-176523.09999999998</v>
      </c>
      <c r="R168" s="139"/>
    </row>
    <row r="169" spans="1:18">
      <c r="A169" s="113"/>
      <c r="B169" s="128"/>
      <c r="C169" s="129"/>
      <c r="D169" s="130"/>
      <c r="E169" s="129"/>
      <c r="F169" s="130"/>
      <c r="G169" s="129"/>
      <c r="H169" s="1075"/>
      <c r="I169" s="133"/>
      <c r="J169" s="140"/>
      <c r="K169" s="129"/>
      <c r="L169" s="130"/>
      <c r="M169" s="1"/>
      <c r="N169" s="130"/>
      <c r="O169" s="130"/>
      <c r="P169" s="1"/>
      <c r="Q169" s="128"/>
      <c r="R169" s="139"/>
    </row>
    <row r="170" spans="1:18">
      <c r="A170" s="113" t="s">
        <v>36</v>
      </c>
      <c r="B170" s="128">
        <v>1967.6</v>
      </c>
      <c r="C170" s="129">
        <v>13405</v>
      </c>
      <c r="D170" s="130">
        <v>45512.9</v>
      </c>
      <c r="E170" s="129">
        <f>62.1+63385+48295.4+1548.3</f>
        <v>113290.8</v>
      </c>
      <c r="F170" s="130">
        <f t="shared" si="32"/>
        <v>174176.3</v>
      </c>
      <c r="G170" s="129">
        <f>15679.6+1198.4</f>
        <v>16878</v>
      </c>
      <c r="H170" s="1075">
        <f t="shared" si="27"/>
        <v>191054.3</v>
      </c>
      <c r="I170" s="133">
        <v>331895</v>
      </c>
      <c r="J170" s="140">
        <f t="shared" si="28"/>
        <v>-140840.70000000001</v>
      </c>
      <c r="K170" s="129">
        <v>119719.5</v>
      </c>
      <c r="L170" s="130">
        <v>145736.79999999999</v>
      </c>
      <c r="M170" s="1">
        <f t="shared" ref="M170:M189" si="33">K170-L170</f>
        <v>-26017.299999999988</v>
      </c>
      <c r="N170" s="130">
        <v>0</v>
      </c>
      <c r="O170" s="130">
        <v>0</v>
      </c>
      <c r="P170" s="1">
        <f t="shared" ref="P170:P189" si="34">N170-O170</f>
        <v>0</v>
      </c>
      <c r="Q170" s="128">
        <f t="shared" si="31"/>
        <v>-166858</v>
      </c>
      <c r="R170" s="139"/>
    </row>
    <row r="171" spans="1:18">
      <c r="A171" s="113" t="s">
        <v>37</v>
      </c>
      <c r="B171" s="128">
        <v>2060.8000000000002</v>
      </c>
      <c r="C171" s="129">
        <v>10280.299999999999</v>
      </c>
      <c r="D171" s="130">
        <v>45495</v>
      </c>
      <c r="E171" s="129">
        <f>71452.6+65396.4+62.2</f>
        <v>136911.20000000001</v>
      </c>
      <c r="F171" s="130">
        <f t="shared" si="32"/>
        <v>194747.30000000002</v>
      </c>
      <c r="G171" s="129">
        <f>19349.9+1198.4</f>
        <v>20548.300000000003</v>
      </c>
      <c r="H171" s="1075">
        <f t="shared" si="27"/>
        <v>215295.60000000003</v>
      </c>
      <c r="I171" s="133">
        <v>331462.59999999998</v>
      </c>
      <c r="J171" s="140">
        <f t="shared" si="28"/>
        <v>-116166.99999999994</v>
      </c>
      <c r="K171" s="129">
        <v>121679.2</v>
      </c>
      <c r="L171" s="130">
        <v>151954.29999999999</v>
      </c>
      <c r="M171" s="1">
        <f t="shared" si="33"/>
        <v>-30275.099999999991</v>
      </c>
      <c r="N171" s="130">
        <v>0</v>
      </c>
      <c r="O171" s="130">
        <v>0</v>
      </c>
      <c r="P171" s="1">
        <f t="shared" si="34"/>
        <v>0</v>
      </c>
      <c r="Q171" s="128">
        <f t="shared" si="31"/>
        <v>-146442.09999999992</v>
      </c>
      <c r="R171" s="139"/>
    </row>
    <row r="172" spans="1:18">
      <c r="A172" s="113" t="s">
        <v>38</v>
      </c>
      <c r="B172" s="128">
        <v>2063.9</v>
      </c>
      <c r="C172" s="129">
        <v>5656.1</v>
      </c>
      <c r="D172" s="130">
        <v>45880.6</v>
      </c>
      <c r="E172" s="129">
        <f>81375.9+39500.4+241.7</f>
        <v>121117.99999999999</v>
      </c>
      <c r="F172" s="130">
        <f t="shared" si="32"/>
        <v>174718.59999999998</v>
      </c>
      <c r="G172" s="129">
        <f>18875.3+1198.4</f>
        <v>20073.7</v>
      </c>
      <c r="H172" s="1075">
        <f t="shared" si="27"/>
        <v>194792.3</v>
      </c>
      <c r="I172" s="133">
        <v>327928.2</v>
      </c>
      <c r="J172" s="140">
        <f t="shared" si="28"/>
        <v>-133135.90000000002</v>
      </c>
      <c r="K172" s="129">
        <v>118563.4</v>
      </c>
      <c r="L172" s="130">
        <v>150057.70000000001</v>
      </c>
      <c r="M172" s="1">
        <f t="shared" si="33"/>
        <v>-31494.300000000017</v>
      </c>
      <c r="N172" s="130">
        <v>0</v>
      </c>
      <c r="O172" s="130">
        <v>0</v>
      </c>
      <c r="P172" s="1">
        <f t="shared" si="34"/>
        <v>0</v>
      </c>
      <c r="Q172" s="128">
        <f t="shared" si="31"/>
        <v>-164630.20000000004</v>
      </c>
      <c r="R172" s="139"/>
    </row>
    <row r="173" spans="1:18">
      <c r="A173" s="113" t="s">
        <v>602</v>
      </c>
      <c r="B173" s="128">
        <v>2095.6999999999998</v>
      </c>
      <c r="C173" s="129">
        <v>5736.2</v>
      </c>
      <c r="D173" s="130">
        <v>46524.3</v>
      </c>
      <c r="E173" s="129">
        <f>253.5+70101.8+45002</f>
        <v>115357.3</v>
      </c>
      <c r="F173" s="130">
        <f t="shared" si="32"/>
        <v>169713.5</v>
      </c>
      <c r="G173" s="129">
        <f>19201.8+1198.4</f>
        <v>20400.2</v>
      </c>
      <c r="H173" s="1075">
        <f t="shared" si="27"/>
        <v>190113.7</v>
      </c>
      <c r="I173" s="133">
        <v>330300.90000000002</v>
      </c>
      <c r="J173" s="140">
        <f t="shared" si="28"/>
        <v>-140187.20000000001</v>
      </c>
      <c r="K173" s="129">
        <f>129349.7+96.8+65</f>
        <v>129511.5</v>
      </c>
      <c r="L173" s="130">
        <v>152411.79999999999</v>
      </c>
      <c r="M173" s="1">
        <f t="shared" si="33"/>
        <v>-22900.299999999988</v>
      </c>
      <c r="N173" s="130">
        <v>0</v>
      </c>
      <c r="O173" s="130">
        <v>0</v>
      </c>
      <c r="P173" s="1">
        <f t="shared" si="34"/>
        <v>0</v>
      </c>
      <c r="Q173" s="128">
        <f t="shared" si="31"/>
        <v>-163087.5</v>
      </c>
      <c r="R173" s="139"/>
    </row>
    <row r="174" spans="1:18">
      <c r="A174" s="113" t="s">
        <v>606</v>
      </c>
      <c r="B174" s="128">
        <v>2096.6999999999998</v>
      </c>
      <c r="C174" s="129">
        <v>10425.4</v>
      </c>
      <c r="D174" s="130">
        <v>47146.2</v>
      </c>
      <c r="E174" s="129">
        <f>51075+102171.3+297.8</f>
        <v>153544.09999999998</v>
      </c>
      <c r="F174" s="130">
        <f t="shared" si="32"/>
        <v>213212.39999999997</v>
      </c>
      <c r="G174" s="129">
        <f>19710.6+1198.4</f>
        <v>20909</v>
      </c>
      <c r="H174" s="1075">
        <f t="shared" si="27"/>
        <v>234121.39999999997</v>
      </c>
      <c r="I174" s="133">
        <v>338545.9</v>
      </c>
      <c r="J174" s="140">
        <f t="shared" si="28"/>
        <v>-104424.50000000006</v>
      </c>
      <c r="K174" s="129">
        <f>151278.7+96.8+55.5</f>
        <v>151431</v>
      </c>
      <c r="L174" s="130">
        <v>160420.20000000001</v>
      </c>
      <c r="M174" s="1">
        <f t="shared" si="33"/>
        <v>-8989.2000000000116</v>
      </c>
      <c r="N174" s="130">
        <v>0</v>
      </c>
      <c r="O174" s="130">
        <v>0</v>
      </c>
      <c r="P174" s="1">
        <f t="shared" si="34"/>
        <v>0</v>
      </c>
      <c r="Q174" s="128">
        <f t="shared" si="31"/>
        <v>-113413.70000000007</v>
      </c>
      <c r="R174" s="139"/>
    </row>
    <row r="175" spans="1:18">
      <c r="A175" s="113" t="s">
        <v>62</v>
      </c>
      <c r="B175" s="128">
        <v>2081.1</v>
      </c>
      <c r="C175" s="129">
        <v>10543.6</v>
      </c>
      <c r="D175" s="130">
        <v>48011.199999999997</v>
      </c>
      <c r="E175" s="129">
        <f>59073.4+59595.6+153.7</f>
        <v>118822.7</v>
      </c>
      <c r="F175" s="130">
        <f t="shared" si="32"/>
        <v>179458.59999999998</v>
      </c>
      <c r="G175" s="129">
        <f>20170.6+1198.4</f>
        <v>21369</v>
      </c>
      <c r="H175" s="1075">
        <f t="shared" si="27"/>
        <v>200827.59999999998</v>
      </c>
      <c r="I175" s="133">
        <v>341304.6</v>
      </c>
      <c r="J175" s="140">
        <f t="shared" si="28"/>
        <v>-140477</v>
      </c>
      <c r="K175" s="129">
        <f>153758.6+96.8+53.2</f>
        <v>153908.6</v>
      </c>
      <c r="L175" s="130">
        <v>166549</v>
      </c>
      <c r="M175" s="1">
        <f t="shared" si="33"/>
        <v>-12640.399999999994</v>
      </c>
      <c r="N175" s="130">
        <v>0</v>
      </c>
      <c r="O175" s="130">
        <v>0</v>
      </c>
      <c r="P175" s="1">
        <f t="shared" si="34"/>
        <v>0</v>
      </c>
      <c r="Q175" s="128">
        <f t="shared" si="31"/>
        <v>-153117.4</v>
      </c>
      <c r="R175" s="139"/>
    </row>
    <row r="176" spans="1:18">
      <c r="A176" s="113" t="s">
        <v>614</v>
      </c>
      <c r="B176" s="128">
        <v>2127.6999999999998</v>
      </c>
      <c r="C176" s="129">
        <v>2907.1</v>
      </c>
      <c r="D176" s="130">
        <v>48725.7</v>
      </c>
      <c r="E176" s="129">
        <f>37768.8+62356+128.6</f>
        <v>100253.40000000001</v>
      </c>
      <c r="F176" s="130">
        <f t="shared" si="32"/>
        <v>154013.90000000002</v>
      </c>
      <c r="G176" s="129">
        <f>23056.2+1198.4</f>
        <v>24254.600000000002</v>
      </c>
      <c r="H176" s="1075">
        <f t="shared" si="27"/>
        <v>178268.50000000003</v>
      </c>
      <c r="I176" s="133">
        <v>343809.9</v>
      </c>
      <c r="J176" s="140">
        <f t="shared" si="28"/>
        <v>-165541.4</v>
      </c>
      <c r="K176" s="129">
        <f>174493.4+96.8+45.7</f>
        <v>174635.9</v>
      </c>
      <c r="L176" s="130">
        <v>164117.6</v>
      </c>
      <c r="M176" s="1">
        <f t="shared" si="33"/>
        <v>10518.299999999988</v>
      </c>
      <c r="N176" s="130">
        <v>0</v>
      </c>
      <c r="O176" s="130">
        <v>0</v>
      </c>
      <c r="P176" s="1">
        <f t="shared" si="34"/>
        <v>0</v>
      </c>
      <c r="Q176" s="128">
        <f t="shared" si="31"/>
        <v>-155023.1</v>
      </c>
      <c r="R176" s="139"/>
    </row>
    <row r="177" spans="1:18">
      <c r="A177" s="113" t="s">
        <v>620</v>
      </c>
      <c r="B177" s="128">
        <v>2195.6999999999998</v>
      </c>
      <c r="C177" s="129">
        <v>3791.4</v>
      </c>
      <c r="D177" s="130">
        <v>49369.7</v>
      </c>
      <c r="E177" s="129">
        <f>45775.6+76548.4+140.6</f>
        <v>122464.6</v>
      </c>
      <c r="F177" s="130">
        <f t="shared" si="32"/>
        <v>177821.4</v>
      </c>
      <c r="G177" s="129">
        <f>22852+1198.4</f>
        <v>24050.400000000001</v>
      </c>
      <c r="H177" s="1075">
        <f t="shared" si="27"/>
        <v>201871.8</v>
      </c>
      <c r="I177" s="133">
        <v>343249.1</v>
      </c>
      <c r="J177" s="140">
        <f t="shared" si="28"/>
        <v>-141377.29999999999</v>
      </c>
      <c r="K177" s="129">
        <f>138113.1+96.8+50.1</f>
        <v>138260</v>
      </c>
      <c r="L177" s="130">
        <v>174781.7</v>
      </c>
      <c r="M177" s="1">
        <f t="shared" si="33"/>
        <v>-36521.700000000012</v>
      </c>
      <c r="N177" s="130">
        <v>0</v>
      </c>
      <c r="O177" s="130">
        <v>0</v>
      </c>
      <c r="P177" s="1">
        <f t="shared" si="34"/>
        <v>0</v>
      </c>
      <c r="Q177" s="128">
        <f>SUM(J177,M177,P177)</f>
        <v>-177899</v>
      </c>
      <c r="R177" s="139"/>
    </row>
    <row r="178" spans="1:18">
      <c r="A178" s="113" t="s">
        <v>63</v>
      </c>
      <c r="B178" s="128">
        <v>2173.5</v>
      </c>
      <c r="C178" s="129">
        <v>2158.1</v>
      </c>
      <c r="D178" s="130">
        <v>49331.9</v>
      </c>
      <c r="E178" s="129">
        <f>47310.5+73613+138.3</f>
        <v>121061.8</v>
      </c>
      <c r="F178" s="130">
        <f t="shared" si="32"/>
        <v>174725.3</v>
      </c>
      <c r="G178" s="129">
        <f>22804.7+1198.4</f>
        <v>24003.100000000002</v>
      </c>
      <c r="H178" s="1075">
        <f t="shared" si="27"/>
        <v>198728.4</v>
      </c>
      <c r="I178" s="133">
        <v>332752.2</v>
      </c>
      <c r="J178" s="140">
        <f t="shared" si="28"/>
        <v>-134023.80000000002</v>
      </c>
      <c r="K178" s="129">
        <f>47.5+96.8+141625.7</f>
        <v>141770</v>
      </c>
      <c r="L178" s="130">
        <v>184125.7</v>
      </c>
      <c r="M178" s="1">
        <f t="shared" si="33"/>
        <v>-42355.700000000012</v>
      </c>
      <c r="N178" s="130">
        <v>0</v>
      </c>
      <c r="O178" s="130">
        <v>0</v>
      </c>
      <c r="P178" s="1">
        <f t="shared" si="34"/>
        <v>0</v>
      </c>
      <c r="Q178" s="128">
        <f>SUM(J178,M178,P178)</f>
        <v>-176379.50000000003</v>
      </c>
      <c r="R178" s="139"/>
    </row>
    <row r="179" spans="1:18">
      <c r="A179" s="113" t="s">
        <v>632</v>
      </c>
      <c r="B179" s="128">
        <v>2168.1999999999998</v>
      </c>
      <c r="C179" s="129">
        <v>2152.9</v>
      </c>
      <c r="D179" s="130">
        <v>49317.5</v>
      </c>
      <c r="E179" s="129">
        <f>47355+99238.5+131.1</f>
        <v>146724.6</v>
      </c>
      <c r="F179" s="130">
        <f t="shared" si="32"/>
        <v>200363.2</v>
      </c>
      <c r="G179" s="129">
        <f>10960.7+1198.4</f>
        <v>12159.1</v>
      </c>
      <c r="H179" s="1075">
        <f t="shared" si="27"/>
        <v>212522.30000000002</v>
      </c>
      <c r="I179" s="133">
        <v>338942.8</v>
      </c>
      <c r="J179" s="140">
        <f t="shared" si="28"/>
        <v>-126420.49999999997</v>
      </c>
      <c r="K179" s="129">
        <f>177610.9+96.8+41</f>
        <v>177748.69999999998</v>
      </c>
      <c r="L179" s="130">
        <v>165526.39999999999</v>
      </c>
      <c r="M179" s="1">
        <f t="shared" si="33"/>
        <v>12222.299999999988</v>
      </c>
      <c r="N179" s="130">
        <v>0</v>
      </c>
      <c r="O179" s="130">
        <v>0</v>
      </c>
      <c r="P179" s="1">
        <f t="shared" si="34"/>
        <v>0</v>
      </c>
      <c r="Q179" s="128">
        <f>SUM(J179,M179,P179)</f>
        <v>-114198.19999999998</v>
      </c>
      <c r="R179" s="139"/>
    </row>
    <row r="180" spans="1:18">
      <c r="A180" s="113" t="s">
        <v>653</v>
      </c>
      <c r="B180" s="128">
        <v>2187.3000000000002</v>
      </c>
      <c r="C180" s="129">
        <v>1975.4</v>
      </c>
      <c r="D180" s="130">
        <v>49983.4</v>
      </c>
      <c r="E180" s="129">
        <f>28063.7+97121.9+200.6</f>
        <v>125386.2</v>
      </c>
      <c r="F180" s="130">
        <f>SUM(B180:E180)</f>
        <v>179532.3</v>
      </c>
      <c r="G180" s="129">
        <f>10590.4+1198.4</f>
        <v>11788.8</v>
      </c>
      <c r="H180" s="1075">
        <f t="shared" si="27"/>
        <v>191321.09999999998</v>
      </c>
      <c r="I180" s="133">
        <v>336478.4</v>
      </c>
      <c r="J180" s="140">
        <f t="shared" si="28"/>
        <v>-145157.30000000005</v>
      </c>
      <c r="K180" s="129">
        <f>160127.4+96.8+44.5</f>
        <v>160268.69999999998</v>
      </c>
      <c r="L180" s="130">
        <v>159454.70000000001</v>
      </c>
      <c r="M180" s="1">
        <f t="shared" si="33"/>
        <v>813.9999999999709</v>
      </c>
      <c r="N180" s="130">
        <v>0</v>
      </c>
      <c r="O180" s="130">
        <v>0</v>
      </c>
      <c r="P180" s="1">
        <f t="shared" si="34"/>
        <v>0</v>
      </c>
      <c r="Q180" s="128">
        <f>SUM(J180,M180,P180)</f>
        <v>-144343.30000000008</v>
      </c>
      <c r="R180" s="139"/>
    </row>
    <row r="181" spans="1:18">
      <c r="A181" s="113" t="s">
        <v>64</v>
      </c>
      <c r="B181" s="128">
        <v>2211.8000000000002</v>
      </c>
      <c r="C181" s="129">
        <v>1985.5</v>
      </c>
      <c r="D181" s="130">
        <v>49876.800000000003</v>
      </c>
      <c r="E181" s="129">
        <v>126513.5</v>
      </c>
      <c r="F181" s="130">
        <f>SUM(B181:E181)</f>
        <v>180587.6</v>
      </c>
      <c r="G181" s="129">
        <f>12214.2+1198.4</f>
        <v>13412.6</v>
      </c>
      <c r="H181" s="1075">
        <f t="shared" si="27"/>
        <v>194000.2</v>
      </c>
      <c r="I181" s="133">
        <v>338480.6</v>
      </c>
      <c r="J181" s="140">
        <f t="shared" si="28"/>
        <v>-144480.39999999997</v>
      </c>
      <c r="K181" s="129">
        <f>146007.1+96.8+29.1</f>
        <v>146133</v>
      </c>
      <c r="L181" s="130">
        <v>156052.6</v>
      </c>
      <c r="M181" s="1">
        <f t="shared" si="33"/>
        <v>-9919.6000000000058</v>
      </c>
      <c r="N181" s="130">
        <v>0</v>
      </c>
      <c r="O181" s="130">
        <v>0</v>
      </c>
      <c r="P181" s="1">
        <f t="shared" si="34"/>
        <v>0</v>
      </c>
      <c r="Q181" s="128">
        <f>SUM(J181,M181,P181)</f>
        <v>-154399.99999999997</v>
      </c>
      <c r="R181" s="139"/>
    </row>
    <row r="182" spans="1:18">
      <c r="A182" s="113"/>
      <c r="B182" s="128"/>
      <c r="C182" s="129"/>
      <c r="D182" s="130"/>
      <c r="E182" s="129"/>
      <c r="F182" s="130"/>
      <c r="G182" s="129"/>
      <c r="H182" s="1075"/>
      <c r="I182" s="133"/>
      <c r="J182" s="140"/>
      <c r="K182" s="129"/>
      <c r="L182" s="130"/>
      <c r="M182" s="1"/>
      <c r="N182" s="130"/>
      <c r="O182" s="130"/>
      <c r="P182" s="1"/>
      <c r="Q182" s="128"/>
      <c r="R182" s="139"/>
    </row>
    <row r="183" spans="1:18">
      <c r="A183" s="113" t="s">
        <v>671</v>
      </c>
      <c r="B183" s="128">
        <v>2653.6</v>
      </c>
      <c r="C183" s="129">
        <v>12247.2</v>
      </c>
      <c r="D183" s="130">
        <v>51153.599999999999</v>
      </c>
      <c r="E183" s="129">
        <v>95414.900000000009</v>
      </c>
      <c r="F183" s="130">
        <f t="shared" ref="F183:F189" si="35">SUM(B183:E183)</f>
        <v>161469.29999999999</v>
      </c>
      <c r="G183" s="129">
        <f>12879.5+1198.4</f>
        <v>14077.9</v>
      </c>
      <c r="H183" s="1075">
        <f t="shared" si="27"/>
        <v>175547.19999999998</v>
      </c>
      <c r="I183" s="1075">
        <v>340558</v>
      </c>
      <c r="J183" s="140">
        <f t="shared" si="28"/>
        <v>-165010.80000000002</v>
      </c>
      <c r="K183" s="129">
        <f>140997.4+96.8+34.7</f>
        <v>141128.9</v>
      </c>
      <c r="L183" s="130">
        <v>153626.6</v>
      </c>
      <c r="M183" s="1">
        <f t="shared" si="33"/>
        <v>-12497.700000000012</v>
      </c>
      <c r="N183" s="130">
        <v>0</v>
      </c>
      <c r="O183" s="130">
        <v>0</v>
      </c>
      <c r="P183" s="1">
        <f t="shared" si="34"/>
        <v>0</v>
      </c>
      <c r="Q183" s="128">
        <f t="shared" ref="Q183:Q189" si="36">SUM(J183,M183,P183)</f>
        <v>-177508.50000000003</v>
      </c>
      <c r="R183" s="139"/>
    </row>
    <row r="184" spans="1:18">
      <c r="A184" s="113" t="s">
        <v>676</v>
      </c>
      <c r="B184" s="128">
        <v>2256.8000000000002</v>
      </c>
      <c r="C184" s="129">
        <v>7205.2</v>
      </c>
      <c r="D184" s="130">
        <v>51170.6</v>
      </c>
      <c r="E184" s="129">
        <v>122297.59999999999</v>
      </c>
      <c r="F184" s="130">
        <f t="shared" si="35"/>
        <v>182930.19999999998</v>
      </c>
      <c r="G184" s="129">
        <f>18601.5+1198.4</f>
        <v>19799.900000000001</v>
      </c>
      <c r="H184" s="1075">
        <f t="shared" si="27"/>
        <v>202730.09999999998</v>
      </c>
      <c r="I184" s="1075">
        <v>338999.5</v>
      </c>
      <c r="J184" s="140">
        <f t="shared" si="28"/>
        <v>-136269.40000000002</v>
      </c>
      <c r="K184" s="129">
        <f>163754.7+96.8+30.5</f>
        <v>163882</v>
      </c>
      <c r="L184" s="130">
        <v>155919.79999999999</v>
      </c>
      <c r="M184" s="1">
        <f t="shared" si="33"/>
        <v>7962.2000000000116</v>
      </c>
      <c r="N184" s="130">
        <v>0</v>
      </c>
      <c r="O184" s="130">
        <v>0</v>
      </c>
      <c r="P184" s="1">
        <f t="shared" si="34"/>
        <v>0</v>
      </c>
      <c r="Q184" s="128">
        <f t="shared" si="36"/>
        <v>-128307.20000000001</v>
      </c>
      <c r="R184" s="139"/>
    </row>
    <row r="185" spans="1:18">
      <c r="A185" s="113" t="s">
        <v>683</v>
      </c>
      <c r="B185" s="128">
        <v>2631.9</v>
      </c>
      <c r="C185" s="129">
        <v>2190.5</v>
      </c>
      <c r="D185" s="130">
        <v>51595.199999999997</v>
      </c>
      <c r="E185" s="129">
        <v>72076.2</v>
      </c>
      <c r="F185" s="130">
        <f t="shared" si="35"/>
        <v>128493.79999999999</v>
      </c>
      <c r="G185" s="129">
        <f>23947+1198.4</f>
        <v>25145.4</v>
      </c>
      <c r="H185" s="1075">
        <f t="shared" si="27"/>
        <v>153639.19999999998</v>
      </c>
      <c r="I185" s="1075">
        <v>334143.8</v>
      </c>
      <c r="J185" s="140">
        <f t="shared" si="28"/>
        <v>-180504.6</v>
      </c>
      <c r="K185" s="129">
        <f>169396.4+96.8+33.6</f>
        <v>169526.8</v>
      </c>
      <c r="L185" s="130">
        <v>158712.29999999999</v>
      </c>
      <c r="M185" s="1">
        <f t="shared" si="33"/>
        <v>10814.5</v>
      </c>
      <c r="N185" s="130">
        <v>0</v>
      </c>
      <c r="O185" s="130">
        <v>0</v>
      </c>
      <c r="P185" s="1">
        <f t="shared" si="34"/>
        <v>0</v>
      </c>
      <c r="Q185" s="128">
        <f t="shared" si="36"/>
        <v>-169690.1</v>
      </c>
      <c r="R185" s="139"/>
    </row>
    <row r="186" spans="1:18">
      <c r="A186" s="113" t="s">
        <v>42</v>
      </c>
      <c r="B186" s="128">
        <v>2264.5</v>
      </c>
      <c r="C186" s="129">
        <v>2165.4</v>
      </c>
      <c r="D186" s="130">
        <v>51206.1</v>
      </c>
      <c r="E186" s="129">
        <v>98268.900000000009</v>
      </c>
      <c r="F186" s="130">
        <f t="shared" si="35"/>
        <v>153904.90000000002</v>
      </c>
      <c r="G186" s="129">
        <f>23015.2+1198.4</f>
        <v>24213.600000000002</v>
      </c>
      <c r="H186" s="1075">
        <f t="shared" si="27"/>
        <v>178118.50000000003</v>
      </c>
      <c r="I186" s="1075">
        <v>330829.40000000002</v>
      </c>
      <c r="J186" s="140">
        <f t="shared" si="28"/>
        <v>-152710.9</v>
      </c>
      <c r="K186" s="129">
        <f>156802.5+96.8+31.1</f>
        <v>156930.4</v>
      </c>
      <c r="L186" s="130">
        <v>161703.89999999997</v>
      </c>
      <c r="M186" s="1">
        <f t="shared" si="33"/>
        <v>-4773.4999999999709</v>
      </c>
      <c r="N186" s="130">
        <v>0</v>
      </c>
      <c r="O186" s="130">
        <v>0</v>
      </c>
      <c r="P186" s="1">
        <f t="shared" si="34"/>
        <v>0</v>
      </c>
      <c r="Q186" s="128">
        <f t="shared" si="36"/>
        <v>-157484.39999999997</v>
      </c>
      <c r="R186" s="139"/>
    </row>
    <row r="187" spans="1:18">
      <c r="A187" s="113" t="s">
        <v>43</v>
      </c>
      <c r="B187" s="128">
        <v>2243.6</v>
      </c>
      <c r="C187" s="129">
        <v>6866.4</v>
      </c>
      <c r="D187" s="130">
        <v>50052.4</v>
      </c>
      <c r="E187" s="129">
        <v>72148.5</v>
      </c>
      <c r="F187" s="130">
        <f t="shared" si="35"/>
        <v>131310.9</v>
      </c>
      <c r="G187" s="129">
        <f>20528.5+1198.4</f>
        <v>21726.9</v>
      </c>
      <c r="H187" s="1075">
        <f t="shared" si="27"/>
        <v>153037.79999999999</v>
      </c>
      <c r="I187" s="1075">
        <v>325789.2</v>
      </c>
      <c r="J187" s="140">
        <f t="shared" si="28"/>
        <v>-172751.40000000002</v>
      </c>
      <c r="K187" s="129">
        <f>154391.3+96.8+27.6</f>
        <v>154515.69999999998</v>
      </c>
      <c r="L187" s="130">
        <v>156873.4</v>
      </c>
      <c r="M187" s="1">
        <f t="shared" si="33"/>
        <v>-2357.7000000000116</v>
      </c>
      <c r="N187" s="130">
        <v>0</v>
      </c>
      <c r="O187" s="130">
        <v>0</v>
      </c>
      <c r="P187" s="1">
        <f t="shared" si="34"/>
        <v>0</v>
      </c>
      <c r="Q187" s="128">
        <f t="shared" si="36"/>
        <v>-175109.10000000003</v>
      </c>
      <c r="R187" s="139"/>
    </row>
    <row r="188" spans="1:18">
      <c r="A188" s="113" t="s">
        <v>44</v>
      </c>
      <c r="B188" s="128">
        <v>2509.6999999999998</v>
      </c>
      <c r="C188" s="129">
        <v>6825.3</v>
      </c>
      <c r="D188" s="130">
        <v>54472.800000000003</v>
      </c>
      <c r="E188" s="129">
        <v>70773.5</v>
      </c>
      <c r="F188" s="130">
        <f t="shared" si="35"/>
        <v>134581.29999999999</v>
      </c>
      <c r="G188" s="129">
        <f>17785.1+1198.4</f>
        <v>18983.5</v>
      </c>
      <c r="H188" s="1075">
        <f t="shared" si="27"/>
        <v>153564.79999999999</v>
      </c>
      <c r="I188" s="1075">
        <v>328843.90000000002</v>
      </c>
      <c r="J188" s="140">
        <f t="shared" si="28"/>
        <v>-175279.10000000003</v>
      </c>
      <c r="K188" s="129">
        <f>172184.7+96.8+33.4</f>
        <v>172314.9</v>
      </c>
      <c r="L188" s="130">
        <v>198291.5</v>
      </c>
      <c r="M188" s="1">
        <f t="shared" si="33"/>
        <v>-25976.600000000006</v>
      </c>
      <c r="N188" s="130">
        <v>0</v>
      </c>
      <c r="O188" s="130">
        <v>0</v>
      </c>
      <c r="P188" s="1">
        <f t="shared" si="34"/>
        <v>0</v>
      </c>
      <c r="Q188" s="128">
        <f t="shared" si="36"/>
        <v>-201255.70000000004</v>
      </c>
      <c r="R188" s="139"/>
    </row>
    <row r="189" spans="1:18" s="1051" customFormat="1">
      <c r="A189" s="1059" t="s">
        <v>619</v>
      </c>
      <c r="B189" s="128">
        <v>2103.1</v>
      </c>
      <c r="C189" s="129">
        <v>6825.6</v>
      </c>
      <c r="D189" s="130">
        <v>50218.400000000001</v>
      </c>
      <c r="E189" s="129">
        <v>67830.899999999994</v>
      </c>
      <c r="F189" s="130">
        <f t="shared" si="35"/>
        <v>126978</v>
      </c>
      <c r="G189" s="129">
        <f>14597.8+1198.4</f>
        <v>15796.199999999999</v>
      </c>
      <c r="H189" s="1075">
        <f t="shared" si="27"/>
        <v>142774.20000000001</v>
      </c>
      <c r="I189" s="1075">
        <v>317759.3</v>
      </c>
      <c r="J189" s="140">
        <f t="shared" si="28"/>
        <v>-174985.09999999998</v>
      </c>
      <c r="K189" s="129">
        <f>158214.6+96.8+46.5</f>
        <v>158357.9</v>
      </c>
      <c r="L189" s="130">
        <v>183027.7</v>
      </c>
      <c r="M189" s="1">
        <f t="shared" si="33"/>
        <v>-24669.800000000017</v>
      </c>
      <c r="N189" s="130">
        <v>0</v>
      </c>
      <c r="O189" s="130">
        <v>0</v>
      </c>
      <c r="P189" s="1">
        <f t="shared" si="34"/>
        <v>0</v>
      </c>
      <c r="Q189" s="128">
        <f t="shared" si="36"/>
        <v>-199654.9</v>
      </c>
      <c r="R189" s="1040"/>
    </row>
    <row r="190" spans="1:18">
      <c r="A190" s="113"/>
      <c r="B190" s="147"/>
      <c r="C190" s="147"/>
      <c r="D190" s="147"/>
      <c r="E190" s="147"/>
      <c r="F190" s="147"/>
      <c r="G190" s="129"/>
      <c r="H190" s="131"/>
      <c r="I190" s="133"/>
      <c r="J190" s="140"/>
      <c r="K190" s="129"/>
      <c r="L190" s="130"/>
      <c r="M190" s="1"/>
      <c r="N190" s="130"/>
      <c r="O190" s="130"/>
      <c r="P190" s="1"/>
      <c r="Q190" s="128"/>
      <c r="R190" s="139"/>
    </row>
    <row r="191" spans="1:18">
      <c r="A191" s="148"/>
      <c r="B191" s="96"/>
      <c r="C191" s="96"/>
      <c r="D191" s="96"/>
      <c r="E191" s="96"/>
      <c r="F191" s="96"/>
      <c r="G191" s="96"/>
      <c r="H191" s="96"/>
      <c r="I191" s="149"/>
      <c r="J191" s="96"/>
      <c r="K191" s="96"/>
      <c r="L191" s="96"/>
      <c r="M191" s="150"/>
      <c r="N191" s="96"/>
      <c r="O191" s="96"/>
      <c r="P191" s="150"/>
      <c r="Q191" s="98"/>
    </row>
    <row r="192" spans="1:18">
      <c r="A192" s="270" t="s">
        <v>658</v>
      </c>
      <c r="B192" s="76"/>
      <c r="C192" s="76"/>
      <c r="D192" s="76"/>
      <c r="E192" s="76"/>
      <c r="F192" s="76"/>
      <c r="G192" s="76"/>
      <c r="H192" s="76"/>
      <c r="I192" s="77"/>
      <c r="J192" s="76"/>
      <c r="K192" s="76"/>
      <c r="L192" s="76"/>
      <c r="M192" s="78"/>
      <c r="N192" s="76"/>
      <c r="O192" s="76"/>
      <c r="P192" s="78"/>
      <c r="Q192" s="79"/>
    </row>
  </sheetData>
  <mergeCells count="6">
    <mergeCell ref="K7:M7"/>
    <mergeCell ref="A3:Q3"/>
    <mergeCell ref="A4:Q4"/>
    <mergeCell ref="B12:F12"/>
    <mergeCell ref="B7:J7"/>
    <mergeCell ref="N7:P7"/>
  </mergeCells>
  <phoneticPr fontId="0" type="noConversion"/>
  <printOptions horizontalCentered="1" verticalCentered="1" gridLinesSet="0"/>
  <pageMargins left="0.47244094488188981" right="0.39370078740157483" top="0.51181102362204722" bottom="0.51181102362204722" header="0.51181102362204722" footer="0.51181102362204722"/>
  <pageSetup paperSize="9" scale="47" orientation="landscape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6"/>
  <sheetViews>
    <sheetView showGridLines="0" view="pageBreakPreview" topLeftCell="A4" zoomScale="80" zoomScaleNormal="100" zoomScaleSheetLayoutView="80" workbookViewId="0">
      <pane xSplit="1" ySplit="9" topLeftCell="F173" activePane="bottomRight" state="frozen"/>
      <selection activeCell="A4" sqref="A4"/>
      <selection pane="topRight" activeCell="B4" sqref="B4"/>
      <selection pane="bottomLeft" activeCell="A13" sqref="A13"/>
      <selection pane="bottomRight" activeCell="A48" sqref="A48:XFD157"/>
    </sheetView>
  </sheetViews>
  <sheetFormatPr defaultColWidth="11.5546875" defaultRowHeight="12.75"/>
  <cols>
    <col min="1" max="1" width="16.5546875" style="145" customWidth="1"/>
    <col min="2" max="2" width="10.88671875" style="476" bestFit="1" customWidth="1"/>
    <col min="3" max="3" width="10.109375" style="476" bestFit="1" customWidth="1"/>
    <col min="4" max="4" width="10.6640625" style="476" bestFit="1" customWidth="1"/>
    <col min="5" max="5" width="10.44140625" style="476" bestFit="1" customWidth="1"/>
    <col min="6" max="6" width="9.33203125" style="476" bestFit="1" customWidth="1"/>
    <col min="7" max="7" width="9" style="476" bestFit="1" customWidth="1"/>
    <col min="8" max="8" width="8.109375" style="476" bestFit="1" customWidth="1"/>
    <col min="9" max="9" width="10.44140625" style="476" bestFit="1" customWidth="1"/>
    <col min="10" max="10" width="10.44140625" style="477" bestFit="1" customWidth="1"/>
    <col min="11" max="11" width="10.44140625" style="476" bestFit="1" customWidth="1"/>
    <col min="12" max="12" width="10.109375" style="476" bestFit="1" customWidth="1"/>
    <col min="13" max="13" width="10.44140625" style="476" bestFit="1" customWidth="1"/>
    <col min="14" max="14" width="9.88671875" style="476" bestFit="1" customWidth="1"/>
    <col min="15" max="15" width="13.6640625" style="478" hidden="1" customWidth="1"/>
    <col min="16" max="16" width="10.88671875" style="476" bestFit="1" customWidth="1"/>
    <col min="17" max="17" width="8.77734375" style="230" bestFit="1" customWidth="1"/>
    <col min="18" max="18" width="11.21875" style="476" bestFit="1" customWidth="1"/>
    <col min="19" max="19" width="10.44140625" style="476" bestFit="1" customWidth="1"/>
    <col min="20" max="20" width="12" style="476" bestFit="1" customWidth="1"/>
    <col min="21" max="21" width="12.109375" style="476" bestFit="1" customWidth="1"/>
    <col min="22" max="16384" width="11.5546875" style="145"/>
  </cols>
  <sheetData>
    <row r="1" spans="1:23">
      <c r="A1" s="412" t="s">
        <v>0</v>
      </c>
      <c r="B1" s="413"/>
      <c r="C1" s="414"/>
      <c r="D1" s="414"/>
      <c r="E1" s="414"/>
      <c r="F1" s="414"/>
      <c r="G1" s="414"/>
      <c r="H1" s="414"/>
      <c r="I1" s="414"/>
      <c r="J1" s="415"/>
      <c r="K1" s="414"/>
      <c r="L1" s="414"/>
      <c r="M1" s="414"/>
      <c r="N1" s="414"/>
      <c r="O1" s="416"/>
      <c r="P1" s="414"/>
      <c r="Q1" s="158"/>
      <c r="R1" s="414"/>
      <c r="S1" s="414"/>
      <c r="T1" s="414"/>
      <c r="U1" s="99"/>
    </row>
    <row r="2" spans="1:23">
      <c r="A2" s="417"/>
      <c r="B2" s="1230" t="s">
        <v>311</v>
      </c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  <c r="N2" s="1231"/>
      <c r="O2" s="1231"/>
      <c r="P2" s="1231"/>
      <c r="Q2" s="1231"/>
      <c r="R2" s="1231"/>
      <c r="S2" s="1231"/>
      <c r="T2" s="1231"/>
      <c r="U2" s="418" t="s">
        <v>230</v>
      </c>
    </row>
    <row r="3" spans="1:23">
      <c r="A3" s="419"/>
      <c r="B3" s="419"/>
      <c r="C3" s="77"/>
      <c r="D3" s="77"/>
      <c r="E3" s="77"/>
      <c r="F3" s="77"/>
      <c r="G3" s="77"/>
      <c r="H3" s="77"/>
      <c r="I3" s="77"/>
      <c r="J3" s="420"/>
      <c r="K3" s="77"/>
      <c r="L3" s="77"/>
      <c r="M3" s="77"/>
      <c r="N3" s="77"/>
      <c r="O3" s="342"/>
      <c r="P3" s="77"/>
      <c r="Q3" s="190"/>
      <c r="R3" s="77"/>
      <c r="S3" s="77"/>
      <c r="T3" s="77"/>
      <c r="U3" s="276"/>
    </row>
    <row r="4" spans="1:23">
      <c r="A4" s="278"/>
      <c r="B4" s="413"/>
      <c r="C4" s="414"/>
      <c r="D4" s="414"/>
      <c r="E4" s="149"/>
      <c r="F4" s="414"/>
      <c r="G4" s="414"/>
      <c r="H4" s="414"/>
      <c r="I4" s="421"/>
      <c r="J4" s="422"/>
      <c r="K4" s="414"/>
      <c r="L4" s="414"/>
      <c r="M4" s="414"/>
      <c r="N4" s="414"/>
      <c r="O4" s="416"/>
      <c r="P4" s="414"/>
      <c r="Q4" s="158"/>
      <c r="R4" s="414"/>
      <c r="S4" s="423"/>
      <c r="T4" s="424"/>
      <c r="U4" s="425"/>
    </row>
    <row r="5" spans="1:23" ht="15.75" customHeight="1">
      <c r="A5" s="426" t="s">
        <v>327</v>
      </c>
      <c r="B5" s="1230" t="s">
        <v>287</v>
      </c>
      <c r="C5" s="1231"/>
      <c r="D5" s="1231"/>
      <c r="E5" s="1231"/>
      <c r="F5" s="1231"/>
      <c r="G5" s="1231"/>
      <c r="H5" s="1231"/>
      <c r="I5" s="1232"/>
      <c r="J5" s="1230" t="s">
        <v>288</v>
      </c>
      <c r="K5" s="1231"/>
      <c r="L5" s="1231"/>
      <c r="M5" s="1231"/>
      <c r="N5" s="1231"/>
      <c r="O5" s="1231"/>
      <c r="P5" s="1231"/>
      <c r="Q5" s="1231"/>
      <c r="R5" s="1231"/>
      <c r="S5" s="1232"/>
      <c r="T5" s="317" t="s">
        <v>289</v>
      </c>
      <c r="U5" s="317" t="s">
        <v>290</v>
      </c>
    </row>
    <row r="6" spans="1:23">
      <c r="A6" s="426"/>
      <c r="B6" s="427"/>
      <c r="C6" s="428"/>
      <c r="D6" s="428"/>
      <c r="E6" s="428"/>
      <c r="F6" s="428"/>
      <c r="G6" s="428"/>
      <c r="H6" s="428"/>
      <c r="I6" s="429"/>
      <c r="J6" s="430"/>
      <c r="K6" s="428"/>
      <c r="L6" s="428"/>
      <c r="M6" s="428"/>
      <c r="N6" s="428"/>
      <c r="O6" s="431"/>
      <c r="P6" s="428"/>
      <c r="Q6" s="166"/>
      <c r="R6" s="428"/>
      <c r="S6" s="429"/>
      <c r="T6" s="317" t="s">
        <v>290</v>
      </c>
      <c r="U6" s="317" t="s">
        <v>291</v>
      </c>
    </row>
    <row r="7" spans="1:23">
      <c r="A7" s="426"/>
      <c r="B7" s="432"/>
      <c r="C7" s="414"/>
      <c r="D7" s="424"/>
      <c r="E7" s="424"/>
      <c r="F7" s="413"/>
      <c r="G7" s="424"/>
      <c r="H7" s="424"/>
      <c r="I7" s="433"/>
      <c r="J7" s="422"/>
      <c r="K7" s="424"/>
      <c r="L7" s="424"/>
      <c r="M7" s="413"/>
      <c r="N7" s="424"/>
      <c r="O7" s="434"/>
      <c r="P7" s="423"/>
      <c r="Q7" s="435"/>
      <c r="R7" s="424"/>
      <c r="S7" s="424"/>
      <c r="T7" s="317" t="s">
        <v>292</v>
      </c>
      <c r="U7" s="436"/>
    </row>
    <row r="8" spans="1:23">
      <c r="A8" s="437"/>
      <c r="B8" s="142" t="s">
        <v>293</v>
      </c>
      <c r="C8" s="438" t="s">
        <v>294</v>
      </c>
      <c r="D8" s="283" t="s">
        <v>217</v>
      </c>
      <c r="E8" s="283" t="s">
        <v>111</v>
      </c>
      <c r="F8" s="438" t="s">
        <v>108</v>
      </c>
      <c r="G8" s="283" t="s">
        <v>144</v>
      </c>
      <c r="H8" s="283" t="s">
        <v>295</v>
      </c>
      <c r="I8" s="439" t="s">
        <v>74</v>
      </c>
      <c r="J8" s="440" t="s">
        <v>296</v>
      </c>
      <c r="K8" s="283" t="s">
        <v>297</v>
      </c>
      <c r="L8" s="283" t="s">
        <v>107</v>
      </c>
      <c r="M8" s="441" t="s">
        <v>107</v>
      </c>
      <c r="N8" s="283" t="s">
        <v>107</v>
      </c>
      <c r="O8" s="442" t="s">
        <v>70</v>
      </c>
      <c r="P8" s="443" t="s">
        <v>107</v>
      </c>
      <c r="Q8" s="194" t="s">
        <v>130</v>
      </c>
      <c r="R8" s="283" t="s">
        <v>298</v>
      </c>
      <c r="S8" s="444" t="s">
        <v>74</v>
      </c>
      <c r="T8" s="142"/>
      <c r="U8" s="142"/>
    </row>
    <row r="9" spans="1:23">
      <c r="A9" s="426"/>
      <c r="B9" s="142" t="s">
        <v>231</v>
      </c>
      <c r="C9" s="445" t="s">
        <v>274</v>
      </c>
      <c r="D9" s="283" t="s">
        <v>128</v>
      </c>
      <c r="E9" s="283" t="s">
        <v>299</v>
      </c>
      <c r="F9" s="438" t="s">
        <v>300</v>
      </c>
      <c r="G9" s="283" t="s">
        <v>143</v>
      </c>
      <c r="H9" s="283" t="s">
        <v>301</v>
      </c>
      <c r="I9" s="446"/>
      <c r="J9" s="440" t="s">
        <v>28</v>
      </c>
      <c r="K9" s="283" t="s">
        <v>302</v>
      </c>
      <c r="L9" s="283" t="s">
        <v>303</v>
      </c>
      <c r="M9" s="441" t="s">
        <v>304</v>
      </c>
      <c r="N9" s="283" t="s">
        <v>305</v>
      </c>
      <c r="O9" s="442" t="s">
        <v>72</v>
      </c>
      <c r="P9" s="443" t="s">
        <v>306</v>
      </c>
      <c r="Q9" s="194" t="s">
        <v>307</v>
      </c>
      <c r="R9" s="436"/>
      <c r="S9" s="447"/>
      <c r="T9" s="448"/>
      <c r="U9" s="448"/>
    </row>
    <row r="10" spans="1:23">
      <c r="A10" s="426"/>
      <c r="B10" s="142" t="s">
        <v>308</v>
      </c>
      <c r="C10" s="449"/>
      <c r="D10" s="450"/>
      <c r="E10" s="283" t="s">
        <v>175</v>
      </c>
      <c r="F10" s="438" t="s">
        <v>142</v>
      </c>
      <c r="G10" s="283" t="s">
        <v>128</v>
      </c>
      <c r="H10" s="436" t="s">
        <v>0</v>
      </c>
      <c r="I10" s="433"/>
      <c r="J10" s="440"/>
      <c r="K10" s="283" t="s">
        <v>251</v>
      </c>
      <c r="L10" s="283" t="s">
        <v>236</v>
      </c>
      <c r="M10" s="441" t="s">
        <v>309</v>
      </c>
      <c r="N10" s="283" t="s">
        <v>300</v>
      </c>
      <c r="O10" s="442" t="s">
        <v>76</v>
      </c>
      <c r="P10" s="446"/>
      <c r="Q10" s="194"/>
      <c r="R10" s="436"/>
      <c r="S10" s="436"/>
      <c r="T10" s="436"/>
      <c r="U10" s="436"/>
    </row>
    <row r="11" spans="1:23">
      <c r="A11" s="426" t="s">
        <v>34</v>
      </c>
      <c r="B11" s="436"/>
      <c r="C11" s="449"/>
      <c r="D11" s="450"/>
      <c r="E11" s="283" t="s">
        <v>128</v>
      </c>
      <c r="F11" s="438" t="s">
        <v>128</v>
      </c>
      <c r="G11" s="450"/>
      <c r="H11" s="436" t="s">
        <v>0</v>
      </c>
      <c r="I11" s="433"/>
      <c r="J11" s="451"/>
      <c r="K11" s="436"/>
      <c r="L11" s="436"/>
      <c r="M11" s="283" t="s">
        <v>175</v>
      </c>
      <c r="N11" s="283" t="s">
        <v>109</v>
      </c>
      <c r="O11" s="442"/>
      <c r="P11" s="452"/>
      <c r="Q11" s="210"/>
      <c r="R11" s="436"/>
      <c r="S11" s="436"/>
      <c r="T11" s="436"/>
      <c r="U11" s="436"/>
    </row>
    <row r="12" spans="1:23">
      <c r="A12" s="287"/>
      <c r="B12" s="287"/>
      <c r="C12" s="77"/>
      <c r="D12" s="287"/>
      <c r="E12" s="287"/>
      <c r="F12" s="419"/>
      <c r="G12" s="287"/>
      <c r="H12" s="287"/>
      <c r="I12" s="419"/>
      <c r="J12" s="453"/>
      <c r="K12" s="287"/>
      <c r="L12" s="287"/>
      <c r="M12" s="419"/>
      <c r="N12" s="287"/>
      <c r="O12" s="454"/>
      <c r="P12" s="276"/>
      <c r="Q12" s="455"/>
      <c r="R12" s="287"/>
      <c r="S12" s="287"/>
      <c r="T12" s="287"/>
      <c r="U12" s="287"/>
    </row>
    <row r="13" spans="1:23">
      <c r="A13" s="456"/>
      <c r="B13" s="424"/>
      <c r="C13" s="424"/>
      <c r="D13" s="424"/>
      <c r="E13" s="424"/>
      <c r="F13" s="424"/>
      <c r="G13" s="424"/>
      <c r="H13" s="424"/>
      <c r="I13" s="424"/>
      <c r="J13" s="457"/>
      <c r="K13" s="424"/>
      <c r="L13" s="424"/>
      <c r="M13" s="424"/>
      <c r="N13" s="424"/>
      <c r="O13" s="424"/>
      <c r="P13" s="424"/>
      <c r="Q13" s="435"/>
      <c r="R13" s="424"/>
      <c r="S13" s="424"/>
      <c r="T13" s="424"/>
      <c r="U13" s="424"/>
      <c r="W13" s="81"/>
    </row>
    <row r="14" spans="1:23" s="81" customFormat="1" hidden="1">
      <c r="A14" s="458" t="s">
        <v>4</v>
      </c>
      <c r="B14" s="292">
        <v>124230.9</v>
      </c>
      <c r="C14" s="292">
        <v>24965.9</v>
      </c>
      <c r="D14" s="292" t="s">
        <v>88</v>
      </c>
      <c r="E14" s="292">
        <v>1127</v>
      </c>
      <c r="F14" s="292">
        <v>4527.2</v>
      </c>
      <c r="G14" s="292">
        <v>56.9</v>
      </c>
      <c r="H14" s="292">
        <v>1675.3</v>
      </c>
      <c r="I14" s="292" t="e">
        <f>H14+F14+E14+C14+B14+G14+D14</f>
        <v>#VALUE!</v>
      </c>
      <c r="J14" s="200">
        <v>159092.20000000007</v>
      </c>
      <c r="K14" s="292">
        <v>76990.5</v>
      </c>
      <c r="L14" s="292" t="s">
        <v>88</v>
      </c>
      <c r="M14" s="292">
        <v>380.9</v>
      </c>
      <c r="N14" s="292">
        <v>25</v>
      </c>
      <c r="O14" s="292" t="s">
        <v>88</v>
      </c>
      <c r="P14" s="292">
        <v>3901.2000000000003</v>
      </c>
      <c r="Q14" s="460">
        <v>-12000</v>
      </c>
      <c r="R14" s="140">
        <v>-71806.600000000006</v>
      </c>
      <c r="S14" s="292" t="e">
        <f>R14+Q14+P14+N14+M14+L14+K14+J14+O14</f>
        <v>#VALUE!</v>
      </c>
      <c r="T14" s="292">
        <v>482598.3</v>
      </c>
      <c r="U14" s="292" t="e">
        <f t="shared" ref="U14:U22" si="0">T14/I14</f>
        <v>#VALUE!</v>
      </c>
    </row>
    <row r="15" spans="1:23" s="81" customFormat="1" hidden="1">
      <c r="A15" s="458" t="s">
        <v>5</v>
      </c>
      <c r="B15" s="292">
        <v>136206.20000000001</v>
      </c>
      <c r="C15" s="292">
        <v>53891.1</v>
      </c>
      <c r="D15" s="292" t="s">
        <v>88</v>
      </c>
      <c r="E15" s="292">
        <v>1014.1</v>
      </c>
      <c r="F15" s="292">
        <v>6100.8</v>
      </c>
      <c r="G15" s="292">
        <v>29.2</v>
      </c>
      <c r="H15" s="292">
        <v>901.8</v>
      </c>
      <c r="I15" s="292" t="e">
        <f>H15+F15+E15+C15+B15+G15+D15</f>
        <v>#VALUE!</v>
      </c>
      <c r="J15" s="200">
        <v>144966.20000000007</v>
      </c>
      <c r="K15" s="292">
        <v>167752.20000000004</v>
      </c>
      <c r="L15" s="292" t="s">
        <v>88</v>
      </c>
      <c r="M15" s="292">
        <v>380.9</v>
      </c>
      <c r="N15" s="292">
        <v>20</v>
      </c>
      <c r="O15" s="292" t="s">
        <v>88</v>
      </c>
      <c r="P15" s="292">
        <v>4342.7</v>
      </c>
      <c r="Q15" s="460">
        <v>-10000</v>
      </c>
      <c r="R15" s="140">
        <v>-109318.79999999999</v>
      </c>
      <c r="S15" s="292" t="e">
        <f>R15+Q15+P15+N15+M15+L15+K15+J15+O15</f>
        <v>#VALUE!</v>
      </c>
      <c r="T15" s="292">
        <v>565309.9</v>
      </c>
      <c r="U15" s="292" t="e">
        <f t="shared" si="0"/>
        <v>#VALUE!</v>
      </c>
    </row>
    <row r="16" spans="1:23" s="81" customFormat="1" hidden="1">
      <c r="A16" s="458" t="s">
        <v>89</v>
      </c>
      <c r="B16" s="292">
        <v>155835.20000000001</v>
      </c>
      <c r="C16" s="292">
        <v>47450.5</v>
      </c>
      <c r="D16" s="292">
        <v>2738.884497</v>
      </c>
      <c r="E16" s="292">
        <v>1428</v>
      </c>
      <c r="F16" s="292">
        <v>3735.6</v>
      </c>
      <c r="G16" s="292">
        <v>28.6</v>
      </c>
      <c r="H16" s="292">
        <v>422.01550300000008</v>
      </c>
      <c r="I16" s="292">
        <f>H16+F16+E16+C16+B16+G16+D16</f>
        <v>211638.80000000002</v>
      </c>
      <c r="J16" s="154">
        <v>141613.59999999998</v>
      </c>
      <c r="K16" s="292">
        <v>150905.29999999999</v>
      </c>
      <c r="L16" s="292" t="s">
        <v>88</v>
      </c>
      <c r="M16" s="292">
        <v>380.9</v>
      </c>
      <c r="N16" s="292">
        <v>20</v>
      </c>
      <c r="O16" s="292" t="s">
        <v>88</v>
      </c>
      <c r="P16" s="292">
        <v>4671.9999999999991</v>
      </c>
      <c r="Q16" s="460">
        <v>-7000</v>
      </c>
      <c r="R16" s="140">
        <v>-78953</v>
      </c>
      <c r="S16" s="292" t="e">
        <f>R16+Q16+P16+N16+M16+L16+K16+J16+O16</f>
        <v>#VALUE!</v>
      </c>
      <c r="T16" s="292">
        <v>686629.8</v>
      </c>
      <c r="U16" s="292">
        <f t="shared" si="0"/>
        <v>3.244347444797457</v>
      </c>
    </row>
    <row r="17" spans="1:21" s="81" customFormat="1" ht="15.75" hidden="1">
      <c r="A17" s="461" t="s">
        <v>310</v>
      </c>
      <c r="B17" s="292">
        <v>170106</v>
      </c>
      <c r="C17" s="292">
        <v>34979.700000000004</v>
      </c>
      <c r="D17" s="292">
        <v>500</v>
      </c>
      <c r="E17" s="292">
        <v>278</v>
      </c>
      <c r="F17" s="292">
        <v>5041.4999999999982</v>
      </c>
      <c r="G17" s="292">
        <v>23.6</v>
      </c>
      <c r="H17" s="292">
        <v>397.3</v>
      </c>
      <c r="I17" s="292">
        <f>H17+F17+E17+C17+B17+G17+D17</f>
        <v>211326.1</v>
      </c>
      <c r="J17" s="154">
        <v>82293.999999999942</v>
      </c>
      <c r="K17" s="292">
        <v>211644.80000000005</v>
      </c>
      <c r="L17" s="292">
        <v>25301.3</v>
      </c>
      <c r="M17" s="292">
        <v>380.9</v>
      </c>
      <c r="N17" s="292">
        <v>20</v>
      </c>
      <c r="O17" s="292" t="s">
        <v>88</v>
      </c>
      <c r="P17" s="292">
        <v>6184.2</v>
      </c>
      <c r="Q17" s="459" t="s">
        <v>88</v>
      </c>
      <c r="R17" s="140">
        <v>-114499.1</v>
      </c>
      <c r="S17" s="292" t="e">
        <f>R17+Q17+P17+N17+M17+L17+K17+J17+O17</f>
        <v>#VALUE!</v>
      </c>
      <c r="T17" s="292">
        <v>725532.39999999991</v>
      </c>
      <c r="U17" s="292">
        <f t="shared" si="0"/>
        <v>3.4332361218041685</v>
      </c>
    </row>
    <row r="18" spans="1:21" s="81" customFormat="1" hidden="1">
      <c r="A18" s="461" t="s">
        <v>10</v>
      </c>
      <c r="B18" s="292">
        <v>198246.9</v>
      </c>
      <c r="C18" s="292">
        <v>39879.9</v>
      </c>
      <c r="D18" s="292">
        <v>22413.599999999999</v>
      </c>
      <c r="E18" s="292">
        <v>2827.5</v>
      </c>
      <c r="F18" s="292">
        <v>3234.3</v>
      </c>
      <c r="G18" s="292">
        <v>14.5</v>
      </c>
      <c r="H18" s="292">
        <v>669.4</v>
      </c>
      <c r="I18" s="292">
        <f>SUM(B18:H18)</f>
        <v>267286.10000000003</v>
      </c>
      <c r="J18" s="154">
        <v>66928.900000000023</v>
      </c>
      <c r="K18" s="292">
        <v>285507.40000000002</v>
      </c>
      <c r="L18" s="292" t="s">
        <v>88</v>
      </c>
      <c r="M18" s="292" t="s">
        <v>88</v>
      </c>
      <c r="N18" s="292">
        <v>20</v>
      </c>
      <c r="O18" s="292" t="s">
        <v>88</v>
      </c>
      <c r="P18" s="292">
        <v>8125.5</v>
      </c>
      <c r="Q18" s="460">
        <v>-6800</v>
      </c>
      <c r="R18" s="140">
        <v>-86495.700000000012</v>
      </c>
      <c r="S18" s="292">
        <f>SUM(J18:R18)</f>
        <v>267286.10000000003</v>
      </c>
      <c r="T18" s="292">
        <v>873381.8</v>
      </c>
      <c r="U18" s="292">
        <f t="shared" si="0"/>
        <v>3.2675915432938711</v>
      </c>
    </row>
    <row r="19" spans="1:21" s="81" customFormat="1">
      <c r="A19" s="461" t="s">
        <v>11</v>
      </c>
      <c r="B19" s="292">
        <v>211683.7</v>
      </c>
      <c r="C19" s="292">
        <v>82710.8</v>
      </c>
      <c r="D19" s="292">
        <v>5135.8</v>
      </c>
      <c r="E19" s="292">
        <v>2674</v>
      </c>
      <c r="F19" s="292">
        <v>3566.2</v>
      </c>
      <c r="G19" s="292">
        <v>28</v>
      </c>
      <c r="H19" s="292">
        <v>787.6</v>
      </c>
      <c r="I19" s="292">
        <f>SUM(B19:H19)</f>
        <v>306586.09999999998</v>
      </c>
      <c r="J19" s="154">
        <v>118133.79999999999</v>
      </c>
      <c r="K19" s="292">
        <v>229473.99999999997</v>
      </c>
      <c r="L19" s="292" t="s">
        <v>88</v>
      </c>
      <c r="M19" s="292" t="s">
        <v>88</v>
      </c>
      <c r="N19" s="292">
        <v>20</v>
      </c>
      <c r="O19" s="292" t="s">
        <v>88</v>
      </c>
      <c r="P19" s="292">
        <v>10118.699999999999</v>
      </c>
      <c r="Q19" s="459" t="s">
        <v>88</v>
      </c>
      <c r="R19" s="140">
        <v>-51160.400000000009</v>
      </c>
      <c r="S19" s="292">
        <f t="shared" ref="S19:S89" si="1">SUM(J19:R19)</f>
        <v>306586.09999999992</v>
      </c>
      <c r="T19" s="292">
        <v>986748.8</v>
      </c>
      <c r="U19" s="292">
        <f t="shared" si="0"/>
        <v>3.2185046875902077</v>
      </c>
    </row>
    <row r="20" spans="1:21" s="81" customFormat="1">
      <c r="A20" s="461" t="s">
        <v>13</v>
      </c>
      <c r="B20" s="292">
        <v>227340.9</v>
      </c>
      <c r="C20" s="292">
        <v>120095.4</v>
      </c>
      <c r="D20" s="292">
        <v>1035.0999999999999</v>
      </c>
      <c r="E20" s="292">
        <v>1624.7</v>
      </c>
      <c r="F20" s="292">
        <v>3555.9</v>
      </c>
      <c r="G20" s="292">
        <v>22.9</v>
      </c>
      <c r="H20" s="292">
        <v>1326.1</v>
      </c>
      <c r="I20" s="292">
        <f t="shared" ref="I20:I21" si="2">SUM(B20:H20)</f>
        <v>355001</v>
      </c>
      <c r="J20" s="154">
        <v>128675.9</v>
      </c>
      <c r="K20" s="292">
        <v>263591.09999999998</v>
      </c>
      <c r="L20" s="292">
        <v>0</v>
      </c>
      <c r="M20" s="292">
        <v>2000</v>
      </c>
      <c r="N20" s="292">
        <v>20</v>
      </c>
      <c r="O20" s="292" t="s">
        <v>88</v>
      </c>
      <c r="P20" s="292">
        <v>12103.3</v>
      </c>
      <c r="Q20" s="459" t="s">
        <v>88</v>
      </c>
      <c r="R20" s="140">
        <v>-51389.299999999988</v>
      </c>
      <c r="S20" s="292">
        <f t="shared" si="1"/>
        <v>355001</v>
      </c>
      <c r="T20" s="292">
        <v>1107089.4000000001</v>
      </c>
      <c r="U20" s="292">
        <f t="shared" si="0"/>
        <v>3.1185529054847736</v>
      </c>
    </row>
    <row r="21" spans="1:21" s="81" customFormat="1">
      <c r="A21" s="461" t="s">
        <v>14</v>
      </c>
      <c r="B21" s="292">
        <v>230723.7</v>
      </c>
      <c r="C21" s="292">
        <v>84351</v>
      </c>
      <c r="D21" s="292">
        <v>1611</v>
      </c>
      <c r="E21" s="292">
        <v>2209.5</v>
      </c>
      <c r="F21" s="292">
        <v>4368.5</v>
      </c>
      <c r="G21" s="292">
        <v>44.5</v>
      </c>
      <c r="H21" s="292">
        <v>1200</v>
      </c>
      <c r="I21" s="292">
        <f t="shared" si="2"/>
        <v>324508.2</v>
      </c>
      <c r="J21" s="154">
        <v>-132985.60000000001</v>
      </c>
      <c r="K21" s="292">
        <v>452581.6</v>
      </c>
      <c r="L21" s="292">
        <v>19800</v>
      </c>
      <c r="M21" s="292">
        <v>2000</v>
      </c>
      <c r="N21" s="292">
        <v>20</v>
      </c>
      <c r="O21" s="292" t="s">
        <v>88</v>
      </c>
      <c r="P21" s="292">
        <v>14933.9</v>
      </c>
      <c r="Q21" s="459" t="s">
        <v>88</v>
      </c>
      <c r="R21" s="140">
        <v>-31841.69999999999</v>
      </c>
      <c r="S21" s="292">
        <f t="shared" si="1"/>
        <v>324508.2</v>
      </c>
      <c r="T21" s="292">
        <v>1106380</v>
      </c>
      <c r="U21" s="292">
        <f t="shared" si="0"/>
        <v>3.4094053709582686</v>
      </c>
    </row>
    <row r="22" spans="1:21" s="81" customFormat="1">
      <c r="A22" s="406">
        <v>2016</v>
      </c>
      <c r="B22" s="292">
        <v>267512.5</v>
      </c>
      <c r="C22" s="292">
        <v>134302.79999999999</v>
      </c>
      <c r="D22" s="292">
        <v>5995.8</v>
      </c>
      <c r="E22" s="292">
        <v>3575.7</v>
      </c>
      <c r="F22" s="292">
        <v>6509.8</v>
      </c>
      <c r="G22" s="292">
        <v>7.7</v>
      </c>
      <c r="H22" s="292">
        <v>1319.7</v>
      </c>
      <c r="I22" s="292">
        <v>419224</v>
      </c>
      <c r="J22" s="154">
        <v>-162073.80000000002</v>
      </c>
      <c r="K22" s="292">
        <v>509226.20000000007</v>
      </c>
      <c r="L22" s="292">
        <v>87000</v>
      </c>
      <c r="M22" s="292">
        <v>2000</v>
      </c>
      <c r="N22" s="292">
        <v>20</v>
      </c>
      <c r="O22" s="292"/>
      <c r="P22" s="292">
        <v>15731</v>
      </c>
      <c r="Q22" s="292" t="s">
        <v>88</v>
      </c>
      <c r="R22" s="140">
        <v>-32679.399999999991</v>
      </c>
      <c r="S22" s="292">
        <f t="shared" si="1"/>
        <v>419224.00000000006</v>
      </c>
      <c r="T22" s="292">
        <v>1187101.8</v>
      </c>
      <c r="U22" s="292">
        <f t="shared" si="0"/>
        <v>2.8316646947693838</v>
      </c>
    </row>
    <row r="23" spans="1:21" s="81" customFormat="1">
      <c r="A23" s="406" t="s">
        <v>669</v>
      </c>
      <c r="B23" s="949">
        <v>308146.3</v>
      </c>
      <c r="C23" s="949">
        <v>221165.7</v>
      </c>
      <c r="D23" s="942">
        <v>2688.4</v>
      </c>
      <c r="E23" s="942">
        <v>2169.6</v>
      </c>
      <c r="F23" s="942">
        <v>18092.099999999999</v>
      </c>
      <c r="G23" s="1049">
        <v>20</v>
      </c>
      <c r="H23" s="943">
        <v>28588.799999999999</v>
      </c>
      <c r="I23" s="1049">
        <f>H23+F23+E23+C23+B23+G23+D23</f>
        <v>580870.9</v>
      </c>
      <c r="J23" s="1108">
        <v>-144480.39999999997</v>
      </c>
      <c r="K23" s="1049">
        <v>528460.39999999991</v>
      </c>
      <c r="L23" s="1109">
        <v>159990</v>
      </c>
      <c r="M23" s="1109">
        <v>0</v>
      </c>
      <c r="N23" s="1049">
        <v>20</v>
      </c>
      <c r="O23" s="1091"/>
      <c r="P23" s="1093">
        <v>22686.1</v>
      </c>
      <c r="Q23" s="1109" t="s">
        <v>88</v>
      </c>
      <c r="R23" s="950">
        <v>14194.800000000032</v>
      </c>
      <c r="S23" s="292">
        <f t="shared" si="1"/>
        <v>580870.9</v>
      </c>
      <c r="T23" s="1049">
        <v>1499513.3</v>
      </c>
      <c r="U23" s="1049">
        <f>T23/I23</f>
        <v>2.5814915155846161</v>
      </c>
    </row>
    <row r="24" spans="1:21" s="81" customFormat="1">
      <c r="A24" s="406"/>
      <c r="B24" s="1049"/>
      <c r="C24" s="1049"/>
      <c r="D24" s="1049"/>
      <c r="E24" s="1049"/>
      <c r="F24" s="1049"/>
      <c r="G24" s="1049"/>
      <c r="H24" s="1110"/>
      <c r="I24" s="1049"/>
      <c r="J24" s="1108"/>
      <c r="K24" s="1049"/>
      <c r="L24" s="1049"/>
      <c r="M24" s="1049"/>
      <c r="N24" s="1049"/>
      <c r="O24" s="1091"/>
      <c r="P24" s="1093"/>
      <c r="Q24" s="1049"/>
      <c r="R24" s="942"/>
      <c r="S24" s="292"/>
      <c r="T24" s="1049"/>
      <c r="U24" s="1049"/>
    </row>
    <row r="25" spans="1:21" s="81" customFormat="1" hidden="1">
      <c r="A25" s="87" t="s">
        <v>61</v>
      </c>
      <c r="B25" s="1049">
        <v>201300.8</v>
      </c>
      <c r="C25" s="1049">
        <v>70896.399999999994</v>
      </c>
      <c r="D25" s="1049">
        <v>426.9</v>
      </c>
      <c r="E25" s="1049">
        <v>1135.9000000000001</v>
      </c>
      <c r="F25" s="1049">
        <v>1041.5</v>
      </c>
      <c r="G25" s="1049">
        <v>24.6</v>
      </c>
      <c r="H25" s="1110">
        <v>1373.4</v>
      </c>
      <c r="I25" s="1049">
        <v>276199.5</v>
      </c>
      <c r="J25" s="1108">
        <v>95018.6</v>
      </c>
      <c r="K25" s="1049">
        <v>243395.1</v>
      </c>
      <c r="L25" s="1109">
        <v>325.10000000000002</v>
      </c>
      <c r="M25" s="1109">
        <v>1914.8</v>
      </c>
      <c r="N25" s="1049">
        <v>20</v>
      </c>
      <c r="O25" s="1091" t="s">
        <v>88</v>
      </c>
      <c r="P25" s="1093">
        <v>11758.1</v>
      </c>
      <c r="Q25" s="942">
        <v>-27200</v>
      </c>
      <c r="R25" s="950">
        <v>-49032.200000000012</v>
      </c>
      <c r="S25" s="292">
        <f t="shared" si="1"/>
        <v>276199.49999999994</v>
      </c>
      <c r="T25" s="1049">
        <v>988233.84999999986</v>
      </c>
      <c r="U25" s="1049">
        <v>3.5649070689845557</v>
      </c>
    </row>
    <row r="26" spans="1:21" s="81" customFormat="1" hidden="1">
      <c r="A26" s="87" t="s">
        <v>62</v>
      </c>
      <c r="B26" s="1049">
        <v>223781.8</v>
      </c>
      <c r="C26" s="1049">
        <v>100650</v>
      </c>
      <c r="D26" s="1049">
        <v>1428.4</v>
      </c>
      <c r="E26" s="1049">
        <v>1303.5</v>
      </c>
      <c r="F26" s="1049">
        <v>6385</v>
      </c>
      <c r="G26" s="1049">
        <v>20.2</v>
      </c>
      <c r="H26" s="1110">
        <v>1329.6</v>
      </c>
      <c r="I26" s="1049">
        <v>334898.50000000006</v>
      </c>
      <c r="J26" s="1108">
        <v>89071.500000000029</v>
      </c>
      <c r="K26" s="1049">
        <v>282645.39999999997</v>
      </c>
      <c r="L26" s="1109"/>
      <c r="M26" s="1109">
        <v>1914.8</v>
      </c>
      <c r="N26" s="1049">
        <v>20</v>
      </c>
      <c r="O26" s="1091" t="s">
        <v>88</v>
      </c>
      <c r="P26" s="1093">
        <v>12500.7</v>
      </c>
      <c r="Q26" s="1109" t="s">
        <v>88</v>
      </c>
      <c r="R26" s="950">
        <v>-51253.900000000009</v>
      </c>
      <c r="S26" s="292">
        <f t="shared" si="1"/>
        <v>334898.5</v>
      </c>
      <c r="T26" s="1049">
        <v>1050599.3999999999</v>
      </c>
      <c r="U26" s="1049">
        <v>3.1262092843055429</v>
      </c>
    </row>
    <row r="27" spans="1:21" s="81" customFormat="1" hidden="1">
      <c r="A27" s="87" t="s">
        <v>636</v>
      </c>
      <c r="B27" s="1049">
        <v>222708</v>
      </c>
      <c r="C27" s="1049">
        <v>80783.100000000006</v>
      </c>
      <c r="D27" s="1049">
        <v>631.5</v>
      </c>
      <c r="E27" s="1049">
        <v>2407.5</v>
      </c>
      <c r="F27" s="1049">
        <v>2153.6</v>
      </c>
      <c r="G27" s="1049">
        <v>23.3</v>
      </c>
      <c r="H27" s="1110">
        <v>969.1</v>
      </c>
      <c r="I27" s="1049">
        <v>309676.09999999998</v>
      </c>
      <c r="J27" s="1108">
        <v>142837.30000000002</v>
      </c>
      <c r="K27" s="1049">
        <v>195393.90000000002</v>
      </c>
      <c r="L27" s="1109">
        <v>231.90000000000009</v>
      </c>
      <c r="M27" s="1109">
        <v>2000</v>
      </c>
      <c r="N27" s="1049">
        <v>20</v>
      </c>
      <c r="O27" s="1091" t="s">
        <v>88</v>
      </c>
      <c r="P27" s="1093">
        <v>12409.6</v>
      </c>
      <c r="Q27" s="1109" t="s">
        <v>88</v>
      </c>
      <c r="R27" s="950">
        <v>-43216.6</v>
      </c>
      <c r="S27" s="292">
        <f t="shared" si="1"/>
        <v>309676.10000000009</v>
      </c>
      <c r="T27" s="1049">
        <v>1052584.2055555554</v>
      </c>
      <c r="U27" s="1049">
        <v>3.3856518328523113</v>
      </c>
    </row>
    <row r="28" spans="1:21" s="81" customFormat="1" hidden="1">
      <c r="A28" s="87" t="s">
        <v>664</v>
      </c>
      <c r="B28" s="1049">
        <v>227340.9</v>
      </c>
      <c r="C28" s="1049">
        <v>120095.4</v>
      </c>
      <c r="D28" s="1049">
        <v>1035.0999999999999</v>
      </c>
      <c r="E28" s="1049">
        <v>1624.7</v>
      </c>
      <c r="F28" s="1049">
        <v>3555.9</v>
      </c>
      <c r="G28" s="1049">
        <v>22.9</v>
      </c>
      <c r="H28" s="1110">
        <v>1326.1</v>
      </c>
      <c r="I28" s="1049">
        <v>355001</v>
      </c>
      <c r="J28" s="1108">
        <v>128675.9</v>
      </c>
      <c r="K28" s="1049">
        <v>263591.09999999998</v>
      </c>
      <c r="L28" s="1109">
        <v>0</v>
      </c>
      <c r="M28" s="1109">
        <v>2000</v>
      </c>
      <c r="N28" s="1049">
        <v>20</v>
      </c>
      <c r="O28" s="1091" t="s">
        <v>88</v>
      </c>
      <c r="P28" s="1093">
        <v>12103.3</v>
      </c>
      <c r="Q28" s="1109" t="s">
        <v>88</v>
      </c>
      <c r="R28" s="950">
        <v>-51389.299999999988</v>
      </c>
      <c r="S28" s="292">
        <f t="shared" si="1"/>
        <v>355001</v>
      </c>
      <c r="T28" s="1049">
        <v>1107089.4000000001</v>
      </c>
      <c r="U28" s="1049">
        <v>3.1055363224328953</v>
      </c>
    </row>
    <row r="29" spans="1:21" s="81" customFormat="1" hidden="1">
      <c r="A29" s="87"/>
      <c r="B29" s="1049"/>
      <c r="C29" s="1049"/>
      <c r="D29" s="1049"/>
      <c r="E29" s="1049"/>
      <c r="F29" s="1049"/>
      <c r="G29" s="1049"/>
      <c r="H29" s="1110"/>
      <c r="I29" s="1049"/>
      <c r="J29" s="1108"/>
      <c r="K29" s="1049"/>
      <c r="L29" s="1109"/>
      <c r="M29" s="1109"/>
      <c r="N29" s="1049"/>
      <c r="O29" s="1091"/>
      <c r="P29" s="1093"/>
      <c r="Q29" s="1109"/>
      <c r="R29" s="950"/>
      <c r="S29" s="292"/>
      <c r="T29" s="1049"/>
      <c r="U29" s="1049"/>
    </row>
    <row r="30" spans="1:21" s="81" customFormat="1">
      <c r="A30" s="87" t="s">
        <v>53</v>
      </c>
      <c r="B30" s="1049">
        <v>223176.6</v>
      </c>
      <c r="C30" s="1049">
        <v>71767.600000000006</v>
      </c>
      <c r="D30" s="1049">
        <v>1593.8</v>
      </c>
      <c r="E30" s="1049">
        <v>1878.3</v>
      </c>
      <c r="F30" s="1049">
        <v>4089.8</v>
      </c>
      <c r="G30" s="1049">
        <v>47.4</v>
      </c>
      <c r="H30" s="1110">
        <v>243.7</v>
      </c>
      <c r="I30" s="1049">
        <v>302797.2</v>
      </c>
      <c r="J30" s="1108">
        <v>115526.39999999999</v>
      </c>
      <c r="K30" s="1049">
        <v>215693.9</v>
      </c>
      <c r="L30" s="1109">
        <v>1178.9000000000001</v>
      </c>
      <c r="M30" s="1109">
        <v>2000</v>
      </c>
      <c r="N30" s="1049">
        <v>20</v>
      </c>
      <c r="O30" s="1091" t="s">
        <v>88</v>
      </c>
      <c r="P30" s="1093">
        <v>12654.2</v>
      </c>
      <c r="Q30" s="1109" t="s">
        <v>88</v>
      </c>
      <c r="R30" s="950">
        <v>-44276.2</v>
      </c>
      <c r="S30" s="292">
        <f t="shared" si="1"/>
        <v>302797.2</v>
      </c>
      <c r="T30" s="1049">
        <v>1064238.6499999999</v>
      </c>
      <c r="U30" s="1049">
        <v>3.4993241350976825</v>
      </c>
    </row>
    <row r="31" spans="1:21" s="81" customFormat="1">
      <c r="A31" s="87" t="s">
        <v>44</v>
      </c>
      <c r="B31" s="1049">
        <v>254961.4</v>
      </c>
      <c r="C31" s="1049">
        <v>63611.8</v>
      </c>
      <c r="D31" s="1049">
        <v>9771.2999999999993</v>
      </c>
      <c r="E31" s="1049">
        <v>2089.9</v>
      </c>
      <c r="F31" s="1049">
        <v>3640.6</v>
      </c>
      <c r="G31" s="1049">
        <v>62.4</v>
      </c>
      <c r="H31" s="1110">
        <v>357.5</v>
      </c>
      <c r="I31" s="1049">
        <v>334494.90000000002</v>
      </c>
      <c r="J31" s="1108">
        <v>11927.499999999976</v>
      </c>
      <c r="K31" s="1049">
        <v>318199.59999999998</v>
      </c>
      <c r="L31" s="1109">
        <v>20000</v>
      </c>
      <c r="M31" s="1109">
        <v>2000</v>
      </c>
      <c r="N31" s="1049">
        <v>20</v>
      </c>
      <c r="O31" s="1091" t="s">
        <v>88</v>
      </c>
      <c r="P31" s="1093">
        <v>13128.8</v>
      </c>
      <c r="Q31" s="1109" t="s">
        <v>88</v>
      </c>
      <c r="R31" s="950">
        <v>-30781.000000000015</v>
      </c>
      <c r="S31" s="292">
        <f t="shared" si="1"/>
        <v>334494.89999999997</v>
      </c>
      <c r="T31" s="1049">
        <v>1104077.7999999996</v>
      </c>
      <c r="U31" s="1049">
        <v>3.2867242519990572</v>
      </c>
    </row>
    <row r="32" spans="1:21" s="81" customFormat="1">
      <c r="A32" s="87" t="s">
        <v>47</v>
      </c>
      <c r="B32" s="1049">
        <v>216072.1</v>
      </c>
      <c r="C32" s="1049">
        <v>79716.800000000003</v>
      </c>
      <c r="D32" s="1049">
        <v>5700.2</v>
      </c>
      <c r="E32" s="1049">
        <v>3810.3</v>
      </c>
      <c r="F32" s="1049">
        <v>8658</v>
      </c>
      <c r="G32" s="1049">
        <v>33.1</v>
      </c>
      <c r="H32" s="1110">
        <v>323.5</v>
      </c>
      <c r="I32" s="1049">
        <v>314314</v>
      </c>
      <c r="J32" s="1108">
        <v>-77050.100000000006</v>
      </c>
      <c r="K32" s="1049">
        <v>398227.1</v>
      </c>
      <c r="L32" s="1109">
        <v>4840.3</v>
      </c>
      <c r="M32" s="1109">
        <v>2000</v>
      </c>
      <c r="N32" s="1049">
        <v>20</v>
      </c>
      <c r="O32" s="1091" t="s">
        <v>88</v>
      </c>
      <c r="P32" s="1093">
        <v>14713.9</v>
      </c>
      <c r="Q32" s="1109" t="s">
        <v>88</v>
      </c>
      <c r="R32" s="950">
        <v>-28437.199999999997</v>
      </c>
      <c r="S32" s="292">
        <f t="shared" si="1"/>
        <v>314314</v>
      </c>
      <c r="T32" s="1049">
        <v>1107152.9944444443</v>
      </c>
      <c r="U32" s="1049">
        <v>3.506583367092921</v>
      </c>
    </row>
    <row r="33" spans="1:21" s="81" customFormat="1">
      <c r="A33" s="87" t="s">
        <v>50</v>
      </c>
      <c r="B33" s="1049">
        <v>230723.7</v>
      </c>
      <c r="C33" s="1049">
        <v>84351</v>
      </c>
      <c r="D33" s="1049">
        <v>1611</v>
      </c>
      <c r="E33" s="1049">
        <v>2209.5</v>
      </c>
      <c r="F33" s="1049">
        <v>4368.5</v>
      </c>
      <c r="G33" s="1049">
        <v>44.5</v>
      </c>
      <c r="H33" s="1110">
        <v>1200</v>
      </c>
      <c r="I33" s="1049">
        <v>324508.2</v>
      </c>
      <c r="J33" s="1108">
        <v>-132985.60000000001</v>
      </c>
      <c r="K33" s="1049">
        <v>452581.6</v>
      </c>
      <c r="L33" s="1109">
        <v>19800</v>
      </c>
      <c r="M33" s="1109">
        <v>2000</v>
      </c>
      <c r="N33" s="1049">
        <v>20</v>
      </c>
      <c r="O33" s="1091" t="s">
        <v>88</v>
      </c>
      <c r="P33" s="1093">
        <v>14933.9</v>
      </c>
      <c r="Q33" s="1109" t="s">
        <v>88</v>
      </c>
      <c r="R33" s="950">
        <v>-31841.69999999999</v>
      </c>
      <c r="S33" s="292">
        <f t="shared" si="1"/>
        <v>324508.2</v>
      </c>
      <c r="T33" s="1049">
        <v>1106380</v>
      </c>
      <c r="U33" s="1049">
        <v>3.393121653012158</v>
      </c>
    </row>
    <row r="34" spans="1:21" s="81" customFormat="1">
      <c r="A34" s="87"/>
      <c r="B34" s="1049"/>
      <c r="C34" s="1049"/>
      <c r="D34" s="1049"/>
      <c r="E34" s="1049"/>
      <c r="F34" s="1049"/>
      <c r="G34" s="1049"/>
      <c r="H34" s="1110"/>
      <c r="I34" s="1049"/>
      <c r="J34" s="1108"/>
      <c r="K34" s="1049"/>
      <c r="L34" s="1109"/>
      <c r="M34" s="1109"/>
      <c r="N34" s="1049"/>
      <c r="O34" s="1091"/>
      <c r="P34" s="1093"/>
      <c r="Q34" s="1109"/>
      <c r="R34" s="950"/>
      <c r="S34" s="292"/>
      <c r="T34" s="1049"/>
      <c r="U34" s="1049"/>
    </row>
    <row r="35" spans="1:21" s="81" customFormat="1">
      <c r="A35" s="87" t="s">
        <v>65</v>
      </c>
      <c r="B35" s="1049">
        <v>219964.2</v>
      </c>
      <c r="C35" s="1049">
        <v>94301.6</v>
      </c>
      <c r="D35" s="1049">
        <v>2510.6999999999998</v>
      </c>
      <c r="E35" s="1049">
        <v>2734.9</v>
      </c>
      <c r="F35" s="1049">
        <v>2813.9</v>
      </c>
      <c r="G35" s="1049">
        <v>26.4</v>
      </c>
      <c r="H35" s="1110">
        <v>910.3</v>
      </c>
      <c r="I35" s="1049">
        <v>323262.00000000006</v>
      </c>
      <c r="J35" s="1108">
        <v>-194954</v>
      </c>
      <c r="K35" s="1049">
        <v>453694.6</v>
      </c>
      <c r="L35" s="1109">
        <v>71850</v>
      </c>
      <c r="M35" s="1109">
        <v>2000</v>
      </c>
      <c r="N35" s="1049">
        <v>20</v>
      </c>
      <c r="O35" s="1091" t="s">
        <v>88</v>
      </c>
      <c r="P35" s="1093">
        <v>15893</v>
      </c>
      <c r="Q35" s="1109" t="s">
        <v>88</v>
      </c>
      <c r="R35" s="950">
        <v>-25241.600000000006</v>
      </c>
      <c r="S35" s="292">
        <f t="shared" si="1"/>
        <v>323262</v>
      </c>
      <c r="T35" s="1049">
        <v>1079593.5999999999</v>
      </c>
      <c r="U35" s="1049">
        <v>3.32368991715698</v>
      </c>
    </row>
    <row r="36" spans="1:21" s="81" customFormat="1">
      <c r="A36" s="87" t="s">
        <v>44</v>
      </c>
      <c r="B36" s="1049">
        <v>255415.5</v>
      </c>
      <c r="C36" s="1049">
        <v>98845.3</v>
      </c>
      <c r="D36" s="1049">
        <v>3186.6</v>
      </c>
      <c r="E36" s="1049">
        <v>1740</v>
      </c>
      <c r="F36" s="1049">
        <v>4307.5</v>
      </c>
      <c r="G36" s="1049">
        <v>16.100000000000001</v>
      </c>
      <c r="H36" s="1110">
        <v>557.9</v>
      </c>
      <c r="I36" s="1049">
        <v>364068.89999999997</v>
      </c>
      <c r="J36" s="1108">
        <v>-186003.4</v>
      </c>
      <c r="K36" s="1049">
        <v>457106.39999999997</v>
      </c>
      <c r="L36" s="1109">
        <v>101000</v>
      </c>
      <c r="M36" s="1109">
        <v>2000</v>
      </c>
      <c r="N36" s="1049">
        <v>20</v>
      </c>
      <c r="O36" s="1091"/>
      <c r="P36" s="1093">
        <v>16553.2</v>
      </c>
      <c r="Q36" s="1109" t="s">
        <v>88</v>
      </c>
      <c r="R36" s="950">
        <v>-26607.299999999988</v>
      </c>
      <c r="S36" s="292">
        <f t="shared" si="1"/>
        <v>364068.9</v>
      </c>
      <c r="T36" s="1049">
        <v>1122380.2999999998</v>
      </c>
      <c r="U36" s="1049">
        <v>3.0689866670841699</v>
      </c>
    </row>
    <row r="37" spans="1:21" s="81" customFormat="1">
      <c r="A37" s="800" t="s">
        <v>47</v>
      </c>
      <c r="B37" s="1049">
        <v>254499.1</v>
      </c>
      <c r="C37" s="1049">
        <v>124775.9</v>
      </c>
      <c r="D37" s="1049">
        <v>834</v>
      </c>
      <c r="E37" s="1049">
        <v>3523.6</v>
      </c>
      <c r="F37" s="1049">
        <v>4926.1000000000004</v>
      </c>
      <c r="G37" s="1049">
        <v>3.6</v>
      </c>
      <c r="H37" s="1110">
        <v>1138.3</v>
      </c>
      <c r="I37" s="1049">
        <v>389700.6</v>
      </c>
      <c r="J37" s="1108">
        <v>-181601</v>
      </c>
      <c r="K37" s="1049">
        <v>457923.6</v>
      </c>
      <c r="L37" s="1109">
        <v>118705</v>
      </c>
      <c r="M37" s="1109">
        <v>2000</v>
      </c>
      <c r="N37" s="1049">
        <v>20</v>
      </c>
      <c r="O37" s="1091"/>
      <c r="P37" s="1093">
        <v>16291.4</v>
      </c>
      <c r="Q37" s="1109" t="s">
        <v>88</v>
      </c>
      <c r="R37" s="950">
        <v>-23638.400000000009</v>
      </c>
      <c r="S37" s="292">
        <f t="shared" si="1"/>
        <v>389700.6</v>
      </c>
      <c r="T37" s="1049">
        <v>1136853.5</v>
      </c>
      <c r="U37" s="1049">
        <v>2.9016723351208595</v>
      </c>
    </row>
    <row r="38" spans="1:21" s="81" customFormat="1">
      <c r="A38" s="800" t="s">
        <v>50</v>
      </c>
      <c r="B38" s="1049">
        <v>267512.5</v>
      </c>
      <c r="C38" s="1049">
        <v>134302.79999999999</v>
      </c>
      <c r="D38" s="1049">
        <v>5995.8</v>
      </c>
      <c r="E38" s="1049">
        <v>3575.7</v>
      </c>
      <c r="F38" s="1049">
        <v>6509.8</v>
      </c>
      <c r="G38" s="1049">
        <v>7.7</v>
      </c>
      <c r="H38" s="1110">
        <v>1319.7</v>
      </c>
      <c r="I38" s="1049">
        <v>419224</v>
      </c>
      <c r="J38" s="1108">
        <v>-162073.80000000002</v>
      </c>
      <c r="K38" s="1049">
        <v>509226.20000000007</v>
      </c>
      <c r="L38" s="1109">
        <v>87000</v>
      </c>
      <c r="M38" s="1109">
        <v>2000</v>
      </c>
      <c r="N38" s="1049">
        <v>20</v>
      </c>
      <c r="O38" s="1091"/>
      <c r="P38" s="1093">
        <v>15731</v>
      </c>
      <c r="Q38" s="1109" t="s">
        <v>88</v>
      </c>
      <c r="R38" s="950">
        <v>-32679.399999999991</v>
      </c>
      <c r="S38" s="292">
        <f t="shared" si="1"/>
        <v>419224.00000000006</v>
      </c>
      <c r="T38" s="1049">
        <v>1187101.8</v>
      </c>
      <c r="U38" s="1049">
        <v>2.8147706238192471</v>
      </c>
    </row>
    <row r="39" spans="1:21" s="81" customFormat="1">
      <c r="A39" s="87"/>
      <c r="B39" s="1049"/>
      <c r="C39" s="1049"/>
      <c r="D39" s="1049"/>
      <c r="E39" s="1049"/>
      <c r="F39" s="1049"/>
      <c r="G39" s="1049"/>
      <c r="H39" s="1110"/>
      <c r="I39" s="1049"/>
      <c r="J39" s="1108"/>
      <c r="K39" s="1049"/>
      <c r="L39" s="1109"/>
      <c r="M39" s="1109"/>
      <c r="N39" s="1049"/>
      <c r="O39" s="1091"/>
      <c r="P39" s="1093"/>
      <c r="Q39" s="1109"/>
      <c r="R39" s="950"/>
      <c r="S39" s="292"/>
      <c r="T39" s="1049"/>
      <c r="U39" s="1049"/>
    </row>
    <row r="40" spans="1:21" s="81" customFormat="1">
      <c r="A40" s="800" t="s">
        <v>66</v>
      </c>
      <c r="B40" s="1049">
        <v>267562.40000000002</v>
      </c>
      <c r="C40" s="1049">
        <v>167615</v>
      </c>
      <c r="D40" s="1049">
        <v>14379.7</v>
      </c>
      <c r="E40" s="1049">
        <v>2634.1</v>
      </c>
      <c r="F40" s="1049">
        <v>12223.899999999998</v>
      </c>
      <c r="G40" s="1049">
        <v>157.1</v>
      </c>
      <c r="H40" s="1110">
        <v>21755.599999999999</v>
      </c>
      <c r="I40" s="1049">
        <v>486327.8</v>
      </c>
      <c r="J40" s="1108">
        <v>-133135.90000000002</v>
      </c>
      <c r="K40" s="1049">
        <v>544205.1</v>
      </c>
      <c r="L40" s="1109">
        <v>87840</v>
      </c>
      <c r="M40" s="1109">
        <v>1000</v>
      </c>
      <c r="N40" s="1049">
        <v>20</v>
      </c>
      <c r="O40" s="1091"/>
      <c r="P40" s="1093">
        <v>20527</v>
      </c>
      <c r="Q40" s="1109" t="s">
        <v>88</v>
      </c>
      <c r="R40" s="950">
        <v>-34128.399999999987</v>
      </c>
      <c r="S40" s="292">
        <f t="shared" si="1"/>
        <v>486327.8</v>
      </c>
      <c r="T40" s="1049">
        <v>1299479.7</v>
      </c>
      <c r="U40" s="1049">
        <v>2.6566713850205561</v>
      </c>
    </row>
    <row r="41" spans="1:21" s="81" customFormat="1">
      <c r="A41" s="800" t="s">
        <v>629</v>
      </c>
      <c r="B41" s="1049">
        <v>301775.5</v>
      </c>
      <c r="C41" s="1049">
        <v>101969.2</v>
      </c>
      <c r="D41" s="1049">
        <v>12376</v>
      </c>
      <c r="E41" s="1049">
        <v>2615.3999999999996</v>
      </c>
      <c r="F41" s="1049">
        <v>17691.3</v>
      </c>
      <c r="G41" s="1049">
        <v>11</v>
      </c>
      <c r="H41" s="1110">
        <v>31187.100000000002</v>
      </c>
      <c r="I41" s="1049">
        <v>467625.5</v>
      </c>
      <c r="J41" s="1108">
        <v>-140476.99999999994</v>
      </c>
      <c r="K41" s="1049">
        <v>542983.60000000009</v>
      </c>
      <c r="L41" s="1109">
        <v>69737.5</v>
      </c>
      <c r="M41" s="1109">
        <v>1000</v>
      </c>
      <c r="N41" s="1049">
        <v>20</v>
      </c>
      <c r="O41" s="1091"/>
      <c r="P41" s="1093">
        <v>22527.9</v>
      </c>
      <c r="Q41" s="1109" t="s">
        <v>88</v>
      </c>
      <c r="R41" s="950">
        <v>-28166.499999999993</v>
      </c>
      <c r="S41" s="292">
        <f t="shared" si="1"/>
        <v>467625.50000000017</v>
      </c>
      <c r="T41" s="1049">
        <v>1417053.1</v>
      </c>
      <c r="U41" s="1049">
        <v>3.013528560782079</v>
      </c>
    </row>
    <row r="42" spans="1:21" s="81" customFormat="1">
      <c r="A42" s="800" t="s">
        <v>672</v>
      </c>
      <c r="B42" s="1049">
        <v>297683.09999999998</v>
      </c>
      <c r="C42" s="1049">
        <v>156387.70000000001</v>
      </c>
      <c r="D42" s="1049">
        <v>9305.2999999999993</v>
      </c>
      <c r="E42" s="1049">
        <v>2490.4</v>
      </c>
      <c r="F42" s="1049">
        <v>25793.7</v>
      </c>
      <c r="G42" s="1049">
        <v>6.3</v>
      </c>
      <c r="H42" s="1110">
        <v>31699.3</v>
      </c>
      <c r="I42" s="1049">
        <v>523365.79999999993</v>
      </c>
      <c r="J42" s="1108">
        <v>-134023.80000000002</v>
      </c>
      <c r="K42" s="1049">
        <v>509123.6</v>
      </c>
      <c r="L42" s="1109">
        <v>123150</v>
      </c>
      <c r="M42" s="1109">
        <v>0</v>
      </c>
      <c r="N42" s="1049">
        <v>20</v>
      </c>
      <c r="O42" s="1091"/>
      <c r="P42" s="1093">
        <v>23325.1</v>
      </c>
      <c r="Q42" s="1109" t="s">
        <v>88</v>
      </c>
      <c r="R42" s="950">
        <v>1770.9000000000028</v>
      </c>
      <c r="S42" s="292">
        <f t="shared" si="1"/>
        <v>523365.79999999993</v>
      </c>
      <c r="T42" s="1049">
        <v>1428077.7500000002</v>
      </c>
      <c r="U42" s="1049">
        <v>2.7124365978823994</v>
      </c>
    </row>
    <row r="43" spans="1:21" s="81" customFormat="1">
      <c r="A43" s="800" t="s">
        <v>673</v>
      </c>
      <c r="B43" s="949">
        <v>308146.3</v>
      </c>
      <c r="C43" s="949">
        <v>221165.7</v>
      </c>
      <c r="D43" s="942">
        <v>2688.4</v>
      </c>
      <c r="E43" s="942">
        <v>2169.6</v>
      </c>
      <c r="F43" s="942">
        <v>18092.099999999999</v>
      </c>
      <c r="G43" s="1049">
        <v>20</v>
      </c>
      <c r="H43" s="943">
        <v>28588.799999999999</v>
      </c>
      <c r="I43" s="1049">
        <f>H43+F43+E43+C43+B43+G43+D43</f>
        <v>580870.9</v>
      </c>
      <c r="J43" s="1108">
        <v>-144480.39999999997</v>
      </c>
      <c r="K43" s="1049">
        <v>528460.39999999991</v>
      </c>
      <c r="L43" s="1109">
        <v>159990</v>
      </c>
      <c r="M43" s="1109">
        <v>0</v>
      </c>
      <c r="N43" s="1049">
        <v>20</v>
      </c>
      <c r="O43" s="1091"/>
      <c r="P43" s="1093">
        <v>22686.1</v>
      </c>
      <c r="Q43" s="1109" t="s">
        <v>88</v>
      </c>
      <c r="R43" s="950">
        <v>14194.800000000032</v>
      </c>
      <c r="S43" s="292">
        <f t="shared" si="1"/>
        <v>580870.9</v>
      </c>
      <c r="T43" s="1049">
        <v>1499513.3</v>
      </c>
      <c r="U43" s="1049">
        <f>T43/I43</f>
        <v>2.5814915155846161</v>
      </c>
    </row>
    <row r="44" spans="1:21" s="81" customFormat="1">
      <c r="A44" s="800"/>
      <c r="B44" s="1049"/>
      <c r="C44" s="1049"/>
      <c r="D44" s="1049"/>
      <c r="E44" s="1049"/>
      <c r="F44" s="1049"/>
      <c r="G44" s="1049"/>
      <c r="H44" s="1110"/>
      <c r="I44" s="1049"/>
      <c r="J44" s="1108"/>
      <c r="K44" s="1049"/>
      <c r="L44" s="1109"/>
      <c r="M44" s="1109"/>
      <c r="N44" s="1049"/>
      <c r="O44" s="1091"/>
      <c r="P44" s="1093"/>
      <c r="Q44" s="1109"/>
      <c r="R44" s="950"/>
      <c r="S44" s="292"/>
      <c r="T44" s="1049"/>
      <c r="U44" s="1049"/>
    </row>
    <row r="45" spans="1:21" s="81" customFormat="1">
      <c r="A45" s="800" t="s">
        <v>703</v>
      </c>
      <c r="B45" s="949">
        <v>302042.8</v>
      </c>
      <c r="C45" s="949">
        <v>151882.30000000002</v>
      </c>
      <c r="D45" s="942">
        <v>12465.900000000001</v>
      </c>
      <c r="E45" s="942">
        <v>1222.4000000000001</v>
      </c>
      <c r="F45" s="942">
        <v>18559.899999999998</v>
      </c>
      <c r="G45" s="1049">
        <v>19.3</v>
      </c>
      <c r="H45" s="943">
        <v>32478.600000000002</v>
      </c>
      <c r="I45" s="1049">
        <v>518671.2</v>
      </c>
      <c r="J45" s="1108">
        <v>-180504.6</v>
      </c>
      <c r="K45" s="1049">
        <v>484199.3</v>
      </c>
      <c r="L45" s="1109">
        <v>185103.2</v>
      </c>
      <c r="M45" s="1109">
        <v>0</v>
      </c>
      <c r="N45" s="1049">
        <v>20</v>
      </c>
      <c r="O45" s="1091"/>
      <c r="P45" s="1093">
        <v>23078.2</v>
      </c>
      <c r="Q45" s="1109" t="s">
        <v>88</v>
      </c>
      <c r="R45" s="950">
        <v>6775.1000000000058</v>
      </c>
      <c r="S45" s="292">
        <f t="shared" si="1"/>
        <v>518671.19999999995</v>
      </c>
      <c r="T45" s="1049">
        <v>1566158</v>
      </c>
      <c r="U45" s="1049">
        <v>3.0195584408773803</v>
      </c>
    </row>
    <row r="46" spans="1:21" s="81" customFormat="1">
      <c r="A46" s="800" t="s">
        <v>717</v>
      </c>
      <c r="B46" s="949">
        <v>334282.7</v>
      </c>
      <c r="C46" s="949">
        <v>161888.4</v>
      </c>
      <c r="D46" s="942">
        <v>3460.1000000000004</v>
      </c>
      <c r="E46" s="942">
        <v>1303.3</v>
      </c>
      <c r="F46" s="942">
        <v>18483.5</v>
      </c>
      <c r="G46" s="1049">
        <v>27.6</v>
      </c>
      <c r="H46" s="943">
        <v>29101.3</v>
      </c>
      <c r="I46" s="1049">
        <v>548546.89999999991</v>
      </c>
      <c r="J46" s="1108">
        <v>-175279.1</v>
      </c>
      <c r="K46" s="1049">
        <v>408472.6</v>
      </c>
      <c r="L46" s="1109">
        <v>283075.3</v>
      </c>
      <c r="M46" s="1109">
        <v>0</v>
      </c>
      <c r="N46" s="1049">
        <v>20</v>
      </c>
      <c r="O46" s="1091"/>
      <c r="P46" s="1093">
        <v>23885.4</v>
      </c>
      <c r="Q46" s="1109" t="s">
        <v>88</v>
      </c>
      <c r="R46" s="950">
        <v>8372.6999999999935</v>
      </c>
      <c r="S46" s="292">
        <f t="shared" si="1"/>
        <v>548546.89999999991</v>
      </c>
      <c r="T46" s="1049">
        <v>1632452</v>
      </c>
      <c r="U46" s="1049">
        <v>2.9759570239117208</v>
      </c>
    </row>
    <row r="47" spans="1:21" s="81" customFormat="1">
      <c r="A47" s="87"/>
      <c r="B47" s="1049"/>
      <c r="C47" s="1049"/>
      <c r="D47" s="1049"/>
      <c r="E47" s="1049"/>
      <c r="F47" s="1049"/>
      <c r="G47" s="1049"/>
      <c r="H47" s="1110"/>
      <c r="I47" s="1049"/>
      <c r="J47" s="1108"/>
      <c r="K47" s="1049"/>
      <c r="L47" s="1109"/>
      <c r="M47" s="1109"/>
      <c r="N47" s="1049"/>
      <c r="O47" s="1091"/>
      <c r="P47" s="1093"/>
      <c r="Q47" s="1109"/>
      <c r="R47" s="950"/>
      <c r="S47" s="292"/>
      <c r="T47" s="1049"/>
      <c r="U47" s="1049"/>
    </row>
    <row r="48" spans="1:21" s="81" customFormat="1" hidden="1">
      <c r="A48" s="87" t="s">
        <v>60</v>
      </c>
      <c r="B48" s="1049">
        <v>87847.1</v>
      </c>
      <c r="C48" s="1049">
        <v>21116.2</v>
      </c>
      <c r="D48" s="1109" t="s">
        <v>88</v>
      </c>
      <c r="E48" s="1049">
        <v>751.69999999999993</v>
      </c>
      <c r="F48" s="1049">
        <v>1538.8</v>
      </c>
      <c r="G48" s="1049">
        <v>459</v>
      </c>
      <c r="H48" s="1110">
        <v>2177.1999999999998</v>
      </c>
      <c r="I48" s="292">
        <f>SUM(B48:H48)</f>
        <v>113890</v>
      </c>
      <c r="J48" s="942">
        <v>71000.099999999977</v>
      </c>
      <c r="K48" s="1049">
        <v>95478.1</v>
      </c>
      <c r="L48" s="1049">
        <v>1804</v>
      </c>
      <c r="M48" s="1049">
        <v>380.9</v>
      </c>
      <c r="N48" s="1049">
        <v>25</v>
      </c>
      <c r="O48" s="1091" t="s">
        <v>88</v>
      </c>
      <c r="P48" s="1093">
        <v>3815.5</v>
      </c>
      <c r="Q48" s="1109" t="s">
        <v>88</v>
      </c>
      <c r="R48" s="942">
        <v>-58613.599999999991</v>
      </c>
      <c r="S48" s="292">
        <f t="shared" si="1"/>
        <v>113889.99999999999</v>
      </c>
      <c r="T48" s="1049">
        <v>365559.8</v>
      </c>
      <c r="U48" s="1049">
        <f t="shared" ref="U48:U115" si="3">T48/I48</f>
        <v>3.2097620511019405</v>
      </c>
    </row>
    <row r="49" spans="1:21" s="81" customFormat="1" hidden="1">
      <c r="A49" s="87" t="s">
        <v>40</v>
      </c>
      <c r="B49" s="1049">
        <v>88984.4</v>
      </c>
      <c r="C49" s="1049">
        <v>19977.3</v>
      </c>
      <c r="D49" s="1109" t="s">
        <v>88</v>
      </c>
      <c r="E49" s="1049">
        <v>1824.2999999999997</v>
      </c>
      <c r="F49" s="1049">
        <v>1165.7</v>
      </c>
      <c r="G49" s="1049">
        <v>398.2</v>
      </c>
      <c r="H49" s="1110">
        <v>2259.2999999999997</v>
      </c>
      <c r="I49" s="292">
        <f t="shared" ref="I49:I78" si="4">SUM(B49:H49)</f>
        <v>114609.2</v>
      </c>
      <c r="J49" s="942">
        <v>62812.299999999988</v>
      </c>
      <c r="K49" s="1049">
        <v>105260.5</v>
      </c>
      <c r="L49" s="1049">
        <v>1000</v>
      </c>
      <c r="M49" s="1049">
        <v>380.9</v>
      </c>
      <c r="N49" s="1049">
        <v>25</v>
      </c>
      <c r="O49" s="1091" t="s">
        <v>88</v>
      </c>
      <c r="P49" s="1093">
        <v>3781.2999999999997</v>
      </c>
      <c r="Q49" s="1109" t="s">
        <v>88</v>
      </c>
      <c r="R49" s="942">
        <v>-58650.8</v>
      </c>
      <c r="S49" s="292">
        <f t="shared" si="1"/>
        <v>114609.19999999997</v>
      </c>
      <c r="T49" s="1049">
        <v>378747.69999999995</v>
      </c>
      <c r="U49" s="1049">
        <f t="shared" si="3"/>
        <v>3.3046884543300186</v>
      </c>
    </row>
    <row r="50" spans="1:21" s="81" customFormat="1" hidden="1">
      <c r="A50" s="87" t="s">
        <v>41</v>
      </c>
      <c r="B50" s="1049">
        <v>89739.6</v>
      </c>
      <c r="C50" s="1049">
        <v>23461.300000000003</v>
      </c>
      <c r="D50" s="1109" t="s">
        <v>88</v>
      </c>
      <c r="E50" s="1049">
        <v>1391.6999999999998</v>
      </c>
      <c r="F50" s="1049">
        <v>1864.2</v>
      </c>
      <c r="G50" s="1049">
        <v>340.6</v>
      </c>
      <c r="H50" s="1110">
        <v>2050.2999999999997</v>
      </c>
      <c r="I50" s="292">
        <f t="shared" si="4"/>
        <v>118847.70000000001</v>
      </c>
      <c r="J50" s="942">
        <v>60403.499999999942</v>
      </c>
      <c r="K50" s="1049">
        <v>107776.49999999999</v>
      </c>
      <c r="L50" s="1049">
        <v>1000</v>
      </c>
      <c r="M50" s="1049">
        <v>380.9</v>
      </c>
      <c r="N50" s="1049">
        <v>25</v>
      </c>
      <c r="O50" s="1091" t="s">
        <v>88</v>
      </c>
      <c r="P50" s="1093">
        <v>3931.7999999999997</v>
      </c>
      <c r="Q50" s="1184">
        <v>-3000</v>
      </c>
      <c r="R50" s="942">
        <v>-51669.999999999993</v>
      </c>
      <c r="S50" s="292">
        <f t="shared" si="1"/>
        <v>118847.69999999992</v>
      </c>
      <c r="T50" s="1049">
        <v>398263.2</v>
      </c>
      <c r="U50" s="1049">
        <f t="shared" si="3"/>
        <v>3.3510383457147253</v>
      </c>
    </row>
    <row r="51" spans="1:21" s="81" customFormat="1" hidden="1">
      <c r="A51" s="87" t="s">
        <v>42</v>
      </c>
      <c r="B51" s="1049">
        <v>98410.2</v>
      </c>
      <c r="C51" s="1049">
        <v>22480</v>
      </c>
      <c r="D51" s="1109" t="s">
        <v>88</v>
      </c>
      <c r="E51" s="1049">
        <v>1734.1</v>
      </c>
      <c r="F51" s="1049">
        <v>2398.0000000000005</v>
      </c>
      <c r="G51" s="1049">
        <v>261.39999999999998</v>
      </c>
      <c r="H51" s="1110">
        <v>1930.3</v>
      </c>
      <c r="I51" s="292">
        <f t="shared" si="4"/>
        <v>127214</v>
      </c>
      <c r="J51" s="942">
        <v>65629.399999999994</v>
      </c>
      <c r="K51" s="1049">
        <v>106043.30000000002</v>
      </c>
      <c r="L51" s="1049">
        <v>1000</v>
      </c>
      <c r="M51" s="1049">
        <v>380.9</v>
      </c>
      <c r="N51" s="1049">
        <v>25</v>
      </c>
      <c r="O51" s="1091" t="s">
        <v>88</v>
      </c>
      <c r="P51" s="1093">
        <v>3953.5</v>
      </c>
      <c r="Q51" s="1109" t="s">
        <v>88</v>
      </c>
      <c r="R51" s="942">
        <v>-49818.100000000006</v>
      </c>
      <c r="S51" s="292">
        <f t="shared" si="1"/>
        <v>127214</v>
      </c>
      <c r="T51" s="1049">
        <v>396837.4</v>
      </c>
      <c r="U51" s="1049">
        <f t="shared" si="3"/>
        <v>3.1194475450815164</v>
      </c>
    </row>
    <row r="52" spans="1:21" s="81" customFormat="1" hidden="1">
      <c r="A52" s="87" t="s">
        <v>43</v>
      </c>
      <c r="B52" s="1049">
        <v>98766.6</v>
      </c>
      <c r="C52" s="1049">
        <v>23173.1</v>
      </c>
      <c r="D52" s="1109" t="s">
        <v>88</v>
      </c>
      <c r="E52" s="1049">
        <v>1414.8</v>
      </c>
      <c r="F52" s="1049">
        <v>1675.1769999999997</v>
      </c>
      <c r="G52" s="1049">
        <v>336.5</v>
      </c>
      <c r="H52" s="1110">
        <v>2158.6999999999998</v>
      </c>
      <c r="I52" s="292">
        <f t="shared" si="4"/>
        <v>127524.87700000001</v>
      </c>
      <c r="J52" s="1185">
        <v>61488</v>
      </c>
      <c r="K52" s="1049">
        <v>117095.97699999998</v>
      </c>
      <c r="L52" s="1109" t="s">
        <v>88</v>
      </c>
      <c r="M52" s="1049">
        <v>380.9</v>
      </c>
      <c r="N52" s="1049">
        <v>25</v>
      </c>
      <c r="O52" s="1091" t="s">
        <v>88</v>
      </c>
      <c r="P52" s="1093">
        <v>4084.1</v>
      </c>
      <c r="Q52" s="1184">
        <v>-5000</v>
      </c>
      <c r="R52" s="942">
        <v>-50549.1</v>
      </c>
      <c r="S52" s="292">
        <f t="shared" si="1"/>
        <v>127524.87699999998</v>
      </c>
      <c r="T52" s="1049">
        <v>387845.07699999993</v>
      </c>
      <c r="U52" s="1049">
        <f t="shared" si="3"/>
        <v>3.0413287675627392</v>
      </c>
    </row>
    <row r="53" spans="1:21" s="81" customFormat="1" hidden="1">
      <c r="A53" s="87" t="s">
        <v>44</v>
      </c>
      <c r="B53" s="1049">
        <v>109147.9</v>
      </c>
      <c r="C53" s="1049">
        <v>18877.900000000001</v>
      </c>
      <c r="D53" s="1109" t="s">
        <v>88</v>
      </c>
      <c r="E53" s="1049">
        <v>1506.9</v>
      </c>
      <c r="F53" s="1049">
        <v>4287.1000000000004</v>
      </c>
      <c r="G53" s="1049">
        <v>490.1</v>
      </c>
      <c r="H53" s="1110">
        <v>1501.1</v>
      </c>
      <c r="I53" s="292">
        <f t="shared" si="4"/>
        <v>135811</v>
      </c>
      <c r="J53" s="1186">
        <v>56309.5</v>
      </c>
      <c r="K53" s="1049">
        <v>126345.09999999999</v>
      </c>
      <c r="L53" s="1049">
        <v>1474.9</v>
      </c>
      <c r="M53" s="1049">
        <v>380.9</v>
      </c>
      <c r="N53" s="1049">
        <v>25</v>
      </c>
      <c r="O53" s="1091" t="s">
        <v>88</v>
      </c>
      <c r="P53" s="1093">
        <v>4127.7</v>
      </c>
      <c r="Q53" s="1109" t="s">
        <v>88</v>
      </c>
      <c r="R53" s="942">
        <v>-52852.100000000006</v>
      </c>
      <c r="S53" s="292">
        <f t="shared" si="1"/>
        <v>135810.99999999997</v>
      </c>
      <c r="T53" s="1049">
        <v>406650.7</v>
      </c>
      <c r="U53" s="1049">
        <f t="shared" si="3"/>
        <v>2.9942397891187018</v>
      </c>
    </row>
    <row r="54" spans="1:21" s="81" customFormat="1" hidden="1">
      <c r="A54" s="87" t="s">
        <v>45</v>
      </c>
      <c r="B54" s="1049">
        <v>121800.8</v>
      </c>
      <c r="C54" s="1049">
        <v>21782.1</v>
      </c>
      <c r="D54" s="1109" t="s">
        <v>88</v>
      </c>
      <c r="E54" s="1049">
        <v>1271.3</v>
      </c>
      <c r="F54" s="1049">
        <v>1552.6999999999998</v>
      </c>
      <c r="G54" s="1049">
        <v>456.2</v>
      </c>
      <c r="H54" s="1110">
        <v>2042.6</v>
      </c>
      <c r="I54" s="292">
        <f t="shared" si="4"/>
        <v>148905.70000000001</v>
      </c>
      <c r="J54" s="1186">
        <v>70144.199999999953</v>
      </c>
      <c r="K54" s="1049">
        <v>122388.49999999997</v>
      </c>
      <c r="L54" s="1049">
        <v>3006.3</v>
      </c>
      <c r="M54" s="1049">
        <v>380.9</v>
      </c>
      <c r="N54" s="1049">
        <v>25</v>
      </c>
      <c r="O54" s="1091" t="s">
        <v>88</v>
      </c>
      <c r="P54" s="1093">
        <v>4086.8</v>
      </c>
      <c r="Q54" s="1109" t="s">
        <v>88</v>
      </c>
      <c r="R54" s="942">
        <v>-51126</v>
      </c>
      <c r="S54" s="292">
        <f t="shared" si="1"/>
        <v>148905.6999999999</v>
      </c>
      <c r="T54" s="1049">
        <v>424665.5</v>
      </c>
      <c r="U54" s="1049">
        <f t="shared" si="3"/>
        <v>2.8519089598316247</v>
      </c>
    </row>
    <row r="55" spans="1:21" s="81" customFormat="1" hidden="1">
      <c r="A55" s="87" t="s">
        <v>46</v>
      </c>
      <c r="B55" s="1049">
        <v>121398.7</v>
      </c>
      <c r="C55" s="1049">
        <v>17654.900000000001</v>
      </c>
      <c r="D55" s="1109" t="s">
        <v>88</v>
      </c>
      <c r="E55" s="1049">
        <v>920.40000000000009</v>
      </c>
      <c r="F55" s="1049">
        <v>1198.7</v>
      </c>
      <c r="G55" s="1049">
        <v>293.2</v>
      </c>
      <c r="H55" s="1110">
        <v>2010.8</v>
      </c>
      <c r="I55" s="292">
        <f t="shared" si="4"/>
        <v>143476.70000000001</v>
      </c>
      <c r="J55" s="1186">
        <v>79117.500000000029</v>
      </c>
      <c r="K55" s="1049">
        <v>105645.6</v>
      </c>
      <c r="L55" s="1049">
        <v>6000</v>
      </c>
      <c r="M55" s="1049">
        <v>380.9</v>
      </c>
      <c r="N55" s="1049">
        <v>25</v>
      </c>
      <c r="O55" s="1091" t="s">
        <v>88</v>
      </c>
      <c r="P55" s="1093">
        <v>4045.3</v>
      </c>
      <c r="Q55" s="1109" t="s">
        <v>88</v>
      </c>
      <c r="R55" s="942">
        <v>-51737.599999999999</v>
      </c>
      <c r="S55" s="292">
        <f t="shared" si="1"/>
        <v>143476.70000000001</v>
      </c>
      <c r="T55" s="1049">
        <v>438876.20000000007</v>
      </c>
      <c r="U55" s="1049">
        <f t="shared" si="3"/>
        <v>3.0588673979816936</v>
      </c>
    </row>
    <row r="56" spans="1:21" s="81" customFormat="1" hidden="1">
      <c r="A56" s="87" t="s">
        <v>47</v>
      </c>
      <c r="B56" s="1049">
        <v>123002.6</v>
      </c>
      <c r="C56" s="1049">
        <v>17303.099999999999</v>
      </c>
      <c r="D56" s="1109" t="s">
        <v>88</v>
      </c>
      <c r="E56" s="1049">
        <v>1436.6</v>
      </c>
      <c r="F56" s="1049">
        <v>2300</v>
      </c>
      <c r="G56" s="1049">
        <v>256.10000000000002</v>
      </c>
      <c r="H56" s="1110">
        <v>2635.2</v>
      </c>
      <c r="I56" s="292">
        <f t="shared" si="4"/>
        <v>146933.60000000003</v>
      </c>
      <c r="J56" s="1186">
        <v>75833.299999999959</v>
      </c>
      <c r="K56" s="1049">
        <v>107112.1</v>
      </c>
      <c r="L56" s="1049">
        <v>10622.1</v>
      </c>
      <c r="M56" s="1049">
        <v>380.9</v>
      </c>
      <c r="N56" s="1049">
        <v>25</v>
      </c>
      <c r="O56" s="1091" t="s">
        <v>88</v>
      </c>
      <c r="P56" s="1093">
        <v>3971.9</v>
      </c>
      <c r="Q56" s="1109" t="s">
        <v>88</v>
      </c>
      <c r="R56" s="942">
        <v>-51011.7</v>
      </c>
      <c r="S56" s="292">
        <f t="shared" si="1"/>
        <v>146933.59999999998</v>
      </c>
      <c r="T56" s="1049">
        <v>453036.39999999997</v>
      </c>
      <c r="U56" s="1049">
        <f t="shared" si="3"/>
        <v>3.0832729886152648</v>
      </c>
    </row>
    <row r="57" spans="1:21" s="81" customFormat="1" hidden="1">
      <c r="A57" s="87" t="s">
        <v>48</v>
      </c>
      <c r="B57" s="1049">
        <v>118622.6</v>
      </c>
      <c r="C57" s="1049">
        <v>23160.400000000001</v>
      </c>
      <c r="D57" s="1109" t="s">
        <v>88</v>
      </c>
      <c r="E57" s="1049">
        <v>835.6</v>
      </c>
      <c r="F57" s="1049">
        <v>1851.5</v>
      </c>
      <c r="G57" s="1049">
        <v>143.6</v>
      </c>
      <c r="H57" s="1110">
        <v>1653.9</v>
      </c>
      <c r="I57" s="292">
        <f t="shared" si="4"/>
        <v>146267.6</v>
      </c>
      <c r="J57" s="1186">
        <v>95303.6</v>
      </c>
      <c r="K57" s="1049">
        <v>94508.800000000003</v>
      </c>
      <c r="L57" s="1049">
        <v>5355.8</v>
      </c>
      <c r="M57" s="1049">
        <v>380.9</v>
      </c>
      <c r="N57" s="1049">
        <v>25</v>
      </c>
      <c r="O57" s="1091" t="s">
        <v>88</v>
      </c>
      <c r="P57" s="1093">
        <v>4023.9</v>
      </c>
      <c r="Q57" s="1109" t="s">
        <v>88</v>
      </c>
      <c r="R57" s="942">
        <v>-53330.399999999994</v>
      </c>
      <c r="S57" s="292">
        <f t="shared" si="1"/>
        <v>146267.6</v>
      </c>
      <c r="T57" s="1049">
        <v>452404.50000000006</v>
      </c>
      <c r="U57" s="1049">
        <f t="shared" si="3"/>
        <v>3.092991886104647</v>
      </c>
    </row>
    <row r="58" spans="1:21" s="81" customFormat="1" hidden="1">
      <c r="A58" s="87" t="s">
        <v>49</v>
      </c>
      <c r="B58" s="1049">
        <v>116373.1</v>
      </c>
      <c r="C58" s="1049">
        <v>20223</v>
      </c>
      <c r="D58" s="1109" t="s">
        <v>88</v>
      </c>
      <c r="E58" s="1049">
        <v>632.4</v>
      </c>
      <c r="F58" s="1049">
        <v>1054.3</v>
      </c>
      <c r="G58" s="1049">
        <v>133</v>
      </c>
      <c r="H58" s="1110">
        <v>1621.7</v>
      </c>
      <c r="I58" s="292">
        <f t="shared" si="4"/>
        <v>140037.5</v>
      </c>
      <c r="J58" s="1186">
        <v>107336.39999999994</v>
      </c>
      <c r="K58" s="1049">
        <v>77336.900000000023</v>
      </c>
      <c r="L58" s="1049">
        <v>5508.8</v>
      </c>
      <c r="M58" s="1049">
        <v>380.9</v>
      </c>
      <c r="N58" s="1049">
        <v>25</v>
      </c>
      <c r="O58" s="1091" t="s">
        <v>88</v>
      </c>
      <c r="P58" s="1093">
        <v>4016.4</v>
      </c>
      <c r="Q58" s="1187">
        <v>-1500</v>
      </c>
      <c r="R58" s="942">
        <v>-53066.899999999994</v>
      </c>
      <c r="S58" s="292">
        <f t="shared" si="1"/>
        <v>140037.49999999994</v>
      </c>
      <c r="T58" s="1049">
        <v>454987.00000000006</v>
      </c>
      <c r="U58" s="1049">
        <f t="shared" si="3"/>
        <v>3.2490368651254133</v>
      </c>
    </row>
    <row r="59" spans="1:21" s="81" customFormat="1" hidden="1">
      <c r="A59" s="87" t="s">
        <v>50</v>
      </c>
      <c r="B59" s="1049">
        <v>124230.9</v>
      </c>
      <c r="C59" s="1049">
        <v>24965.9</v>
      </c>
      <c r="D59" s="1109" t="s">
        <v>88</v>
      </c>
      <c r="E59" s="1049">
        <v>1127</v>
      </c>
      <c r="F59" s="1049">
        <v>4527.2</v>
      </c>
      <c r="G59" s="1049">
        <v>56.9</v>
      </c>
      <c r="H59" s="1110">
        <v>1675.3</v>
      </c>
      <c r="I59" s="292">
        <f t="shared" si="4"/>
        <v>156583.19999999998</v>
      </c>
      <c r="J59" s="1186">
        <v>159092.20000000007</v>
      </c>
      <c r="K59" s="1049">
        <v>76990.5</v>
      </c>
      <c r="L59" s="1109" t="s">
        <v>88</v>
      </c>
      <c r="M59" s="1049">
        <v>380.9</v>
      </c>
      <c r="N59" s="1049">
        <v>25</v>
      </c>
      <c r="O59" s="1091" t="s">
        <v>88</v>
      </c>
      <c r="P59" s="1093">
        <v>3901.2000000000003</v>
      </c>
      <c r="Q59" s="1187">
        <v>-12000</v>
      </c>
      <c r="R59" s="942">
        <v>-71806.600000000006</v>
      </c>
      <c r="S59" s="292">
        <f t="shared" si="1"/>
        <v>156583.20000000007</v>
      </c>
      <c r="T59" s="1049">
        <v>482598.3</v>
      </c>
      <c r="U59" s="1049">
        <f t="shared" si="3"/>
        <v>3.082056695737474</v>
      </c>
    </row>
    <row r="60" spans="1:21" s="81" customFormat="1" hidden="1">
      <c r="A60" s="222"/>
      <c r="B60" s="1049"/>
      <c r="C60" s="1049"/>
      <c r="D60" s="1109"/>
      <c r="E60" s="1049"/>
      <c r="F60" s="1049"/>
      <c r="G60" s="1049"/>
      <c r="H60" s="1110"/>
      <c r="I60" s="292"/>
      <c r="J60" s="1186"/>
      <c r="K60" s="1049"/>
      <c r="L60" s="1109"/>
      <c r="M60" s="1049"/>
      <c r="N60" s="1049"/>
      <c r="O60" s="1091"/>
      <c r="P60" s="1093"/>
      <c r="Q60" s="1187"/>
      <c r="R60" s="942"/>
      <c r="S60" s="292"/>
      <c r="T60" s="1049"/>
      <c r="U60" s="1049"/>
    </row>
    <row r="61" spans="1:21" s="81" customFormat="1" hidden="1">
      <c r="A61" s="87" t="s">
        <v>59</v>
      </c>
      <c r="B61" s="1049">
        <v>114706.9</v>
      </c>
      <c r="C61" s="1049">
        <v>31192.800000000003</v>
      </c>
      <c r="D61" s="1109" t="s">
        <v>88</v>
      </c>
      <c r="E61" s="1049">
        <v>817.6</v>
      </c>
      <c r="F61" s="1049">
        <v>1689.4999999999998</v>
      </c>
      <c r="G61" s="1049">
        <v>89.3</v>
      </c>
      <c r="H61" s="1110">
        <v>1627.8</v>
      </c>
      <c r="I61" s="292">
        <f t="shared" si="4"/>
        <v>150123.9</v>
      </c>
      <c r="J61" s="1186">
        <v>141369.9</v>
      </c>
      <c r="K61" s="1049">
        <v>72031.8</v>
      </c>
      <c r="L61" s="1109" t="s">
        <v>88</v>
      </c>
      <c r="M61" s="1049">
        <v>380.9</v>
      </c>
      <c r="N61" s="1049">
        <v>25</v>
      </c>
      <c r="O61" s="1091" t="s">
        <v>88</v>
      </c>
      <c r="P61" s="1093">
        <v>4675.2</v>
      </c>
      <c r="Q61" s="1187">
        <v>-15000</v>
      </c>
      <c r="R61" s="942">
        <v>-53358.9</v>
      </c>
      <c r="S61" s="292">
        <f t="shared" si="1"/>
        <v>150123.90000000002</v>
      </c>
      <c r="T61" s="1049">
        <v>464981.6</v>
      </c>
      <c r="U61" s="1049">
        <f t="shared" si="3"/>
        <v>3.0973189478823824</v>
      </c>
    </row>
    <row r="62" spans="1:21" s="81" customFormat="1" hidden="1">
      <c r="A62" s="87" t="s">
        <v>40</v>
      </c>
      <c r="B62" s="1049">
        <v>113068.7</v>
      </c>
      <c r="C62" s="1049">
        <v>27634.1</v>
      </c>
      <c r="D62" s="1109" t="s">
        <v>88</v>
      </c>
      <c r="E62" s="1049">
        <v>704.00000000000011</v>
      </c>
      <c r="F62" s="1049">
        <v>1532.1679999999999</v>
      </c>
      <c r="G62" s="1049">
        <v>93.5</v>
      </c>
      <c r="H62" s="1110">
        <v>1771.6</v>
      </c>
      <c r="I62" s="292">
        <f t="shared" si="4"/>
        <v>144804.068</v>
      </c>
      <c r="J62" s="1186">
        <v>125265.90000000002</v>
      </c>
      <c r="K62" s="1049">
        <v>81052.968000000023</v>
      </c>
      <c r="L62" s="1109" t="s">
        <v>88</v>
      </c>
      <c r="M62" s="1049">
        <v>380.9</v>
      </c>
      <c r="N62" s="1049">
        <v>25</v>
      </c>
      <c r="O62" s="1091" t="s">
        <v>88</v>
      </c>
      <c r="P62" s="1093">
        <v>4588.5</v>
      </c>
      <c r="Q62" s="1187">
        <v>-10000</v>
      </c>
      <c r="R62" s="942">
        <v>-56509.2</v>
      </c>
      <c r="S62" s="292">
        <f t="shared" si="1"/>
        <v>144804.06800000003</v>
      </c>
      <c r="T62" s="1049">
        <v>460292.56800000003</v>
      </c>
      <c r="U62" s="1049">
        <f t="shared" si="3"/>
        <v>3.1787267744439336</v>
      </c>
    </row>
    <row r="63" spans="1:21" s="81" customFormat="1" hidden="1">
      <c r="A63" s="87" t="s">
        <v>41</v>
      </c>
      <c r="B63" s="1049">
        <v>112651.3</v>
      </c>
      <c r="C63" s="1049">
        <v>22247.699999999997</v>
      </c>
      <c r="D63" s="1109" t="s">
        <v>88</v>
      </c>
      <c r="E63" s="1049">
        <v>482.70000000000005</v>
      </c>
      <c r="F63" s="1049">
        <v>1866.9</v>
      </c>
      <c r="G63" s="1049">
        <v>232.7</v>
      </c>
      <c r="H63" s="1110">
        <v>1526.3</v>
      </c>
      <c r="I63" s="292">
        <f t="shared" si="4"/>
        <v>139007.6</v>
      </c>
      <c r="J63" s="1186">
        <v>105784.50000000003</v>
      </c>
      <c r="K63" s="1049">
        <v>86813.2</v>
      </c>
      <c r="L63" s="1109" t="s">
        <v>88</v>
      </c>
      <c r="M63" s="1049">
        <v>380.9</v>
      </c>
      <c r="N63" s="1049">
        <v>25</v>
      </c>
      <c r="O63" s="1091" t="s">
        <v>88</v>
      </c>
      <c r="P63" s="1093">
        <v>4553.5</v>
      </c>
      <c r="Q63" s="1187">
        <v>-8300</v>
      </c>
      <c r="R63" s="942">
        <v>-50249.499999999993</v>
      </c>
      <c r="S63" s="292">
        <f t="shared" si="1"/>
        <v>139007.6</v>
      </c>
      <c r="T63" s="1049">
        <v>471393.89999999991</v>
      </c>
      <c r="U63" s="1049">
        <f t="shared" si="3"/>
        <v>3.3911376068646599</v>
      </c>
    </row>
    <row r="64" spans="1:21" s="81" customFormat="1" hidden="1">
      <c r="A64" s="87" t="s">
        <v>42</v>
      </c>
      <c r="B64" s="1049">
        <v>115183.7</v>
      </c>
      <c r="C64" s="1049">
        <v>23019</v>
      </c>
      <c r="D64" s="1109" t="s">
        <v>88</v>
      </c>
      <c r="E64" s="1049">
        <v>472.70000000000005</v>
      </c>
      <c r="F64" s="1049">
        <v>2219.5</v>
      </c>
      <c r="G64" s="1049">
        <v>59.6</v>
      </c>
      <c r="H64" s="1110">
        <v>1285.2</v>
      </c>
      <c r="I64" s="292">
        <f t="shared" si="4"/>
        <v>142239.70000000004</v>
      </c>
      <c r="J64" s="1186">
        <v>90877.500000000029</v>
      </c>
      <c r="K64" s="1049">
        <v>97639.400000000009</v>
      </c>
      <c r="L64" s="1109" t="s">
        <v>88</v>
      </c>
      <c r="M64" s="1049">
        <v>380.9</v>
      </c>
      <c r="N64" s="1049">
        <v>25</v>
      </c>
      <c r="O64" s="1091" t="s">
        <v>88</v>
      </c>
      <c r="P64" s="1093">
        <v>4559.9000000000005</v>
      </c>
      <c r="Q64" s="1187">
        <v>-2300</v>
      </c>
      <c r="R64" s="942">
        <v>-48943</v>
      </c>
      <c r="S64" s="292">
        <f t="shared" si="1"/>
        <v>142239.70000000001</v>
      </c>
      <c r="T64" s="1049">
        <v>476285.8</v>
      </c>
      <c r="U64" s="1049">
        <f t="shared" si="3"/>
        <v>3.3484730353058945</v>
      </c>
    </row>
    <row r="65" spans="1:23" s="81" customFormat="1" hidden="1">
      <c r="A65" s="87" t="s">
        <v>43</v>
      </c>
      <c r="B65" s="1049">
        <v>112468.1</v>
      </c>
      <c r="C65" s="1049">
        <v>30605.599999999999</v>
      </c>
      <c r="D65" s="1109" t="s">
        <v>88</v>
      </c>
      <c r="E65" s="1049">
        <v>318.79999999999995</v>
      </c>
      <c r="F65" s="1049">
        <v>1111</v>
      </c>
      <c r="G65" s="1049">
        <v>43</v>
      </c>
      <c r="H65" s="1110">
        <v>1319.9</v>
      </c>
      <c r="I65" s="292">
        <f t="shared" si="4"/>
        <v>145866.4</v>
      </c>
      <c r="J65" s="1186">
        <v>154336.40000000008</v>
      </c>
      <c r="K65" s="1049">
        <v>70010.700000000012</v>
      </c>
      <c r="L65" s="1109" t="s">
        <v>88</v>
      </c>
      <c r="M65" s="1049">
        <v>380.9</v>
      </c>
      <c r="N65" s="1049">
        <v>25</v>
      </c>
      <c r="O65" s="1091" t="s">
        <v>88</v>
      </c>
      <c r="P65" s="1093">
        <v>4633</v>
      </c>
      <c r="Q65" s="1109" t="s">
        <v>88</v>
      </c>
      <c r="R65" s="942">
        <v>-83519.600000000006</v>
      </c>
      <c r="S65" s="292">
        <f t="shared" si="1"/>
        <v>145866.40000000008</v>
      </c>
      <c r="T65" s="1049">
        <v>470690.00000000012</v>
      </c>
      <c r="U65" s="1049">
        <f t="shared" si="3"/>
        <v>3.2268569046744151</v>
      </c>
    </row>
    <row r="66" spans="1:23" s="81" customFormat="1" hidden="1">
      <c r="A66" s="87" t="s">
        <v>44</v>
      </c>
      <c r="B66" s="1049">
        <v>120665.4</v>
      </c>
      <c r="C66" s="1049">
        <v>39647.5</v>
      </c>
      <c r="D66" s="1109" t="s">
        <v>88</v>
      </c>
      <c r="E66" s="1049">
        <v>835.8</v>
      </c>
      <c r="F66" s="1049">
        <v>2826.4</v>
      </c>
      <c r="G66" s="1049">
        <v>55.3</v>
      </c>
      <c r="H66" s="1110">
        <v>1354.9</v>
      </c>
      <c r="I66" s="292">
        <f t="shared" si="4"/>
        <v>165385.29999999996</v>
      </c>
      <c r="J66" s="1186">
        <v>148241.89999999997</v>
      </c>
      <c r="K66" s="1049">
        <v>92741.8</v>
      </c>
      <c r="L66" s="1109" t="s">
        <v>88</v>
      </c>
      <c r="M66" s="1049">
        <v>380.9</v>
      </c>
      <c r="N66" s="1049">
        <v>25</v>
      </c>
      <c r="O66" s="1091" t="s">
        <v>88</v>
      </c>
      <c r="P66" s="1093">
        <v>4658.5</v>
      </c>
      <c r="Q66" s="1109" t="s">
        <v>88</v>
      </c>
      <c r="R66" s="942">
        <v>-80662.8</v>
      </c>
      <c r="S66" s="292">
        <f t="shared" si="1"/>
        <v>165385.29999999993</v>
      </c>
      <c r="T66" s="1049">
        <v>486761.1</v>
      </c>
      <c r="U66" s="1049">
        <f t="shared" si="3"/>
        <v>2.9431944677066229</v>
      </c>
    </row>
    <row r="67" spans="1:23" s="81" customFormat="1" hidden="1">
      <c r="A67" s="87" t="s">
        <v>45</v>
      </c>
      <c r="B67" s="1049">
        <v>124675.4</v>
      </c>
      <c r="C67" s="1049">
        <v>21455.5</v>
      </c>
      <c r="D67" s="1109" t="s">
        <v>88</v>
      </c>
      <c r="E67" s="1049">
        <v>220.4</v>
      </c>
      <c r="F67" s="1049">
        <v>1534.6</v>
      </c>
      <c r="G67" s="1049">
        <v>42.1</v>
      </c>
      <c r="H67" s="1110">
        <v>1409.2</v>
      </c>
      <c r="I67" s="292">
        <f t="shared" si="4"/>
        <v>149337.20000000001</v>
      </c>
      <c r="J67" s="1186">
        <v>132152.60000000003</v>
      </c>
      <c r="K67" s="1049">
        <v>95710.200000000012</v>
      </c>
      <c r="L67" s="1109" t="s">
        <v>88</v>
      </c>
      <c r="M67" s="1049">
        <v>380.9</v>
      </c>
      <c r="N67" s="1049">
        <v>25</v>
      </c>
      <c r="O67" s="1091" t="s">
        <v>88</v>
      </c>
      <c r="P67" s="1093">
        <v>4670.6999999999989</v>
      </c>
      <c r="Q67" s="1187">
        <v>-3000</v>
      </c>
      <c r="R67" s="942">
        <v>-80602.2</v>
      </c>
      <c r="S67" s="292">
        <f t="shared" si="1"/>
        <v>149337.20000000007</v>
      </c>
      <c r="T67" s="1049">
        <v>486512.20000000007</v>
      </c>
      <c r="U67" s="1049">
        <f t="shared" si="3"/>
        <v>3.2578098424237232</v>
      </c>
    </row>
    <row r="68" spans="1:23" s="81" customFormat="1" hidden="1">
      <c r="A68" s="87" t="s">
        <v>46</v>
      </c>
      <c r="B68" s="1049">
        <v>124765.5</v>
      </c>
      <c r="C68" s="1049">
        <v>26062.2</v>
      </c>
      <c r="D68" s="1109" t="s">
        <v>88</v>
      </c>
      <c r="E68" s="1049">
        <v>303.80000000000007</v>
      </c>
      <c r="F68" s="1049">
        <v>1731.2</v>
      </c>
      <c r="G68" s="1049">
        <v>64.5</v>
      </c>
      <c r="H68" s="1110">
        <v>1217</v>
      </c>
      <c r="I68" s="292">
        <f t="shared" si="4"/>
        <v>154144.20000000001</v>
      </c>
      <c r="J68" s="1186">
        <v>115750.00000000003</v>
      </c>
      <c r="K68" s="1049">
        <v>111837.09999999999</v>
      </c>
      <c r="L68" s="1109" t="s">
        <v>88</v>
      </c>
      <c r="M68" s="1049">
        <v>380.9</v>
      </c>
      <c r="N68" s="1049">
        <v>25</v>
      </c>
      <c r="O68" s="1091" t="s">
        <v>88</v>
      </c>
      <c r="P68" s="1093">
        <v>4653.8999999999996</v>
      </c>
      <c r="Q68" s="1109" t="s">
        <v>88</v>
      </c>
      <c r="R68" s="942">
        <v>-78502.7</v>
      </c>
      <c r="S68" s="292">
        <f t="shared" si="1"/>
        <v>154144.20000000001</v>
      </c>
      <c r="T68" s="1049">
        <v>492047.6</v>
      </c>
      <c r="U68" s="1049">
        <f t="shared" si="3"/>
        <v>3.1921252956647082</v>
      </c>
    </row>
    <row r="69" spans="1:23" s="81" customFormat="1" hidden="1">
      <c r="A69" s="87" t="s">
        <v>47</v>
      </c>
      <c r="B69" s="1049">
        <v>117851.2</v>
      </c>
      <c r="C69" s="1049">
        <v>36139</v>
      </c>
      <c r="D69" s="1109" t="s">
        <v>88</v>
      </c>
      <c r="E69" s="1049">
        <v>818.50000000000011</v>
      </c>
      <c r="F69" s="1049">
        <v>2040.1</v>
      </c>
      <c r="G69" s="1049">
        <v>48.6</v>
      </c>
      <c r="H69" s="1110">
        <v>1353.5</v>
      </c>
      <c r="I69" s="292">
        <f t="shared" si="4"/>
        <v>158250.90000000002</v>
      </c>
      <c r="J69" s="1186">
        <v>133943.70000000004</v>
      </c>
      <c r="K69" s="1049">
        <v>98007.60000000002</v>
      </c>
      <c r="L69" s="1109" t="s">
        <v>88</v>
      </c>
      <c r="M69" s="1049">
        <v>380.9</v>
      </c>
      <c r="N69" s="1049">
        <v>25</v>
      </c>
      <c r="O69" s="1091" t="s">
        <v>88</v>
      </c>
      <c r="P69" s="1093">
        <v>4617.6999999999989</v>
      </c>
      <c r="Q69" s="1109" t="s">
        <v>88</v>
      </c>
      <c r="R69" s="942">
        <v>-78724</v>
      </c>
      <c r="S69" s="292">
        <f t="shared" si="1"/>
        <v>158250.90000000005</v>
      </c>
      <c r="T69" s="1049">
        <v>505926.30000000005</v>
      </c>
      <c r="U69" s="1049">
        <f t="shared" si="3"/>
        <v>3.196988453146238</v>
      </c>
    </row>
    <row r="70" spans="1:23" s="81" customFormat="1" hidden="1">
      <c r="A70" s="87" t="s">
        <v>48</v>
      </c>
      <c r="B70" s="1049">
        <v>119216.8</v>
      </c>
      <c r="C70" s="1049">
        <v>33282.800000000003</v>
      </c>
      <c r="D70" s="1109" t="s">
        <v>88</v>
      </c>
      <c r="E70" s="1049">
        <v>686.40000000000009</v>
      </c>
      <c r="F70" s="1049">
        <v>1721.9</v>
      </c>
      <c r="G70" s="1049">
        <v>76.900000000000006</v>
      </c>
      <c r="H70" s="1110">
        <v>1329.2</v>
      </c>
      <c r="I70" s="292">
        <f t="shared" si="4"/>
        <v>156314</v>
      </c>
      <c r="J70" s="1186">
        <v>129014.59999999998</v>
      </c>
      <c r="K70" s="1049">
        <v>103504.70000000001</v>
      </c>
      <c r="L70" s="1109" t="s">
        <v>88</v>
      </c>
      <c r="M70" s="1049">
        <v>380.9</v>
      </c>
      <c r="N70" s="1049">
        <v>25</v>
      </c>
      <c r="O70" s="1091" t="s">
        <v>88</v>
      </c>
      <c r="P70" s="1093">
        <v>4536.3999999999996</v>
      </c>
      <c r="Q70" s="1109" t="s">
        <v>88</v>
      </c>
      <c r="R70" s="942">
        <v>-81147.599999999991</v>
      </c>
      <c r="S70" s="292">
        <f t="shared" si="1"/>
        <v>156314</v>
      </c>
      <c r="T70" s="1049">
        <v>514112.9</v>
      </c>
      <c r="U70" s="1049">
        <f t="shared" si="3"/>
        <v>3.2889753956779306</v>
      </c>
    </row>
    <row r="71" spans="1:23" s="81" customFormat="1" hidden="1">
      <c r="A71" s="87" t="s">
        <v>49</v>
      </c>
      <c r="B71" s="1049">
        <v>117965.7</v>
      </c>
      <c r="C71" s="1049">
        <v>37170.699999999997</v>
      </c>
      <c r="D71" s="1109" t="s">
        <v>88</v>
      </c>
      <c r="E71" s="1049">
        <v>941.09999999999991</v>
      </c>
      <c r="F71" s="1049">
        <v>1724.1</v>
      </c>
      <c r="G71" s="1049">
        <v>100.3</v>
      </c>
      <c r="H71" s="1110">
        <v>1112.4000000000001</v>
      </c>
      <c r="I71" s="292">
        <f t="shared" si="4"/>
        <v>159014.29999999999</v>
      </c>
      <c r="J71" s="1186">
        <v>120358.70000000001</v>
      </c>
      <c r="K71" s="1049">
        <v>124081.19999999998</v>
      </c>
      <c r="L71" s="1109" t="s">
        <v>88</v>
      </c>
      <c r="M71" s="1049">
        <v>380.9</v>
      </c>
      <c r="N71" s="1049">
        <v>25</v>
      </c>
      <c r="O71" s="1091" t="s">
        <v>88</v>
      </c>
      <c r="P71" s="1093">
        <v>4468.2999999999993</v>
      </c>
      <c r="Q71" s="1187">
        <v>-6000</v>
      </c>
      <c r="R71" s="942">
        <v>-84299.8</v>
      </c>
      <c r="S71" s="292">
        <f t="shared" si="1"/>
        <v>159014.29999999999</v>
      </c>
      <c r="T71" s="1049">
        <v>509232.3</v>
      </c>
      <c r="U71" s="1049">
        <f t="shared" si="3"/>
        <v>3.2024308505587236</v>
      </c>
    </row>
    <row r="72" spans="1:23" s="81" customFormat="1" hidden="1">
      <c r="A72" s="87" t="s">
        <v>50</v>
      </c>
      <c r="B72" s="1049">
        <v>136206.20000000001</v>
      </c>
      <c r="C72" s="1049">
        <v>53891.1</v>
      </c>
      <c r="D72" s="1109" t="s">
        <v>88</v>
      </c>
      <c r="E72" s="1049">
        <v>1014.1</v>
      </c>
      <c r="F72" s="1049">
        <v>6100.8</v>
      </c>
      <c r="G72" s="1049">
        <v>29.2</v>
      </c>
      <c r="H72" s="1110">
        <v>901.8</v>
      </c>
      <c r="I72" s="292">
        <f t="shared" si="4"/>
        <v>198143.2</v>
      </c>
      <c r="J72" s="1186">
        <v>144966.20000000007</v>
      </c>
      <c r="K72" s="1049">
        <v>167752.20000000004</v>
      </c>
      <c r="L72" s="1109" t="s">
        <v>88</v>
      </c>
      <c r="M72" s="1049">
        <v>380.9</v>
      </c>
      <c r="N72" s="1049">
        <v>20</v>
      </c>
      <c r="O72" s="1091" t="s">
        <v>88</v>
      </c>
      <c r="P72" s="1093">
        <v>4342.7</v>
      </c>
      <c r="Q72" s="1187">
        <v>-10000</v>
      </c>
      <c r="R72" s="942">
        <v>-109318.79999999999</v>
      </c>
      <c r="S72" s="292">
        <f t="shared" si="1"/>
        <v>198143.20000000019</v>
      </c>
      <c r="T72" s="1049">
        <v>565309.9</v>
      </c>
      <c r="U72" s="1049">
        <f t="shared" si="3"/>
        <v>2.8530370964030056</v>
      </c>
    </row>
    <row r="73" spans="1:23" s="81" customFormat="1" hidden="1">
      <c r="A73" s="87"/>
      <c r="B73" s="1049"/>
      <c r="C73" s="1049"/>
      <c r="D73" s="1109"/>
      <c r="E73" s="1049"/>
      <c r="F73" s="1049"/>
      <c r="G73" s="1049"/>
      <c r="H73" s="1110"/>
      <c r="I73" s="292"/>
      <c r="J73" s="1186"/>
      <c r="K73" s="1049"/>
      <c r="L73" s="1109"/>
      <c r="M73" s="1049"/>
      <c r="N73" s="1049"/>
      <c r="O73" s="1091"/>
      <c r="P73" s="1093"/>
      <c r="Q73" s="1187"/>
      <c r="R73" s="942"/>
      <c r="S73" s="292"/>
      <c r="T73" s="1049"/>
      <c r="U73" s="1049"/>
    </row>
    <row r="74" spans="1:23" s="81" customFormat="1" hidden="1">
      <c r="A74" s="87" t="s">
        <v>58</v>
      </c>
      <c r="B74" s="1049">
        <v>124469.1</v>
      </c>
      <c r="C74" s="1049">
        <v>44898.400000000001</v>
      </c>
      <c r="D74" s="1109" t="s">
        <v>88</v>
      </c>
      <c r="E74" s="1049">
        <v>721.3</v>
      </c>
      <c r="F74" s="1049">
        <v>3451.6000000000004</v>
      </c>
      <c r="G74" s="1049">
        <v>35</v>
      </c>
      <c r="H74" s="1110">
        <v>778.3</v>
      </c>
      <c r="I74" s="292">
        <f t="shared" si="4"/>
        <v>174353.69999999998</v>
      </c>
      <c r="J74" s="1186">
        <v>153042.50000000006</v>
      </c>
      <c r="K74" s="1049">
        <v>117407.90000000002</v>
      </c>
      <c r="L74" s="1109" t="s">
        <v>88</v>
      </c>
      <c r="M74" s="1049">
        <v>380.9</v>
      </c>
      <c r="N74" s="1049">
        <v>20</v>
      </c>
      <c r="O74" s="1091" t="s">
        <v>88</v>
      </c>
      <c r="P74" s="1093">
        <v>5185.8999999999996</v>
      </c>
      <c r="Q74" s="1187">
        <v>-20000</v>
      </c>
      <c r="R74" s="942">
        <v>-81683.5</v>
      </c>
      <c r="S74" s="292">
        <f t="shared" si="1"/>
        <v>174353.70000000013</v>
      </c>
      <c r="T74" s="1049">
        <v>550236.5</v>
      </c>
      <c r="U74" s="1049">
        <f t="shared" si="3"/>
        <v>3.155863626639412</v>
      </c>
    </row>
    <row r="75" spans="1:23" s="81" customFormat="1" hidden="1">
      <c r="A75" s="87" t="s">
        <v>40</v>
      </c>
      <c r="B75" s="1049">
        <v>125950.7</v>
      </c>
      <c r="C75" s="1049">
        <v>41712.1</v>
      </c>
      <c r="D75" s="1109" t="s">
        <v>88</v>
      </c>
      <c r="E75" s="1049">
        <v>1912.9999999999998</v>
      </c>
      <c r="F75" s="1049">
        <v>1645.8999999999999</v>
      </c>
      <c r="G75" s="1049">
        <v>58.4</v>
      </c>
      <c r="H75" s="1110">
        <v>1143.8</v>
      </c>
      <c r="I75" s="292">
        <f t="shared" si="4"/>
        <v>172423.89999999997</v>
      </c>
      <c r="J75" s="1108">
        <v>150227.50000000003</v>
      </c>
      <c r="K75" s="1049">
        <v>117857.3</v>
      </c>
      <c r="L75" s="1109" t="s">
        <v>88</v>
      </c>
      <c r="M75" s="1049">
        <v>380.9</v>
      </c>
      <c r="N75" s="1049">
        <v>20</v>
      </c>
      <c r="O75" s="1091" t="s">
        <v>88</v>
      </c>
      <c r="P75" s="1093">
        <v>5109.2</v>
      </c>
      <c r="Q75" s="1187">
        <v>-16000</v>
      </c>
      <c r="R75" s="942">
        <v>-85170.999999999985</v>
      </c>
      <c r="S75" s="292">
        <f t="shared" si="1"/>
        <v>172423.90000000008</v>
      </c>
      <c r="T75" s="1049">
        <v>555905.10000000009</v>
      </c>
      <c r="U75" s="1049">
        <f t="shared" si="3"/>
        <v>3.2240605855684752</v>
      </c>
    </row>
    <row r="76" spans="1:23" s="81" customFormat="1" hidden="1">
      <c r="A76" s="87" t="s">
        <v>41</v>
      </c>
      <c r="B76" s="1049">
        <v>125349.6</v>
      </c>
      <c r="C76" s="1049">
        <v>26586.199999999997</v>
      </c>
      <c r="D76" s="1109" t="s">
        <v>88</v>
      </c>
      <c r="E76" s="1049">
        <v>707.1</v>
      </c>
      <c r="F76" s="1049">
        <v>2048.3000000000002</v>
      </c>
      <c r="G76" s="1049">
        <v>77.400000000000006</v>
      </c>
      <c r="H76" s="1110">
        <v>590.6</v>
      </c>
      <c r="I76" s="292">
        <f t="shared" si="4"/>
        <v>155359.19999999998</v>
      </c>
      <c r="J76" s="1108">
        <v>136213.69999999992</v>
      </c>
      <c r="K76" s="1049">
        <v>123302.19999999998</v>
      </c>
      <c r="L76" s="1109" t="s">
        <v>88</v>
      </c>
      <c r="M76" s="1049">
        <v>380.9</v>
      </c>
      <c r="N76" s="1049">
        <v>20</v>
      </c>
      <c r="O76" s="1091" t="s">
        <v>88</v>
      </c>
      <c r="P76" s="1093">
        <v>5051.8999999999996</v>
      </c>
      <c r="Q76" s="1187">
        <v>-22100</v>
      </c>
      <c r="R76" s="942">
        <v>-87509.5</v>
      </c>
      <c r="S76" s="292">
        <f t="shared" si="1"/>
        <v>155359.1999999999</v>
      </c>
      <c r="T76" s="1049">
        <v>572007.59999999986</v>
      </c>
      <c r="U76" s="1049">
        <f t="shared" si="3"/>
        <v>3.6818392473699655</v>
      </c>
    </row>
    <row r="77" spans="1:23" s="81" customFormat="1" hidden="1">
      <c r="A77" s="87" t="s">
        <v>42</v>
      </c>
      <c r="B77" s="1049">
        <v>127864.3</v>
      </c>
      <c r="C77" s="1049">
        <v>42278.6</v>
      </c>
      <c r="D77" s="1109" t="s">
        <v>88</v>
      </c>
      <c r="E77" s="1049">
        <v>2281</v>
      </c>
      <c r="F77" s="1049">
        <v>2970.8</v>
      </c>
      <c r="G77" s="1049">
        <v>53</v>
      </c>
      <c r="H77" s="1110">
        <v>722.2</v>
      </c>
      <c r="I77" s="292">
        <f t="shared" si="4"/>
        <v>176169.9</v>
      </c>
      <c r="J77" s="1108">
        <v>124940.20000000007</v>
      </c>
      <c r="K77" s="1049">
        <v>140275.89999999997</v>
      </c>
      <c r="L77" s="1109" t="s">
        <v>88</v>
      </c>
      <c r="M77" s="1049">
        <v>380.9</v>
      </c>
      <c r="N77" s="1049">
        <v>20</v>
      </c>
      <c r="O77" s="1091" t="s">
        <v>88</v>
      </c>
      <c r="P77" s="1093">
        <v>5048.7</v>
      </c>
      <c r="Q77" s="1187">
        <v>-10000</v>
      </c>
      <c r="R77" s="942">
        <v>-84495.800000000017</v>
      </c>
      <c r="S77" s="292">
        <f t="shared" si="1"/>
        <v>176169.90000000005</v>
      </c>
      <c r="T77" s="1049">
        <v>572238.10000000009</v>
      </c>
      <c r="U77" s="1049">
        <f t="shared" si="3"/>
        <v>3.2482172039604955</v>
      </c>
    </row>
    <row r="78" spans="1:23" s="81" customFormat="1" hidden="1">
      <c r="A78" s="87" t="s">
        <v>43</v>
      </c>
      <c r="B78" s="1049">
        <v>130114.6</v>
      </c>
      <c r="C78" s="1049">
        <v>15889</v>
      </c>
      <c r="D78" s="1109" t="s">
        <v>88</v>
      </c>
      <c r="E78" s="1049">
        <v>2142.3000000000002</v>
      </c>
      <c r="F78" s="1049">
        <v>3033.4</v>
      </c>
      <c r="G78" s="1049">
        <v>40.6</v>
      </c>
      <c r="H78" s="1110">
        <v>557.70000000000005</v>
      </c>
      <c r="I78" s="292">
        <f t="shared" si="4"/>
        <v>151777.60000000001</v>
      </c>
      <c r="J78" s="1108">
        <v>110538.00000000006</v>
      </c>
      <c r="K78" s="1049">
        <v>123904.30000000002</v>
      </c>
      <c r="L78" s="1109" t="s">
        <v>88</v>
      </c>
      <c r="M78" s="1049">
        <v>380.9</v>
      </c>
      <c r="N78" s="1049">
        <v>20</v>
      </c>
      <c r="O78" s="1091" t="s">
        <v>88</v>
      </c>
      <c r="P78" s="1093">
        <v>4993.0999999999995</v>
      </c>
      <c r="Q78" s="1109" t="s">
        <v>88</v>
      </c>
      <c r="R78" s="942">
        <v>-88058.7</v>
      </c>
      <c r="S78" s="292">
        <f t="shared" si="1"/>
        <v>151777.60000000009</v>
      </c>
      <c r="T78" s="1049">
        <v>559245.80000000005</v>
      </c>
      <c r="U78" s="1049">
        <f t="shared" si="3"/>
        <v>3.6846398941609304</v>
      </c>
      <c r="W78" s="1036"/>
    </row>
    <row r="79" spans="1:23" s="81" customFormat="1" hidden="1">
      <c r="A79" s="87" t="s">
        <v>44</v>
      </c>
      <c r="B79" s="1049">
        <v>147647.5</v>
      </c>
      <c r="C79" s="1049">
        <v>21971.5</v>
      </c>
      <c r="D79" s="1049">
        <v>0.49099999999999999</v>
      </c>
      <c r="E79" s="1049">
        <v>1973</v>
      </c>
      <c r="F79" s="1049">
        <v>2936</v>
      </c>
      <c r="G79" s="1049">
        <v>23.6</v>
      </c>
      <c r="H79" s="1110">
        <v>883.10900000000004</v>
      </c>
      <c r="I79" s="1049">
        <f t="shared" ref="I79:I98" si="5">H79+F79+E79+C79+B79+G79+D79</f>
        <v>175435.2</v>
      </c>
      <c r="J79" s="1108">
        <v>94137.999999999971</v>
      </c>
      <c r="K79" s="1049">
        <v>149157.60000000003</v>
      </c>
      <c r="L79" s="1109" t="s">
        <v>88</v>
      </c>
      <c r="M79" s="1049">
        <v>380.9</v>
      </c>
      <c r="N79" s="1049">
        <v>20</v>
      </c>
      <c r="O79" s="1091" t="s">
        <v>88</v>
      </c>
      <c r="P79" s="1093">
        <v>4893.7</v>
      </c>
      <c r="Q79" s="1109" t="s">
        <v>88</v>
      </c>
      <c r="R79" s="942">
        <v>-73155</v>
      </c>
      <c r="S79" s="292">
        <f t="shared" si="1"/>
        <v>175435.2</v>
      </c>
      <c r="T79" s="1049">
        <v>599322.1</v>
      </c>
      <c r="U79" s="1049">
        <f t="shared" si="3"/>
        <v>3.4162021076728042</v>
      </c>
      <c r="W79" s="1036"/>
    </row>
    <row r="80" spans="1:23" s="81" customFormat="1" hidden="1">
      <c r="A80" s="87" t="s">
        <v>45</v>
      </c>
      <c r="B80" s="1049">
        <v>163191.5</v>
      </c>
      <c r="C80" s="1049">
        <v>23739.5</v>
      </c>
      <c r="D80" s="1049">
        <v>50.491</v>
      </c>
      <c r="E80" s="1049">
        <v>1612.3</v>
      </c>
      <c r="F80" s="1049">
        <v>3851.2</v>
      </c>
      <c r="G80" s="1049">
        <v>31</v>
      </c>
      <c r="H80" s="1110">
        <v>432.50900000000001</v>
      </c>
      <c r="I80" s="1049">
        <f t="shared" si="5"/>
        <v>192908.5</v>
      </c>
      <c r="J80" s="1108">
        <v>91739.900000000023</v>
      </c>
      <c r="K80" s="1049">
        <v>167573.5</v>
      </c>
      <c r="L80" s="1109" t="s">
        <v>88</v>
      </c>
      <c r="M80" s="1049">
        <v>380.9</v>
      </c>
      <c r="N80" s="1049">
        <v>20</v>
      </c>
      <c r="O80" s="1091" t="s">
        <v>88</v>
      </c>
      <c r="P80" s="1093">
        <v>4854.0999999999995</v>
      </c>
      <c r="Q80" s="1109" t="s">
        <v>88</v>
      </c>
      <c r="R80" s="942">
        <v>-71659.899999999994</v>
      </c>
      <c r="S80" s="292">
        <f t="shared" si="1"/>
        <v>192908.50000000003</v>
      </c>
      <c r="T80" s="1049">
        <v>628333.30000000005</v>
      </c>
      <c r="U80" s="1049">
        <f t="shared" si="3"/>
        <v>3.2571571496331164</v>
      </c>
    </row>
    <row r="81" spans="1:25" s="81" customFormat="1" hidden="1">
      <c r="A81" s="87" t="s">
        <v>46</v>
      </c>
      <c r="B81" s="1049">
        <v>156374.20000000001</v>
      </c>
      <c r="C81" s="1049">
        <v>31485.7</v>
      </c>
      <c r="D81" s="1049">
        <v>200.49100000000001</v>
      </c>
      <c r="E81" s="1049">
        <v>1069.3000000000002</v>
      </c>
      <c r="F81" s="1049">
        <v>3228.5799999999995</v>
      </c>
      <c r="G81" s="1049">
        <v>38.200000000000003</v>
      </c>
      <c r="H81" s="1110">
        <v>563.70900000000006</v>
      </c>
      <c r="I81" s="1049">
        <f t="shared" si="5"/>
        <v>192960.18000000002</v>
      </c>
      <c r="J81" s="1108">
        <v>83653</v>
      </c>
      <c r="K81" s="1049">
        <v>162905.58000000002</v>
      </c>
      <c r="L81" s="1049">
        <v>598.6</v>
      </c>
      <c r="M81" s="1049">
        <v>380.9</v>
      </c>
      <c r="N81" s="1049">
        <v>20</v>
      </c>
      <c r="O81" s="1091" t="s">
        <v>88</v>
      </c>
      <c r="P81" s="1093">
        <v>4806.8</v>
      </c>
      <c r="Q81" s="1109" t="s">
        <v>88</v>
      </c>
      <c r="R81" s="942">
        <v>-59404.700000000004</v>
      </c>
      <c r="S81" s="292">
        <f t="shared" si="1"/>
        <v>192960.18</v>
      </c>
      <c r="T81" s="1049">
        <v>635999.17999999993</v>
      </c>
      <c r="U81" s="1049">
        <f t="shared" si="3"/>
        <v>3.2960125762735082</v>
      </c>
    </row>
    <row r="82" spans="1:25" s="81" customFormat="1" hidden="1">
      <c r="A82" s="87" t="s">
        <v>47</v>
      </c>
      <c r="B82" s="1049">
        <v>149317.20000000001</v>
      </c>
      <c r="C82" s="1049">
        <v>30479.4</v>
      </c>
      <c r="D82" s="1049">
        <v>200.49100000000001</v>
      </c>
      <c r="E82" s="1049">
        <v>1908.1999999999998</v>
      </c>
      <c r="F82" s="1049">
        <v>1770.6000000000001</v>
      </c>
      <c r="G82" s="1049">
        <v>19.399999999999999</v>
      </c>
      <c r="H82" s="1110">
        <v>570.70900000000006</v>
      </c>
      <c r="I82" s="1049">
        <f t="shared" si="5"/>
        <v>184266</v>
      </c>
      <c r="J82" s="1108">
        <v>69547.100000000035</v>
      </c>
      <c r="K82" s="1049">
        <v>171436.9</v>
      </c>
      <c r="L82" s="1109" t="s">
        <v>88</v>
      </c>
      <c r="M82" s="1049">
        <v>380.9</v>
      </c>
      <c r="N82" s="1049">
        <v>20</v>
      </c>
      <c r="O82" s="1091" t="s">
        <v>88</v>
      </c>
      <c r="P82" s="1093">
        <v>4817.1999999999989</v>
      </c>
      <c r="Q82" s="1187">
        <v>-2000</v>
      </c>
      <c r="R82" s="942">
        <v>-59936.100000000006</v>
      </c>
      <c r="S82" s="292">
        <f t="shared" si="1"/>
        <v>184266.00000000003</v>
      </c>
      <c r="T82" s="1049">
        <v>637143.30000000005</v>
      </c>
      <c r="U82" s="1049">
        <f t="shared" si="3"/>
        <v>3.4577366415942175</v>
      </c>
    </row>
    <row r="83" spans="1:25" s="81" customFormat="1" hidden="1">
      <c r="A83" s="87" t="s">
        <v>48</v>
      </c>
      <c r="B83" s="1049">
        <v>145288.6</v>
      </c>
      <c r="C83" s="1049">
        <v>15265.400000000001</v>
      </c>
      <c r="D83" s="1049">
        <v>0.49099999999999999</v>
      </c>
      <c r="E83" s="1049">
        <v>2831.3</v>
      </c>
      <c r="F83" s="1049">
        <v>954.49999999999989</v>
      </c>
      <c r="G83" s="1049">
        <v>16.5</v>
      </c>
      <c r="H83" s="1110">
        <v>677.80899999999997</v>
      </c>
      <c r="I83" s="1049">
        <f t="shared" si="5"/>
        <v>165034.6</v>
      </c>
      <c r="J83" s="1108">
        <v>66483.800000000047</v>
      </c>
      <c r="K83" s="1049">
        <v>149463.90000000002</v>
      </c>
      <c r="L83" s="1049">
        <v>3740.2</v>
      </c>
      <c r="M83" s="1049">
        <v>380.9</v>
      </c>
      <c r="N83" s="1049">
        <v>20</v>
      </c>
      <c r="O83" s="1091" t="s">
        <v>88</v>
      </c>
      <c r="P83" s="1093">
        <v>4696.3999999999996</v>
      </c>
      <c r="Q83" s="1109" t="s">
        <v>88</v>
      </c>
      <c r="R83" s="942">
        <v>-59750.600000000006</v>
      </c>
      <c r="S83" s="292">
        <f t="shared" si="1"/>
        <v>165034.60000000006</v>
      </c>
      <c r="T83" s="1049">
        <v>628055.30000000005</v>
      </c>
      <c r="U83" s="1049">
        <f t="shared" si="3"/>
        <v>3.8055977352627877</v>
      </c>
    </row>
    <row r="84" spans="1:25" s="81" customFormat="1" hidden="1">
      <c r="A84" s="87" t="s">
        <v>49</v>
      </c>
      <c r="B84" s="1049">
        <v>143026.9</v>
      </c>
      <c r="C84" s="1049">
        <v>31831.5</v>
      </c>
      <c r="D84" s="1049">
        <v>100.5</v>
      </c>
      <c r="E84" s="1049">
        <v>3638.7</v>
      </c>
      <c r="F84" s="1049">
        <v>1518.6</v>
      </c>
      <c r="G84" s="1049">
        <v>22</v>
      </c>
      <c r="H84" s="1110">
        <v>575.40899999999999</v>
      </c>
      <c r="I84" s="1049">
        <f t="shared" si="5"/>
        <v>180713.609</v>
      </c>
      <c r="J84" s="1108">
        <v>74650.300000000047</v>
      </c>
      <c r="K84" s="1049">
        <v>164159.80000000002</v>
      </c>
      <c r="L84" s="1109" t="s">
        <v>88</v>
      </c>
      <c r="M84" s="1049">
        <v>380.9</v>
      </c>
      <c r="N84" s="1049">
        <v>20</v>
      </c>
      <c r="O84" s="1091" t="s">
        <v>88</v>
      </c>
      <c r="P84" s="1093">
        <v>4573</v>
      </c>
      <c r="Q84" s="1109" t="s">
        <v>88</v>
      </c>
      <c r="R84" s="942">
        <v>-63070.400000000001</v>
      </c>
      <c r="S84" s="292">
        <f t="shared" si="1"/>
        <v>180713.60000000006</v>
      </c>
      <c r="T84" s="1049">
        <v>640335.80900000001</v>
      </c>
      <c r="U84" s="1049">
        <f t="shared" si="3"/>
        <v>3.5433734766483469</v>
      </c>
    </row>
    <row r="85" spans="1:25" s="268" customFormat="1" hidden="1">
      <c r="A85" s="783" t="s">
        <v>50</v>
      </c>
      <c r="B85" s="1049">
        <v>155835.20000000001</v>
      </c>
      <c r="C85" s="1049">
        <v>47450.5</v>
      </c>
      <c r="D85" s="1049">
        <v>2738.884497</v>
      </c>
      <c r="E85" s="1049">
        <v>1428</v>
      </c>
      <c r="F85" s="1049">
        <v>3735.6</v>
      </c>
      <c r="G85" s="1049">
        <v>28.6</v>
      </c>
      <c r="H85" s="1110">
        <v>422.01550300000008</v>
      </c>
      <c r="I85" s="1049">
        <f t="shared" si="5"/>
        <v>211638.80000000002</v>
      </c>
      <c r="J85" s="1185">
        <v>141613.59999999998</v>
      </c>
      <c r="K85" s="1049">
        <v>150905.29999999999</v>
      </c>
      <c r="L85" s="1109" t="s">
        <v>88</v>
      </c>
      <c r="M85" s="1049">
        <v>380.9</v>
      </c>
      <c r="N85" s="1049">
        <v>20</v>
      </c>
      <c r="O85" s="1093" t="s">
        <v>88</v>
      </c>
      <c r="P85" s="1093">
        <v>4671.9999999999991</v>
      </c>
      <c r="Q85" s="1187">
        <v>-7000</v>
      </c>
      <c r="R85" s="942">
        <v>-78953</v>
      </c>
      <c r="S85" s="292">
        <f t="shared" si="1"/>
        <v>211638.8</v>
      </c>
      <c r="T85" s="1049">
        <v>706363.91550300003</v>
      </c>
      <c r="U85" s="1049">
        <f t="shared" si="3"/>
        <v>3.3375917624887306</v>
      </c>
      <c r="W85" s="81"/>
      <c r="X85" s="81"/>
      <c r="Y85" s="81"/>
    </row>
    <row r="86" spans="1:25" s="268" customFormat="1" hidden="1">
      <c r="A86" s="783"/>
      <c r="B86" s="1049"/>
      <c r="C86" s="1049"/>
      <c r="D86" s="1049"/>
      <c r="E86" s="1049"/>
      <c r="F86" s="1049"/>
      <c r="G86" s="1049"/>
      <c r="H86" s="1110"/>
      <c r="I86" s="1049"/>
      <c r="J86" s="1185"/>
      <c r="K86" s="1049"/>
      <c r="L86" s="1109"/>
      <c r="M86" s="1049"/>
      <c r="N86" s="1049"/>
      <c r="O86" s="1093"/>
      <c r="P86" s="1093"/>
      <c r="Q86" s="1187"/>
      <c r="R86" s="942"/>
      <c r="S86" s="292"/>
      <c r="T86" s="1049"/>
      <c r="U86" s="1049"/>
      <c r="W86" s="81"/>
      <c r="X86" s="81"/>
      <c r="Y86" s="81"/>
    </row>
    <row r="87" spans="1:25" s="81" customFormat="1" hidden="1">
      <c r="A87" s="87" t="s">
        <v>57</v>
      </c>
      <c r="B87" s="1049">
        <v>145536.5</v>
      </c>
      <c r="C87" s="1049">
        <v>43841.1</v>
      </c>
      <c r="D87" s="1049">
        <v>135.918432</v>
      </c>
      <c r="E87" s="1049">
        <v>512.70000000000005</v>
      </c>
      <c r="F87" s="1049">
        <v>1078.5</v>
      </c>
      <c r="G87" s="1049">
        <v>56</v>
      </c>
      <c r="H87" s="1110">
        <v>742.38156800000002</v>
      </c>
      <c r="I87" s="1049">
        <f t="shared" si="5"/>
        <v>191903.1</v>
      </c>
      <c r="J87" s="1108">
        <v>131446.90000000002</v>
      </c>
      <c r="K87" s="1049">
        <v>126919.59999999999</v>
      </c>
      <c r="L87" s="1109" t="s">
        <v>88</v>
      </c>
      <c r="M87" s="1049">
        <v>380.9</v>
      </c>
      <c r="N87" s="1049">
        <v>20</v>
      </c>
      <c r="O87" s="1091" t="s">
        <v>88</v>
      </c>
      <c r="P87" s="1093">
        <v>5574.3999999999987</v>
      </c>
      <c r="Q87" s="1187">
        <v>-8500</v>
      </c>
      <c r="R87" s="942">
        <v>-63938.7</v>
      </c>
      <c r="S87" s="292">
        <f t="shared" si="1"/>
        <v>191903.09999999998</v>
      </c>
      <c r="T87" s="1049">
        <v>670982.58156800002</v>
      </c>
      <c r="U87" s="1049">
        <f t="shared" si="3"/>
        <v>3.4964655681330838</v>
      </c>
    </row>
    <row r="88" spans="1:25" s="81" customFormat="1" hidden="1">
      <c r="A88" s="87" t="s">
        <v>40</v>
      </c>
      <c r="B88" s="1049">
        <v>144843.29999999999</v>
      </c>
      <c r="C88" s="1049">
        <v>28928.1</v>
      </c>
      <c r="D88" s="1049">
        <v>543</v>
      </c>
      <c r="E88" s="1049">
        <v>1155.7999999999997</v>
      </c>
      <c r="F88" s="1049">
        <v>1490.1</v>
      </c>
      <c r="G88" s="1049">
        <v>36.700000000000003</v>
      </c>
      <c r="H88" s="1110">
        <v>731</v>
      </c>
      <c r="I88" s="1049">
        <f t="shared" si="5"/>
        <v>177728</v>
      </c>
      <c r="J88" s="1108">
        <v>156264.40000000002</v>
      </c>
      <c r="K88" s="1049">
        <v>83321.100000000006</v>
      </c>
      <c r="L88" s="1049">
        <v>1723.4</v>
      </c>
      <c r="M88" s="1049">
        <v>380.9</v>
      </c>
      <c r="N88" s="1049">
        <v>20</v>
      </c>
      <c r="O88" s="1091" t="s">
        <v>88</v>
      </c>
      <c r="P88" s="1093">
        <v>5574.5999999999995</v>
      </c>
      <c r="Q88" s="1187">
        <v>-3000</v>
      </c>
      <c r="R88" s="942">
        <v>-66556.399999999994</v>
      </c>
      <c r="S88" s="292">
        <f t="shared" si="1"/>
        <v>177728.00000000003</v>
      </c>
      <c r="T88" s="1049">
        <v>671842.2</v>
      </c>
      <c r="U88" s="1049">
        <f t="shared" si="3"/>
        <v>3.7801708228303923</v>
      </c>
    </row>
    <row r="89" spans="1:25" s="81" customFormat="1" hidden="1">
      <c r="A89" s="87" t="s">
        <v>41</v>
      </c>
      <c r="B89" s="1049">
        <v>149827.1</v>
      </c>
      <c r="C89" s="1049">
        <v>39367.200000000004</v>
      </c>
      <c r="D89" s="1049">
        <v>398.98371200000003</v>
      </c>
      <c r="E89" s="1049">
        <v>611.6</v>
      </c>
      <c r="F89" s="1049">
        <v>2831.0000000000005</v>
      </c>
      <c r="G89" s="1049">
        <v>92.9</v>
      </c>
      <c r="H89" s="1110">
        <v>1004.016288</v>
      </c>
      <c r="I89" s="1049">
        <f t="shared" si="5"/>
        <v>194132.8</v>
      </c>
      <c r="J89" s="1108">
        <v>143339.09999999998</v>
      </c>
      <c r="K89" s="1049">
        <v>111050.6</v>
      </c>
      <c r="L89" s="1049">
        <v>3410.3</v>
      </c>
      <c r="M89" s="1049">
        <v>380.9</v>
      </c>
      <c r="N89" s="1049">
        <v>20</v>
      </c>
      <c r="O89" s="1091" t="s">
        <v>88</v>
      </c>
      <c r="P89" s="1093">
        <v>5495.9999999999991</v>
      </c>
      <c r="Q89" s="1187">
        <v>-4500</v>
      </c>
      <c r="R89" s="942">
        <v>-65064.1</v>
      </c>
      <c r="S89" s="292">
        <f t="shared" si="1"/>
        <v>194132.79999999996</v>
      </c>
      <c r="T89" s="1049">
        <v>692784.31628799997</v>
      </c>
      <c r="U89" s="1049">
        <f t="shared" si="3"/>
        <v>3.568610334204215</v>
      </c>
    </row>
    <row r="90" spans="1:25" s="81" customFormat="1" hidden="1">
      <c r="A90" s="87" t="s">
        <v>42</v>
      </c>
      <c r="B90" s="1049">
        <v>154603.9</v>
      </c>
      <c r="C90" s="1049">
        <v>34054.1</v>
      </c>
      <c r="D90" s="1049">
        <v>647.1</v>
      </c>
      <c r="E90" s="1049">
        <v>591.6</v>
      </c>
      <c r="F90" s="1049">
        <v>6855.9000000000005</v>
      </c>
      <c r="G90" s="1049">
        <v>47.3</v>
      </c>
      <c r="H90" s="1110">
        <v>872.30000000000007</v>
      </c>
      <c r="I90" s="1049">
        <f t="shared" si="5"/>
        <v>197672.19999999998</v>
      </c>
      <c r="J90" s="1108">
        <v>151581.59999999998</v>
      </c>
      <c r="K90" s="1049">
        <v>102644.49999999999</v>
      </c>
      <c r="L90" s="1049">
        <v>4017</v>
      </c>
      <c r="M90" s="1049">
        <v>380.9</v>
      </c>
      <c r="N90" s="1049">
        <v>20</v>
      </c>
      <c r="O90" s="1091" t="s">
        <v>88</v>
      </c>
      <c r="P90" s="1093">
        <v>5481.7999999999993</v>
      </c>
      <c r="Q90" s="1109" t="s">
        <v>88</v>
      </c>
      <c r="R90" s="942">
        <v>-66453.600000000006</v>
      </c>
      <c r="S90" s="292">
        <f t="shared" ref="S90:S153" si="6">SUM(J90:R90)</f>
        <v>197672.19999999998</v>
      </c>
      <c r="T90" s="1049">
        <v>699305.00000000012</v>
      </c>
      <c r="U90" s="1049">
        <f t="shared" si="3"/>
        <v>3.5377002937185917</v>
      </c>
    </row>
    <row r="91" spans="1:25" s="81" customFormat="1" hidden="1">
      <c r="A91" s="87" t="s">
        <v>43</v>
      </c>
      <c r="B91" s="1049">
        <v>159225.29999999999</v>
      </c>
      <c r="C91" s="1049">
        <v>26890.299999999996</v>
      </c>
      <c r="D91" s="1049">
        <v>398.98371200000003</v>
      </c>
      <c r="E91" s="1049">
        <v>968.90000000000009</v>
      </c>
      <c r="F91" s="1049">
        <v>4582.8999999999996</v>
      </c>
      <c r="G91" s="1049">
        <v>124.5</v>
      </c>
      <c r="H91" s="1110">
        <v>765.01628800000003</v>
      </c>
      <c r="I91" s="1049">
        <f t="shared" si="5"/>
        <v>192955.89999999997</v>
      </c>
      <c r="J91" s="1108">
        <v>145435.50000000006</v>
      </c>
      <c r="K91" s="1049">
        <v>101140.19999999998</v>
      </c>
      <c r="L91" s="1049">
        <v>8670.2999999999993</v>
      </c>
      <c r="M91" s="1049">
        <v>380.9</v>
      </c>
      <c r="N91" s="1049">
        <v>20</v>
      </c>
      <c r="O91" s="1091" t="s">
        <v>88</v>
      </c>
      <c r="P91" s="1093">
        <v>5605.9</v>
      </c>
      <c r="Q91" s="1109" t="s">
        <v>88</v>
      </c>
      <c r="R91" s="942">
        <v>-68296.900000000009</v>
      </c>
      <c r="S91" s="292">
        <f t="shared" si="6"/>
        <v>192955.90000000002</v>
      </c>
      <c r="T91" s="1049">
        <v>704920.1162879999</v>
      </c>
      <c r="U91" s="1049">
        <f t="shared" si="3"/>
        <v>3.6532705985564577</v>
      </c>
    </row>
    <row r="92" spans="1:25" s="81" customFormat="1" hidden="1">
      <c r="A92" s="87" t="s">
        <v>44</v>
      </c>
      <c r="B92" s="1049">
        <v>172348.7</v>
      </c>
      <c r="C92" s="1049">
        <v>27532.100000000002</v>
      </c>
      <c r="D92" s="1049">
        <v>4490.4912750000003</v>
      </c>
      <c r="E92" s="1049">
        <v>1167.8999999999999</v>
      </c>
      <c r="F92" s="1049">
        <v>4553.0999999999995</v>
      </c>
      <c r="G92" s="1049">
        <v>97</v>
      </c>
      <c r="H92" s="1110">
        <v>801.50872499999969</v>
      </c>
      <c r="I92" s="1049">
        <f t="shared" si="5"/>
        <v>210990.80000000002</v>
      </c>
      <c r="J92" s="1108">
        <v>133383.10000000003</v>
      </c>
      <c r="K92" s="1049">
        <v>115763.80000000005</v>
      </c>
      <c r="L92" s="1049">
        <v>21978.1</v>
      </c>
      <c r="M92" s="1049">
        <v>380.9</v>
      </c>
      <c r="N92" s="1049">
        <v>20</v>
      </c>
      <c r="O92" s="1091" t="s">
        <v>88</v>
      </c>
      <c r="P92" s="1093">
        <v>5860.2</v>
      </c>
      <c r="Q92" s="1109" t="s">
        <v>88</v>
      </c>
      <c r="R92" s="942">
        <v>-66395.3</v>
      </c>
      <c r="S92" s="292">
        <f t="shared" si="6"/>
        <v>210990.8000000001</v>
      </c>
      <c r="T92" s="1049">
        <v>728615.80872500001</v>
      </c>
      <c r="U92" s="1049">
        <f t="shared" si="3"/>
        <v>3.4533060622785445</v>
      </c>
    </row>
    <row r="93" spans="1:25" s="81" customFormat="1" hidden="1">
      <c r="A93" s="87" t="s">
        <v>45</v>
      </c>
      <c r="B93" s="1049">
        <v>186362</v>
      </c>
      <c r="C93" s="1049">
        <v>25164.7</v>
      </c>
      <c r="D93" s="1049">
        <v>4881.352691</v>
      </c>
      <c r="E93" s="1049">
        <v>913</v>
      </c>
      <c r="F93" s="1049">
        <v>7643.699999999998</v>
      </c>
      <c r="G93" s="1049">
        <v>97.7</v>
      </c>
      <c r="H93" s="1110">
        <v>562.94730900000013</v>
      </c>
      <c r="I93" s="1049">
        <f t="shared" si="5"/>
        <v>225625.40000000002</v>
      </c>
      <c r="J93" s="1108">
        <v>119995.09999999998</v>
      </c>
      <c r="K93" s="1049">
        <v>140073</v>
      </c>
      <c r="L93" s="1049">
        <v>28323</v>
      </c>
      <c r="M93" s="1049">
        <v>380.9</v>
      </c>
      <c r="N93" s="1049">
        <v>20</v>
      </c>
      <c r="O93" s="1091" t="s">
        <v>88</v>
      </c>
      <c r="P93" s="1093">
        <v>5863.3</v>
      </c>
      <c r="Q93" s="1109" t="s">
        <v>88</v>
      </c>
      <c r="R93" s="942">
        <v>-69029.899999999994</v>
      </c>
      <c r="S93" s="292">
        <f t="shared" si="6"/>
        <v>225625.4</v>
      </c>
      <c r="T93" s="1049">
        <v>763394.20842011098</v>
      </c>
      <c r="U93" s="1049">
        <f t="shared" si="3"/>
        <v>3.3834586372815778</v>
      </c>
    </row>
    <row r="94" spans="1:25" s="81" customFormat="1" hidden="1">
      <c r="A94" s="87" t="s">
        <v>46</v>
      </c>
      <c r="B94" s="1049">
        <v>180063.1</v>
      </c>
      <c r="C94" s="1049">
        <v>37662.400000000001</v>
      </c>
      <c r="D94" s="1049">
        <v>181.68308100000002</v>
      </c>
      <c r="E94" s="1049">
        <v>1275.4000000000001</v>
      </c>
      <c r="F94" s="1049">
        <v>1958.6</v>
      </c>
      <c r="G94" s="1049">
        <v>83.5</v>
      </c>
      <c r="H94" s="1110">
        <v>481.61691899999994</v>
      </c>
      <c r="I94" s="1049">
        <f t="shared" si="5"/>
        <v>221706.3</v>
      </c>
      <c r="J94" s="1108">
        <v>101092.90000000002</v>
      </c>
      <c r="K94" s="1049">
        <v>148332.30000000002</v>
      </c>
      <c r="L94" s="1049">
        <v>30627.200000000001</v>
      </c>
      <c r="M94" s="1049">
        <v>380.9</v>
      </c>
      <c r="N94" s="1049">
        <v>20</v>
      </c>
      <c r="O94" s="1091" t="s">
        <v>88</v>
      </c>
      <c r="P94" s="1093">
        <v>5886.4000000000005</v>
      </c>
      <c r="Q94" s="1109" t="s">
        <v>88</v>
      </c>
      <c r="R94" s="942">
        <v>-64633.4</v>
      </c>
      <c r="S94" s="292">
        <f t="shared" si="6"/>
        <v>221706.30000000008</v>
      </c>
      <c r="T94" s="1049">
        <v>757596.139141222</v>
      </c>
      <c r="U94" s="1049">
        <f t="shared" si="3"/>
        <v>3.4171159734352252</v>
      </c>
    </row>
    <row r="95" spans="1:25" s="81" customFormat="1" hidden="1">
      <c r="A95" s="87" t="s">
        <v>47</v>
      </c>
      <c r="B95" s="1049">
        <v>168466.4</v>
      </c>
      <c r="C95" s="1049">
        <v>33244.300000000003</v>
      </c>
      <c r="D95" s="1049">
        <v>2484.4</v>
      </c>
      <c r="E95" s="1049">
        <v>1493.8</v>
      </c>
      <c r="F95" s="1049">
        <v>1412.9000000000003</v>
      </c>
      <c r="G95" s="1049">
        <v>37.9</v>
      </c>
      <c r="H95" s="1110">
        <v>500.59999999999991</v>
      </c>
      <c r="I95" s="1049">
        <f t="shared" si="5"/>
        <v>207640.3</v>
      </c>
      <c r="J95" s="1108">
        <v>81241.400000000023</v>
      </c>
      <c r="K95" s="1049">
        <v>149815.80000000002</v>
      </c>
      <c r="L95" s="1049">
        <v>41214.800000000003</v>
      </c>
      <c r="M95" s="1049">
        <v>380.9</v>
      </c>
      <c r="N95" s="1049">
        <v>20</v>
      </c>
      <c r="O95" s="1091" t="s">
        <v>88</v>
      </c>
      <c r="P95" s="1093">
        <v>6248.6999999999989</v>
      </c>
      <c r="Q95" s="1109" t="s">
        <v>88</v>
      </c>
      <c r="R95" s="942">
        <v>-71281.3</v>
      </c>
      <c r="S95" s="292">
        <f t="shared" si="6"/>
        <v>207640.3000000001</v>
      </c>
      <c r="T95" s="1049">
        <v>726660.4833333334</v>
      </c>
      <c r="U95" s="1049">
        <f t="shared" si="3"/>
        <v>3.4996119892589901</v>
      </c>
    </row>
    <row r="96" spans="1:25" s="81" customFormat="1" hidden="1">
      <c r="A96" s="87" t="s">
        <v>48</v>
      </c>
      <c r="B96" s="1049">
        <v>163042.70000000001</v>
      </c>
      <c r="C96" s="1049">
        <v>23626.300000000003</v>
      </c>
      <c r="D96" s="1049">
        <v>2788.4236020000003</v>
      </c>
      <c r="E96" s="1049">
        <v>931.2</v>
      </c>
      <c r="F96" s="1049">
        <v>2651.1000000000004</v>
      </c>
      <c r="G96" s="1049">
        <v>25.6</v>
      </c>
      <c r="H96" s="1110">
        <v>1386.4763980000002</v>
      </c>
      <c r="I96" s="1049">
        <f t="shared" si="5"/>
        <v>194451.80000000002</v>
      </c>
      <c r="J96" s="1108">
        <v>61605.000000000058</v>
      </c>
      <c r="K96" s="1049">
        <v>165574.1</v>
      </c>
      <c r="L96" s="1049">
        <v>33892.300000000003</v>
      </c>
      <c r="M96" s="1049">
        <v>380.9</v>
      </c>
      <c r="N96" s="1049">
        <v>20</v>
      </c>
      <c r="O96" s="1091" t="s">
        <v>88</v>
      </c>
      <c r="P96" s="1093">
        <v>6149.4999999999991</v>
      </c>
      <c r="Q96" s="1109" t="s">
        <v>88</v>
      </c>
      <c r="R96" s="942">
        <v>-73170</v>
      </c>
      <c r="S96" s="292">
        <f t="shared" si="6"/>
        <v>194451.80000000005</v>
      </c>
      <c r="T96" s="1049">
        <v>731234.32084244443</v>
      </c>
      <c r="U96" s="1049">
        <f t="shared" si="3"/>
        <v>3.7604913960294755</v>
      </c>
    </row>
    <row r="97" spans="1:21" s="81" customFormat="1" hidden="1">
      <c r="A97" s="87" t="s">
        <v>49</v>
      </c>
      <c r="B97" s="1049">
        <v>157871.5</v>
      </c>
      <c r="C97" s="1049">
        <v>19725.599999999999</v>
      </c>
      <c r="D97" s="1049">
        <v>2419.5932160000002</v>
      </c>
      <c r="E97" s="1049">
        <v>782.7</v>
      </c>
      <c r="F97" s="1049">
        <v>2706.9</v>
      </c>
      <c r="G97" s="1049">
        <v>9.1</v>
      </c>
      <c r="H97" s="1110">
        <v>435.90678400000024</v>
      </c>
      <c r="I97" s="1049">
        <f t="shared" si="5"/>
        <v>183951.30000000002</v>
      </c>
      <c r="J97" s="1108">
        <v>59710.299999999988</v>
      </c>
      <c r="K97" s="1049">
        <v>152674.5</v>
      </c>
      <c r="L97" s="1049">
        <v>39419.1</v>
      </c>
      <c r="M97" s="1049">
        <v>380.9</v>
      </c>
      <c r="N97" s="1049">
        <v>20</v>
      </c>
      <c r="O97" s="1091" t="s">
        <v>88</v>
      </c>
      <c r="P97" s="1093">
        <v>6130.8</v>
      </c>
      <c r="Q97" s="1109" t="s">
        <v>88</v>
      </c>
      <c r="R97" s="942">
        <v>-74384.3</v>
      </c>
      <c r="S97" s="292">
        <f t="shared" si="6"/>
        <v>183951.3</v>
      </c>
      <c r="T97" s="1049">
        <v>716747.61233955564</v>
      </c>
      <c r="U97" s="1049">
        <f t="shared" si="3"/>
        <v>3.8963987334667141</v>
      </c>
    </row>
    <row r="98" spans="1:21" s="81" customFormat="1" hidden="1">
      <c r="A98" s="87" t="s">
        <v>50</v>
      </c>
      <c r="B98" s="1049">
        <v>170106</v>
      </c>
      <c r="C98" s="1049">
        <v>34979.700000000004</v>
      </c>
      <c r="D98" s="1049">
        <v>500</v>
      </c>
      <c r="E98" s="1049">
        <v>278</v>
      </c>
      <c r="F98" s="1049">
        <v>5041.4999999999982</v>
      </c>
      <c r="G98" s="1049">
        <v>23.6</v>
      </c>
      <c r="H98" s="1110">
        <v>397.3</v>
      </c>
      <c r="I98" s="1049">
        <f t="shared" si="5"/>
        <v>211326.1</v>
      </c>
      <c r="J98" s="1108">
        <v>82293.999999999942</v>
      </c>
      <c r="K98" s="1049">
        <v>211644.80000000005</v>
      </c>
      <c r="L98" s="1049">
        <v>25301.3</v>
      </c>
      <c r="M98" s="1049">
        <v>380.9</v>
      </c>
      <c r="N98" s="1049">
        <v>20</v>
      </c>
      <c r="O98" s="1091" t="s">
        <v>88</v>
      </c>
      <c r="P98" s="1093">
        <v>6184.2</v>
      </c>
      <c r="Q98" s="1109" t="s">
        <v>88</v>
      </c>
      <c r="R98" s="942">
        <v>-114499.1</v>
      </c>
      <c r="S98" s="292">
        <f t="shared" si="6"/>
        <v>211326.1</v>
      </c>
      <c r="T98" s="1049">
        <v>755801.56666666653</v>
      </c>
      <c r="U98" s="1049">
        <f t="shared" si="3"/>
        <v>3.5764705195745652</v>
      </c>
    </row>
    <row r="99" spans="1:21" s="81" customFormat="1" hidden="1">
      <c r="A99" s="87"/>
      <c r="B99" s="1049"/>
      <c r="C99" s="1049"/>
      <c r="D99" s="1049"/>
      <c r="E99" s="1049"/>
      <c r="F99" s="1049"/>
      <c r="G99" s="1049"/>
      <c r="H99" s="1110"/>
      <c r="I99" s="1049"/>
      <c r="J99" s="1108"/>
      <c r="K99" s="1049"/>
      <c r="L99" s="1049"/>
      <c r="M99" s="1049"/>
      <c r="N99" s="1049"/>
      <c r="O99" s="1091"/>
      <c r="P99" s="1093"/>
      <c r="Q99" s="1109"/>
      <c r="R99" s="942"/>
      <c r="S99" s="292"/>
      <c r="T99" s="1049"/>
      <c r="U99" s="1049"/>
    </row>
    <row r="100" spans="1:21" s="81" customFormat="1" hidden="1">
      <c r="A100" s="87" t="s">
        <v>56</v>
      </c>
      <c r="B100" s="1049">
        <v>162981.5</v>
      </c>
      <c r="C100" s="1049">
        <v>18924</v>
      </c>
      <c r="D100" s="1049">
        <v>2450.4688410000003</v>
      </c>
      <c r="E100" s="1049">
        <v>543.20000000000005</v>
      </c>
      <c r="F100" s="1049">
        <v>2058.7000000000007</v>
      </c>
      <c r="G100" s="1049">
        <v>44.3</v>
      </c>
      <c r="H100" s="1110">
        <v>2583.6311589999991</v>
      </c>
      <c r="I100" s="1049">
        <f>H100+F100+E100+C100+B100+G100+D100</f>
        <v>189585.8</v>
      </c>
      <c r="J100" s="1108">
        <v>112890.80000000016</v>
      </c>
      <c r="K100" s="1049">
        <v>137839.40000000002</v>
      </c>
      <c r="L100" s="1049">
        <v>17713.400000000001</v>
      </c>
      <c r="M100" s="1049">
        <v>380.9</v>
      </c>
      <c r="N100" s="1049">
        <v>20</v>
      </c>
      <c r="O100" s="1091" t="s">
        <v>88</v>
      </c>
      <c r="P100" s="1093">
        <v>7026.9</v>
      </c>
      <c r="Q100" s="1109" t="s">
        <v>88</v>
      </c>
      <c r="R100" s="942">
        <v>-86285.6</v>
      </c>
      <c r="S100" s="292">
        <f t="shared" si="6"/>
        <v>189585.80000000025</v>
      </c>
      <c r="T100" s="1049">
        <v>751114.85893677792</v>
      </c>
      <c r="U100" s="1049">
        <f t="shared" si="3"/>
        <v>3.9618729827696906</v>
      </c>
    </row>
    <row r="101" spans="1:21" s="81" customFormat="1" hidden="1">
      <c r="A101" s="87" t="s">
        <v>40</v>
      </c>
      <c r="B101" s="1049">
        <v>164099.6</v>
      </c>
      <c r="C101" s="1049">
        <v>29919</v>
      </c>
      <c r="D101" s="1049">
        <v>520.86202399999991</v>
      </c>
      <c r="E101" s="1049">
        <v>1147.5999999999999</v>
      </c>
      <c r="F101" s="1049">
        <v>3279.3</v>
      </c>
      <c r="G101" s="1049">
        <v>44.3</v>
      </c>
      <c r="H101" s="1110">
        <v>511.93797600000005</v>
      </c>
      <c r="I101" s="1049">
        <f t="shared" ref="I101:I132" si="7">H101+F101+E101+C101+B101+G101+D101</f>
        <v>199522.6</v>
      </c>
      <c r="J101" s="1108">
        <v>98423.899999999965</v>
      </c>
      <c r="K101" s="1049">
        <v>143263.60000000003</v>
      </c>
      <c r="L101" s="1049">
        <v>29586.1</v>
      </c>
      <c r="M101" s="1049">
        <v>380.9</v>
      </c>
      <c r="N101" s="1049">
        <v>20</v>
      </c>
      <c r="O101" s="1091" t="s">
        <v>88</v>
      </c>
      <c r="P101" s="1093">
        <v>7177.8999999999987</v>
      </c>
      <c r="Q101" s="1109" t="s">
        <v>88</v>
      </c>
      <c r="R101" s="942">
        <v>-79329.8</v>
      </c>
      <c r="S101" s="292">
        <f t="shared" si="6"/>
        <v>199522.60000000003</v>
      </c>
      <c r="T101" s="1049">
        <v>752007.52686488896</v>
      </c>
      <c r="U101" s="1049">
        <f t="shared" si="3"/>
        <v>3.7690343192444811</v>
      </c>
    </row>
    <row r="102" spans="1:21" s="81" customFormat="1" hidden="1">
      <c r="A102" s="87" t="s">
        <v>41</v>
      </c>
      <c r="B102" s="1049">
        <v>165509.4</v>
      </c>
      <c r="C102" s="1049">
        <v>23200.9</v>
      </c>
      <c r="D102" s="1049">
        <v>444.90000000000003</v>
      </c>
      <c r="E102" s="1049">
        <v>480.40000000000003</v>
      </c>
      <c r="F102" s="1049">
        <v>1503.9000000000003</v>
      </c>
      <c r="G102" s="1049">
        <v>18.3</v>
      </c>
      <c r="H102" s="1110">
        <v>2529.8000000000002</v>
      </c>
      <c r="I102" s="1049">
        <f t="shared" si="7"/>
        <v>193687.59999999998</v>
      </c>
      <c r="J102" s="1108">
        <v>67729.100000000093</v>
      </c>
      <c r="K102" s="1049">
        <v>164340</v>
      </c>
      <c r="L102" s="1049">
        <v>31811.4</v>
      </c>
      <c r="M102" s="1049">
        <v>380.9</v>
      </c>
      <c r="N102" s="1049">
        <v>20</v>
      </c>
      <c r="O102" s="1091" t="s">
        <v>88</v>
      </c>
      <c r="P102" s="1093">
        <v>7120.7</v>
      </c>
      <c r="Q102" s="1109" t="s">
        <v>88</v>
      </c>
      <c r="R102" s="942">
        <v>-77714.5</v>
      </c>
      <c r="S102" s="292">
        <f t="shared" si="6"/>
        <v>193687.60000000015</v>
      </c>
      <c r="T102" s="1049">
        <v>742473.75</v>
      </c>
      <c r="U102" s="1049">
        <f t="shared" si="3"/>
        <v>3.833357168966935</v>
      </c>
    </row>
    <row r="103" spans="1:21" s="81" customFormat="1" hidden="1">
      <c r="A103" s="87" t="s">
        <v>42</v>
      </c>
      <c r="B103" s="1049">
        <v>168178.8</v>
      </c>
      <c r="C103" s="1049">
        <v>28326</v>
      </c>
      <c r="D103" s="1049">
        <v>3254.9822990000002</v>
      </c>
      <c r="E103" s="1049">
        <v>525</v>
      </c>
      <c r="F103" s="1049">
        <v>2712.4</v>
      </c>
      <c r="G103" s="1049">
        <v>14.3</v>
      </c>
      <c r="H103" s="1110">
        <v>569.21770099999958</v>
      </c>
      <c r="I103" s="1049">
        <f t="shared" si="7"/>
        <v>203580.69999999998</v>
      </c>
      <c r="J103" s="1108">
        <v>57855.800000000047</v>
      </c>
      <c r="K103" s="1049">
        <v>170991.3</v>
      </c>
      <c r="L103" s="1049">
        <v>44281</v>
      </c>
      <c r="M103" s="1049">
        <v>380.9</v>
      </c>
      <c r="N103" s="1049">
        <v>20</v>
      </c>
      <c r="O103" s="1091" t="s">
        <v>88</v>
      </c>
      <c r="P103" s="1093">
        <v>7227.2</v>
      </c>
      <c r="Q103" s="1109" t="s">
        <v>88</v>
      </c>
      <c r="R103" s="942">
        <v>-77175.5</v>
      </c>
      <c r="S103" s="292">
        <f t="shared" si="6"/>
        <v>203580.70000000007</v>
      </c>
      <c r="T103" s="1049">
        <v>754201.1288121111</v>
      </c>
      <c r="U103" s="1049">
        <f t="shared" si="3"/>
        <v>3.7046789249281056</v>
      </c>
    </row>
    <row r="104" spans="1:21" s="81" customFormat="1" hidden="1">
      <c r="A104" s="87" t="s">
        <v>43</v>
      </c>
      <c r="B104" s="1049">
        <v>167039</v>
      </c>
      <c r="C104" s="1049">
        <v>27641.7</v>
      </c>
      <c r="D104" s="1049">
        <v>3068.6653120000001</v>
      </c>
      <c r="E104" s="1049">
        <v>365.90000000000003</v>
      </c>
      <c r="F104" s="1049">
        <v>6215.7</v>
      </c>
      <c r="G104" s="1049">
        <v>64.599999999999994</v>
      </c>
      <c r="H104" s="1110">
        <v>468.33468800000037</v>
      </c>
      <c r="I104" s="1049">
        <f t="shared" si="7"/>
        <v>204863.9</v>
      </c>
      <c r="J104" s="1108">
        <v>60535.400000000081</v>
      </c>
      <c r="K104" s="1049">
        <v>164633.69999999995</v>
      </c>
      <c r="L104" s="1049">
        <v>51288.800000000003</v>
      </c>
      <c r="M104" s="1109" t="s">
        <v>88</v>
      </c>
      <c r="N104" s="1049">
        <v>20</v>
      </c>
      <c r="O104" s="1091" t="s">
        <v>88</v>
      </c>
      <c r="P104" s="1093">
        <v>7332.5999999999995</v>
      </c>
      <c r="Q104" s="1109" t="s">
        <v>88</v>
      </c>
      <c r="R104" s="942">
        <v>-78946.600000000006</v>
      </c>
      <c r="S104" s="292">
        <f t="shared" si="6"/>
        <v>204863.9</v>
      </c>
      <c r="T104" s="1049">
        <v>743975.00691022212</v>
      </c>
      <c r="U104" s="1049">
        <f t="shared" si="3"/>
        <v>3.6315573749705155</v>
      </c>
    </row>
    <row r="105" spans="1:21" s="81" customFormat="1" hidden="1">
      <c r="A105" s="87" t="s">
        <v>44</v>
      </c>
      <c r="B105" s="1049">
        <v>183642.4</v>
      </c>
      <c r="C105" s="1049">
        <v>27850.7</v>
      </c>
      <c r="D105" s="1049">
        <v>989.76381599999991</v>
      </c>
      <c r="E105" s="1049">
        <v>1363.6</v>
      </c>
      <c r="F105" s="1049">
        <v>3705.5</v>
      </c>
      <c r="G105" s="1049">
        <v>10</v>
      </c>
      <c r="H105" s="1110">
        <v>373.03618400000005</v>
      </c>
      <c r="I105" s="1049">
        <f t="shared" si="7"/>
        <v>217934.99999999997</v>
      </c>
      <c r="J105" s="1108">
        <v>49308</v>
      </c>
      <c r="K105" s="1049">
        <v>186067.59999999998</v>
      </c>
      <c r="L105" s="1049">
        <v>60598.8</v>
      </c>
      <c r="M105" s="1109" t="s">
        <v>88</v>
      </c>
      <c r="N105" s="1049">
        <v>20</v>
      </c>
      <c r="O105" s="1091" t="s">
        <v>88</v>
      </c>
      <c r="P105" s="1093">
        <v>7454</v>
      </c>
      <c r="Q105" s="1109" t="s">
        <v>88</v>
      </c>
      <c r="R105" s="942">
        <v>-85513.4</v>
      </c>
      <c r="S105" s="292">
        <f t="shared" si="6"/>
        <v>217934.99999999997</v>
      </c>
      <c r="T105" s="1049">
        <v>765737.4695173332</v>
      </c>
      <c r="U105" s="1049">
        <f t="shared" si="3"/>
        <v>3.5136048340896751</v>
      </c>
    </row>
    <row r="106" spans="1:21" s="81" customFormat="1" hidden="1">
      <c r="A106" s="87" t="s">
        <v>45</v>
      </c>
      <c r="B106" s="1049">
        <v>191205.6</v>
      </c>
      <c r="C106" s="1049">
        <v>34620.6</v>
      </c>
      <c r="D106" s="1049">
        <v>1122.0805439999999</v>
      </c>
      <c r="E106" s="1049">
        <v>1745.6999999999998</v>
      </c>
      <c r="F106" s="1049">
        <v>2790.1000000000004</v>
      </c>
      <c r="G106" s="1049">
        <v>6.4</v>
      </c>
      <c r="H106" s="1110">
        <v>449.81945599999995</v>
      </c>
      <c r="I106" s="1049">
        <f t="shared" si="7"/>
        <v>231940.3</v>
      </c>
      <c r="J106" s="1108">
        <v>46872.800000000047</v>
      </c>
      <c r="K106" s="1049">
        <v>206962.8</v>
      </c>
      <c r="L106" s="1049">
        <v>53762</v>
      </c>
      <c r="M106" s="1109" t="s">
        <v>88</v>
      </c>
      <c r="N106" s="1049">
        <v>20</v>
      </c>
      <c r="O106" s="1091" t="s">
        <v>88</v>
      </c>
      <c r="P106" s="1093">
        <v>7549.5999999999995</v>
      </c>
      <c r="Q106" s="1109" t="s">
        <v>88</v>
      </c>
      <c r="R106" s="942">
        <v>-83226.899999999994</v>
      </c>
      <c r="S106" s="292">
        <f t="shared" si="6"/>
        <v>231940.30000000002</v>
      </c>
      <c r="T106" s="1049">
        <v>786457.43056711112</v>
      </c>
      <c r="U106" s="1049">
        <f t="shared" si="3"/>
        <v>3.3907752579741905</v>
      </c>
    </row>
    <row r="107" spans="1:21" s="81" customFormat="1" hidden="1">
      <c r="A107" s="87" t="s">
        <v>46</v>
      </c>
      <c r="B107" s="1049">
        <v>196035.5</v>
      </c>
      <c r="C107" s="1049">
        <v>27931.4</v>
      </c>
      <c r="D107" s="1049">
        <v>992.75356799999997</v>
      </c>
      <c r="E107" s="1049">
        <v>1485.5</v>
      </c>
      <c r="F107" s="1049">
        <v>3236.7999999999997</v>
      </c>
      <c r="G107" s="1049">
        <v>17.3</v>
      </c>
      <c r="H107" s="1110">
        <v>298.04643199999998</v>
      </c>
      <c r="I107" s="1049">
        <f t="shared" si="7"/>
        <v>229997.3</v>
      </c>
      <c r="J107" s="1108">
        <v>39580.200000000012</v>
      </c>
      <c r="K107" s="1049">
        <v>221346.3</v>
      </c>
      <c r="L107" s="1049">
        <v>40499.300000000003</v>
      </c>
      <c r="M107" s="1109" t="s">
        <v>88</v>
      </c>
      <c r="N107" s="1049">
        <v>20</v>
      </c>
      <c r="O107" s="1091" t="s">
        <v>88</v>
      </c>
      <c r="P107" s="1093">
        <v>7681.7</v>
      </c>
      <c r="Q107" s="1109" t="s">
        <v>88</v>
      </c>
      <c r="R107" s="942">
        <v>-79130.2</v>
      </c>
      <c r="S107" s="292">
        <f t="shared" si="6"/>
        <v>229997.3</v>
      </c>
      <c r="T107" s="1049">
        <v>817967.63532088883</v>
      </c>
      <c r="U107" s="1049">
        <f t="shared" si="3"/>
        <v>3.5564227724451065</v>
      </c>
    </row>
    <row r="108" spans="1:21" s="81" customFormat="1" hidden="1">
      <c r="A108" s="87" t="s">
        <v>47</v>
      </c>
      <c r="B108" s="1049">
        <v>184428.3</v>
      </c>
      <c r="C108" s="1049">
        <v>32797.5</v>
      </c>
      <c r="D108" s="1049">
        <v>289.7</v>
      </c>
      <c r="E108" s="1049">
        <v>1441.2</v>
      </c>
      <c r="F108" s="1049">
        <v>1869.8</v>
      </c>
      <c r="G108" s="1049">
        <v>12.8</v>
      </c>
      <c r="H108" s="1110">
        <v>334.9</v>
      </c>
      <c r="I108" s="1049">
        <f t="shared" si="7"/>
        <v>221174.19999999998</v>
      </c>
      <c r="J108" s="1108">
        <v>55414.5</v>
      </c>
      <c r="K108" s="1049">
        <v>208067.1</v>
      </c>
      <c r="L108" s="1049">
        <v>29808.6</v>
      </c>
      <c r="M108" s="1109" t="s">
        <v>88</v>
      </c>
      <c r="N108" s="1049">
        <v>20</v>
      </c>
      <c r="O108" s="1091" t="s">
        <v>88</v>
      </c>
      <c r="P108" s="1093">
        <v>8060.7</v>
      </c>
      <c r="Q108" s="1109" t="s">
        <v>88</v>
      </c>
      <c r="R108" s="942">
        <v>-80196.700000000012</v>
      </c>
      <c r="S108" s="292">
        <f t="shared" si="6"/>
        <v>221174.19999999995</v>
      </c>
      <c r="T108" s="1049">
        <v>809062.76666666684</v>
      </c>
      <c r="U108" s="1049">
        <f t="shared" si="3"/>
        <v>3.658034104640898</v>
      </c>
    </row>
    <row r="109" spans="1:21" s="81" customFormat="1" hidden="1">
      <c r="A109" s="87" t="s">
        <v>48</v>
      </c>
      <c r="B109" s="1049">
        <v>180543.7</v>
      </c>
      <c r="C109" s="1049">
        <v>38998.9</v>
      </c>
      <c r="D109" s="1049">
        <v>4830.7</v>
      </c>
      <c r="E109" s="1049">
        <v>2876.3</v>
      </c>
      <c r="F109" s="1049">
        <v>6487.9000000000005</v>
      </c>
      <c r="G109" s="1049">
        <v>24.3</v>
      </c>
      <c r="H109" s="1110">
        <v>419.2</v>
      </c>
      <c r="I109" s="1049">
        <f t="shared" si="7"/>
        <v>234181</v>
      </c>
      <c r="J109" s="1108">
        <v>50733.300000000105</v>
      </c>
      <c r="K109" s="1049">
        <v>233205.7</v>
      </c>
      <c r="L109" s="1049">
        <v>15843.6</v>
      </c>
      <c r="M109" s="1109" t="s">
        <v>88</v>
      </c>
      <c r="N109" s="1049">
        <v>20</v>
      </c>
      <c r="O109" s="1091" t="s">
        <v>88</v>
      </c>
      <c r="P109" s="1093">
        <v>8140.9</v>
      </c>
      <c r="Q109" s="1109" t="s">
        <v>88</v>
      </c>
      <c r="R109" s="942">
        <v>-73762.5</v>
      </c>
      <c r="S109" s="292">
        <f t="shared" si="6"/>
        <v>234181.00000000012</v>
      </c>
      <c r="T109" s="1049">
        <v>816104.34444444452</v>
      </c>
      <c r="U109" s="1049">
        <f t="shared" si="3"/>
        <v>3.484929795519041</v>
      </c>
    </row>
    <row r="110" spans="1:21" s="81" customFormat="1" hidden="1">
      <c r="A110" s="87" t="s">
        <v>49</v>
      </c>
      <c r="B110" s="1049">
        <v>180263.8</v>
      </c>
      <c r="C110" s="1049">
        <v>44006.6</v>
      </c>
      <c r="D110" s="1049">
        <v>3861.3</v>
      </c>
      <c r="E110" s="1049">
        <v>3435.2999999999997</v>
      </c>
      <c r="F110" s="1049">
        <v>7826.4</v>
      </c>
      <c r="G110" s="1049">
        <v>33</v>
      </c>
      <c r="H110" s="1110">
        <v>611</v>
      </c>
      <c r="I110" s="1049">
        <f t="shared" si="7"/>
        <v>240037.39999999997</v>
      </c>
      <c r="J110" s="1108">
        <v>50395</v>
      </c>
      <c r="K110" s="1049">
        <v>251672.2</v>
      </c>
      <c r="L110" s="1049">
        <v>9108</v>
      </c>
      <c r="M110" s="1109" t="s">
        <v>88</v>
      </c>
      <c r="N110" s="1049">
        <v>20</v>
      </c>
      <c r="O110" s="1091" t="s">
        <v>88</v>
      </c>
      <c r="P110" s="1093">
        <v>8109.4</v>
      </c>
      <c r="Q110" s="1109" t="s">
        <v>88</v>
      </c>
      <c r="R110" s="942">
        <v>-79267.199999999997</v>
      </c>
      <c r="S110" s="292">
        <f t="shared" si="6"/>
        <v>240037.40000000002</v>
      </c>
      <c r="T110" s="1049">
        <v>827421.62222222215</v>
      </c>
      <c r="U110" s="1049">
        <f t="shared" si="3"/>
        <v>3.447052926844826</v>
      </c>
    </row>
    <row r="111" spans="1:21" s="81" customFormat="1" hidden="1">
      <c r="A111" s="87" t="s">
        <v>50</v>
      </c>
      <c r="B111" s="1049">
        <v>198246.9</v>
      </c>
      <c r="C111" s="1049">
        <v>39879.9</v>
      </c>
      <c r="D111" s="1049">
        <v>22413.599999999999</v>
      </c>
      <c r="E111" s="1049">
        <v>2827.5</v>
      </c>
      <c r="F111" s="1049">
        <v>3234.3</v>
      </c>
      <c r="G111" s="1049">
        <v>14.5</v>
      </c>
      <c r="H111" s="1110">
        <v>669.4</v>
      </c>
      <c r="I111" s="1049">
        <f t="shared" si="7"/>
        <v>267286.09999999998</v>
      </c>
      <c r="J111" s="1108">
        <v>66928.900000000023</v>
      </c>
      <c r="K111" s="1049">
        <v>285507.40000000002</v>
      </c>
      <c r="L111" s="1109" t="s">
        <v>88</v>
      </c>
      <c r="M111" s="1109" t="s">
        <v>88</v>
      </c>
      <c r="N111" s="1049">
        <v>20</v>
      </c>
      <c r="O111" s="1091" t="s">
        <v>88</v>
      </c>
      <c r="P111" s="1093">
        <v>8125.5</v>
      </c>
      <c r="Q111" s="1187">
        <v>-6800</v>
      </c>
      <c r="R111" s="942">
        <v>-86495.700000000012</v>
      </c>
      <c r="S111" s="292">
        <f t="shared" si="6"/>
        <v>267286.10000000003</v>
      </c>
      <c r="T111" s="1049">
        <v>877253.3</v>
      </c>
      <c r="U111" s="1049">
        <f t="shared" si="3"/>
        <v>3.2820760226588668</v>
      </c>
    </row>
    <row r="112" spans="1:21" s="81" customFormat="1" hidden="1">
      <c r="A112" s="87"/>
      <c r="B112" s="1049"/>
      <c r="C112" s="1049"/>
      <c r="D112" s="1049"/>
      <c r="E112" s="1049"/>
      <c r="F112" s="1049"/>
      <c r="G112" s="1049"/>
      <c r="H112" s="1110"/>
      <c r="I112" s="1049"/>
      <c r="J112" s="1108"/>
      <c r="K112" s="1049"/>
      <c r="L112" s="1109"/>
      <c r="M112" s="1109"/>
      <c r="N112" s="1049"/>
      <c r="O112" s="1091"/>
      <c r="P112" s="1093"/>
      <c r="Q112" s="1187"/>
      <c r="R112" s="942"/>
      <c r="S112" s="292"/>
      <c r="T112" s="1049"/>
      <c r="U112" s="1049"/>
    </row>
    <row r="113" spans="1:21" s="81" customFormat="1" hidden="1">
      <c r="A113" s="87" t="s">
        <v>55</v>
      </c>
      <c r="B113" s="1049">
        <v>182477.4</v>
      </c>
      <c r="C113" s="1049">
        <v>41549.800000000003</v>
      </c>
      <c r="D113" s="1049">
        <v>5031.2</v>
      </c>
      <c r="E113" s="1049">
        <v>3714.3</v>
      </c>
      <c r="F113" s="1049">
        <v>1475.9</v>
      </c>
      <c r="G113" s="1049">
        <v>48.3</v>
      </c>
      <c r="H113" s="1110">
        <v>1113.7</v>
      </c>
      <c r="I113" s="1049">
        <f t="shared" si="7"/>
        <v>235410.6</v>
      </c>
      <c r="J113" s="1108">
        <v>55782.700000000012</v>
      </c>
      <c r="K113" s="1049">
        <v>246528.49999999997</v>
      </c>
      <c r="L113" s="1109" t="s">
        <v>88</v>
      </c>
      <c r="M113" s="1109" t="s">
        <v>88</v>
      </c>
      <c r="N113" s="1049">
        <v>20</v>
      </c>
      <c r="O113" s="1091" t="s">
        <v>88</v>
      </c>
      <c r="P113" s="1093">
        <v>8854.1</v>
      </c>
      <c r="Q113" s="1109" t="s">
        <v>88</v>
      </c>
      <c r="R113" s="942">
        <v>-75774.7</v>
      </c>
      <c r="S113" s="292">
        <f t="shared" si="6"/>
        <v>235410.59999999992</v>
      </c>
      <c r="T113" s="1049">
        <v>870333.69166666665</v>
      </c>
      <c r="U113" s="1049">
        <f t="shared" si="3"/>
        <v>3.6970879461955692</v>
      </c>
    </row>
    <row r="114" spans="1:21" s="81" customFormat="1" hidden="1">
      <c r="A114" s="87" t="s">
        <v>40</v>
      </c>
      <c r="B114" s="1049">
        <v>188192.1</v>
      </c>
      <c r="C114" s="1049">
        <v>46670</v>
      </c>
      <c r="D114" s="1049">
        <v>11248.3</v>
      </c>
      <c r="E114" s="1049">
        <v>2782.2</v>
      </c>
      <c r="F114" s="1049">
        <v>6918.6999999999989</v>
      </c>
      <c r="G114" s="1049">
        <v>41.8</v>
      </c>
      <c r="H114" s="1110">
        <v>415.1</v>
      </c>
      <c r="I114" s="1049">
        <f t="shared" si="7"/>
        <v>256268.19999999998</v>
      </c>
      <c r="J114" s="1108">
        <v>97419.499999999884</v>
      </c>
      <c r="K114" s="1049">
        <v>214938.4</v>
      </c>
      <c r="L114" s="1049">
        <v>11804.3</v>
      </c>
      <c r="M114" s="1109" t="s">
        <v>88</v>
      </c>
      <c r="N114" s="1049">
        <v>20</v>
      </c>
      <c r="O114" s="1091" t="s">
        <v>88</v>
      </c>
      <c r="P114" s="1093">
        <v>8848.2999999999993</v>
      </c>
      <c r="Q114" s="1109" t="s">
        <v>88</v>
      </c>
      <c r="R114" s="942">
        <v>-76762.3</v>
      </c>
      <c r="S114" s="292">
        <f t="shared" si="6"/>
        <v>256268.1999999999</v>
      </c>
      <c r="T114" s="1049">
        <v>894947.48333333328</v>
      </c>
      <c r="U114" s="1049">
        <f t="shared" si="3"/>
        <v>3.4922299502370304</v>
      </c>
    </row>
    <row r="115" spans="1:21" s="81" customFormat="1" hidden="1">
      <c r="A115" s="87" t="s">
        <v>41</v>
      </c>
      <c r="B115" s="1049">
        <v>189178.2</v>
      </c>
      <c r="C115" s="1049">
        <v>45758.400000000001</v>
      </c>
      <c r="D115" s="1049">
        <v>9951.2000000000007</v>
      </c>
      <c r="E115" s="1049">
        <v>2115</v>
      </c>
      <c r="F115" s="1049">
        <v>5247.0000000000009</v>
      </c>
      <c r="G115" s="1049">
        <v>70.7</v>
      </c>
      <c r="H115" s="1110">
        <v>298.60000000000002</v>
      </c>
      <c r="I115" s="1049">
        <f t="shared" si="7"/>
        <v>252619.10000000003</v>
      </c>
      <c r="J115" s="1108">
        <v>48746.900000000081</v>
      </c>
      <c r="K115" s="1049">
        <v>264998.8</v>
      </c>
      <c r="L115" s="1049">
        <v>7592</v>
      </c>
      <c r="M115" s="1109" t="s">
        <v>88</v>
      </c>
      <c r="N115" s="1049">
        <v>20</v>
      </c>
      <c r="O115" s="1091" t="s">
        <v>88</v>
      </c>
      <c r="P115" s="1093">
        <v>8683.9</v>
      </c>
      <c r="Q115" s="1109" t="s">
        <v>88</v>
      </c>
      <c r="R115" s="942">
        <v>-77422.5</v>
      </c>
      <c r="S115" s="292">
        <f t="shared" si="6"/>
        <v>252619.10000000009</v>
      </c>
      <c r="T115" s="1049">
        <v>893897.97499999998</v>
      </c>
      <c r="U115" s="1049">
        <f t="shared" si="3"/>
        <v>3.5385209392322268</v>
      </c>
    </row>
    <row r="116" spans="1:21" s="81" customFormat="1" hidden="1">
      <c r="A116" s="87" t="s">
        <v>42</v>
      </c>
      <c r="B116" s="1049">
        <v>192574</v>
      </c>
      <c r="C116" s="1049">
        <v>53981.2</v>
      </c>
      <c r="D116" s="1049">
        <v>1329.9</v>
      </c>
      <c r="E116" s="1049">
        <v>3020.3</v>
      </c>
      <c r="F116" s="1049">
        <v>7844.6</v>
      </c>
      <c r="G116" s="1049">
        <v>43</v>
      </c>
      <c r="H116" s="1110">
        <v>760.2</v>
      </c>
      <c r="I116" s="1049">
        <f t="shared" si="7"/>
        <v>259553.19999999998</v>
      </c>
      <c r="J116" s="1108">
        <v>44693.599999999977</v>
      </c>
      <c r="K116" s="1049">
        <v>280277.5</v>
      </c>
      <c r="L116" s="1109" t="s">
        <v>88</v>
      </c>
      <c r="M116" s="1109" t="s">
        <v>88</v>
      </c>
      <c r="N116" s="1049">
        <v>20</v>
      </c>
      <c r="O116" s="1091" t="s">
        <v>88</v>
      </c>
      <c r="P116" s="1093">
        <v>8648.7000000000007</v>
      </c>
      <c r="Q116" s="1109" t="s">
        <v>88</v>
      </c>
      <c r="R116" s="942">
        <v>-74086.599999999991</v>
      </c>
      <c r="S116" s="292">
        <f t="shared" si="6"/>
        <v>259553.2</v>
      </c>
      <c r="T116" s="1049">
        <v>923598.7666666666</v>
      </c>
      <c r="U116" s="1049">
        <f t="shared" ref="U116:U132" si="8">T116/I116</f>
        <v>3.5584179531081359</v>
      </c>
    </row>
    <row r="117" spans="1:21" s="81" customFormat="1" hidden="1">
      <c r="A117" s="87" t="s">
        <v>43</v>
      </c>
      <c r="B117" s="1049">
        <v>197918.3</v>
      </c>
      <c r="C117" s="1049">
        <v>46750.1</v>
      </c>
      <c r="D117" s="1049">
        <v>4135.4000000000005</v>
      </c>
      <c r="E117" s="1049">
        <v>2696.4</v>
      </c>
      <c r="F117" s="1049">
        <v>7258.8</v>
      </c>
      <c r="G117" s="1049">
        <v>140.30000000000001</v>
      </c>
      <c r="H117" s="1110">
        <v>373.5</v>
      </c>
      <c r="I117" s="1049">
        <f t="shared" si="7"/>
        <v>259272.79999999996</v>
      </c>
      <c r="J117" s="1108">
        <v>64212.600000000035</v>
      </c>
      <c r="K117" s="1049">
        <v>251958.70000000007</v>
      </c>
      <c r="L117" s="1109" t="s">
        <v>88</v>
      </c>
      <c r="M117" s="1109" t="s">
        <v>88</v>
      </c>
      <c r="N117" s="1049">
        <v>20</v>
      </c>
      <c r="O117" s="1091" t="s">
        <v>88</v>
      </c>
      <c r="P117" s="1093">
        <v>8884</v>
      </c>
      <c r="Q117" s="1109" t="s">
        <v>88</v>
      </c>
      <c r="R117" s="942">
        <v>-65802.5</v>
      </c>
      <c r="S117" s="292">
        <f t="shared" si="6"/>
        <v>259272.8000000001</v>
      </c>
      <c r="T117" s="1049">
        <v>928294.3583333334</v>
      </c>
      <c r="U117" s="1049">
        <f t="shared" si="8"/>
        <v>3.5803769555978628</v>
      </c>
    </row>
    <row r="118" spans="1:21" s="81" customFormat="1" hidden="1">
      <c r="A118" s="87" t="s">
        <v>44</v>
      </c>
      <c r="B118" s="1049">
        <v>205811.8</v>
      </c>
      <c r="C118" s="1049">
        <v>56976.3</v>
      </c>
      <c r="D118" s="1049">
        <v>7760.5</v>
      </c>
      <c r="E118" s="1049">
        <v>2218.5</v>
      </c>
      <c r="F118" s="1049">
        <v>7471.7000000000007</v>
      </c>
      <c r="G118" s="1049">
        <v>79.7</v>
      </c>
      <c r="H118" s="1110">
        <v>271.5</v>
      </c>
      <c r="I118" s="1049">
        <f t="shared" si="7"/>
        <v>280590</v>
      </c>
      <c r="J118" s="1108">
        <v>56965.400000000081</v>
      </c>
      <c r="K118" s="1049">
        <v>273884.2</v>
      </c>
      <c r="L118" s="1109" t="s">
        <v>88</v>
      </c>
      <c r="M118" s="1109" t="s">
        <v>88</v>
      </c>
      <c r="N118" s="1049">
        <v>20</v>
      </c>
      <c r="O118" s="1091" t="s">
        <v>88</v>
      </c>
      <c r="P118" s="1093">
        <v>9042.5</v>
      </c>
      <c r="Q118" s="1109" t="s">
        <v>88</v>
      </c>
      <c r="R118" s="942">
        <v>-59322.100000000006</v>
      </c>
      <c r="S118" s="292">
        <f t="shared" si="6"/>
        <v>280590.00000000012</v>
      </c>
      <c r="T118" s="1049">
        <v>927922.84999999963</v>
      </c>
      <c r="U118" s="1049">
        <f t="shared" si="8"/>
        <v>3.3070417691293335</v>
      </c>
    </row>
    <row r="119" spans="1:21" s="81" customFormat="1" hidden="1">
      <c r="A119" s="87" t="s">
        <v>45</v>
      </c>
      <c r="B119" s="1049">
        <v>205754.8</v>
      </c>
      <c r="C119" s="1049">
        <v>42545.7</v>
      </c>
      <c r="D119" s="1049">
        <v>1034.5999999999999</v>
      </c>
      <c r="E119" s="1049">
        <v>1712.5</v>
      </c>
      <c r="F119" s="1049">
        <v>3739.7000000000003</v>
      </c>
      <c r="G119" s="1049">
        <v>57.6</v>
      </c>
      <c r="H119" s="1110">
        <v>313.7</v>
      </c>
      <c r="I119" s="1049">
        <f t="shared" si="7"/>
        <v>255158.6</v>
      </c>
      <c r="J119" s="1108">
        <v>88260.70000000007</v>
      </c>
      <c r="K119" s="1049">
        <v>211421.3</v>
      </c>
      <c r="L119" s="1049">
        <v>2619.6999999999998</v>
      </c>
      <c r="M119" s="1109" t="s">
        <v>88</v>
      </c>
      <c r="N119" s="1049">
        <v>20</v>
      </c>
      <c r="O119" s="1091" t="s">
        <v>88</v>
      </c>
      <c r="P119" s="1093">
        <v>9499</v>
      </c>
      <c r="Q119" s="1109" t="s">
        <v>88</v>
      </c>
      <c r="R119" s="942">
        <v>-56662.099999999991</v>
      </c>
      <c r="S119" s="292">
        <f t="shared" si="6"/>
        <v>255158.60000000009</v>
      </c>
      <c r="T119" s="1049">
        <v>933506.90833333344</v>
      </c>
      <c r="U119" s="1049">
        <f t="shared" si="8"/>
        <v>3.6585359393464825</v>
      </c>
    </row>
    <row r="120" spans="1:21" s="81" customFormat="1" hidden="1">
      <c r="A120" s="87" t="s">
        <v>46</v>
      </c>
      <c r="B120" s="1049">
        <v>207966.5</v>
      </c>
      <c r="C120" s="1049">
        <v>65307.6</v>
      </c>
      <c r="D120" s="1049">
        <v>4962.2000000000007</v>
      </c>
      <c r="E120" s="1049">
        <v>2783.3</v>
      </c>
      <c r="F120" s="1049">
        <v>7575.4</v>
      </c>
      <c r="G120" s="1049">
        <v>52.2</v>
      </c>
      <c r="H120" s="1110">
        <v>218.9</v>
      </c>
      <c r="I120" s="1049">
        <f t="shared" si="7"/>
        <v>288866.10000000003</v>
      </c>
      <c r="J120" s="1108">
        <v>79468.299999999988</v>
      </c>
      <c r="K120" s="1049">
        <v>254521.30000000002</v>
      </c>
      <c r="L120" s="1109" t="s">
        <v>88</v>
      </c>
      <c r="M120" s="1109" t="s">
        <v>88</v>
      </c>
      <c r="N120" s="1049">
        <v>20</v>
      </c>
      <c r="O120" s="1091" t="s">
        <v>88</v>
      </c>
      <c r="P120" s="1093">
        <v>9778.4</v>
      </c>
      <c r="Q120" s="1109" t="s">
        <v>88</v>
      </c>
      <c r="R120" s="942">
        <v>-54921.899999999994</v>
      </c>
      <c r="S120" s="292">
        <f t="shared" si="6"/>
        <v>288866.09999999998</v>
      </c>
      <c r="T120" s="1049">
        <v>956476.36666666681</v>
      </c>
      <c r="U120" s="1049">
        <f t="shared" si="8"/>
        <v>3.3111409288478875</v>
      </c>
    </row>
    <row r="121" spans="1:21" s="81" customFormat="1" hidden="1">
      <c r="A121" s="87" t="s">
        <v>47</v>
      </c>
      <c r="B121" s="1049">
        <v>201031</v>
      </c>
      <c r="C121" s="1049">
        <v>65670.899999999994</v>
      </c>
      <c r="D121" s="1049">
        <v>1516.7</v>
      </c>
      <c r="E121" s="1049">
        <v>4193</v>
      </c>
      <c r="F121" s="1049">
        <v>4666.1000000000004</v>
      </c>
      <c r="G121" s="1049">
        <v>54.7</v>
      </c>
      <c r="H121" s="1110">
        <v>280.2</v>
      </c>
      <c r="I121" s="1049">
        <f t="shared" si="7"/>
        <v>277412.60000000003</v>
      </c>
      <c r="J121" s="1108">
        <v>78410.799999999988</v>
      </c>
      <c r="K121" s="1049">
        <v>243601.6</v>
      </c>
      <c r="L121" s="1049">
        <v>61.3</v>
      </c>
      <c r="M121" s="1109" t="s">
        <v>88</v>
      </c>
      <c r="N121" s="1049">
        <v>20</v>
      </c>
      <c r="O121" s="1091" t="s">
        <v>88</v>
      </c>
      <c r="P121" s="1093">
        <v>9872.7999999999993</v>
      </c>
      <c r="Q121" s="1109" t="s">
        <v>88</v>
      </c>
      <c r="R121" s="942">
        <v>-54553.899999999987</v>
      </c>
      <c r="S121" s="292">
        <f t="shared" si="6"/>
        <v>277412.60000000003</v>
      </c>
      <c r="T121" s="1049">
        <v>956466.32499999995</v>
      </c>
      <c r="U121" s="1049">
        <f t="shared" si="8"/>
        <v>3.4478114007799205</v>
      </c>
    </row>
    <row r="122" spans="1:21" s="81" customFormat="1" hidden="1">
      <c r="A122" s="87" t="s">
        <v>48</v>
      </c>
      <c r="B122" s="1049">
        <v>202480.1</v>
      </c>
      <c r="C122" s="1049">
        <v>63902</v>
      </c>
      <c r="D122" s="1049">
        <v>14280.7</v>
      </c>
      <c r="E122" s="1049">
        <v>3120.3999999999996</v>
      </c>
      <c r="F122" s="1049">
        <v>4807.3999999999996</v>
      </c>
      <c r="G122" s="1049">
        <v>67.5</v>
      </c>
      <c r="H122" s="1110">
        <v>563.79999999999995</v>
      </c>
      <c r="I122" s="1049">
        <f t="shared" si="7"/>
        <v>289221.90000000002</v>
      </c>
      <c r="J122" s="1108">
        <v>98627.299999999988</v>
      </c>
      <c r="K122" s="1049">
        <v>234765.29999999996</v>
      </c>
      <c r="L122" s="1109" t="s">
        <v>88</v>
      </c>
      <c r="M122" s="1109" t="s">
        <v>88</v>
      </c>
      <c r="N122" s="1049">
        <v>20</v>
      </c>
      <c r="O122" s="1091" t="s">
        <v>88</v>
      </c>
      <c r="P122" s="1093">
        <v>9994.6</v>
      </c>
      <c r="Q122" s="1109" t="s">
        <v>88</v>
      </c>
      <c r="R122" s="942">
        <v>-54185.299999999996</v>
      </c>
      <c r="S122" s="292">
        <f t="shared" si="6"/>
        <v>289221.89999999997</v>
      </c>
      <c r="T122" s="1049">
        <v>960604.48333333316</v>
      </c>
      <c r="U122" s="1049">
        <f t="shared" si="8"/>
        <v>3.3213407537027213</v>
      </c>
    </row>
    <row r="123" spans="1:21" s="81" customFormat="1" hidden="1">
      <c r="A123" s="87" t="s">
        <v>49</v>
      </c>
      <c r="B123" s="1049">
        <v>205821.3</v>
      </c>
      <c r="C123" s="1049">
        <v>68293.7</v>
      </c>
      <c r="D123" s="1049">
        <v>4330</v>
      </c>
      <c r="E123" s="1049">
        <v>2717.5</v>
      </c>
      <c r="F123" s="1049">
        <v>5401.4999999999991</v>
      </c>
      <c r="G123" s="1049">
        <v>104.6</v>
      </c>
      <c r="H123" s="1110">
        <v>723.9</v>
      </c>
      <c r="I123" s="1049">
        <f t="shared" si="7"/>
        <v>287392.49999999994</v>
      </c>
      <c r="J123" s="1108">
        <v>81256.100000000035</v>
      </c>
      <c r="K123" s="1049">
        <v>249308.5</v>
      </c>
      <c r="L123" s="1109" t="s">
        <v>88</v>
      </c>
      <c r="M123" s="1109" t="s">
        <v>88</v>
      </c>
      <c r="N123" s="1049">
        <v>20</v>
      </c>
      <c r="O123" s="1091" t="s">
        <v>88</v>
      </c>
      <c r="P123" s="1093">
        <v>10127.199999999999</v>
      </c>
      <c r="Q123" s="1109" t="s">
        <v>88</v>
      </c>
      <c r="R123" s="942">
        <v>-53319.3</v>
      </c>
      <c r="S123" s="292">
        <f t="shared" si="6"/>
        <v>287392.50000000006</v>
      </c>
      <c r="T123" s="1049">
        <v>963431.54166666651</v>
      </c>
      <c r="U123" s="1049">
        <f t="shared" si="8"/>
        <v>3.3523197079487694</v>
      </c>
    </row>
    <row r="124" spans="1:21" s="81" customFormat="1" hidden="1">
      <c r="A124" s="87" t="s">
        <v>50</v>
      </c>
      <c r="B124" s="1049">
        <v>211683.7</v>
      </c>
      <c r="C124" s="1049">
        <v>82710.8</v>
      </c>
      <c r="D124" s="1049">
        <v>5135.8</v>
      </c>
      <c r="E124" s="1049">
        <v>2674</v>
      </c>
      <c r="F124" s="1049">
        <v>3566.2</v>
      </c>
      <c r="G124" s="1049">
        <v>28</v>
      </c>
      <c r="H124" s="1110">
        <v>787.6</v>
      </c>
      <c r="I124" s="1049">
        <f t="shared" si="7"/>
        <v>306586.10000000003</v>
      </c>
      <c r="J124" s="1108">
        <v>118133.79999999999</v>
      </c>
      <c r="K124" s="1049">
        <v>229473.99999999997</v>
      </c>
      <c r="L124" s="1109" t="s">
        <v>88</v>
      </c>
      <c r="M124" s="1109" t="s">
        <v>88</v>
      </c>
      <c r="N124" s="1049">
        <v>20</v>
      </c>
      <c r="O124" s="1091" t="s">
        <v>88</v>
      </c>
      <c r="P124" s="1093">
        <v>10118.699999999999</v>
      </c>
      <c r="Q124" s="1109" t="s">
        <v>88</v>
      </c>
      <c r="R124" s="942">
        <v>-51160.400000000009</v>
      </c>
      <c r="S124" s="292">
        <f t="shared" si="6"/>
        <v>306586.09999999992</v>
      </c>
      <c r="T124" s="1049">
        <v>986748.8</v>
      </c>
      <c r="U124" s="1049">
        <f t="shared" si="8"/>
        <v>3.2185046875902068</v>
      </c>
    </row>
    <row r="125" spans="1:21" s="81" customFormat="1" hidden="1">
      <c r="A125" s="222"/>
      <c r="B125" s="1049"/>
      <c r="C125" s="1049"/>
      <c r="D125" s="1049"/>
      <c r="E125" s="1049"/>
      <c r="F125" s="1049"/>
      <c r="G125" s="1049"/>
      <c r="H125" s="1110"/>
      <c r="I125" s="1049"/>
      <c r="J125" s="1108"/>
      <c r="K125" s="1049"/>
      <c r="L125" s="1109"/>
      <c r="M125" s="1109"/>
      <c r="N125" s="1049"/>
      <c r="O125" s="1091"/>
      <c r="P125" s="1093"/>
      <c r="Q125" s="1109"/>
      <c r="R125" s="942"/>
      <c r="S125" s="292"/>
      <c r="T125" s="1049"/>
      <c r="U125" s="1049"/>
    </row>
    <row r="126" spans="1:21" s="81" customFormat="1" hidden="1">
      <c r="A126" s="87" t="s">
        <v>54</v>
      </c>
      <c r="B126" s="1049">
        <v>202030.1</v>
      </c>
      <c r="C126" s="1049">
        <v>63490.3</v>
      </c>
      <c r="D126" s="1049">
        <v>957</v>
      </c>
      <c r="E126" s="1049">
        <v>2260.1999999999998</v>
      </c>
      <c r="F126" s="1049">
        <v>2464.6999999999998</v>
      </c>
      <c r="G126" s="1049">
        <v>33.9</v>
      </c>
      <c r="H126" s="1110">
        <v>1652.3</v>
      </c>
      <c r="I126" s="1049">
        <f t="shared" si="7"/>
        <v>272888.5</v>
      </c>
      <c r="J126" s="1108">
        <v>102196.30000000005</v>
      </c>
      <c r="K126" s="1049">
        <v>210861.09999999998</v>
      </c>
      <c r="L126" s="1109" t="s">
        <v>88</v>
      </c>
      <c r="M126" s="1109" t="s">
        <v>88</v>
      </c>
      <c r="N126" s="1049">
        <v>20</v>
      </c>
      <c r="O126" s="1091" t="s">
        <v>88</v>
      </c>
      <c r="P126" s="1093">
        <v>11156.5</v>
      </c>
      <c r="Q126" s="1109" t="s">
        <v>88</v>
      </c>
      <c r="R126" s="942">
        <v>-51345.4</v>
      </c>
      <c r="S126" s="292">
        <f t="shared" si="6"/>
        <v>272888.5</v>
      </c>
      <c r="T126" s="1049">
        <v>965205.58333333326</v>
      </c>
      <c r="U126" s="1049">
        <f t="shared" si="8"/>
        <v>3.5369961846443996</v>
      </c>
    </row>
    <row r="127" spans="1:21" s="81" customFormat="1" hidden="1">
      <c r="A127" s="87" t="s">
        <v>40</v>
      </c>
      <c r="B127" s="1049">
        <v>199255.9</v>
      </c>
      <c r="C127" s="1049">
        <v>59022.7</v>
      </c>
      <c r="D127" s="1049">
        <v>2284.6999999999998</v>
      </c>
      <c r="E127" s="1049">
        <v>2097</v>
      </c>
      <c r="F127" s="1049">
        <v>2938.3</v>
      </c>
      <c r="G127" s="1049">
        <v>32.299999999999997</v>
      </c>
      <c r="H127" s="1110">
        <v>613</v>
      </c>
      <c r="I127" s="1049">
        <f t="shared" si="7"/>
        <v>266243.90000000002</v>
      </c>
      <c r="J127" s="1108">
        <f>475747.7-385806.2+1198.4</f>
        <v>91139.9</v>
      </c>
      <c r="K127" s="1049">
        <f>395958-181814.8</f>
        <v>214143.2</v>
      </c>
      <c r="L127" s="1109">
        <v>115</v>
      </c>
      <c r="M127" s="1109">
        <v>1914.8</v>
      </c>
      <c r="N127" s="1049">
        <v>20</v>
      </c>
      <c r="O127" s="1091" t="s">
        <v>88</v>
      </c>
      <c r="P127" s="1093">
        <v>11612.7</v>
      </c>
      <c r="Q127" s="1109" t="s">
        <v>88</v>
      </c>
      <c r="R127" s="950">
        <f>33.4+16104.5-1198.4+887.9-9270.7-1240.9+13312-71329.5</f>
        <v>-52701.7</v>
      </c>
      <c r="S127" s="292">
        <f t="shared" si="6"/>
        <v>266243.89999999997</v>
      </c>
      <c r="T127" s="1049">
        <v>976744.46666666679</v>
      </c>
      <c r="U127" s="1049">
        <f t="shared" si="8"/>
        <v>3.6686078692006343</v>
      </c>
    </row>
    <row r="128" spans="1:21" s="81" customFormat="1" hidden="1">
      <c r="A128" s="87" t="s">
        <v>41</v>
      </c>
      <c r="B128" s="1049">
        <v>201300.8</v>
      </c>
      <c r="C128" s="1049">
        <v>70896.399999999994</v>
      </c>
      <c r="D128" s="1049">
        <v>426.9</v>
      </c>
      <c r="E128" s="1049">
        <v>1135.9000000000001</v>
      </c>
      <c r="F128" s="1049">
        <v>1041.5</v>
      </c>
      <c r="G128" s="1049">
        <v>24.6</v>
      </c>
      <c r="H128" s="1110">
        <v>1373.4</v>
      </c>
      <c r="I128" s="1049">
        <f t="shared" si="7"/>
        <v>276199.5</v>
      </c>
      <c r="J128" s="1108">
        <f>490364.5-396544.3+1198.4</f>
        <v>95018.6</v>
      </c>
      <c r="K128" s="1049">
        <f>404471-161075.9</f>
        <v>243395.1</v>
      </c>
      <c r="L128" s="1109">
        <v>325.10000000000002</v>
      </c>
      <c r="M128" s="1109">
        <v>1914.8</v>
      </c>
      <c r="N128" s="1049">
        <v>20</v>
      </c>
      <c r="O128" s="1091" t="s">
        <v>88</v>
      </c>
      <c r="P128" s="1093">
        <v>11758.1</v>
      </c>
      <c r="Q128" s="942">
        <v>-27200</v>
      </c>
      <c r="R128" s="950">
        <f>21.3+16389.1-1198.4+887.9-6602.2-1098+13903.7-71335.6</f>
        <v>-49032.200000000012</v>
      </c>
      <c r="S128" s="292">
        <f t="shared" si="6"/>
        <v>276199.49999999994</v>
      </c>
      <c r="T128" s="1049">
        <v>988233.84999999986</v>
      </c>
      <c r="U128" s="1049">
        <f t="shared" si="8"/>
        <v>3.5779711766313835</v>
      </c>
    </row>
    <row r="129" spans="1:21" s="81" customFormat="1" hidden="1">
      <c r="A129" s="87" t="s">
        <v>42</v>
      </c>
      <c r="B129" s="1049">
        <v>208491.1</v>
      </c>
      <c r="C129" s="1049">
        <v>88908.1</v>
      </c>
      <c r="D129" s="1049">
        <v>1280.0999999999999</v>
      </c>
      <c r="E129" s="1049">
        <v>1749.2</v>
      </c>
      <c r="F129" s="1049">
        <v>3119.1</v>
      </c>
      <c r="G129" s="1049">
        <v>29.9</v>
      </c>
      <c r="H129" s="1110">
        <v>3474.7</v>
      </c>
      <c r="I129" s="1049">
        <f t="shared" si="7"/>
        <v>307052.2</v>
      </c>
      <c r="J129" s="1108">
        <f>492431.1-398474+1198.4</f>
        <v>95155.499999999971</v>
      </c>
      <c r="K129" s="1049">
        <f>409906.3-163913.7</f>
        <v>245992.59999999998</v>
      </c>
      <c r="L129" s="1109" t="s">
        <v>88</v>
      </c>
      <c r="M129" s="1109">
        <v>1914.8</v>
      </c>
      <c r="N129" s="1049">
        <v>20</v>
      </c>
      <c r="O129" s="1091" t="s">
        <v>88</v>
      </c>
      <c r="P129" s="1093">
        <v>11937.4</v>
      </c>
      <c r="Q129" s="1109" t="s">
        <v>88</v>
      </c>
      <c r="R129" s="950">
        <f>21.3+47709.6-1198.4+887.9-6404.9-1060.8-800-87122.8</f>
        <v>-47968.100000000006</v>
      </c>
      <c r="S129" s="292">
        <f t="shared" si="6"/>
        <v>307052.19999999995</v>
      </c>
      <c r="T129" s="1049">
        <v>1033925.333333333</v>
      </c>
      <c r="U129" s="1049">
        <f t="shared" si="8"/>
        <v>3.3672624177040027</v>
      </c>
    </row>
    <row r="130" spans="1:21" s="81" customFormat="1" hidden="1">
      <c r="A130" s="87" t="s">
        <v>43</v>
      </c>
      <c r="B130" s="1049">
        <v>217664.2</v>
      </c>
      <c r="C130" s="1049">
        <v>94855.4</v>
      </c>
      <c r="D130" s="1049">
        <v>297.8</v>
      </c>
      <c r="E130" s="1049">
        <v>2191.3000000000002</v>
      </c>
      <c r="F130" s="1049">
        <v>1750.3</v>
      </c>
      <c r="G130" s="1049">
        <v>45</v>
      </c>
      <c r="H130" s="1110">
        <v>1633.4</v>
      </c>
      <c r="I130" s="1049">
        <f t="shared" si="7"/>
        <v>318437.39999999997</v>
      </c>
      <c r="J130" s="1108">
        <f>481241.6-396516+1198.4</f>
        <v>85923.999999999971</v>
      </c>
      <c r="K130" s="1049">
        <f>411110.1-143405.2</f>
        <v>267704.89999999997</v>
      </c>
      <c r="L130" s="1109"/>
      <c r="M130" s="1109">
        <v>1914.8</v>
      </c>
      <c r="N130" s="1049">
        <v>20</v>
      </c>
      <c r="O130" s="1091" t="s">
        <v>88</v>
      </c>
      <c r="P130" s="1093">
        <v>11973.7</v>
      </c>
      <c r="Q130" s="1109" t="s">
        <v>88</v>
      </c>
      <c r="R130" s="950">
        <f>21.3+47840.2-1198.4+887.9-5114.3-1028.6-3446.2-87061.9</f>
        <v>-49099.999999999993</v>
      </c>
      <c r="S130" s="292">
        <f t="shared" si="6"/>
        <v>318437.39999999991</v>
      </c>
      <c r="T130" s="1049">
        <v>1024057.3166666667</v>
      </c>
      <c r="U130" s="1049">
        <f t="shared" si="8"/>
        <v>3.2158826716543558</v>
      </c>
    </row>
    <row r="131" spans="1:21" s="81" customFormat="1" hidden="1">
      <c r="A131" s="87" t="s">
        <v>44</v>
      </c>
      <c r="B131" s="1049">
        <v>223781.8</v>
      </c>
      <c r="C131" s="1049">
        <v>100650</v>
      </c>
      <c r="D131" s="1049">
        <v>1428.4</v>
      </c>
      <c r="E131" s="1049">
        <v>1303.5</v>
      </c>
      <c r="F131" s="1049">
        <v>6385</v>
      </c>
      <c r="G131" s="1049">
        <v>20.2</v>
      </c>
      <c r="H131" s="1110">
        <v>1329.6</v>
      </c>
      <c r="I131" s="1049">
        <f t="shared" si="7"/>
        <v>334898.50000000006</v>
      </c>
      <c r="J131" s="1108">
        <f>485405.9-397532.8+1198.4</f>
        <v>89071.500000000029</v>
      </c>
      <c r="K131" s="1049">
        <f>434035.1-151389.7</f>
        <v>282645.39999999997</v>
      </c>
      <c r="L131" s="1109"/>
      <c r="M131" s="1109">
        <v>1914.8</v>
      </c>
      <c r="N131" s="1049">
        <v>20</v>
      </c>
      <c r="O131" s="1091" t="s">
        <v>88</v>
      </c>
      <c r="P131" s="1093">
        <v>12500.7</v>
      </c>
      <c r="Q131" s="1109" t="s">
        <v>88</v>
      </c>
      <c r="R131" s="950">
        <f>21.3+46067.1-1198.4+887.9-2743.8-1057.4-2716.3-90514.3</f>
        <v>-51253.900000000009</v>
      </c>
      <c r="S131" s="292">
        <f t="shared" si="6"/>
        <v>334898.5</v>
      </c>
      <c r="T131" s="1049">
        <v>1050599.3999999999</v>
      </c>
      <c r="U131" s="1049">
        <f t="shared" si="8"/>
        <v>3.1370680967517015</v>
      </c>
    </row>
    <row r="132" spans="1:21" s="81" customFormat="1" hidden="1">
      <c r="A132" s="87" t="s">
        <v>45</v>
      </c>
      <c r="B132" s="1049">
        <v>239726</v>
      </c>
      <c r="C132" s="1049">
        <v>85589</v>
      </c>
      <c r="D132" s="1049">
        <v>5114.6000000000004</v>
      </c>
      <c r="E132" s="1049">
        <v>1871.9</v>
      </c>
      <c r="F132" s="1049">
        <v>6762.7</v>
      </c>
      <c r="G132" s="1049">
        <v>16.100000000000001</v>
      </c>
      <c r="H132" s="1110">
        <v>3757.8</v>
      </c>
      <c r="I132" s="1049">
        <f t="shared" si="7"/>
        <v>342838.1</v>
      </c>
      <c r="J132" s="1108">
        <f>455398.8-385996.8+1198.4</f>
        <v>70600.399999999994</v>
      </c>
      <c r="K132" s="1049">
        <f>447505.3-145793.7</f>
        <v>301711.59999999998</v>
      </c>
      <c r="L132" s="1109"/>
      <c r="M132" s="1109">
        <v>1914.8</v>
      </c>
      <c r="N132" s="1049">
        <v>20</v>
      </c>
      <c r="O132" s="1091" t="s">
        <v>88</v>
      </c>
      <c r="P132" s="1093">
        <v>12519.3</v>
      </c>
      <c r="Q132" s="1109" t="s">
        <v>88</v>
      </c>
      <c r="R132" s="950">
        <f>21.3+56200.1-1198.4+887.9-9700.7-1203.3-2458.5-86476.4</f>
        <v>-43928</v>
      </c>
      <c r="S132" s="292">
        <f t="shared" si="6"/>
        <v>342838.1</v>
      </c>
      <c r="T132" s="1049">
        <v>1100681.2666666664</v>
      </c>
      <c r="U132" s="1049">
        <f t="shared" si="8"/>
        <v>3.2104986775584932</v>
      </c>
    </row>
    <row r="133" spans="1:21" s="81" customFormat="1" hidden="1">
      <c r="A133" s="87" t="s">
        <v>46</v>
      </c>
      <c r="B133" s="1049">
        <v>234022.8</v>
      </c>
      <c r="C133" s="1049">
        <v>93988.4</v>
      </c>
      <c r="D133" s="1049">
        <v>622.79999999999995</v>
      </c>
      <c r="E133" s="1049">
        <v>1591.3</v>
      </c>
      <c r="F133" s="1049">
        <v>2898.3</v>
      </c>
      <c r="G133" s="1049">
        <v>44.9</v>
      </c>
      <c r="H133" s="1110">
        <v>4866.3</v>
      </c>
      <c r="I133" s="1049">
        <f>H133+F133+E133+C133+B133+G133+D133</f>
        <v>338034.8</v>
      </c>
      <c r="J133" s="1108">
        <f>460611.2-379199.7+1198.4</f>
        <v>82609.899999999994</v>
      </c>
      <c r="K133" s="1049">
        <f>437467.9-150872.4</f>
        <v>286595.5</v>
      </c>
      <c r="L133" s="1109"/>
      <c r="M133" s="1109">
        <v>2000</v>
      </c>
      <c r="N133" s="1049">
        <v>20</v>
      </c>
      <c r="O133" s="1091" t="s">
        <v>88</v>
      </c>
      <c r="P133" s="1093">
        <v>12402.8</v>
      </c>
      <c r="Q133" s="1109" t="s">
        <v>88</v>
      </c>
      <c r="R133" s="950">
        <f>21.3+56676.9-1198.4+887.9-9573.8-940.7-4721.2-86745.4</f>
        <v>-45593.39999999998</v>
      </c>
      <c r="S133" s="292">
        <f t="shared" si="6"/>
        <v>338034.80000000005</v>
      </c>
      <c r="T133" s="1049">
        <v>1093021.7555555557</v>
      </c>
      <c r="U133" s="1049">
        <f>T133/I133</f>
        <v>3.2334592638259605</v>
      </c>
    </row>
    <row r="134" spans="1:21" s="81" customFormat="1" hidden="1">
      <c r="A134" s="87" t="s">
        <v>47</v>
      </c>
      <c r="B134" s="1049">
        <v>222708</v>
      </c>
      <c r="C134" s="1049">
        <v>80783.100000000006</v>
      </c>
      <c r="D134" s="1049">
        <v>631.5</v>
      </c>
      <c r="E134" s="1049">
        <v>2407.5</v>
      </c>
      <c r="F134" s="1049">
        <v>2153.6</v>
      </c>
      <c r="G134" s="1049">
        <v>23.3</v>
      </c>
      <c r="H134" s="1110">
        <v>969.1</v>
      </c>
      <c r="I134" s="1049">
        <f>H134+F134+E134+C134+B134+G134+D134</f>
        <v>309676.09999999998</v>
      </c>
      <c r="J134" s="1108">
        <f>523706.4-382067.5+1198.4</f>
        <v>142837.30000000002</v>
      </c>
      <c r="K134" s="1049">
        <f>421409.4-226015.5</f>
        <v>195393.90000000002</v>
      </c>
      <c r="L134" s="1109">
        <f>2231.9-2000</f>
        <v>231.90000000000009</v>
      </c>
      <c r="M134" s="1109">
        <v>2000</v>
      </c>
      <c r="N134" s="1049">
        <v>20</v>
      </c>
      <c r="O134" s="1091" t="s">
        <v>88</v>
      </c>
      <c r="P134" s="1093">
        <v>12409.6</v>
      </c>
      <c r="Q134" s="1109" t="s">
        <v>88</v>
      </c>
      <c r="R134" s="950">
        <f>21.3+57430-1198.4+887.9-8443.4-1055.6-4209.9-86648.5</f>
        <v>-43216.6</v>
      </c>
      <c r="S134" s="292">
        <f t="shared" si="6"/>
        <v>309676.10000000009</v>
      </c>
      <c r="T134" s="1049">
        <v>1052584.2055555554</v>
      </c>
      <c r="U134" s="1049">
        <f>T134/I134</f>
        <v>3.3989843115292251</v>
      </c>
    </row>
    <row r="135" spans="1:21" s="81" customFormat="1" hidden="1">
      <c r="A135" s="87" t="s">
        <v>48</v>
      </c>
      <c r="B135" s="1049">
        <v>222327.4</v>
      </c>
      <c r="C135" s="1049">
        <v>134377.79999999999</v>
      </c>
      <c r="D135" s="1049">
        <v>5301.7</v>
      </c>
      <c r="E135" s="1049">
        <v>2382.1999999999998</v>
      </c>
      <c r="F135" s="1049">
        <v>5743.4</v>
      </c>
      <c r="G135" s="1049">
        <v>39.299999999999997</v>
      </c>
      <c r="H135" s="1110">
        <v>174.2</v>
      </c>
      <c r="I135" s="1049">
        <f>H135+F135+E135+C135+B135+G135+D135</f>
        <v>370346</v>
      </c>
      <c r="J135" s="1108">
        <f>517932.7-380171.5+1198.4</f>
        <v>138959.6</v>
      </c>
      <c r="K135" s="1049">
        <f>468148.1-204650.9</f>
        <v>263497.19999999995</v>
      </c>
      <c r="L135" s="1109">
        <f>2000-2000</f>
        <v>0</v>
      </c>
      <c r="M135" s="1109">
        <v>2000</v>
      </c>
      <c r="N135" s="1049">
        <v>20</v>
      </c>
      <c r="O135" s="1091" t="s">
        <v>88</v>
      </c>
      <c r="P135" s="1093">
        <v>12267.8</v>
      </c>
      <c r="Q135" s="1109" t="s">
        <v>88</v>
      </c>
      <c r="R135" s="950">
        <f>21.3+59825.3-1198.4+887.9-9452.2-1157.5-8619.5-86705.5</f>
        <v>-46398.599999999991</v>
      </c>
      <c r="S135" s="292">
        <f t="shared" si="6"/>
        <v>370345.99999999994</v>
      </c>
      <c r="T135" s="1049">
        <v>1089090.9629629629</v>
      </c>
      <c r="U135" s="1049">
        <f>T135/I135</f>
        <v>2.9407391006328214</v>
      </c>
    </row>
    <row r="136" spans="1:21" s="81" customFormat="1" hidden="1">
      <c r="A136" s="87" t="s">
        <v>49</v>
      </c>
      <c r="B136" s="1049">
        <v>219197.7</v>
      </c>
      <c r="C136" s="1049">
        <v>105839.2</v>
      </c>
      <c r="D136" s="1049">
        <v>910.9</v>
      </c>
      <c r="E136" s="1049">
        <v>1576.2</v>
      </c>
      <c r="F136" s="1049">
        <v>1671.9</v>
      </c>
      <c r="G136" s="1049">
        <v>10.8</v>
      </c>
      <c r="H136" s="1110">
        <v>1629</v>
      </c>
      <c r="I136" s="1049">
        <f>H136+F136+E136+C136+B136+G136+D136</f>
        <v>330835.7</v>
      </c>
      <c r="J136" s="1108">
        <f>509034.4-376171.7+1198.4</f>
        <v>134061.1</v>
      </c>
      <c r="K136" s="1049">
        <f>434687.3-206775.6</f>
        <v>227911.69999999998</v>
      </c>
      <c r="L136" s="1109">
        <f>2565.8-2000</f>
        <v>565.80000000000018</v>
      </c>
      <c r="M136" s="1109">
        <v>2000</v>
      </c>
      <c r="N136" s="1049">
        <v>20</v>
      </c>
      <c r="O136" s="1091" t="s">
        <v>88</v>
      </c>
      <c r="P136" s="1093">
        <v>12253.7</v>
      </c>
      <c r="Q136" s="1109" t="s">
        <v>88</v>
      </c>
      <c r="R136" s="950">
        <f>21.3+61512.9-1198.4+887.9-9053-1071.6-10345.2-86730.5</f>
        <v>-45976.599999999991</v>
      </c>
      <c r="S136" s="292">
        <f t="shared" si="6"/>
        <v>330835.7</v>
      </c>
      <c r="T136" s="1049">
        <v>1056615.1586419751</v>
      </c>
      <c r="U136" s="1049">
        <f>T136/I136</f>
        <v>3.1937761210231397</v>
      </c>
    </row>
    <row r="137" spans="1:21" s="81" customFormat="1" hidden="1">
      <c r="A137" s="87" t="s">
        <v>50</v>
      </c>
      <c r="B137" s="1049">
        <v>227340.9</v>
      </c>
      <c r="C137" s="1049">
        <v>120095.4</v>
      </c>
      <c r="D137" s="1049">
        <v>1035.0999999999999</v>
      </c>
      <c r="E137" s="1049">
        <v>1624.7</v>
      </c>
      <c r="F137" s="1049">
        <v>3555.9</v>
      </c>
      <c r="G137" s="1049">
        <v>22.9</v>
      </c>
      <c r="H137" s="1110">
        <v>1326.1</v>
      </c>
      <c r="I137" s="1049">
        <f>H137+F137+E137+C137+B137+G137+D137</f>
        <v>355001</v>
      </c>
      <c r="J137" s="1108">
        <f>500016.3-372538.8+1198.4</f>
        <v>128675.9</v>
      </c>
      <c r="K137" s="1049">
        <f>448063.6-184472.5</f>
        <v>263591.09999999998</v>
      </c>
      <c r="L137" s="1109">
        <f>2000-2000</f>
        <v>0</v>
      </c>
      <c r="M137" s="1109">
        <v>2000</v>
      </c>
      <c r="N137" s="1049">
        <v>20</v>
      </c>
      <c r="O137" s="1091" t="s">
        <v>88</v>
      </c>
      <c r="P137" s="1093">
        <v>12103.3</v>
      </c>
      <c r="Q137" s="1109" t="s">
        <v>88</v>
      </c>
      <c r="R137" s="950">
        <f>21.3+65554.3-1198.4+887.9-9222.6-1064.1-8152.8-98214.9</f>
        <v>-51389.299999999988</v>
      </c>
      <c r="S137" s="292">
        <f t="shared" si="6"/>
        <v>355001</v>
      </c>
      <c r="T137" s="1049">
        <v>1107089.4000000001</v>
      </c>
      <c r="U137" s="1049">
        <f>T137/I137</f>
        <v>3.1185529054847736</v>
      </c>
    </row>
    <row r="138" spans="1:21" s="81" customFormat="1" hidden="1">
      <c r="A138" s="87"/>
      <c r="B138" s="1049"/>
      <c r="C138" s="1049"/>
      <c r="D138" s="1049"/>
      <c r="E138" s="1049"/>
      <c r="F138" s="1049"/>
      <c r="G138" s="1049"/>
      <c r="H138" s="1110"/>
      <c r="I138" s="1049"/>
      <c r="J138" s="1108"/>
      <c r="K138" s="1049"/>
      <c r="L138" s="1109"/>
      <c r="M138" s="1109"/>
      <c r="N138" s="1049"/>
      <c r="O138" s="1091"/>
      <c r="P138" s="1093"/>
      <c r="Q138" s="1109"/>
      <c r="R138" s="950"/>
      <c r="S138" s="292"/>
      <c r="T138" s="1049"/>
      <c r="U138" s="1049"/>
    </row>
    <row r="139" spans="1:21" s="81" customFormat="1" hidden="1">
      <c r="A139" s="87" t="s">
        <v>51</v>
      </c>
      <c r="B139" s="1049">
        <v>221881.2</v>
      </c>
      <c r="C139" s="1049">
        <v>90284</v>
      </c>
      <c r="D139" s="1049">
        <v>1412.8</v>
      </c>
      <c r="E139" s="1049">
        <v>1251.9000000000001</v>
      </c>
      <c r="F139" s="1049">
        <v>2661.8</v>
      </c>
      <c r="G139" s="1049">
        <v>11.2</v>
      </c>
      <c r="H139" s="1110">
        <v>309.5</v>
      </c>
      <c r="I139" s="1049">
        <f t="shared" ref="I139:I150" si="9">H139+F139+E139+C139+B139+G139+D139</f>
        <v>317812.40000000002</v>
      </c>
      <c r="J139" s="1108">
        <f>483199.5-357331.8+1198.4</f>
        <v>127066.1</v>
      </c>
      <c r="K139" s="1049">
        <f>415348.9-196033.7</f>
        <v>219315.20000000001</v>
      </c>
      <c r="L139" s="1109">
        <f>2463.7-2000</f>
        <v>463.69999999999982</v>
      </c>
      <c r="M139" s="1109">
        <v>2000</v>
      </c>
      <c r="N139" s="1049">
        <v>20</v>
      </c>
      <c r="O139" s="1091" t="s">
        <v>88</v>
      </c>
      <c r="P139" s="1093">
        <v>12903.4</v>
      </c>
      <c r="Q139" s="1109" t="s">
        <v>88</v>
      </c>
      <c r="R139" s="950">
        <f>21.3+67989.3-1198.4+887.9-10502.8-1109.7-11229.7-88813.9</f>
        <v>-43955.999999999985</v>
      </c>
      <c r="S139" s="292">
        <f t="shared" si="6"/>
        <v>317812.40000000008</v>
      </c>
      <c r="T139" s="1049">
        <v>1079164.5833333333</v>
      </c>
      <c r="U139" s="1049">
        <f t="shared" ref="U139:U150" si="10">T139/I139</f>
        <v>3.3956025105796162</v>
      </c>
    </row>
    <row r="140" spans="1:21" s="81" customFormat="1" hidden="1">
      <c r="A140" s="87" t="s">
        <v>52</v>
      </c>
      <c r="B140" s="1049">
        <v>223869.8</v>
      </c>
      <c r="C140" s="1049">
        <v>128772</v>
      </c>
      <c r="D140" s="1049">
        <v>1446.5</v>
      </c>
      <c r="E140" s="1049">
        <v>2667.8</v>
      </c>
      <c r="F140" s="1049">
        <v>4150.5</v>
      </c>
      <c r="G140" s="1049">
        <v>29.4</v>
      </c>
      <c r="H140" s="1110">
        <v>410.4</v>
      </c>
      <c r="I140" s="1049">
        <f t="shared" si="9"/>
        <v>361346.4</v>
      </c>
      <c r="J140" s="1108">
        <f>475373.3-354020.7+1198.4</f>
        <v>122550.99999999997</v>
      </c>
      <c r="K140" s="1049">
        <f>462738.1-196031.2</f>
        <v>266706.89999999997</v>
      </c>
      <c r="L140" s="1109">
        <f>2000-2000</f>
        <v>0</v>
      </c>
      <c r="M140" s="1109">
        <v>2000</v>
      </c>
      <c r="N140" s="1049">
        <v>20</v>
      </c>
      <c r="O140" s="1091" t="s">
        <v>88</v>
      </c>
      <c r="P140" s="1093">
        <v>12771.4</v>
      </c>
      <c r="Q140" s="1109" t="s">
        <v>88</v>
      </c>
      <c r="R140" s="950">
        <f>21.3+69461.2-1198.4+887.9-10301.6-1045.4-10806.9-89721</f>
        <v>-42702.9</v>
      </c>
      <c r="S140" s="292">
        <f t="shared" si="6"/>
        <v>361346.39999999991</v>
      </c>
      <c r="T140" s="1049">
        <v>1089757.0666666664</v>
      </c>
      <c r="U140" s="1049">
        <f t="shared" si="10"/>
        <v>3.0158237820182139</v>
      </c>
    </row>
    <row r="141" spans="1:21" s="81" customFormat="1" hidden="1">
      <c r="A141" s="87" t="s">
        <v>53</v>
      </c>
      <c r="B141" s="1049">
        <v>223176.6</v>
      </c>
      <c r="C141" s="1049">
        <v>71767.600000000006</v>
      </c>
      <c r="D141" s="1049">
        <v>1593.8</v>
      </c>
      <c r="E141" s="1049">
        <v>1878.3</v>
      </c>
      <c r="F141" s="1049">
        <v>4089.8</v>
      </c>
      <c r="G141" s="1049">
        <v>47.4</v>
      </c>
      <c r="H141" s="1110">
        <v>243.7</v>
      </c>
      <c r="I141" s="1049">
        <f t="shared" si="9"/>
        <v>302797.2</v>
      </c>
      <c r="J141" s="1108">
        <f>471312.6-356984.6+1198.4</f>
        <v>115526.39999999999</v>
      </c>
      <c r="K141" s="1049">
        <f>412400.5-196706.6</f>
        <v>215693.9</v>
      </c>
      <c r="L141" s="1109">
        <f>3178.9-2000</f>
        <v>1178.9000000000001</v>
      </c>
      <c r="M141" s="1109">
        <v>2000</v>
      </c>
      <c r="N141" s="1049">
        <v>20</v>
      </c>
      <c r="O141" s="1091" t="s">
        <v>88</v>
      </c>
      <c r="P141" s="1093">
        <v>12654.2</v>
      </c>
      <c r="Q141" s="1109" t="s">
        <v>88</v>
      </c>
      <c r="R141" s="950">
        <f>21.3+70415.3-1198.4+887.9-10123.6-1091.7-13545.7-89641.3</f>
        <v>-44276.2</v>
      </c>
      <c r="S141" s="292">
        <f t="shared" si="6"/>
        <v>302797.2</v>
      </c>
      <c r="T141" s="1049">
        <v>1064238.6499999999</v>
      </c>
      <c r="U141" s="1049">
        <f t="shared" si="10"/>
        <v>3.5146911860479553</v>
      </c>
    </row>
    <row r="142" spans="1:21" s="81" customFormat="1" hidden="1">
      <c r="A142" s="87" t="s">
        <v>603</v>
      </c>
      <c r="B142" s="1049">
        <v>238022.8</v>
      </c>
      <c r="C142" s="1049">
        <v>72697.2</v>
      </c>
      <c r="D142" s="1049">
        <v>3120.4</v>
      </c>
      <c r="E142" s="1049">
        <v>1431.1</v>
      </c>
      <c r="F142" s="1049">
        <v>4725.5</v>
      </c>
      <c r="G142" s="1049">
        <v>18.399999999999999</v>
      </c>
      <c r="H142" s="1110">
        <v>403.8</v>
      </c>
      <c r="I142" s="1049">
        <f t="shared" si="9"/>
        <v>320419.20000000001</v>
      </c>
      <c r="J142" s="1108">
        <f>452409.5-360084.5+1198.4</f>
        <v>93523.4</v>
      </c>
      <c r="K142" s="1049">
        <f>440884.9-198822.1</f>
        <v>242062.80000000002</v>
      </c>
      <c r="L142" s="1109">
        <f>12000-2000</f>
        <v>10000</v>
      </c>
      <c r="M142" s="1109">
        <v>2000</v>
      </c>
      <c r="N142" s="1049">
        <v>20</v>
      </c>
      <c r="O142" s="1091" t="s">
        <v>88</v>
      </c>
      <c r="P142" s="1093">
        <v>12455.3</v>
      </c>
      <c r="Q142" s="1109" t="s">
        <v>88</v>
      </c>
      <c r="R142" s="950">
        <f>61+72416.3-1198.4+887.9-9306.4-1124.5-5028.9-96349.3</f>
        <v>-39642.300000000003</v>
      </c>
      <c r="S142" s="292">
        <f t="shared" si="6"/>
        <v>320419.20000000001</v>
      </c>
      <c r="T142" s="1049">
        <v>1108914.6333333335</v>
      </c>
      <c r="U142" s="1049">
        <f t="shared" si="10"/>
        <v>3.4608245490074676</v>
      </c>
    </row>
    <row r="143" spans="1:21" s="81" customFormat="1" hidden="1">
      <c r="A143" s="87" t="s">
        <v>609</v>
      </c>
      <c r="B143" s="1049">
        <v>248023.4</v>
      </c>
      <c r="C143" s="1049">
        <v>69415.7</v>
      </c>
      <c r="D143" s="1049">
        <v>6610</v>
      </c>
      <c r="E143" s="1049">
        <v>1979.6</v>
      </c>
      <c r="F143" s="1049">
        <v>5097.8999999999996</v>
      </c>
      <c r="G143" s="1049">
        <v>48</v>
      </c>
      <c r="H143" s="1110">
        <v>588.29999999999995</v>
      </c>
      <c r="I143" s="1049">
        <f t="shared" si="9"/>
        <v>331762.90000000002</v>
      </c>
      <c r="J143" s="1108">
        <f>451993-356222.3+1198.4</f>
        <v>96969.1</v>
      </c>
      <c r="K143" s="1049">
        <f>464369-205884.1</f>
        <v>258484.9</v>
      </c>
      <c r="L143" s="1109">
        <f>2911.5-2000</f>
        <v>911.5</v>
      </c>
      <c r="M143" s="1109">
        <v>2000</v>
      </c>
      <c r="N143" s="1049">
        <v>20</v>
      </c>
      <c r="O143" s="1091" t="s">
        <v>88</v>
      </c>
      <c r="P143" s="1093">
        <v>12774.8</v>
      </c>
      <c r="Q143" s="1109" t="s">
        <v>88</v>
      </c>
      <c r="R143" s="950">
        <f>61+73754.4-1198.4+887.9-8857.5-1125-7161.4-95758.4</f>
        <v>-39397.4</v>
      </c>
      <c r="S143" s="292">
        <f t="shared" si="6"/>
        <v>331762.89999999997</v>
      </c>
      <c r="T143" s="1049">
        <v>1127841.6166666667</v>
      </c>
      <c r="U143" s="1049">
        <f t="shared" si="10"/>
        <v>3.3995411080222251</v>
      </c>
    </row>
    <row r="144" spans="1:21" s="81" customFormat="1" hidden="1">
      <c r="A144" s="87" t="s">
        <v>44</v>
      </c>
      <c r="B144" s="1049">
        <v>254961.4</v>
      </c>
      <c r="C144" s="1049">
        <v>63611.8</v>
      </c>
      <c r="D144" s="1049">
        <v>9771.2999999999993</v>
      </c>
      <c r="E144" s="1049">
        <v>2089.9</v>
      </c>
      <c r="F144" s="1049">
        <v>3640.6</v>
      </c>
      <c r="G144" s="1049">
        <v>62.4</v>
      </c>
      <c r="H144" s="1110">
        <v>357.5</v>
      </c>
      <c r="I144" s="1049">
        <f t="shared" si="9"/>
        <v>334494.90000000002</v>
      </c>
      <c r="J144" s="1108">
        <f>372018.8-361289.7+1198.4</f>
        <v>11927.499999999976</v>
      </c>
      <c r="K144" s="1049">
        <f>504411.7-186212.1</f>
        <v>318199.59999999998</v>
      </c>
      <c r="L144" s="1109">
        <f>22000-2000</f>
        <v>20000</v>
      </c>
      <c r="M144" s="1109">
        <v>2000</v>
      </c>
      <c r="N144" s="1049">
        <v>20</v>
      </c>
      <c r="O144" s="1091" t="s">
        <v>88</v>
      </c>
      <c r="P144" s="1093">
        <v>13128.8</v>
      </c>
      <c r="Q144" s="1109" t="s">
        <v>88</v>
      </c>
      <c r="R144" s="950">
        <f>61+72615.2-1198.4+887.9-1293.3-1101.1-5626.8-95125.5</f>
        <v>-30781.000000000015</v>
      </c>
      <c r="S144" s="292">
        <f t="shared" si="6"/>
        <v>334494.89999999997</v>
      </c>
      <c r="T144" s="1049">
        <v>1104077.7999999996</v>
      </c>
      <c r="U144" s="1049">
        <f t="shared" si="10"/>
        <v>3.3007313414942931</v>
      </c>
    </row>
    <row r="145" spans="1:21" s="81" customFormat="1" hidden="1">
      <c r="A145" s="87" t="s">
        <v>617</v>
      </c>
      <c r="B145" s="1049">
        <v>238905.2</v>
      </c>
      <c r="C145" s="1049">
        <v>80850</v>
      </c>
      <c r="D145" s="1049">
        <v>2711.7</v>
      </c>
      <c r="E145" s="1049">
        <v>1992.3</v>
      </c>
      <c r="F145" s="1049">
        <v>2932.2</v>
      </c>
      <c r="G145" s="1049">
        <v>59.3</v>
      </c>
      <c r="H145" s="1110">
        <v>428</v>
      </c>
      <c r="I145" s="1049">
        <f t="shared" si="9"/>
        <v>327878.7</v>
      </c>
      <c r="J145" s="1108">
        <f>352745.3-356249.3+1198.4</f>
        <v>-2305.6</v>
      </c>
      <c r="K145" s="1049">
        <f>505143.9-164384.2</f>
        <v>340759.7</v>
      </c>
      <c r="L145" s="1109">
        <f>8000-2000</f>
        <v>6000</v>
      </c>
      <c r="M145" s="1109">
        <v>2000</v>
      </c>
      <c r="N145" s="1049">
        <v>20</v>
      </c>
      <c r="O145" s="1091" t="s">
        <v>88</v>
      </c>
      <c r="P145" s="1093">
        <v>13666.4</v>
      </c>
      <c r="Q145" s="1109" t="s">
        <v>88</v>
      </c>
      <c r="R145" s="950">
        <f>81.3+70254.5-1198.4+887.9-1675.7-1220.4-3574.2-95816.8</f>
        <v>-32261.799999999988</v>
      </c>
      <c r="S145" s="292">
        <f t="shared" si="6"/>
        <v>327878.70000000007</v>
      </c>
      <c r="T145" s="1049">
        <v>1102324</v>
      </c>
      <c r="U145" s="1049">
        <f t="shared" si="10"/>
        <v>3.3619872227137657</v>
      </c>
    </row>
    <row r="146" spans="1:21" s="81" customFormat="1" hidden="1">
      <c r="A146" s="87" t="s">
        <v>623</v>
      </c>
      <c r="B146" s="1049">
        <v>230953.7</v>
      </c>
      <c r="C146" s="1049">
        <v>89861</v>
      </c>
      <c r="D146" s="1049">
        <v>3048.9</v>
      </c>
      <c r="E146" s="1049">
        <v>3013.9</v>
      </c>
      <c r="F146" s="1049">
        <v>1505.9</v>
      </c>
      <c r="G146" s="1049">
        <v>18.2</v>
      </c>
      <c r="H146" s="1110">
        <v>333.6</v>
      </c>
      <c r="I146" s="1049">
        <f t="shared" si="9"/>
        <v>328735.2</v>
      </c>
      <c r="J146" s="1108">
        <f>311325.5-355556.2+1198.4</f>
        <v>-43032.30000000001</v>
      </c>
      <c r="K146" s="1049">
        <f>541329.4-166223.8</f>
        <v>375105.60000000003</v>
      </c>
      <c r="L146" s="1109">
        <f>12000-2000</f>
        <v>10000</v>
      </c>
      <c r="M146" s="1109">
        <v>2000</v>
      </c>
      <c r="N146" s="1049">
        <v>20</v>
      </c>
      <c r="O146" s="1091" t="s">
        <v>88</v>
      </c>
      <c r="P146" s="1093">
        <v>14221.5</v>
      </c>
      <c r="Q146" s="1109" t="s">
        <v>88</v>
      </c>
      <c r="R146" s="950">
        <f>81.3+71092.5-1198.4+887.9-1816.6-1256-2386.1-94984.2</f>
        <v>-29579.599999999999</v>
      </c>
      <c r="S146" s="292">
        <f t="shared" si="6"/>
        <v>328735.20000000007</v>
      </c>
      <c r="T146" s="1049">
        <v>1110766.5777777778</v>
      </c>
      <c r="U146" s="1049">
        <f t="shared" si="10"/>
        <v>3.3789097662123733</v>
      </c>
    </row>
    <row r="147" spans="1:21" s="81" customFormat="1" hidden="1">
      <c r="A147" s="87" t="s">
        <v>47</v>
      </c>
      <c r="B147" s="1049">
        <v>216072.1</v>
      </c>
      <c r="C147" s="1049">
        <v>79716.800000000003</v>
      </c>
      <c r="D147" s="1049">
        <v>5700.2</v>
      </c>
      <c r="E147" s="1049">
        <v>3810.3</v>
      </c>
      <c r="F147" s="1049">
        <v>8658</v>
      </c>
      <c r="G147" s="1049">
        <v>33.1</v>
      </c>
      <c r="H147" s="1110">
        <v>323.5</v>
      </c>
      <c r="I147" s="1049">
        <f t="shared" si="9"/>
        <v>314314</v>
      </c>
      <c r="J147" s="1108">
        <f>273056.3-351304.8+1198.4</f>
        <v>-77050.100000000006</v>
      </c>
      <c r="K147" s="1049">
        <f>578061.5-179834.4</f>
        <v>398227.1</v>
      </c>
      <c r="L147" s="1109">
        <f>6840.3-2000</f>
        <v>4840.3</v>
      </c>
      <c r="M147" s="1109">
        <v>2000</v>
      </c>
      <c r="N147" s="1049">
        <v>20</v>
      </c>
      <c r="O147" s="1091" t="s">
        <v>88</v>
      </c>
      <c r="P147" s="1093">
        <v>14713.9</v>
      </c>
      <c r="Q147" s="1109" t="s">
        <v>88</v>
      </c>
      <c r="R147" s="950">
        <f>61.4+69762.2-1198.4+887.9-1252.3-1274.9-643.9-94779.2</f>
        <v>-28437.199999999997</v>
      </c>
      <c r="S147" s="292">
        <f t="shared" si="6"/>
        <v>314314</v>
      </c>
      <c r="T147" s="1049">
        <v>1107152.9944444443</v>
      </c>
      <c r="U147" s="1049">
        <f t="shared" si="10"/>
        <v>3.5224425079520616</v>
      </c>
    </row>
    <row r="148" spans="1:21" s="81" customFormat="1" hidden="1">
      <c r="A148" s="87" t="s">
        <v>631</v>
      </c>
      <c r="B148" s="1049">
        <v>225234.3</v>
      </c>
      <c r="C148" s="1049">
        <v>112668.5</v>
      </c>
      <c r="D148" s="1049">
        <v>6435.6</v>
      </c>
      <c r="E148" s="1049">
        <v>2770.6</v>
      </c>
      <c r="F148" s="1049">
        <v>6415.9</v>
      </c>
      <c r="G148" s="1049">
        <v>25.1</v>
      </c>
      <c r="H148" s="1110">
        <v>463.8</v>
      </c>
      <c r="I148" s="1049">
        <f t="shared" si="9"/>
        <v>354013.79999999993</v>
      </c>
      <c r="J148" s="1108">
        <f>289429-349041.3+1198.4</f>
        <v>-58413.899999999987</v>
      </c>
      <c r="K148" s="1049">
        <f>602681.6-172044.3</f>
        <v>430637.3</v>
      </c>
      <c r="L148" s="1109">
        <f>2000-2000</f>
        <v>0</v>
      </c>
      <c r="M148" s="1109">
        <v>2000</v>
      </c>
      <c r="N148" s="1049">
        <v>20</v>
      </c>
      <c r="O148" s="1091" t="s">
        <v>88</v>
      </c>
      <c r="P148" s="1093">
        <v>14871.7</v>
      </c>
      <c r="Q148" s="1109" t="s">
        <v>88</v>
      </c>
      <c r="R148" s="950">
        <f>61.4+68994.5-1198.4+887.9-2211.8-1234.8-6204.2-94195.9</f>
        <v>-35101.300000000003</v>
      </c>
      <c r="S148" s="292">
        <f t="shared" si="6"/>
        <v>354013.80000000005</v>
      </c>
      <c r="T148" s="1049">
        <v>1146162.1703703701</v>
      </c>
      <c r="U148" s="1049">
        <f t="shared" si="10"/>
        <v>3.2376200316777775</v>
      </c>
    </row>
    <row r="149" spans="1:21" s="81" customFormat="1" hidden="1">
      <c r="A149" s="87" t="s">
        <v>654</v>
      </c>
      <c r="B149" s="1049">
        <v>221763.4</v>
      </c>
      <c r="C149" s="1049">
        <v>89671.1</v>
      </c>
      <c r="D149" s="1049">
        <v>835</v>
      </c>
      <c r="E149" s="1049">
        <v>2847.7</v>
      </c>
      <c r="F149" s="1049">
        <v>4746.8999999999996</v>
      </c>
      <c r="G149" s="1049">
        <v>22</v>
      </c>
      <c r="H149" s="1110">
        <v>870.5</v>
      </c>
      <c r="I149" s="1049">
        <f t="shared" si="9"/>
        <v>320756.59999999998</v>
      </c>
      <c r="J149" s="1108">
        <f>236298.7-350334.2+1198.4</f>
        <v>-112837.1</v>
      </c>
      <c r="K149" s="1049">
        <f>609719.2-171980.6</f>
        <v>437738.6</v>
      </c>
      <c r="L149" s="1109">
        <f>2000+11300+5193.2-2000</f>
        <v>16493.2</v>
      </c>
      <c r="M149" s="1109">
        <v>2000</v>
      </c>
      <c r="N149" s="1049">
        <v>20</v>
      </c>
      <c r="O149" s="1091" t="s">
        <v>88</v>
      </c>
      <c r="P149" s="1093">
        <v>14969.3</v>
      </c>
      <c r="Q149" s="1109" t="s">
        <v>88</v>
      </c>
      <c r="R149" s="950">
        <f>61.4+69133-1198.4+887.9-3556.8-1411.3-6887.1-94656.1</f>
        <v>-37627.400000000016</v>
      </c>
      <c r="S149" s="292">
        <f t="shared" si="6"/>
        <v>320756.59999999998</v>
      </c>
      <c r="T149" s="1049">
        <v>1088495.4858024691</v>
      </c>
      <c r="U149" s="1049">
        <f t="shared" si="10"/>
        <v>3.3935248278678261</v>
      </c>
    </row>
    <row r="150" spans="1:21" s="81" customFormat="1" hidden="1">
      <c r="A150" s="87" t="s">
        <v>665</v>
      </c>
      <c r="B150" s="1049">
        <v>230723.7</v>
      </c>
      <c r="C150" s="1049">
        <v>84351</v>
      </c>
      <c r="D150" s="1049">
        <v>1611</v>
      </c>
      <c r="E150" s="1049">
        <v>2209.5</v>
      </c>
      <c r="F150" s="1049">
        <v>4368.5</v>
      </c>
      <c r="G150" s="1049">
        <v>44.5</v>
      </c>
      <c r="H150" s="1110">
        <v>1200</v>
      </c>
      <c r="I150" s="1049">
        <f t="shared" si="9"/>
        <v>324508.2</v>
      </c>
      <c r="J150" s="1108">
        <f>220631.2-354815.2+1198.4</f>
        <v>-132985.60000000001</v>
      </c>
      <c r="K150" s="1049">
        <f>641724.6-189143</f>
        <v>452581.6</v>
      </c>
      <c r="L150" s="1109">
        <f>2000+15800+4000-2000</f>
        <v>19800</v>
      </c>
      <c r="M150" s="1109">
        <v>2000</v>
      </c>
      <c r="N150" s="1049">
        <v>20</v>
      </c>
      <c r="O150" s="1091" t="s">
        <v>88</v>
      </c>
      <c r="P150" s="1093">
        <v>14933.9</v>
      </c>
      <c r="Q150" s="1109" t="s">
        <v>88</v>
      </c>
      <c r="R150" s="950">
        <f>48.3+70740.6-1198.4+887.9-5645.1-1187.7-1265-94222.3</f>
        <v>-31841.69999999999</v>
      </c>
      <c r="S150" s="292">
        <f t="shared" si="6"/>
        <v>324508.2</v>
      </c>
      <c r="T150" s="1049">
        <v>1106380</v>
      </c>
      <c r="U150" s="1049">
        <f t="shared" si="10"/>
        <v>3.4094053709582686</v>
      </c>
    </row>
    <row r="151" spans="1:21" s="81" customFormat="1" hidden="1">
      <c r="A151" s="800"/>
      <c r="B151" s="1049"/>
      <c r="C151" s="1049"/>
      <c r="D151" s="1049"/>
      <c r="E151" s="1049"/>
      <c r="F151" s="1049"/>
      <c r="G151" s="1049"/>
      <c r="H151" s="1110"/>
      <c r="I151" s="1049"/>
      <c r="J151" s="1108"/>
      <c r="K151" s="1049"/>
      <c r="L151" s="1109"/>
      <c r="M151" s="1109"/>
      <c r="N151" s="1049"/>
      <c r="O151" s="1091"/>
      <c r="P151" s="1093"/>
      <c r="Q151" s="1109"/>
      <c r="R151" s="950"/>
      <c r="S151" s="292"/>
      <c r="T151" s="1049"/>
      <c r="U151" s="1049"/>
    </row>
    <row r="152" spans="1:21" s="81" customFormat="1" hidden="1">
      <c r="A152" s="800" t="s">
        <v>39</v>
      </c>
      <c r="B152" s="1049">
        <v>226455.9</v>
      </c>
      <c r="C152" s="1049">
        <v>97415.5</v>
      </c>
      <c r="D152" s="1049">
        <v>1365.4</v>
      </c>
      <c r="E152" s="1049">
        <v>1524.2</v>
      </c>
      <c r="F152" s="1049">
        <v>2402.5</v>
      </c>
      <c r="G152" s="1049">
        <v>52.7</v>
      </c>
      <c r="H152" s="1110">
        <v>588.70000000000005</v>
      </c>
      <c r="I152" s="1049">
        <f t="shared" ref="I152:I163" si="11">H152+F152+E152+C152+B152+G152+D152</f>
        <v>329804.90000000002</v>
      </c>
      <c r="J152" s="1108">
        <f>214074.7-351129.1+1198.4</f>
        <v>-135855.99999999997</v>
      </c>
      <c r="K152" s="1049">
        <f>598712.1-157721.4</f>
        <v>440990.69999999995</v>
      </c>
      <c r="L152" s="1109">
        <f>2000+37705-2000</f>
        <v>37705</v>
      </c>
      <c r="M152" s="1109">
        <v>2000</v>
      </c>
      <c r="N152" s="1049">
        <v>20</v>
      </c>
      <c r="O152" s="1091" t="s">
        <v>88</v>
      </c>
      <c r="P152" s="1093">
        <v>15514.3</v>
      </c>
      <c r="Q152" s="1109" t="s">
        <v>88</v>
      </c>
      <c r="R152" s="950">
        <f>48.3+71595.3-1198.4+887.9-5990-1258.3-545.6-94108.3</f>
        <v>-30569.1</v>
      </c>
      <c r="S152" s="292">
        <f t="shared" si="6"/>
        <v>329804.89999999997</v>
      </c>
      <c r="T152" s="1049">
        <v>1091814.0666666669</v>
      </c>
      <c r="U152" s="1049">
        <f t="shared" ref="U152:U159" si="12">T152/I152</f>
        <v>3.3104846734134843</v>
      </c>
    </row>
    <row r="153" spans="1:21" s="81" customFormat="1" ht="12.75" hidden="1" customHeight="1">
      <c r="A153" s="800" t="s">
        <v>681</v>
      </c>
      <c r="B153" s="1049">
        <v>228222</v>
      </c>
      <c r="C153" s="1049">
        <v>82311.3</v>
      </c>
      <c r="D153" s="1049">
        <v>10313.200000000001</v>
      </c>
      <c r="E153" s="1049">
        <v>2882.1</v>
      </c>
      <c r="F153" s="1049">
        <v>9164.2000000000007</v>
      </c>
      <c r="G153" s="1049">
        <v>6.9</v>
      </c>
      <c r="H153" s="1110">
        <v>948.2</v>
      </c>
      <c r="I153" s="1049">
        <f t="shared" si="11"/>
        <v>333847.90000000002</v>
      </c>
      <c r="J153" s="1108">
        <f>176947.2-344743.7+1198.4</f>
        <v>-166598.1</v>
      </c>
      <c r="K153" s="1049">
        <f>626840.4-158336.1</f>
        <v>468504.30000000005</v>
      </c>
      <c r="L153" s="1109">
        <f>2000+43325+639.8-2000</f>
        <v>43964.800000000003</v>
      </c>
      <c r="M153" s="1109">
        <v>2000</v>
      </c>
      <c r="N153" s="1049">
        <v>20</v>
      </c>
      <c r="O153" s="1091" t="s">
        <v>88</v>
      </c>
      <c r="P153" s="1093">
        <v>15543.1</v>
      </c>
      <c r="Q153" s="1109" t="s">
        <v>88</v>
      </c>
      <c r="R153" s="950">
        <f>48.3+72112-1198.4+887.9-6827.1-1188.5+398.2-93818.6</f>
        <v>-29586.200000000004</v>
      </c>
      <c r="S153" s="292">
        <f t="shared" si="6"/>
        <v>333847.90000000002</v>
      </c>
      <c r="T153" s="1049">
        <v>1108364.6333333333</v>
      </c>
      <c r="U153" s="1049">
        <f t="shared" si="12"/>
        <v>3.3199688640645433</v>
      </c>
    </row>
    <row r="154" spans="1:21" s="81" customFormat="1" hidden="1">
      <c r="A154" s="800" t="s">
        <v>65</v>
      </c>
      <c r="B154" s="1049">
        <v>219964.2</v>
      </c>
      <c r="C154" s="1049">
        <v>94301.6</v>
      </c>
      <c r="D154" s="1049">
        <v>2510.6999999999998</v>
      </c>
      <c r="E154" s="1049">
        <v>2734.9</v>
      </c>
      <c r="F154" s="1049">
        <v>2813.9</v>
      </c>
      <c r="G154" s="1049">
        <v>26.4</v>
      </c>
      <c r="H154" s="1110">
        <v>910.3</v>
      </c>
      <c r="I154" s="1049">
        <f t="shared" si="11"/>
        <v>323262.00000000006</v>
      </c>
      <c r="J154" s="1108">
        <f>154021.4-350173.8+1198.4</f>
        <v>-194954</v>
      </c>
      <c r="K154" s="1049">
        <f>635625.1-181930.5</f>
        <v>453694.6</v>
      </c>
      <c r="L154" s="1109">
        <f>2000+71527.8+322.2-2000</f>
        <v>71850</v>
      </c>
      <c r="M154" s="1109">
        <v>2000</v>
      </c>
      <c r="N154" s="1049">
        <v>20</v>
      </c>
      <c r="O154" s="1091" t="s">
        <v>88</v>
      </c>
      <c r="P154" s="1093">
        <v>15893</v>
      </c>
      <c r="Q154" s="1109" t="s">
        <v>88</v>
      </c>
      <c r="R154" s="950">
        <f>48.3+72033.5-1198.4+887.9-5204-1206.1+3581.8-94184.6</f>
        <v>-25241.600000000006</v>
      </c>
      <c r="S154" s="292">
        <f t="shared" ref="S154:S184" si="13">SUM(J154:R154)</f>
        <v>323262</v>
      </c>
      <c r="T154" s="1049">
        <v>1079593.5999999999</v>
      </c>
      <c r="U154" s="1049">
        <f t="shared" si="12"/>
        <v>3.3396860750722315</v>
      </c>
    </row>
    <row r="155" spans="1:21" s="81" customFormat="1" hidden="1">
      <c r="A155" s="800" t="s">
        <v>692</v>
      </c>
      <c r="B155" s="1049">
        <v>230212</v>
      </c>
      <c r="C155" s="1049">
        <v>112572.5</v>
      </c>
      <c r="D155" s="1049">
        <v>1361.9</v>
      </c>
      <c r="E155" s="1049">
        <v>1956.8</v>
      </c>
      <c r="F155" s="1049">
        <v>3187.7</v>
      </c>
      <c r="G155" s="1049">
        <v>15.2</v>
      </c>
      <c r="H155" s="1110">
        <v>438.4</v>
      </c>
      <c r="I155" s="1049">
        <f t="shared" si="11"/>
        <v>349744.50000000006</v>
      </c>
      <c r="J155" s="1108">
        <f>178335-355049.6+1198.4</f>
        <v>-175516.19999999998</v>
      </c>
      <c r="K155" s="1049">
        <f>640405.2-184360.9</f>
        <v>456044.29999999993</v>
      </c>
      <c r="L155" s="1109">
        <f>2000+71877.8+322.2-2000</f>
        <v>72200</v>
      </c>
      <c r="M155" s="1109">
        <v>2000</v>
      </c>
      <c r="N155" s="1049">
        <v>20</v>
      </c>
      <c r="O155" s="1091" t="s">
        <v>88</v>
      </c>
      <c r="P155" s="1093">
        <v>16072.6</v>
      </c>
      <c r="Q155" s="1109" t="s">
        <v>88</v>
      </c>
      <c r="R155" s="950">
        <f>86.1+72548.4-1198.4+887.9-5204-1352.2+7259.2-94103.2</f>
        <v>-21076.199999999997</v>
      </c>
      <c r="S155" s="292">
        <f t="shared" si="13"/>
        <v>349744.49999999994</v>
      </c>
      <c r="T155" s="1049">
        <v>1105144.2666666664</v>
      </c>
      <c r="U155" s="1049">
        <f t="shared" si="12"/>
        <v>3.159861746694133</v>
      </c>
    </row>
    <row r="156" spans="1:21" s="81" customFormat="1" hidden="1">
      <c r="A156" s="800" t="s">
        <v>700</v>
      </c>
      <c r="B156" s="1049">
        <v>230195.9</v>
      </c>
      <c r="C156" s="1049">
        <v>105627.9</v>
      </c>
      <c r="D156" s="1049">
        <v>7539.1</v>
      </c>
      <c r="E156" s="1049">
        <v>2568.1999999999998</v>
      </c>
      <c r="F156" s="1049">
        <v>7710.2</v>
      </c>
      <c r="G156" s="1049">
        <v>37.6</v>
      </c>
      <c r="H156" s="1110">
        <v>798.3</v>
      </c>
      <c r="I156" s="1049">
        <f t="shared" si="11"/>
        <v>354477.19999999995</v>
      </c>
      <c r="J156" s="1108">
        <f>155514.5-352456.3+1198.4</f>
        <v>-195743.4</v>
      </c>
      <c r="K156" s="1049">
        <f>655244.3-180986.2</f>
        <v>474258.10000000003</v>
      </c>
      <c r="L156" s="1109">
        <f>2000+81677.8+322.2-2000</f>
        <v>82000</v>
      </c>
      <c r="M156" s="1109">
        <v>2000</v>
      </c>
      <c r="N156" s="1049">
        <v>20</v>
      </c>
      <c r="O156" s="1091" t="s">
        <v>88</v>
      </c>
      <c r="P156" s="1093">
        <v>16307.1</v>
      </c>
      <c r="Q156" s="1109" t="s">
        <v>88</v>
      </c>
      <c r="R156" s="950">
        <f>86.1+73194.1-1198.4+887.9-6494.3-1955.5+5109.2-93993.7</f>
        <v>-24364.599999999991</v>
      </c>
      <c r="S156" s="292">
        <f t="shared" si="13"/>
        <v>354477.20000000007</v>
      </c>
      <c r="T156" s="1049">
        <v>1104586.5333333334</v>
      </c>
      <c r="U156" s="1049">
        <f t="shared" si="12"/>
        <v>3.1161003679033055</v>
      </c>
    </row>
    <row r="157" spans="1:21" s="81" customFormat="1" hidden="1">
      <c r="A157" s="800" t="s">
        <v>713</v>
      </c>
      <c r="B157" s="1049">
        <v>255415.5</v>
      </c>
      <c r="C157" s="1049">
        <v>98845.3</v>
      </c>
      <c r="D157" s="1049">
        <v>3186.6</v>
      </c>
      <c r="E157" s="1049">
        <v>1740</v>
      </c>
      <c r="F157" s="1049">
        <v>4307.5</v>
      </c>
      <c r="G157" s="1049">
        <v>16.100000000000001</v>
      </c>
      <c r="H157" s="1110">
        <v>557.9</v>
      </c>
      <c r="I157" s="1049">
        <f t="shared" si="11"/>
        <v>364068.89999999997</v>
      </c>
      <c r="J157" s="1108">
        <f>164637-351838.8+1198.4</f>
        <v>-186003.4</v>
      </c>
      <c r="K157" s="1049">
        <f>650423.6-193317.2</f>
        <v>457106.39999999997</v>
      </c>
      <c r="L157" s="1109">
        <f>100677.8+322.2</f>
        <v>101000</v>
      </c>
      <c r="M157" s="1109">
        <v>2000</v>
      </c>
      <c r="N157" s="1049">
        <v>20</v>
      </c>
      <c r="O157" s="1091"/>
      <c r="P157" s="1093">
        <v>16553.2</v>
      </c>
      <c r="Q157" s="1109" t="s">
        <v>88</v>
      </c>
      <c r="R157" s="950">
        <f>73.2+72742.7-1198.4+887.9-5535.4-1938.5+2252.6-93891.4</f>
        <v>-26607.299999999988</v>
      </c>
      <c r="S157" s="292">
        <f t="shared" si="13"/>
        <v>364068.9</v>
      </c>
      <c r="T157" s="1049">
        <v>1122380.2999999998</v>
      </c>
      <c r="U157" s="1049">
        <f t="shared" si="12"/>
        <v>3.0828788177182944</v>
      </c>
    </row>
    <row r="158" spans="1:21" s="81" customFormat="1">
      <c r="A158" s="800" t="s">
        <v>730</v>
      </c>
      <c r="B158" s="1049">
        <v>265902.59999999998</v>
      </c>
      <c r="C158" s="1049">
        <v>101091.2</v>
      </c>
      <c r="D158" s="1049">
        <v>6715.9</v>
      </c>
      <c r="E158" s="1049">
        <v>2646.6</v>
      </c>
      <c r="F158" s="1049">
        <v>5193.3</v>
      </c>
      <c r="G158" s="1049">
        <v>8.4</v>
      </c>
      <c r="H158" s="1110">
        <v>772.4</v>
      </c>
      <c r="I158" s="1049">
        <f t="shared" si="11"/>
        <v>382330.4</v>
      </c>
      <c r="J158" s="1108">
        <f>159362.9-346787.6+1198.4</f>
        <v>-186226.3</v>
      </c>
      <c r="K158" s="1049">
        <f>646289-182155.2</f>
        <v>464133.8</v>
      </c>
      <c r="L158" s="1109">
        <f>111114.8+322.2</f>
        <v>111437</v>
      </c>
      <c r="M158" s="1109">
        <v>2000</v>
      </c>
      <c r="N158" s="1049">
        <v>20</v>
      </c>
      <c r="O158" s="1091"/>
      <c r="P158" s="1093">
        <v>16490.900000000001</v>
      </c>
      <c r="Q158" s="1109" t="s">
        <v>88</v>
      </c>
      <c r="R158" s="950">
        <f>73.2+73130.3-1198.4+887.9-4201.4-1168.8+1465.7-94513.5</f>
        <v>-25525</v>
      </c>
      <c r="S158" s="292">
        <f t="shared" si="13"/>
        <v>382330.4</v>
      </c>
      <c r="T158" s="1049">
        <v>1124321</v>
      </c>
      <c r="U158" s="1049">
        <f t="shared" si="12"/>
        <v>2.9407052120365003</v>
      </c>
    </row>
    <row r="159" spans="1:21" s="81" customFormat="1">
      <c r="A159" s="800" t="s">
        <v>46</v>
      </c>
      <c r="B159" s="1049">
        <v>259211.2</v>
      </c>
      <c r="C159" s="1049">
        <v>96485.6</v>
      </c>
      <c r="D159" s="1049">
        <v>678.2</v>
      </c>
      <c r="E159" s="1049">
        <v>3581.1</v>
      </c>
      <c r="F159" s="1049">
        <v>4709.8</v>
      </c>
      <c r="G159" s="1049">
        <v>5.4</v>
      </c>
      <c r="H159" s="1110">
        <v>2762.9</v>
      </c>
      <c r="I159" s="1049">
        <f t="shared" si="11"/>
        <v>367434.20000000007</v>
      </c>
      <c r="J159" s="1108">
        <f>146603.3+1198.4-340352.3</f>
        <v>-192550.6</v>
      </c>
      <c r="K159" s="1049">
        <f>636965.6-172300.1</f>
        <v>464665.5</v>
      </c>
      <c r="L159" s="1109">
        <v>101883</v>
      </c>
      <c r="M159" s="1109">
        <v>2000</v>
      </c>
      <c r="N159" s="1049">
        <v>20</v>
      </c>
      <c r="O159" s="1091"/>
      <c r="P159" s="1093">
        <v>16453.2</v>
      </c>
      <c r="Q159" s="1109" t="s">
        <v>88</v>
      </c>
      <c r="R159" s="950">
        <f>102.9+73093.3-1198.4+887.8-4932.5-1235.7+2656.6-94410.9</f>
        <v>-25036.89999999998</v>
      </c>
      <c r="S159" s="292">
        <f t="shared" si="13"/>
        <v>367434.20000000007</v>
      </c>
      <c r="T159" s="1049">
        <v>1133928.8</v>
      </c>
      <c r="U159" s="1049">
        <f t="shared" si="12"/>
        <v>3.0860730982581366</v>
      </c>
    </row>
    <row r="160" spans="1:21" s="81" customFormat="1">
      <c r="A160" s="800" t="s">
        <v>47</v>
      </c>
      <c r="B160" s="1049">
        <v>254499.1</v>
      </c>
      <c r="C160" s="1049">
        <v>124775.9</v>
      </c>
      <c r="D160" s="1049">
        <v>834</v>
      </c>
      <c r="E160" s="1049">
        <v>3523.6</v>
      </c>
      <c r="F160" s="1049">
        <v>4926.1000000000004</v>
      </c>
      <c r="G160" s="1049">
        <v>3.6</v>
      </c>
      <c r="H160" s="1110">
        <v>1138.3</v>
      </c>
      <c r="I160" s="1049">
        <f t="shared" si="11"/>
        <v>389700.6</v>
      </c>
      <c r="J160" s="1108">
        <f>156195.1+1198.4-338994.5</f>
        <v>-181601</v>
      </c>
      <c r="K160" s="1049">
        <f>644432-186508.4</f>
        <v>457923.6</v>
      </c>
      <c r="L160" s="1109">
        <v>118705</v>
      </c>
      <c r="M160" s="1109">
        <v>2000</v>
      </c>
      <c r="N160" s="1049">
        <v>20</v>
      </c>
      <c r="O160" s="1091"/>
      <c r="P160" s="1093">
        <v>16291.4</v>
      </c>
      <c r="Q160" s="1109" t="s">
        <v>88</v>
      </c>
      <c r="R160" s="950">
        <f>102.9+72767.7-1198.4+887.8-5791.3-1393.1+5027.8-94041.8</f>
        <v>-23638.400000000009</v>
      </c>
      <c r="S160" s="292">
        <f t="shared" si="13"/>
        <v>389700.6</v>
      </c>
      <c r="T160" s="1049">
        <v>1136853.5</v>
      </c>
      <c r="U160" s="1049">
        <f>T160/I160</f>
        <v>2.9172485236101768</v>
      </c>
    </row>
    <row r="161" spans="1:21" s="81" customFormat="1">
      <c r="A161" s="800" t="s">
        <v>48</v>
      </c>
      <c r="B161" s="1049">
        <v>254519.8</v>
      </c>
      <c r="C161" s="1049">
        <v>112931.8</v>
      </c>
      <c r="D161" s="1049">
        <v>1498.7</v>
      </c>
      <c r="E161" s="1049">
        <v>3149.6</v>
      </c>
      <c r="F161" s="1049">
        <v>3531.1</v>
      </c>
      <c r="G161" s="1049">
        <v>5.2</v>
      </c>
      <c r="H161" s="1110">
        <v>1875</v>
      </c>
      <c r="I161" s="1049">
        <f t="shared" si="11"/>
        <v>377511.2</v>
      </c>
      <c r="J161" s="1108">
        <f>153273.3+1198.4-336106.5</f>
        <v>-181634.80000000002</v>
      </c>
      <c r="K161" s="1049">
        <f>660707-190098.8</f>
        <v>470608.2</v>
      </c>
      <c r="L161" s="1109">
        <v>101274</v>
      </c>
      <c r="M161" s="1109">
        <v>2000</v>
      </c>
      <c r="N161" s="1049">
        <v>20</v>
      </c>
      <c r="O161" s="1091"/>
      <c r="P161" s="1093">
        <v>16036.3</v>
      </c>
      <c r="Q161" s="1109" t="s">
        <v>88</v>
      </c>
      <c r="R161" s="950">
        <f>102.9+72584.3-1198.4+887.8-7752-1388.8+148.2-94176.5</f>
        <v>-30792.5</v>
      </c>
      <c r="S161" s="292">
        <f t="shared" si="13"/>
        <v>377511.2</v>
      </c>
      <c r="T161" s="1049">
        <v>1142474.4666666666</v>
      </c>
      <c r="U161" s="1049">
        <f>T161/I161</f>
        <v>3.0263326403737598</v>
      </c>
    </row>
    <row r="162" spans="1:21" s="81" customFormat="1">
      <c r="A162" s="800" t="s">
        <v>49</v>
      </c>
      <c r="B162" s="1049">
        <v>255283.4</v>
      </c>
      <c r="C162" s="1049">
        <v>125278.8</v>
      </c>
      <c r="D162" s="1049">
        <v>8178.4</v>
      </c>
      <c r="E162" s="1049">
        <v>2943.8</v>
      </c>
      <c r="F162" s="1049">
        <v>9000.1</v>
      </c>
      <c r="G162" s="1049">
        <v>3.2</v>
      </c>
      <c r="H162" s="1110">
        <v>1378.3</v>
      </c>
      <c r="I162" s="1049">
        <f t="shared" si="11"/>
        <v>402066.00000000006</v>
      </c>
      <c r="J162" s="1108">
        <f>155269.4+1198.4-330545.8</f>
        <v>-174078</v>
      </c>
      <c r="K162" s="1049">
        <f>689148-194404.9</f>
        <v>494743.1</v>
      </c>
      <c r="L162" s="1109">
        <v>101050</v>
      </c>
      <c r="M162" s="1109">
        <v>2000</v>
      </c>
      <c r="N162" s="1049">
        <v>20</v>
      </c>
      <c r="O162" s="1091"/>
      <c r="P162" s="1093">
        <v>15955.6</v>
      </c>
      <c r="Q162" s="1109" t="s">
        <v>88</v>
      </c>
      <c r="R162" s="950">
        <f>83.3+77107.9-1198.4+887.8-10573.9-1507.9-4929-97494.5</f>
        <v>-37624.69999999999</v>
      </c>
      <c r="S162" s="292">
        <f t="shared" si="13"/>
        <v>402065.99999999994</v>
      </c>
      <c r="T162" s="1049">
        <v>1162715.7888888887</v>
      </c>
      <c r="U162" s="1049">
        <f>T162/I162</f>
        <v>2.8918530512127076</v>
      </c>
    </row>
    <row r="163" spans="1:21" s="81" customFormat="1">
      <c r="A163" s="800" t="s">
        <v>50</v>
      </c>
      <c r="B163" s="1049">
        <v>267512.5</v>
      </c>
      <c r="C163" s="1049">
        <v>134302.79999999999</v>
      </c>
      <c r="D163" s="1049">
        <v>5995.8</v>
      </c>
      <c r="E163" s="1049">
        <v>3575.7</v>
      </c>
      <c r="F163" s="1049">
        <v>6509.8</v>
      </c>
      <c r="G163" s="1049">
        <v>7.7</v>
      </c>
      <c r="H163" s="1110">
        <v>1319.7</v>
      </c>
      <c r="I163" s="1049">
        <f t="shared" si="11"/>
        <v>419224</v>
      </c>
      <c r="J163" s="1108">
        <f>165236.3+1198.4-328508.5</f>
        <v>-162073.80000000002</v>
      </c>
      <c r="K163" s="1049">
        <f>752299.8-243073.6</f>
        <v>509226.20000000007</v>
      </c>
      <c r="L163" s="1109">
        <v>87000</v>
      </c>
      <c r="M163" s="1109">
        <v>2000</v>
      </c>
      <c r="N163" s="1049">
        <v>20</v>
      </c>
      <c r="O163" s="1091"/>
      <c r="P163" s="1093">
        <v>15731</v>
      </c>
      <c r="Q163" s="1109" t="s">
        <v>88</v>
      </c>
      <c r="R163" s="950">
        <f>83.3+887.8+84074.1-1198.4-12385-1350.6-97088.3-5702.3</f>
        <v>-32679.399999999991</v>
      </c>
      <c r="S163" s="292">
        <f t="shared" si="13"/>
        <v>419224.00000000006</v>
      </c>
      <c r="T163" s="1049">
        <v>1187101.8</v>
      </c>
      <c r="U163" s="1049">
        <f>T163/I163</f>
        <v>2.8316646947693838</v>
      </c>
    </row>
    <row r="164" spans="1:21" s="81" customFormat="1">
      <c r="A164" s="800"/>
      <c r="B164" s="1049"/>
      <c r="C164" s="1049"/>
      <c r="D164" s="1049"/>
      <c r="E164" s="1049"/>
      <c r="F164" s="1049"/>
      <c r="G164" s="1049"/>
      <c r="H164" s="1110"/>
      <c r="I164" s="1049"/>
      <c r="J164" s="1108"/>
      <c r="K164" s="1049"/>
      <c r="L164" s="1109"/>
      <c r="M164" s="1109"/>
      <c r="N164" s="1049"/>
      <c r="O164" s="1091"/>
      <c r="P164" s="1093"/>
      <c r="Q164" s="1109"/>
      <c r="R164" s="950"/>
      <c r="S164" s="292"/>
      <c r="T164" s="1049"/>
      <c r="U164" s="1049"/>
    </row>
    <row r="165" spans="1:21" s="81" customFormat="1">
      <c r="A165" s="800" t="s">
        <v>36</v>
      </c>
      <c r="B165" s="1049">
        <v>257413.7</v>
      </c>
      <c r="C165" s="1049">
        <v>190039</v>
      </c>
      <c r="D165" s="1049">
        <v>5009.2</v>
      </c>
      <c r="E165" s="1049">
        <v>2479</v>
      </c>
      <c r="F165" s="1049">
        <v>5833.8</v>
      </c>
      <c r="G165" s="1049">
        <v>2.2000000000000002</v>
      </c>
      <c r="H165" s="1110">
        <v>22330.5</v>
      </c>
      <c r="I165" s="1049">
        <f t="shared" ref="I165:I184" si="14">H165+F165+E165+C165+B165+G165+D165</f>
        <v>483107.4</v>
      </c>
      <c r="J165" s="1108">
        <v>-140840.69999999998</v>
      </c>
      <c r="K165" s="1049">
        <v>518823.89999999991</v>
      </c>
      <c r="L165" s="1109">
        <f>106100+9836.4</f>
        <v>115936.4</v>
      </c>
      <c r="M165" s="1109">
        <v>1000</v>
      </c>
      <c r="N165" s="1049">
        <v>20</v>
      </c>
      <c r="O165" s="1091"/>
      <c r="P165" s="1093">
        <v>16300.9</v>
      </c>
      <c r="Q165" s="1109" t="s">
        <v>88</v>
      </c>
      <c r="R165" s="950">
        <f>83.3+887.8+94399.1-1198.4-22328.5-1360.3-96562.9-2053.2</f>
        <v>-28133.09999999998</v>
      </c>
      <c r="S165" s="292">
        <f t="shared" si="13"/>
        <v>483107.4</v>
      </c>
      <c r="T165" s="1049">
        <v>1226183.0666666667</v>
      </c>
      <c r="U165" s="1049">
        <f t="shared" ref="U165:U184" si="15">T165/I165</f>
        <v>2.5381169211373424</v>
      </c>
    </row>
    <row r="166" spans="1:21" s="81" customFormat="1">
      <c r="A166" s="800" t="s">
        <v>263</v>
      </c>
      <c r="B166" s="1049">
        <v>258459.9</v>
      </c>
      <c r="C166" s="1049">
        <v>164896.79999999999</v>
      </c>
      <c r="D166" s="1049">
        <v>4951.3</v>
      </c>
      <c r="E166" s="1049">
        <v>1876.3999999999999</v>
      </c>
      <c r="F166" s="1049">
        <v>6435.3000000000011</v>
      </c>
      <c r="G166" s="1049">
        <v>2.2000000000000002</v>
      </c>
      <c r="H166" s="1110">
        <v>22811.899999999998</v>
      </c>
      <c r="I166" s="1049">
        <f t="shared" si="14"/>
        <v>459433.8</v>
      </c>
      <c r="J166" s="1108">
        <v>-116167</v>
      </c>
      <c r="K166" s="1049">
        <v>494749</v>
      </c>
      <c r="L166" s="1109">
        <v>95000</v>
      </c>
      <c r="M166" s="1109">
        <v>1000</v>
      </c>
      <c r="N166" s="1049">
        <v>20</v>
      </c>
      <c r="O166" s="1091"/>
      <c r="P166" s="1093">
        <v>18796.7</v>
      </c>
      <c r="Q166" s="1109" t="s">
        <v>88</v>
      </c>
      <c r="R166" s="950">
        <f>83.3+887.8+94083.8-1198.4-23253.3-1423.4-97776.5-5368.2</f>
        <v>-33964.89999999998</v>
      </c>
      <c r="S166" s="292">
        <f t="shared" si="13"/>
        <v>459433.80000000005</v>
      </c>
      <c r="T166" s="1049">
        <v>1253536.8333333333</v>
      </c>
      <c r="U166" s="1049">
        <f t="shared" si="15"/>
        <v>2.7284384242807849</v>
      </c>
    </row>
    <row r="167" spans="1:21" s="81" customFormat="1">
      <c r="A167" s="800" t="s">
        <v>41</v>
      </c>
      <c r="B167" s="1049">
        <v>267562.40000000002</v>
      </c>
      <c r="C167" s="1049">
        <v>167615</v>
      </c>
      <c r="D167" s="1049">
        <v>14379.7</v>
      </c>
      <c r="E167" s="1049">
        <v>2634.1</v>
      </c>
      <c r="F167" s="1049">
        <v>12223.899999999998</v>
      </c>
      <c r="G167" s="1049">
        <v>157.1</v>
      </c>
      <c r="H167" s="1110">
        <v>21755.599999999999</v>
      </c>
      <c r="I167" s="1049">
        <f t="shared" si="14"/>
        <v>486327.8</v>
      </c>
      <c r="J167" s="1108">
        <v>-133135.90000000002</v>
      </c>
      <c r="K167" s="1049">
        <v>544205.1</v>
      </c>
      <c r="L167" s="1109">
        <v>87840</v>
      </c>
      <c r="M167" s="1109">
        <v>1000</v>
      </c>
      <c r="N167" s="1049">
        <v>20</v>
      </c>
      <c r="O167" s="1091"/>
      <c r="P167" s="1093">
        <v>20527</v>
      </c>
      <c r="Q167" s="1109" t="s">
        <v>88</v>
      </c>
      <c r="R167" s="950">
        <f>83.3+887.8+93988.3-1198.4-24941.4-1432.4-96325.5-5190.1</f>
        <v>-34128.399999999987</v>
      </c>
      <c r="S167" s="292">
        <f t="shared" si="13"/>
        <v>486327.8</v>
      </c>
      <c r="T167" s="1049">
        <v>1299479.7</v>
      </c>
      <c r="U167" s="1049">
        <f t="shared" si="15"/>
        <v>2.6720243013045932</v>
      </c>
    </row>
    <row r="168" spans="1:21" s="81" customFormat="1">
      <c r="A168" s="800" t="s">
        <v>42</v>
      </c>
      <c r="B168" s="1049">
        <v>269369.5</v>
      </c>
      <c r="C168" s="1049">
        <v>160086.1</v>
      </c>
      <c r="D168" s="1049">
        <v>11933.800000000001</v>
      </c>
      <c r="E168" s="1049">
        <v>2462.2000000000003</v>
      </c>
      <c r="F168" s="1049">
        <v>11015.3</v>
      </c>
      <c r="G168" s="1049">
        <v>89.2</v>
      </c>
      <c r="H168" s="1110">
        <v>27316.7</v>
      </c>
      <c r="I168" s="1049">
        <f t="shared" si="14"/>
        <v>482272.8</v>
      </c>
      <c r="J168" s="1108">
        <v>-140187.20000000004</v>
      </c>
      <c r="K168" s="1049">
        <v>534377.30000000005</v>
      </c>
      <c r="L168" s="1109">
        <v>100000</v>
      </c>
      <c r="M168" s="1109">
        <v>1000</v>
      </c>
      <c r="N168" s="1049">
        <v>20</v>
      </c>
      <c r="O168" s="1091"/>
      <c r="P168" s="1093">
        <v>21248.3</v>
      </c>
      <c r="Q168" s="1109" t="s">
        <v>88</v>
      </c>
      <c r="R168" s="950">
        <f>83.3+887.8+95617.3-1198.4-25656.8-1427.8-96388.4-828.7-5273.9</f>
        <v>-34185.599999999984</v>
      </c>
      <c r="S168" s="292">
        <f t="shared" si="13"/>
        <v>482272.8</v>
      </c>
      <c r="T168" s="1049">
        <v>1334499.8</v>
      </c>
      <c r="U168" s="1049">
        <f t="shared" si="15"/>
        <v>2.7671056713129998</v>
      </c>
    </row>
    <row r="169" spans="1:21" s="81" customFormat="1">
      <c r="A169" s="800" t="s">
        <v>43</v>
      </c>
      <c r="B169" s="1049">
        <v>276838.09999999998</v>
      </c>
      <c r="C169" s="1049">
        <v>152045.6</v>
      </c>
      <c r="D169" s="1049">
        <v>11390.6</v>
      </c>
      <c r="E169" s="1049">
        <v>1629.7999999999997</v>
      </c>
      <c r="F169" s="1049">
        <v>13862.1</v>
      </c>
      <c r="G169" s="1049">
        <v>29.3</v>
      </c>
      <c r="H169" s="1110">
        <v>35984.9</v>
      </c>
      <c r="I169" s="1049">
        <f t="shared" si="14"/>
        <v>491780.39999999997</v>
      </c>
      <c r="J169" s="1108">
        <v>-104424.50000000006</v>
      </c>
      <c r="K169" s="1049">
        <v>505175.29999999993</v>
      </c>
      <c r="L169" s="1109">
        <f>95430+4735.4</f>
        <v>100165.4</v>
      </c>
      <c r="M169" s="1109">
        <v>1000</v>
      </c>
      <c r="N169" s="1049">
        <v>20</v>
      </c>
      <c r="O169" s="1091"/>
      <c r="P169" s="1093">
        <v>22163.4</v>
      </c>
      <c r="Q169" s="1109" t="s">
        <v>88</v>
      </c>
      <c r="R169" s="950">
        <f>83.3+887.8+96633-1198.4-25659-1477.6-101590.2+1.9</f>
        <v>-32319.19999999999</v>
      </c>
      <c r="S169" s="292">
        <f t="shared" si="13"/>
        <v>491780.39999999985</v>
      </c>
      <c r="T169" s="1049">
        <v>1372733.4999999998</v>
      </c>
      <c r="U169" s="1049">
        <f t="shared" si="15"/>
        <v>2.7913546371510534</v>
      </c>
    </row>
    <row r="170" spans="1:21" s="81" customFormat="1">
      <c r="A170" s="800" t="s">
        <v>44</v>
      </c>
      <c r="B170" s="1049">
        <v>301775.5</v>
      </c>
      <c r="C170" s="1049">
        <v>101969.2</v>
      </c>
      <c r="D170" s="1049">
        <v>12376</v>
      </c>
      <c r="E170" s="1049">
        <v>2615.3999999999996</v>
      </c>
      <c r="F170" s="1049">
        <v>17691.3</v>
      </c>
      <c r="G170" s="1049">
        <v>11</v>
      </c>
      <c r="H170" s="1110">
        <v>31187.100000000002</v>
      </c>
      <c r="I170" s="1049">
        <f t="shared" si="14"/>
        <v>467625.5</v>
      </c>
      <c r="J170" s="1108">
        <v>-140476.99999999994</v>
      </c>
      <c r="K170" s="1049">
        <v>542983.60000000009</v>
      </c>
      <c r="L170" s="1109">
        <f>54580+15157.5</f>
        <v>69737.5</v>
      </c>
      <c r="M170" s="1109">
        <v>1000</v>
      </c>
      <c r="N170" s="1049">
        <v>20</v>
      </c>
      <c r="O170" s="1091"/>
      <c r="P170" s="1093">
        <v>22527.9</v>
      </c>
      <c r="Q170" s="1109" t="s">
        <v>88</v>
      </c>
      <c r="R170" s="950">
        <f>83.3+887.8+99923.4-1198.4-28009-1445.2-98750.5+342.1</f>
        <v>-28166.499999999993</v>
      </c>
      <c r="S170" s="292">
        <f t="shared" si="13"/>
        <v>467625.50000000017</v>
      </c>
      <c r="T170" s="1049">
        <v>1417053.1</v>
      </c>
      <c r="U170" s="1049">
        <f t="shared" si="15"/>
        <v>3.0303161397314735</v>
      </c>
    </row>
    <row r="171" spans="1:21" s="81" customFormat="1">
      <c r="A171" s="800" t="s">
        <v>619</v>
      </c>
      <c r="B171" s="1049">
        <v>304085.59999999998</v>
      </c>
      <c r="C171" s="1049">
        <v>97125.9</v>
      </c>
      <c r="D171" s="1049">
        <v>13864.5</v>
      </c>
      <c r="E171" s="1049">
        <v>1957.6</v>
      </c>
      <c r="F171" s="1049">
        <v>20166.2</v>
      </c>
      <c r="G171" s="1049">
        <v>7.9</v>
      </c>
      <c r="H171" s="1110">
        <v>30645</v>
      </c>
      <c r="I171" s="1049">
        <f t="shared" si="14"/>
        <v>467852.69999999995</v>
      </c>
      <c r="J171" s="1108">
        <v>-165541.40000000002</v>
      </c>
      <c r="K171" s="1049">
        <v>517423.10000000003</v>
      </c>
      <c r="L171" s="1109">
        <f>108410+3488.5</f>
        <v>111898.5</v>
      </c>
      <c r="M171" s="1109">
        <v>1000</v>
      </c>
      <c r="N171" s="1049">
        <v>20</v>
      </c>
      <c r="O171" s="1091"/>
      <c r="P171" s="1093">
        <v>23671.7</v>
      </c>
      <c r="Q171" s="1109" t="s">
        <v>88</v>
      </c>
      <c r="R171" s="950">
        <f>83.3+887.8+108390-1198.4-30132.1-1452.5-97724.8+527.5</f>
        <v>-20619.199999999997</v>
      </c>
      <c r="S171" s="292">
        <f t="shared" si="13"/>
        <v>467852.7</v>
      </c>
      <c r="T171" s="1049">
        <v>1420411.4166666667</v>
      </c>
      <c r="U171" s="1049">
        <f t="shared" si="15"/>
        <v>3.03602269831224</v>
      </c>
    </row>
    <row r="172" spans="1:21" s="81" customFormat="1">
      <c r="A172" s="800" t="s">
        <v>46</v>
      </c>
      <c r="B172" s="1049">
        <v>307668.59999999998</v>
      </c>
      <c r="C172" s="1049">
        <v>142342.39999999999</v>
      </c>
      <c r="D172" s="1049">
        <v>5930</v>
      </c>
      <c r="E172" s="1049">
        <v>1440.9</v>
      </c>
      <c r="F172" s="1049">
        <v>19397.8</v>
      </c>
      <c r="G172" s="1049">
        <v>16.2</v>
      </c>
      <c r="H172" s="1110">
        <v>30509.1</v>
      </c>
      <c r="I172" s="1049">
        <f t="shared" si="14"/>
        <v>507304.99999999994</v>
      </c>
      <c r="J172" s="1108">
        <v>-141377.29999999999</v>
      </c>
      <c r="K172" s="1049">
        <v>527189.89999999991</v>
      </c>
      <c r="L172" s="1109">
        <v>107910</v>
      </c>
      <c r="M172" s="1109">
        <v>0</v>
      </c>
      <c r="N172" s="1049">
        <v>20</v>
      </c>
      <c r="O172" s="1091"/>
      <c r="P172" s="1093">
        <v>23202.3</v>
      </c>
      <c r="Q172" s="1109" t="s">
        <v>88</v>
      </c>
      <c r="R172" s="950">
        <f>83.3+887.8+119053.6-1198.4-31170.5-1472.9-98891.9+3069.1</f>
        <v>-9639.8999999999705</v>
      </c>
      <c r="S172" s="292">
        <f t="shared" si="13"/>
        <v>507304.99999999994</v>
      </c>
      <c r="T172" s="1049">
        <v>1436509.0333333332</v>
      </c>
      <c r="U172" s="1049">
        <f t="shared" si="15"/>
        <v>2.8316476938593813</v>
      </c>
    </row>
    <row r="173" spans="1:21" s="81" customFormat="1">
      <c r="A173" s="800" t="s">
        <v>47</v>
      </c>
      <c r="B173" s="1049">
        <v>297683.09999999998</v>
      </c>
      <c r="C173" s="1049">
        <v>156387.70000000001</v>
      </c>
      <c r="D173" s="1049">
        <v>9305.2999999999993</v>
      </c>
      <c r="E173" s="1049">
        <v>2490.4</v>
      </c>
      <c r="F173" s="1049">
        <v>25793.7</v>
      </c>
      <c r="G173" s="1049">
        <v>6.3</v>
      </c>
      <c r="H173" s="1110">
        <v>31699.3</v>
      </c>
      <c r="I173" s="1049">
        <f t="shared" si="14"/>
        <v>523365.79999999993</v>
      </c>
      <c r="J173" s="1108">
        <f>197530+1198.4-332752.2</f>
        <v>-134023.80000000002</v>
      </c>
      <c r="K173" s="1049">
        <f>713443.5-204319.9</f>
        <v>509123.6</v>
      </c>
      <c r="L173" s="1109">
        <v>123150</v>
      </c>
      <c r="M173" s="1109">
        <v>0</v>
      </c>
      <c r="N173" s="1049">
        <v>20</v>
      </c>
      <c r="O173" s="1091"/>
      <c r="P173" s="1093">
        <v>23325.1</v>
      </c>
      <c r="Q173" s="1109" t="s">
        <v>88</v>
      </c>
      <c r="R173" s="950">
        <f>83.3+887.8+134316.4-1198.4-32252.8-1485.3-101946.2+3366.1</f>
        <v>1770.9000000000028</v>
      </c>
      <c r="S173" s="292">
        <f t="shared" si="13"/>
        <v>523365.79999999993</v>
      </c>
      <c r="T173" s="1049">
        <v>1428077.7500000002</v>
      </c>
      <c r="U173" s="1049">
        <f t="shared" si="15"/>
        <v>2.7286417071960001</v>
      </c>
    </row>
    <row r="174" spans="1:21" s="81" customFormat="1">
      <c r="A174" s="800" t="s">
        <v>48</v>
      </c>
      <c r="B174" s="1049">
        <v>289035.90000000002</v>
      </c>
      <c r="C174" s="1049">
        <v>161445.5</v>
      </c>
      <c r="D174" s="1049">
        <v>8725.2999999999993</v>
      </c>
      <c r="E174" s="1049">
        <v>1731.9</v>
      </c>
      <c r="F174" s="1049">
        <v>19832.3</v>
      </c>
      <c r="G174" s="1049">
        <v>0.7</v>
      </c>
      <c r="H174" s="1110">
        <v>33748.300000000003</v>
      </c>
      <c r="I174" s="1049">
        <f t="shared" si="14"/>
        <v>514519.9</v>
      </c>
      <c r="J174" s="1108">
        <f>211323.9+1198.4-338942.8</f>
        <v>-126420.5</v>
      </c>
      <c r="K174" s="1049">
        <f>741876.6-229249.5</f>
        <v>512627.1</v>
      </c>
      <c r="L174" s="1109">
        <v>118810</v>
      </c>
      <c r="M174" s="1109">
        <v>0</v>
      </c>
      <c r="N174" s="1049">
        <v>20</v>
      </c>
      <c r="O174" s="1091"/>
      <c r="P174" s="1093">
        <v>22927.7</v>
      </c>
      <c r="Q174" s="1109" t="s">
        <v>88</v>
      </c>
      <c r="R174" s="950">
        <f>83.3+887.8+115155.9-1198.4-16128.3-1513.9-112551+1820.2</f>
        <v>-13444.399999999991</v>
      </c>
      <c r="S174" s="292">
        <f t="shared" si="13"/>
        <v>514519.89999999997</v>
      </c>
      <c r="T174" s="1049">
        <v>1448987.7999999998</v>
      </c>
      <c r="U174" s="1049">
        <f t="shared" si="15"/>
        <v>2.8161938925977394</v>
      </c>
    </row>
    <row r="175" spans="1:21" s="81" customFormat="1">
      <c r="A175" s="800" t="s">
        <v>49</v>
      </c>
      <c r="B175" s="1049">
        <v>290455.59999999998</v>
      </c>
      <c r="C175" s="1049">
        <v>161605.9</v>
      </c>
      <c r="D175" s="942">
        <v>9104.7999999999993</v>
      </c>
      <c r="E175" s="942">
        <v>2342.6999999999998</v>
      </c>
      <c r="F175" s="1049">
        <v>20719.8</v>
      </c>
      <c r="G175" s="1049">
        <v>15.7</v>
      </c>
      <c r="H175" s="1110">
        <f>30565.1+1580.2</f>
        <v>32145.3</v>
      </c>
      <c r="I175" s="1049">
        <f t="shared" si="14"/>
        <v>516389.79999999993</v>
      </c>
      <c r="J175" s="1108">
        <f>190122.7+1198.4-336478.4</f>
        <v>-145157.30000000002</v>
      </c>
      <c r="K175" s="1049">
        <f>747014-242717.8</f>
        <v>504296.2</v>
      </c>
      <c r="L175" s="1109">
        <v>134100</v>
      </c>
      <c r="M175" s="1109">
        <v>0</v>
      </c>
      <c r="N175" s="1049">
        <v>20</v>
      </c>
      <c r="O175" s="1091"/>
      <c r="P175" s="1093">
        <v>22863.1</v>
      </c>
      <c r="Q175" s="1109" t="s">
        <v>88</v>
      </c>
      <c r="R175" s="950">
        <f>887.8+83.3+130086.6-1198.4-15512-1663.4+3812.7-116228.8</f>
        <v>267.80000000001746</v>
      </c>
      <c r="S175" s="292">
        <f t="shared" si="13"/>
        <v>516389.80000000005</v>
      </c>
      <c r="T175" s="1049">
        <v>1465561.4500000002</v>
      </c>
      <c r="U175" s="1049">
        <f t="shared" si="15"/>
        <v>2.8380913991717116</v>
      </c>
    </row>
    <row r="176" spans="1:21" s="81" customFormat="1">
      <c r="A176" s="800" t="s">
        <v>50</v>
      </c>
      <c r="B176" s="949">
        <v>308146.3</v>
      </c>
      <c r="C176" s="949">
        <v>221165.7</v>
      </c>
      <c r="D176" s="942">
        <v>2688.4</v>
      </c>
      <c r="E176" s="942">
        <v>2169.6</v>
      </c>
      <c r="F176" s="942">
        <v>18092.099999999999</v>
      </c>
      <c r="G176" s="1049">
        <v>20</v>
      </c>
      <c r="H176" s="943">
        <v>28588.799999999999</v>
      </c>
      <c r="I176" s="1049">
        <f t="shared" si="14"/>
        <v>580870.9</v>
      </c>
      <c r="J176" s="1108">
        <v>-144480.39999999997</v>
      </c>
      <c r="K176" s="1049">
        <v>528460.39999999991</v>
      </c>
      <c r="L176" s="1109">
        <v>159990</v>
      </c>
      <c r="M176" s="1109">
        <v>0</v>
      </c>
      <c r="N176" s="1049">
        <v>20</v>
      </c>
      <c r="O176" s="1091"/>
      <c r="P176" s="1093">
        <v>22686.1</v>
      </c>
      <c r="Q176" s="1109" t="s">
        <v>88</v>
      </c>
      <c r="R176" s="950">
        <v>14194.800000000032</v>
      </c>
      <c r="S176" s="292">
        <f t="shared" si="13"/>
        <v>580870.9</v>
      </c>
      <c r="T176" s="1049">
        <v>1499513.3</v>
      </c>
      <c r="U176" s="1049">
        <f t="shared" si="15"/>
        <v>2.5814915155846161</v>
      </c>
    </row>
    <row r="177" spans="1:24" s="81" customFormat="1">
      <c r="A177" s="552"/>
      <c r="B177" s="949"/>
      <c r="C177" s="949"/>
      <c r="D177" s="942"/>
      <c r="E177" s="942"/>
      <c r="F177" s="942"/>
      <c r="G177" s="1049"/>
      <c r="H177" s="943"/>
      <c r="I177" s="1049"/>
      <c r="J177" s="1108"/>
      <c r="K177" s="1049"/>
      <c r="L177" s="1109"/>
      <c r="M177" s="1109"/>
      <c r="N177" s="1049"/>
      <c r="O177" s="1091"/>
      <c r="P177" s="1093"/>
      <c r="Q177" s="1109"/>
      <c r="R177" s="950"/>
      <c r="S177" s="292"/>
      <c r="T177" s="1049"/>
      <c r="U177" s="1049"/>
    </row>
    <row r="178" spans="1:24" s="81" customFormat="1" ht="15.75">
      <c r="A178" s="800" t="s">
        <v>705</v>
      </c>
      <c r="B178" s="949">
        <v>293218</v>
      </c>
      <c r="C178" s="949">
        <v>203592.7</v>
      </c>
      <c r="D178" s="942">
        <v>9511.6</v>
      </c>
      <c r="E178" s="942">
        <v>1738.8</v>
      </c>
      <c r="F178" s="942">
        <v>21108.400000000001</v>
      </c>
      <c r="G178" s="1049">
        <v>10.4</v>
      </c>
      <c r="H178" s="943">
        <v>31212.600000000002</v>
      </c>
      <c r="I178" s="1049">
        <f t="shared" si="14"/>
        <v>560392.5</v>
      </c>
      <c r="J178" s="1108">
        <v>-165010.79999999999</v>
      </c>
      <c r="K178" s="1049">
        <v>495587.20000000007</v>
      </c>
      <c r="L178" s="1109">
        <v>174680</v>
      </c>
      <c r="M178" s="1109">
        <v>0</v>
      </c>
      <c r="N178" s="1049">
        <v>20</v>
      </c>
      <c r="O178" s="1091"/>
      <c r="P178" s="1093">
        <v>23114.799999999999</v>
      </c>
      <c r="Q178" s="1109" t="s">
        <v>88</v>
      </c>
      <c r="R178" s="950">
        <v>32001.30000000001</v>
      </c>
      <c r="S178" s="292">
        <f t="shared" si="13"/>
        <v>560392.50000000012</v>
      </c>
      <c r="T178" s="1049">
        <v>1519458.0333333334</v>
      </c>
      <c r="U178" s="1049">
        <f t="shared" si="15"/>
        <v>2.7114175035057277</v>
      </c>
      <c r="W178" s="145"/>
      <c r="X178" s="145"/>
    </row>
    <row r="179" spans="1:24" s="81" customFormat="1" ht="15.75">
      <c r="A179" s="800" t="s">
        <v>687</v>
      </c>
      <c r="B179" s="949">
        <v>298489.90000000002</v>
      </c>
      <c r="C179" s="949">
        <v>188388</v>
      </c>
      <c r="D179" s="942">
        <v>9623.2000000000007</v>
      </c>
      <c r="E179" s="942">
        <v>3051.2</v>
      </c>
      <c r="F179" s="942">
        <v>12736.900000000001</v>
      </c>
      <c r="G179" s="1049">
        <v>16.2</v>
      </c>
      <c r="H179" s="943">
        <v>32674.300000000003</v>
      </c>
      <c r="I179" s="1049">
        <f t="shared" si="14"/>
        <v>544979.69999999995</v>
      </c>
      <c r="J179" s="1108">
        <v>-136269.40000000002</v>
      </c>
      <c r="K179" s="1049">
        <v>492047.40000000008</v>
      </c>
      <c r="L179" s="1109">
        <v>172670</v>
      </c>
      <c r="M179" s="1109">
        <v>0</v>
      </c>
      <c r="N179" s="1049">
        <v>20</v>
      </c>
      <c r="O179" s="1091"/>
      <c r="P179" s="1093">
        <v>22883.600000000002</v>
      </c>
      <c r="Q179" s="1109" t="s">
        <v>88</v>
      </c>
      <c r="R179" s="950">
        <v>-6371.9000000000015</v>
      </c>
      <c r="S179" s="292">
        <f t="shared" si="13"/>
        <v>544979.69999999995</v>
      </c>
      <c r="T179" s="1049">
        <v>1546945.7666666668</v>
      </c>
      <c r="U179" s="1049">
        <f t="shared" si="15"/>
        <v>2.8385383284307046</v>
      </c>
    </row>
    <row r="180" spans="1:24" s="81" customFormat="1" ht="15.75">
      <c r="A180" s="800" t="s">
        <v>688</v>
      </c>
      <c r="B180" s="949">
        <v>302042.8</v>
      </c>
      <c r="C180" s="949">
        <v>151882.30000000002</v>
      </c>
      <c r="D180" s="942">
        <v>12465.900000000001</v>
      </c>
      <c r="E180" s="942">
        <v>1222.4000000000001</v>
      </c>
      <c r="F180" s="942">
        <v>18559.899999999998</v>
      </c>
      <c r="G180" s="1049">
        <v>19.3</v>
      </c>
      <c r="H180" s="943">
        <v>32478.600000000002</v>
      </c>
      <c r="I180" s="1049">
        <f t="shared" si="14"/>
        <v>518671.2</v>
      </c>
      <c r="J180" s="1108">
        <v>-180504.6</v>
      </c>
      <c r="K180" s="1049">
        <v>484199.3</v>
      </c>
      <c r="L180" s="1109">
        <v>185103.2</v>
      </c>
      <c r="M180" s="1109">
        <v>0</v>
      </c>
      <c r="N180" s="1049">
        <v>20</v>
      </c>
      <c r="O180" s="1091"/>
      <c r="P180" s="1093">
        <v>23078.2</v>
      </c>
      <c r="Q180" s="1109" t="s">
        <v>88</v>
      </c>
      <c r="R180" s="950">
        <v>6775.1000000000058</v>
      </c>
      <c r="S180" s="292">
        <f t="shared" si="13"/>
        <v>518671.19999999995</v>
      </c>
      <c r="T180" s="1049">
        <v>1566158</v>
      </c>
      <c r="U180" s="1049">
        <f t="shared" si="15"/>
        <v>3.0195584408773803</v>
      </c>
      <c r="W180" s="145"/>
      <c r="X180" s="145"/>
    </row>
    <row r="181" spans="1:24" s="81" customFormat="1" ht="15.75">
      <c r="A181" s="800" t="s">
        <v>697</v>
      </c>
      <c r="B181" s="949">
        <v>300253.3</v>
      </c>
      <c r="C181" s="949">
        <v>200369.1</v>
      </c>
      <c r="D181" s="942">
        <v>11112.6</v>
      </c>
      <c r="E181" s="942">
        <v>1233.5</v>
      </c>
      <c r="F181" s="942">
        <v>14744.399999999998</v>
      </c>
      <c r="G181" s="1049">
        <v>10.7</v>
      </c>
      <c r="H181" s="943">
        <v>34299.9</v>
      </c>
      <c r="I181" s="1049">
        <f t="shared" si="14"/>
        <v>562023.49999999988</v>
      </c>
      <c r="J181" s="1108">
        <v>-152710.90000000002</v>
      </c>
      <c r="K181" s="1049">
        <v>440070.80000000005</v>
      </c>
      <c r="L181" s="1109">
        <v>242832.2</v>
      </c>
      <c r="M181" s="1109">
        <v>0</v>
      </c>
      <c r="N181" s="1049">
        <v>20</v>
      </c>
      <c r="O181" s="1091"/>
      <c r="P181" s="1093">
        <v>23228.6</v>
      </c>
      <c r="Q181" s="1109" t="s">
        <v>88</v>
      </c>
      <c r="R181" s="950">
        <v>8582.799999999992</v>
      </c>
      <c r="S181" s="292">
        <f t="shared" si="13"/>
        <v>562023.50000000012</v>
      </c>
      <c r="T181" s="1049">
        <v>1575797.9</v>
      </c>
      <c r="U181" s="1049">
        <f t="shared" si="15"/>
        <v>2.8037936136122426</v>
      </c>
      <c r="W181" s="145"/>
      <c r="X181" s="145"/>
    </row>
    <row r="182" spans="1:24" s="81" customFormat="1" ht="15.75">
      <c r="A182" s="800" t="s">
        <v>706</v>
      </c>
      <c r="B182" s="949">
        <v>305467.7</v>
      </c>
      <c r="C182" s="949">
        <v>185292.6</v>
      </c>
      <c r="D182" s="942">
        <v>4427.9000000000005</v>
      </c>
      <c r="E182" s="942">
        <v>2034.9</v>
      </c>
      <c r="F182" s="942">
        <v>12533.9</v>
      </c>
      <c r="G182" s="1049">
        <v>24.9</v>
      </c>
      <c r="H182" s="943">
        <v>29000.7</v>
      </c>
      <c r="I182" s="1049">
        <f t="shared" si="14"/>
        <v>538782.60000000009</v>
      </c>
      <c r="J182" s="1108">
        <v>-172751.40000000002</v>
      </c>
      <c r="K182" s="1049">
        <v>437935.49999999994</v>
      </c>
      <c r="L182" s="1109">
        <v>240220</v>
      </c>
      <c r="M182" s="1109">
        <v>0</v>
      </c>
      <c r="N182" s="1049">
        <v>20</v>
      </c>
      <c r="O182" s="1091"/>
      <c r="P182" s="1093">
        <v>23706.800000000003</v>
      </c>
      <c r="Q182" s="1109" t="s">
        <v>88</v>
      </c>
      <c r="R182" s="950">
        <v>9651.6999999999898</v>
      </c>
      <c r="S182" s="292">
        <f t="shared" si="13"/>
        <v>538782.59999999986</v>
      </c>
      <c r="T182" s="1049">
        <v>1594835.2000000002</v>
      </c>
      <c r="U182" s="1049">
        <f t="shared" si="15"/>
        <v>2.9600718360244</v>
      </c>
      <c r="W182" s="145"/>
      <c r="X182" s="145"/>
    </row>
    <row r="183" spans="1:24" s="81" customFormat="1">
      <c r="A183" s="800" t="s">
        <v>715</v>
      </c>
      <c r="B183" s="949">
        <v>334282.7</v>
      </c>
      <c r="C183" s="949">
        <v>161888.4</v>
      </c>
      <c r="D183" s="942">
        <v>3460.1000000000004</v>
      </c>
      <c r="E183" s="942">
        <v>1303.3</v>
      </c>
      <c r="F183" s="942">
        <v>18483.5</v>
      </c>
      <c r="G183" s="1049">
        <v>27.6</v>
      </c>
      <c r="H183" s="943">
        <v>29101.3</v>
      </c>
      <c r="I183" s="1049">
        <f t="shared" si="14"/>
        <v>548546.89999999991</v>
      </c>
      <c r="J183" s="1108">
        <v>-175279.1</v>
      </c>
      <c r="K183" s="1049">
        <v>408472.6</v>
      </c>
      <c r="L183" s="1109">
        <v>283075.3</v>
      </c>
      <c r="M183" s="1109">
        <v>0</v>
      </c>
      <c r="N183" s="1049">
        <v>20</v>
      </c>
      <c r="O183" s="1091"/>
      <c r="P183" s="1093">
        <v>23885.4</v>
      </c>
      <c r="Q183" s="1109" t="s">
        <v>88</v>
      </c>
      <c r="R183" s="950">
        <v>8372.6999999999935</v>
      </c>
      <c r="S183" s="292">
        <f t="shared" si="13"/>
        <v>548546.89999999991</v>
      </c>
      <c r="T183" s="1049">
        <v>1632452</v>
      </c>
      <c r="U183" s="1049">
        <f t="shared" si="15"/>
        <v>2.9759570239117208</v>
      </c>
      <c r="W183" s="145"/>
      <c r="X183" s="145"/>
    </row>
    <row r="184" spans="1:24" s="81" customFormat="1">
      <c r="A184" s="800" t="s">
        <v>734</v>
      </c>
      <c r="B184" s="949">
        <v>333488.59999999998</v>
      </c>
      <c r="C184" s="949">
        <v>188607</v>
      </c>
      <c r="D184" s="942">
        <v>3510.5</v>
      </c>
      <c r="E184" s="942">
        <v>1366.2</v>
      </c>
      <c r="F184" s="942">
        <v>14317</v>
      </c>
      <c r="G184" s="1049">
        <v>11.1</v>
      </c>
      <c r="H184" s="943">
        <v>36138.300000000003</v>
      </c>
      <c r="I184" s="1049">
        <f t="shared" si="14"/>
        <v>577438.69999999995</v>
      </c>
      <c r="J184" s="1108">
        <v>-174985.09999999998</v>
      </c>
      <c r="K184" s="1049">
        <v>418299.7</v>
      </c>
      <c r="L184" s="1109">
        <v>290770</v>
      </c>
      <c r="M184" s="1109">
        <v>0</v>
      </c>
      <c r="N184" s="1049">
        <v>20</v>
      </c>
      <c r="O184" s="1091"/>
      <c r="P184" s="1093">
        <v>23975</v>
      </c>
      <c r="Q184" s="1109" t="s">
        <v>88</v>
      </c>
      <c r="R184" s="950">
        <v>19359.100000000035</v>
      </c>
      <c r="S184" s="292">
        <f t="shared" si="13"/>
        <v>577438.70000000019</v>
      </c>
      <c r="T184" s="1049">
        <v>1665725.2</v>
      </c>
      <c r="U184" s="1049">
        <f t="shared" si="15"/>
        <v>2.8846788412345763</v>
      </c>
      <c r="W184" s="145"/>
      <c r="X184" s="145"/>
    </row>
    <row r="185" spans="1:24" s="81" customFormat="1">
      <c r="A185" s="800"/>
      <c r="B185" s="292"/>
      <c r="C185" s="292"/>
      <c r="D185" s="292"/>
      <c r="E185" s="292"/>
      <c r="F185" s="292"/>
      <c r="G185" s="292"/>
      <c r="H185" s="211"/>
      <c r="I185" s="292"/>
      <c r="J185" s="154"/>
      <c r="K185" s="292"/>
      <c r="L185" s="459"/>
      <c r="M185" s="459"/>
      <c r="N185" s="292"/>
      <c r="O185" s="296"/>
      <c r="P185" s="291"/>
      <c r="Q185" s="459"/>
      <c r="R185" s="133"/>
      <c r="S185" s="292"/>
      <c r="T185" s="292"/>
      <c r="U185" s="292"/>
      <c r="W185" s="145"/>
      <c r="X185" s="145"/>
    </row>
    <row r="186" spans="1:24">
      <c r="A186" s="463" t="s">
        <v>90</v>
      </c>
      <c r="B186" s="464"/>
      <c r="C186" s="464"/>
      <c r="D186" s="464"/>
      <c r="E186" s="464"/>
      <c r="F186" s="464"/>
      <c r="G186" s="464"/>
      <c r="H186" s="464"/>
      <c r="I186" s="464"/>
      <c r="J186" s="465"/>
      <c r="K186" s="464"/>
      <c r="L186" s="464"/>
      <c r="M186" s="464"/>
      <c r="N186" s="464"/>
      <c r="O186" s="466"/>
      <c r="P186" s="464"/>
      <c r="Q186" s="224"/>
      <c r="R186" s="464"/>
      <c r="S186" s="464"/>
      <c r="T186" s="464"/>
      <c r="U186" s="421"/>
    </row>
    <row r="187" spans="1:24" s="81" customFormat="1" hidden="1">
      <c r="A187" s="852" t="s">
        <v>605</v>
      </c>
      <c r="B187" s="848"/>
      <c r="C187" s="848"/>
      <c r="D187" s="848"/>
      <c r="E187" s="848"/>
      <c r="F187" s="848"/>
      <c r="G187" s="848"/>
      <c r="H187" s="848"/>
      <c r="I187" s="848"/>
      <c r="J187" s="849"/>
      <c r="K187" s="848"/>
      <c r="L187" s="848"/>
      <c r="M187" s="848"/>
      <c r="N187" s="848"/>
      <c r="O187" s="850"/>
      <c r="P187" s="848"/>
      <c r="Q187" s="851"/>
      <c r="R187" s="133"/>
      <c r="S187" s="473"/>
      <c r="T187" s="848"/>
      <c r="U187" s="853"/>
    </row>
    <row r="188" spans="1:24">
      <c r="A188" s="467" t="s">
        <v>652</v>
      </c>
      <c r="B188" s="468"/>
      <c r="C188" s="468"/>
      <c r="D188" s="468"/>
      <c r="E188" s="468"/>
      <c r="F188" s="468"/>
      <c r="G188" s="468"/>
      <c r="H188" s="468"/>
      <c r="I188" s="468"/>
      <c r="J188" s="469"/>
      <c r="K188" s="468"/>
      <c r="L188" s="468"/>
      <c r="M188" s="468"/>
      <c r="N188" s="468"/>
      <c r="O188" s="470"/>
      <c r="P188" s="468"/>
      <c r="Q188" s="226"/>
      <c r="R188" s="468"/>
      <c r="S188" s="471"/>
      <c r="T188" s="468"/>
      <c r="U188" s="472"/>
    </row>
    <row r="189" spans="1:24">
      <c r="A189" s="81"/>
      <c r="B189" s="446"/>
      <c r="C189" s="446"/>
      <c r="D189" s="446"/>
      <c r="E189" s="446"/>
      <c r="F189" s="446"/>
      <c r="G189" s="446"/>
      <c r="H189" s="446"/>
      <c r="I189" s="446"/>
      <c r="J189" s="474"/>
      <c r="K189" s="446"/>
      <c r="L189" s="446"/>
      <c r="M189" s="446"/>
      <c r="N189" s="446"/>
      <c r="O189" s="475"/>
      <c r="P189" s="446"/>
      <c r="Q189" s="227"/>
      <c r="R189" s="446"/>
      <c r="S189" s="473"/>
      <c r="T189" s="133"/>
      <c r="U189" s="446"/>
    </row>
    <row r="190" spans="1:24">
      <c r="A190" s="81"/>
      <c r="B190" s="446"/>
      <c r="C190" s="446"/>
      <c r="D190" s="446"/>
      <c r="E190" s="446"/>
      <c r="F190" s="446"/>
      <c r="G190" s="446"/>
      <c r="H190" s="446"/>
      <c r="I190" s="446"/>
      <c r="J190" s="133"/>
      <c r="K190" s="294"/>
      <c r="L190" s="446"/>
      <c r="M190" s="446"/>
      <c r="N190" s="446"/>
      <c r="O190" s="475"/>
      <c r="P190" s="446"/>
      <c r="Q190" s="227"/>
      <c r="R190" s="133"/>
      <c r="S190" s="473"/>
      <c r="T190" s="446"/>
      <c r="U190" s="446"/>
    </row>
    <row r="191" spans="1:24">
      <c r="S191" s="473"/>
    </row>
    <row r="192" spans="1:24">
      <c r="S192" s="473"/>
    </row>
    <row r="193" spans="10:19">
      <c r="S193" s="473"/>
    </row>
    <row r="194" spans="10:19">
      <c r="J194" s="133"/>
      <c r="S194" s="473"/>
    </row>
    <row r="195" spans="10:19">
      <c r="S195" s="473"/>
    </row>
    <row r="196" spans="10:19">
      <c r="S196" s="473"/>
    </row>
  </sheetData>
  <mergeCells count="3">
    <mergeCell ref="B5:I5"/>
    <mergeCell ref="B2:T2"/>
    <mergeCell ref="J5:S5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1"/>
  <sheetViews>
    <sheetView showGridLines="0" view="pageBreakPreview" topLeftCell="A43" zoomScale="80" zoomScaleNormal="100" zoomScaleSheetLayoutView="80" workbookViewId="0">
      <selection activeCell="N262" sqref="N262"/>
    </sheetView>
  </sheetViews>
  <sheetFormatPr defaultColWidth="9.77734375" defaultRowHeight="12.75"/>
  <cols>
    <col min="1" max="1" width="22.44140625" style="69" customWidth="1"/>
    <col min="2" max="2" width="14.6640625" style="69" customWidth="1"/>
    <col min="3" max="3" width="9.5546875" style="496" customWidth="1"/>
    <col min="4" max="4" width="10.44140625" style="496" bestFit="1" customWidth="1"/>
    <col min="5" max="5" width="10.88671875" style="152" bestFit="1" customWidth="1"/>
    <col min="6" max="6" width="8.21875" style="496" customWidth="1"/>
    <col min="7" max="7" width="8.6640625" style="152" hidden="1" customWidth="1"/>
    <col min="8" max="8" width="9.44140625" style="152" customWidth="1"/>
    <col min="9" max="9" width="12.77734375" style="152" customWidth="1"/>
    <col min="10" max="10" width="9.77734375" style="152" customWidth="1"/>
    <col min="11" max="11" width="10.5546875" style="152" customWidth="1"/>
    <col min="12" max="12" width="9.77734375" style="502" customWidth="1"/>
    <col min="13" max="13" width="8.6640625" style="69" bestFit="1" customWidth="1"/>
    <col min="14" max="14" width="18.33203125" style="69" customWidth="1"/>
    <col min="15" max="16384" width="9.77734375" style="69"/>
  </cols>
  <sheetData>
    <row r="1" spans="1:12">
      <c r="A1" s="95"/>
      <c r="B1" s="96"/>
      <c r="C1" s="479"/>
      <c r="D1" s="479"/>
      <c r="E1" s="150"/>
      <c r="F1" s="479"/>
      <c r="G1" s="150"/>
      <c r="H1" s="150"/>
      <c r="I1" s="150"/>
      <c r="J1" s="150"/>
      <c r="K1" s="150"/>
      <c r="L1" s="480"/>
    </row>
    <row r="2" spans="1:12" ht="15.75" customHeight="1">
      <c r="A2" s="481" t="s">
        <v>328</v>
      </c>
      <c r="B2" s="1210" t="s">
        <v>324</v>
      </c>
      <c r="C2" s="1210"/>
      <c r="D2" s="1210"/>
      <c r="E2" s="1210"/>
      <c r="F2" s="1210"/>
      <c r="G2" s="1210"/>
      <c r="H2" s="1210"/>
      <c r="I2" s="1210"/>
      <c r="J2" s="1210"/>
      <c r="K2" s="1210"/>
      <c r="L2" s="85" t="s">
        <v>329</v>
      </c>
    </row>
    <row r="3" spans="1:12" s="152" customFormat="1" ht="15.75" customHeight="1">
      <c r="A3" s="327"/>
      <c r="B3" s="1191" t="s">
        <v>113</v>
      </c>
      <c r="C3" s="1191"/>
      <c r="D3" s="1191"/>
      <c r="E3" s="1191"/>
      <c r="F3" s="1191"/>
      <c r="G3" s="1191"/>
      <c r="H3" s="1191"/>
      <c r="I3" s="1191"/>
      <c r="J3" s="1191"/>
      <c r="K3" s="1191"/>
      <c r="L3" s="337"/>
    </row>
    <row r="4" spans="1:12">
      <c r="A4" s="75"/>
      <c r="B4" s="76"/>
      <c r="C4" s="482"/>
      <c r="D4" s="482"/>
      <c r="E4" s="78"/>
      <c r="F4" s="482"/>
      <c r="G4" s="78"/>
      <c r="H4" s="78"/>
      <c r="I4" s="78"/>
      <c r="J4" s="78"/>
      <c r="K4" s="78"/>
      <c r="L4" s="204"/>
    </row>
    <row r="5" spans="1:12">
      <c r="A5" s="100"/>
      <c r="B5" s="95"/>
      <c r="C5" s="483"/>
      <c r="D5" s="483"/>
      <c r="E5" s="101"/>
      <c r="F5" s="483"/>
      <c r="G5" s="150"/>
      <c r="H5" s="101"/>
      <c r="I5" s="150"/>
      <c r="J5" s="101"/>
      <c r="K5" s="150"/>
      <c r="L5" s="484"/>
    </row>
    <row r="6" spans="1:12">
      <c r="A6" s="84" t="s">
        <v>264</v>
      </c>
      <c r="B6" s="327" t="s">
        <v>323</v>
      </c>
      <c r="C6" s="115" t="s">
        <v>166</v>
      </c>
      <c r="D6" s="485" t="s">
        <v>107</v>
      </c>
      <c r="E6" s="246" t="s">
        <v>107</v>
      </c>
      <c r="F6" s="115" t="s">
        <v>107</v>
      </c>
      <c r="G6" s="107" t="s">
        <v>107</v>
      </c>
      <c r="H6" s="486" t="s">
        <v>312</v>
      </c>
      <c r="I6" s="485" t="s">
        <v>313</v>
      </c>
      <c r="J6" s="246" t="s">
        <v>107</v>
      </c>
      <c r="K6" s="115" t="s">
        <v>111</v>
      </c>
      <c r="L6" s="180" t="s">
        <v>74</v>
      </c>
    </row>
    <row r="7" spans="1:12">
      <c r="A7" s="84"/>
      <c r="B7" s="327" t="s">
        <v>167</v>
      </c>
      <c r="C7" s="240" t="s">
        <v>0</v>
      </c>
      <c r="D7" s="485" t="s">
        <v>314</v>
      </c>
      <c r="E7" s="486" t="s">
        <v>242</v>
      </c>
      <c r="F7" s="115" t="s">
        <v>315</v>
      </c>
      <c r="G7" s="107" t="s">
        <v>316</v>
      </c>
      <c r="H7" s="486" t="s">
        <v>317</v>
      </c>
      <c r="I7" s="115" t="s">
        <v>318</v>
      </c>
      <c r="J7" s="246" t="s">
        <v>239</v>
      </c>
      <c r="K7" s="115" t="s">
        <v>28</v>
      </c>
      <c r="L7" s="180" t="s">
        <v>33</v>
      </c>
    </row>
    <row r="8" spans="1:12">
      <c r="A8" s="70"/>
      <c r="B8" s="487" t="s">
        <v>28</v>
      </c>
      <c r="C8" s="240" t="s">
        <v>0</v>
      </c>
      <c r="D8" s="485" t="s">
        <v>106</v>
      </c>
      <c r="E8" s="486" t="s">
        <v>319</v>
      </c>
      <c r="F8" s="115" t="s">
        <v>143</v>
      </c>
      <c r="G8" s="107" t="s">
        <v>143</v>
      </c>
      <c r="H8" s="486" t="s">
        <v>198</v>
      </c>
      <c r="I8" s="115" t="s">
        <v>320</v>
      </c>
      <c r="J8" s="246" t="s">
        <v>321</v>
      </c>
      <c r="K8" s="120"/>
      <c r="L8" s="179" t="s">
        <v>0</v>
      </c>
    </row>
    <row r="9" spans="1:12">
      <c r="A9" s="488" t="s">
        <v>34</v>
      </c>
      <c r="B9" s="270"/>
      <c r="C9" s="489"/>
      <c r="D9" s="490"/>
      <c r="E9" s="491"/>
      <c r="F9" s="310"/>
      <c r="G9" s="78"/>
      <c r="H9" s="491"/>
      <c r="I9" s="310" t="s">
        <v>322</v>
      </c>
      <c r="J9" s="318"/>
      <c r="K9" s="125"/>
      <c r="L9" s="492"/>
    </row>
    <row r="10" spans="1:12" s="71" customFormat="1">
      <c r="A10" s="7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ht="12" hidden="1" customHeight="1">
      <c r="A11" s="494">
        <v>2008</v>
      </c>
      <c r="B11" s="493"/>
      <c r="C11" s="493">
        <f>368.4+1042.3</f>
        <v>1410.6999999999998</v>
      </c>
      <c r="D11" s="493">
        <v>450</v>
      </c>
      <c r="E11" s="493">
        <f>0+11</f>
        <v>11</v>
      </c>
      <c r="F11" s="493">
        <f>833.8</f>
        <v>833.8</v>
      </c>
      <c r="G11" s="493" t="s">
        <v>88</v>
      </c>
      <c r="H11" s="493">
        <v>615.9</v>
      </c>
      <c r="I11" s="493">
        <f>166.6+176.1</f>
        <v>342.7</v>
      </c>
      <c r="J11" s="493">
        <f>12723.8+781.9+14884.8+758.3</f>
        <v>29148.799999999999</v>
      </c>
      <c r="K11" s="493">
        <f>967.8+3396.8</f>
        <v>4364.6000000000004</v>
      </c>
      <c r="L11" s="493">
        <f>SUM(C11:K11)</f>
        <v>37177.5</v>
      </c>
    </row>
    <row r="12" spans="1:12" ht="11.25" hidden="1" customHeight="1">
      <c r="A12" s="494">
        <v>2009</v>
      </c>
      <c r="B12" s="493"/>
      <c r="C12" s="493">
        <f>762.5+957.7</f>
        <v>1720.2</v>
      </c>
      <c r="D12" s="493">
        <v>750</v>
      </c>
      <c r="E12" s="493">
        <f>0+11</f>
        <v>11</v>
      </c>
      <c r="F12" s="493">
        <f>68.2+833.8</f>
        <v>902</v>
      </c>
      <c r="G12" s="493" t="s">
        <v>88</v>
      </c>
      <c r="H12" s="493">
        <v>657</v>
      </c>
      <c r="I12" s="493">
        <f>24.4+728.3+10.8</f>
        <v>763.49999999999989</v>
      </c>
      <c r="J12" s="493">
        <f>15766.6+857.8+16123.7+1007.3</f>
        <v>33755.4</v>
      </c>
      <c r="K12" s="493">
        <f>1070.7+3901.4</f>
        <v>4972.1000000000004</v>
      </c>
      <c r="L12" s="493">
        <f>SUM(C12:K12)</f>
        <v>43531.199999999997</v>
      </c>
    </row>
    <row r="13" spans="1:12" ht="12" hidden="1" customHeight="1">
      <c r="A13" s="494">
        <v>2010</v>
      </c>
      <c r="B13" s="130" t="s">
        <v>88</v>
      </c>
      <c r="C13" s="130">
        <v>2353.3000000000002</v>
      </c>
      <c r="D13" s="130">
        <v>450</v>
      </c>
      <c r="E13" s="130">
        <v>11</v>
      </c>
      <c r="F13" s="130">
        <v>876.6</v>
      </c>
      <c r="G13" s="130" t="s">
        <v>88</v>
      </c>
      <c r="H13" s="130">
        <v>142.9</v>
      </c>
      <c r="I13" s="130">
        <v>920.59999999999991</v>
      </c>
      <c r="J13" s="130">
        <v>46586.3</v>
      </c>
      <c r="K13" s="130">
        <v>4986.5</v>
      </c>
      <c r="L13" s="130">
        <v>56327.200000000004</v>
      </c>
    </row>
    <row r="14" spans="1:12" ht="12" hidden="1" customHeight="1">
      <c r="A14" s="494">
        <v>2011</v>
      </c>
      <c r="B14" s="130" t="s">
        <v>88</v>
      </c>
      <c r="C14" s="130">
        <v>1069.2</v>
      </c>
      <c r="D14" s="130" t="s">
        <v>88</v>
      </c>
      <c r="E14" s="130">
        <v>11</v>
      </c>
      <c r="F14" s="130">
        <v>850.2</v>
      </c>
      <c r="G14" s="130" t="s">
        <v>88</v>
      </c>
      <c r="H14" s="130">
        <v>261.8</v>
      </c>
      <c r="I14" s="130">
        <v>967.59999999999991</v>
      </c>
      <c r="J14" s="130">
        <v>56451.100000000006</v>
      </c>
      <c r="K14" s="130">
        <v>5218.8</v>
      </c>
      <c r="L14" s="130">
        <v>64829.700000000012</v>
      </c>
    </row>
    <row r="15" spans="1:12" ht="12" hidden="1" customHeight="1">
      <c r="A15" s="494">
        <v>2012</v>
      </c>
      <c r="B15" s="805" t="s">
        <v>88</v>
      </c>
      <c r="C15" s="805">
        <v>3984.8</v>
      </c>
      <c r="D15" s="805">
        <v>1200</v>
      </c>
      <c r="E15" s="805">
        <v>11</v>
      </c>
      <c r="F15" s="805">
        <v>836.59999999999991</v>
      </c>
      <c r="G15" s="805" t="s">
        <v>88</v>
      </c>
      <c r="H15" s="805">
        <v>693.3</v>
      </c>
      <c r="I15" s="805">
        <v>839.19999999999982</v>
      </c>
      <c r="J15" s="805">
        <v>59250.000000000007</v>
      </c>
      <c r="K15" s="805">
        <v>5417.5</v>
      </c>
      <c r="L15" s="805">
        <v>72232.400000000009</v>
      </c>
    </row>
    <row r="16" spans="1:12" ht="12" customHeight="1">
      <c r="A16" s="405" t="s">
        <v>11</v>
      </c>
      <c r="B16" s="805" t="s">
        <v>88</v>
      </c>
      <c r="C16" s="805">
        <v>1535.5</v>
      </c>
      <c r="D16" s="805">
        <v>200</v>
      </c>
      <c r="E16" s="805">
        <v>11</v>
      </c>
      <c r="F16" s="805">
        <v>0</v>
      </c>
      <c r="G16" s="805" t="s">
        <v>88</v>
      </c>
      <c r="H16" s="805">
        <v>609.79999999999995</v>
      </c>
      <c r="I16" s="805">
        <v>604.59999999999991</v>
      </c>
      <c r="J16" s="805">
        <v>73439.199999999997</v>
      </c>
      <c r="K16" s="805">
        <v>6708.5</v>
      </c>
      <c r="L16" s="805">
        <v>83108.599999999991</v>
      </c>
    </row>
    <row r="17" spans="1:12" ht="12" customHeight="1">
      <c r="A17" s="405" t="s">
        <v>13</v>
      </c>
      <c r="B17" s="806">
        <v>67.2</v>
      </c>
      <c r="C17" s="806">
        <v>2724.3</v>
      </c>
      <c r="D17" s="806">
        <v>1500</v>
      </c>
      <c r="E17" s="806">
        <v>511</v>
      </c>
      <c r="F17" s="806">
        <v>0</v>
      </c>
      <c r="G17" s="806" t="s">
        <v>88</v>
      </c>
      <c r="H17" s="806" t="s">
        <v>88</v>
      </c>
      <c r="I17" s="806">
        <v>597.69999999999993</v>
      </c>
      <c r="J17" s="806">
        <v>87468.6</v>
      </c>
      <c r="K17" s="806">
        <v>9064.2000000000007</v>
      </c>
      <c r="L17" s="806">
        <v>101933</v>
      </c>
    </row>
    <row r="18" spans="1:12" ht="12" customHeight="1">
      <c r="A18" s="405" t="s">
        <v>14</v>
      </c>
      <c r="B18" s="805" t="s">
        <v>88</v>
      </c>
      <c r="C18" s="805">
        <v>8555</v>
      </c>
      <c r="D18" s="805">
        <v>9496.7000000000007</v>
      </c>
      <c r="E18" s="805">
        <v>11</v>
      </c>
      <c r="F18" s="805">
        <v>23.2</v>
      </c>
      <c r="G18" s="805" t="s">
        <v>88</v>
      </c>
      <c r="H18" s="805" t="s">
        <v>88</v>
      </c>
      <c r="I18" s="805">
        <v>529</v>
      </c>
      <c r="J18" s="805">
        <v>86640.700000000012</v>
      </c>
      <c r="K18" s="805">
        <v>14206.4</v>
      </c>
      <c r="L18" s="805">
        <v>119462</v>
      </c>
    </row>
    <row r="19" spans="1:12">
      <c r="A19" s="405" t="s">
        <v>15</v>
      </c>
      <c r="B19" s="805" t="s">
        <v>88</v>
      </c>
      <c r="C19" s="805">
        <v>7159.2</v>
      </c>
      <c r="D19" s="805">
        <v>8792.4</v>
      </c>
      <c r="E19" s="805">
        <v>312.8</v>
      </c>
      <c r="F19" s="805">
        <v>51.1</v>
      </c>
      <c r="G19" s="805"/>
      <c r="H19" s="805" t="s">
        <v>88</v>
      </c>
      <c r="I19" s="805">
        <v>507.1</v>
      </c>
      <c r="J19" s="805">
        <v>102322.1</v>
      </c>
      <c r="K19" s="805">
        <v>19061.099999999999</v>
      </c>
      <c r="L19" s="805">
        <v>138205.80000000002</v>
      </c>
    </row>
    <row r="20" spans="1:12">
      <c r="A20" s="405" t="s">
        <v>669</v>
      </c>
      <c r="B20" s="141" t="s">
        <v>88</v>
      </c>
      <c r="C20" s="130">
        <f>5308.1+2888.1</f>
        <v>8196.2000000000007</v>
      </c>
      <c r="D20" s="129">
        <v>10280</v>
      </c>
      <c r="E20" s="141">
        <f>11+1003.1</f>
        <v>1014.1</v>
      </c>
      <c r="F20" s="141">
        <v>38.9</v>
      </c>
      <c r="G20" s="141"/>
      <c r="H20" s="141" t="s">
        <v>88</v>
      </c>
      <c r="I20" s="130" t="s">
        <v>88</v>
      </c>
      <c r="J20" s="496">
        <f>70583+109.2+8656.9+31196.8</f>
        <v>110545.9</v>
      </c>
      <c r="K20" s="495">
        <f>8739.5+12387.3</f>
        <v>21126.799999999999</v>
      </c>
      <c r="L20" s="140">
        <f t="shared" ref="L20" si="0">SUM(B20:K20)</f>
        <v>151201.9</v>
      </c>
    </row>
    <row r="21" spans="1:12" ht="11.25" customHeight="1">
      <c r="A21" s="87"/>
      <c r="B21" s="806"/>
      <c r="C21" s="806"/>
      <c r="D21" s="806"/>
      <c r="E21" s="806"/>
      <c r="F21" s="806"/>
      <c r="G21" s="806"/>
      <c r="H21" s="806"/>
      <c r="I21" s="806"/>
      <c r="J21" s="806"/>
      <c r="K21" s="806"/>
      <c r="L21" s="806"/>
    </row>
    <row r="22" spans="1:12" ht="12" hidden="1" customHeight="1">
      <c r="A22" s="87" t="s">
        <v>61</v>
      </c>
      <c r="B22" s="805" t="s">
        <v>88</v>
      </c>
      <c r="C22" s="805">
        <v>1175.9000000000001</v>
      </c>
      <c r="D22" s="805">
        <v>200</v>
      </c>
      <c r="E22" s="805">
        <v>11</v>
      </c>
      <c r="F22" s="805">
        <v>0</v>
      </c>
      <c r="G22" s="805" t="s">
        <v>88</v>
      </c>
      <c r="H22" s="805">
        <v>461.5</v>
      </c>
      <c r="I22" s="805">
        <v>602.99999999999989</v>
      </c>
      <c r="J22" s="805">
        <v>75716.200000000012</v>
      </c>
      <c r="K22" s="805">
        <v>7587.5</v>
      </c>
      <c r="L22" s="805">
        <v>85755.1</v>
      </c>
    </row>
    <row r="23" spans="1:12" ht="12" hidden="1" customHeight="1">
      <c r="A23" s="87" t="s">
        <v>62</v>
      </c>
      <c r="B23" s="805" t="s">
        <v>88</v>
      </c>
      <c r="C23" s="805">
        <v>1781.1</v>
      </c>
      <c r="D23" s="805">
        <v>250</v>
      </c>
      <c r="E23" s="805">
        <v>11</v>
      </c>
      <c r="F23" s="805">
        <v>73.199999999999989</v>
      </c>
      <c r="G23" s="805" t="s">
        <v>88</v>
      </c>
      <c r="H23" s="805">
        <v>444.8</v>
      </c>
      <c r="I23" s="805">
        <v>601.79999999999995</v>
      </c>
      <c r="J23" s="805">
        <v>79629.900000000009</v>
      </c>
      <c r="K23" s="805">
        <v>8264.6000000000022</v>
      </c>
      <c r="L23" s="805">
        <v>91056.400000000009</v>
      </c>
    </row>
    <row r="24" spans="1:12" ht="12" hidden="1" customHeight="1">
      <c r="A24" s="87" t="s">
        <v>636</v>
      </c>
      <c r="B24" s="806">
        <v>67.2</v>
      </c>
      <c r="C24" s="806">
        <v>2418</v>
      </c>
      <c r="D24" s="806" t="s">
        <v>88</v>
      </c>
      <c r="E24" s="806">
        <v>11</v>
      </c>
      <c r="F24" s="806">
        <v>0</v>
      </c>
      <c r="G24" s="806" t="s">
        <v>88</v>
      </c>
      <c r="H24" s="806">
        <v>401.1</v>
      </c>
      <c r="I24" s="806">
        <v>600.9</v>
      </c>
      <c r="J24" s="806">
        <v>84091.8</v>
      </c>
      <c r="K24" s="806">
        <v>8356.5</v>
      </c>
      <c r="L24" s="806">
        <v>95946.5</v>
      </c>
    </row>
    <row r="25" spans="1:12" ht="12" hidden="1" customHeight="1">
      <c r="A25" s="87" t="s">
        <v>664</v>
      </c>
      <c r="B25" s="806">
        <v>67.2</v>
      </c>
      <c r="C25" s="806">
        <v>2724.3</v>
      </c>
      <c r="D25" s="806">
        <v>1500</v>
      </c>
      <c r="E25" s="806">
        <v>511</v>
      </c>
      <c r="F25" s="806">
        <v>0</v>
      </c>
      <c r="G25" s="806" t="s">
        <v>88</v>
      </c>
      <c r="H25" s="806" t="s">
        <v>88</v>
      </c>
      <c r="I25" s="806">
        <v>597.69999999999993</v>
      </c>
      <c r="J25" s="806">
        <v>87468.6</v>
      </c>
      <c r="K25" s="806">
        <v>9064.2000000000007</v>
      </c>
      <c r="L25" s="806">
        <v>101933</v>
      </c>
    </row>
    <row r="26" spans="1:12" ht="12" customHeight="1">
      <c r="A26" s="87" t="s">
        <v>53</v>
      </c>
      <c r="B26" s="806">
        <v>67.2</v>
      </c>
      <c r="C26" s="806">
        <v>1745.7</v>
      </c>
      <c r="D26" s="806">
        <v>2265.8000000000002</v>
      </c>
      <c r="E26" s="806">
        <v>511</v>
      </c>
      <c r="F26" s="806">
        <v>0</v>
      </c>
      <c r="G26" s="806" t="s">
        <v>88</v>
      </c>
      <c r="H26" s="806" t="s">
        <v>88</v>
      </c>
      <c r="I26" s="806">
        <v>597.69999999999993</v>
      </c>
      <c r="J26" s="806">
        <v>87282.8</v>
      </c>
      <c r="K26" s="806">
        <v>10418.700000000001</v>
      </c>
      <c r="L26" s="806">
        <v>102888.9</v>
      </c>
    </row>
    <row r="27" spans="1:12" ht="12" customHeight="1">
      <c r="A27" s="87" t="s">
        <v>44</v>
      </c>
      <c r="B27" s="806">
        <v>67.2</v>
      </c>
      <c r="C27" s="806">
        <v>3429.1000000000004</v>
      </c>
      <c r="D27" s="806">
        <v>5715.8</v>
      </c>
      <c r="E27" s="806">
        <v>11</v>
      </c>
      <c r="F27" s="806">
        <v>0</v>
      </c>
      <c r="G27" s="806" t="s">
        <v>88</v>
      </c>
      <c r="H27" s="806" t="s">
        <v>88</v>
      </c>
      <c r="I27" s="806">
        <v>597.69999999999993</v>
      </c>
      <c r="J27" s="806">
        <v>86842</v>
      </c>
      <c r="K27" s="806">
        <v>10593.5</v>
      </c>
      <c r="L27" s="806">
        <v>107256.3</v>
      </c>
    </row>
    <row r="28" spans="1:12" ht="12" customHeight="1">
      <c r="A28" s="87" t="s">
        <v>47</v>
      </c>
      <c r="B28" s="806">
        <v>67.2</v>
      </c>
      <c r="C28" s="806">
        <v>4414.1000000000004</v>
      </c>
      <c r="D28" s="806">
        <v>9215.7999999999993</v>
      </c>
      <c r="E28" s="806">
        <v>11</v>
      </c>
      <c r="F28" s="806">
        <v>0</v>
      </c>
      <c r="G28" s="806" t="s">
        <v>88</v>
      </c>
      <c r="H28" s="806" t="s">
        <v>88</v>
      </c>
      <c r="I28" s="806">
        <v>597.69999999999993</v>
      </c>
      <c r="J28" s="806">
        <v>87471.799999999988</v>
      </c>
      <c r="K28" s="806">
        <v>10771.5</v>
      </c>
      <c r="L28" s="806">
        <v>112549.09999999999</v>
      </c>
    </row>
    <row r="29" spans="1:12" ht="12" customHeight="1">
      <c r="A29" s="87" t="s">
        <v>50</v>
      </c>
      <c r="B29" s="805" t="s">
        <v>88</v>
      </c>
      <c r="C29" s="805">
        <v>8555</v>
      </c>
      <c r="D29" s="805">
        <v>9496.7000000000007</v>
      </c>
      <c r="E29" s="805">
        <v>11</v>
      </c>
      <c r="F29" s="805">
        <v>23.2</v>
      </c>
      <c r="G29" s="805" t="s">
        <v>88</v>
      </c>
      <c r="H29" s="805" t="s">
        <v>88</v>
      </c>
      <c r="I29" s="805">
        <v>529</v>
      </c>
      <c r="J29" s="805">
        <v>86640.700000000012</v>
      </c>
      <c r="K29" s="805">
        <v>14206.4</v>
      </c>
      <c r="L29" s="805">
        <v>119462</v>
      </c>
    </row>
    <row r="30" spans="1:12" ht="12" customHeight="1">
      <c r="A30" s="87"/>
      <c r="B30" s="806"/>
      <c r="C30" s="806"/>
      <c r="D30" s="806"/>
      <c r="E30" s="806"/>
      <c r="F30" s="806"/>
      <c r="G30" s="806"/>
      <c r="H30" s="806"/>
      <c r="I30" s="806"/>
      <c r="J30" s="806"/>
      <c r="K30" s="806"/>
      <c r="L30" s="806"/>
    </row>
    <row r="31" spans="1:12">
      <c r="A31" s="87" t="s">
        <v>65</v>
      </c>
      <c r="B31" s="805" t="s">
        <v>88</v>
      </c>
      <c r="C31" s="805">
        <v>9209.5</v>
      </c>
      <c r="D31" s="805">
        <v>9626.5</v>
      </c>
      <c r="E31" s="805">
        <v>11</v>
      </c>
      <c r="F31" s="805">
        <v>24.4</v>
      </c>
      <c r="G31" s="805" t="s">
        <v>88</v>
      </c>
      <c r="H31" s="805" t="s">
        <v>88</v>
      </c>
      <c r="I31" s="805">
        <v>528.20000000000005</v>
      </c>
      <c r="J31" s="805">
        <v>90185.5</v>
      </c>
      <c r="K31" s="805">
        <v>17286</v>
      </c>
      <c r="L31" s="805">
        <v>126871.1</v>
      </c>
    </row>
    <row r="32" spans="1:12">
      <c r="A32" s="87" t="s">
        <v>44</v>
      </c>
      <c r="B32" s="805" t="s">
        <v>88</v>
      </c>
      <c r="C32" s="805">
        <v>4975.3</v>
      </c>
      <c r="D32" s="805">
        <v>8060.6</v>
      </c>
      <c r="E32" s="805">
        <v>311</v>
      </c>
      <c r="F32" s="805">
        <v>33.299999999999997</v>
      </c>
      <c r="G32" s="805"/>
      <c r="H32" s="805" t="s">
        <v>88</v>
      </c>
      <c r="I32" s="805">
        <v>507.1</v>
      </c>
      <c r="J32" s="805">
        <v>96470.1</v>
      </c>
      <c r="K32" s="805">
        <v>17272.400000000001</v>
      </c>
      <c r="L32" s="805">
        <v>127629.80000000002</v>
      </c>
    </row>
    <row r="33" spans="1:16">
      <c r="A33" s="353" t="s">
        <v>47</v>
      </c>
      <c r="B33" s="805" t="s">
        <v>88</v>
      </c>
      <c r="C33" s="805">
        <v>8292.6999999999989</v>
      </c>
      <c r="D33" s="805">
        <v>8078.5000000000009</v>
      </c>
      <c r="E33" s="805">
        <v>312.7</v>
      </c>
      <c r="F33" s="805">
        <v>42.2</v>
      </c>
      <c r="G33" s="805"/>
      <c r="H33" s="805" t="s">
        <v>88</v>
      </c>
      <c r="I33" s="805">
        <v>507.1</v>
      </c>
      <c r="J33" s="805">
        <v>98409.9</v>
      </c>
      <c r="K33" s="805">
        <v>18620.599999999999</v>
      </c>
      <c r="L33" s="805">
        <v>134263.69999999998</v>
      </c>
    </row>
    <row r="34" spans="1:16">
      <c r="A34" s="353" t="s">
        <v>50</v>
      </c>
      <c r="B34" s="805" t="s">
        <v>88</v>
      </c>
      <c r="C34" s="805">
        <v>7159.2</v>
      </c>
      <c r="D34" s="805">
        <v>8792.4</v>
      </c>
      <c r="E34" s="805">
        <v>312.8</v>
      </c>
      <c r="F34" s="805">
        <v>51.1</v>
      </c>
      <c r="G34" s="805"/>
      <c r="H34" s="805" t="s">
        <v>88</v>
      </c>
      <c r="I34" s="805">
        <v>507.1</v>
      </c>
      <c r="J34" s="805">
        <v>102322.1</v>
      </c>
      <c r="K34" s="805">
        <v>19061.099999999999</v>
      </c>
      <c r="L34" s="805">
        <v>138205.80000000002</v>
      </c>
    </row>
    <row r="35" spans="1:16" ht="12" customHeight="1">
      <c r="A35" s="87"/>
      <c r="B35" s="806"/>
      <c r="C35" s="806"/>
      <c r="D35" s="806"/>
      <c r="E35" s="806"/>
      <c r="F35" s="806"/>
      <c r="G35" s="806"/>
      <c r="H35" s="806"/>
      <c r="I35" s="806"/>
      <c r="J35" s="806"/>
      <c r="K35" s="806"/>
      <c r="L35" s="806"/>
    </row>
    <row r="36" spans="1:16" ht="12" customHeight="1">
      <c r="A36" s="353" t="s">
        <v>66</v>
      </c>
      <c r="B36" s="805" t="s">
        <v>88</v>
      </c>
      <c r="C36" s="805">
        <v>6991.1</v>
      </c>
      <c r="D36" s="805">
        <v>8936.6</v>
      </c>
      <c r="E36" s="805">
        <v>312.8</v>
      </c>
      <c r="F36" s="805">
        <v>2.2000000000000002</v>
      </c>
      <c r="G36" s="805"/>
      <c r="H36" s="805" t="s">
        <v>88</v>
      </c>
      <c r="I36" s="805">
        <v>447.7</v>
      </c>
      <c r="J36" s="805">
        <v>100995.79999999999</v>
      </c>
      <c r="K36" s="805">
        <v>20915.400000000001</v>
      </c>
      <c r="L36" s="805">
        <f>SUM(B36:K36)</f>
        <v>138601.59999999998</v>
      </c>
    </row>
    <row r="37" spans="1:16" ht="12" customHeight="1">
      <c r="A37" s="87" t="s">
        <v>44</v>
      </c>
      <c r="B37" s="805"/>
      <c r="C37" s="805">
        <v>8205.1</v>
      </c>
      <c r="D37" s="805">
        <v>9027.4</v>
      </c>
      <c r="E37" s="805">
        <v>1014.2</v>
      </c>
      <c r="F37" s="805">
        <v>14.4</v>
      </c>
      <c r="G37" s="805"/>
      <c r="H37" s="805" t="s">
        <v>88</v>
      </c>
      <c r="I37" s="805" t="s">
        <v>88</v>
      </c>
      <c r="J37" s="805">
        <v>105879.4</v>
      </c>
      <c r="K37" s="805">
        <v>20318.400000000001</v>
      </c>
      <c r="L37" s="805">
        <v>144458.9</v>
      </c>
      <c r="O37" s="498"/>
      <c r="P37" s="498"/>
    </row>
    <row r="38" spans="1:16" ht="12" customHeight="1">
      <c r="A38" s="87" t="s">
        <v>47</v>
      </c>
      <c r="B38" s="141" t="s">
        <v>88</v>
      </c>
      <c r="C38" s="130">
        <v>6640.2000000000007</v>
      </c>
      <c r="D38" s="129">
        <v>9143.7999999999993</v>
      </c>
      <c r="E38" s="141">
        <v>1013.8</v>
      </c>
      <c r="F38" s="141">
        <v>26.7</v>
      </c>
      <c r="G38" s="141"/>
      <c r="H38" s="141" t="s">
        <v>88</v>
      </c>
      <c r="I38" s="130">
        <v>1006.9</v>
      </c>
      <c r="J38" s="496">
        <v>108527.6</v>
      </c>
      <c r="K38" s="495">
        <v>21300.800000000003</v>
      </c>
      <c r="L38" s="140">
        <v>147659.79999999999</v>
      </c>
      <c r="O38" s="498"/>
      <c r="P38" s="498"/>
    </row>
    <row r="39" spans="1:16" ht="12" customHeight="1">
      <c r="A39" s="87" t="s">
        <v>50</v>
      </c>
      <c r="B39" s="141" t="s">
        <v>88</v>
      </c>
      <c r="C39" s="130">
        <v>8196.2000000000007</v>
      </c>
      <c r="D39" s="129">
        <v>10280</v>
      </c>
      <c r="E39" s="141">
        <v>1014.1</v>
      </c>
      <c r="F39" s="141">
        <v>38.9</v>
      </c>
      <c r="G39" s="141"/>
      <c r="H39" s="141" t="s">
        <v>88</v>
      </c>
      <c r="I39" s="130" t="s">
        <v>88</v>
      </c>
      <c r="J39" s="496">
        <v>110545.9</v>
      </c>
      <c r="K39" s="495">
        <v>21126.799999999999</v>
      </c>
      <c r="L39" s="140">
        <v>151201.9</v>
      </c>
      <c r="O39" s="498"/>
      <c r="P39" s="498"/>
    </row>
    <row r="40" spans="1:16" ht="12" customHeight="1">
      <c r="A40" s="87"/>
      <c r="B40" s="141"/>
      <c r="C40" s="130"/>
      <c r="D40" s="129"/>
      <c r="E40" s="141"/>
      <c r="F40" s="141"/>
      <c r="G40" s="141"/>
      <c r="H40" s="141"/>
      <c r="I40" s="130"/>
      <c r="J40" s="496"/>
      <c r="K40" s="495"/>
      <c r="L40" s="140"/>
      <c r="O40" s="498"/>
      <c r="P40" s="498"/>
    </row>
    <row r="41" spans="1:16" ht="12" customHeight="1">
      <c r="A41" s="87" t="s">
        <v>684</v>
      </c>
      <c r="B41" s="141" t="s">
        <v>88</v>
      </c>
      <c r="C41" s="130">
        <f>3317.2+3127</f>
        <v>6444.2</v>
      </c>
      <c r="D41" s="129">
        <v>10158.200000000001</v>
      </c>
      <c r="E41" s="141">
        <f>11</f>
        <v>11</v>
      </c>
      <c r="F41" s="141">
        <v>2004.4</v>
      </c>
      <c r="G41" s="141"/>
      <c r="H41" s="141" t="s">
        <v>88</v>
      </c>
      <c r="I41" s="130" t="s">
        <v>88</v>
      </c>
      <c r="J41" s="130">
        <f>72753.3+1109.2+8514.4+31715.9</f>
        <v>114092.79999999999</v>
      </c>
      <c r="K41" s="495">
        <f>13039.4+9537.8</f>
        <v>22577.199999999997</v>
      </c>
      <c r="L41" s="140">
        <f t="shared" ref="L41" si="1">SUM(B41:K41)</f>
        <v>155287.79999999999</v>
      </c>
      <c r="O41" s="498"/>
      <c r="P41" s="498"/>
    </row>
    <row r="42" spans="1:16" s="1051" customFormat="1" ht="12" customHeight="1">
      <c r="A42" s="1021" t="s">
        <v>44</v>
      </c>
      <c r="B42" s="141" t="s">
        <v>88</v>
      </c>
      <c r="C42" s="130">
        <f>3145.6+3996.6</f>
        <v>7142.2</v>
      </c>
      <c r="D42" s="129">
        <v>10255.6</v>
      </c>
      <c r="E42" s="141">
        <v>11</v>
      </c>
      <c r="F42" s="141">
        <f>2000+16.2</f>
        <v>2016.2</v>
      </c>
      <c r="G42" s="141"/>
      <c r="H42" s="141" t="s">
        <v>88</v>
      </c>
      <c r="I42" s="130" t="s">
        <v>88</v>
      </c>
      <c r="J42" s="129">
        <f>75583.2+109.2+1500+8290.9+32275.2</f>
        <v>117758.49999999999</v>
      </c>
      <c r="K42" s="495">
        <f>9545.2+13502.2</f>
        <v>23047.4</v>
      </c>
      <c r="L42" s="140">
        <f t="shared" ref="L42" si="2">SUM(B42:K42)</f>
        <v>160230.9</v>
      </c>
      <c r="O42" s="498"/>
      <c r="P42" s="498"/>
    </row>
    <row r="43" spans="1:16" ht="12" customHeight="1">
      <c r="A43" s="87"/>
      <c r="B43" s="806"/>
      <c r="C43" s="806"/>
      <c r="D43" s="806"/>
      <c r="E43" s="806"/>
      <c r="F43" s="806"/>
      <c r="G43" s="806"/>
      <c r="H43" s="806"/>
      <c r="I43" s="806"/>
      <c r="J43" s="806"/>
      <c r="K43" s="806"/>
      <c r="L43" s="806"/>
    </row>
    <row r="44" spans="1:16" hidden="1">
      <c r="A44" s="87" t="s">
        <v>335</v>
      </c>
      <c r="B44" s="806"/>
      <c r="C44" s="806">
        <f>22.6+250.5+116.2+15+59.6</f>
        <v>463.90000000000003</v>
      </c>
      <c r="D44" s="806">
        <f>739+59.2</f>
        <v>798.2</v>
      </c>
      <c r="E44" s="806">
        <f>0+11+151+6</f>
        <v>168</v>
      </c>
      <c r="F44" s="806">
        <f>251.8+608.2+887.2</f>
        <v>1747.2</v>
      </c>
      <c r="G44" s="806">
        <v>201.3</v>
      </c>
      <c r="H44" s="806">
        <f>48.9+72.6</f>
        <v>121.5</v>
      </c>
      <c r="I44" s="806">
        <f>184.7+443.5+10.8+779+35.8+127.5+35.5</f>
        <v>1616.8</v>
      </c>
      <c r="J44" s="806">
        <f>2374.8+63.1+9868.5+154.4+4997.4+117.6+4396.4+446.3+1333.7+87-154.4+153.8-35.5</f>
        <v>23803.099999999995</v>
      </c>
      <c r="K44" s="806">
        <f>738.4+4972.6+557+1366.6+285.7-4972.6+4973.2</f>
        <v>7920.9</v>
      </c>
      <c r="L44" s="806">
        <f t="shared" ref="L44:L55" si="3">SUM(C44:K44)</f>
        <v>36840.899999999994</v>
      </c>
    </row>
    <row r="45" spans="1:16" hidden="1">
      <c r="A45" s="87" t="s">
        <v>40</v>
      </c>
      <c r="B45" s="806"/>
      <c r="C45" s="806">
        <f>22.6+250.5+116.2+15+59.6-250.5+44.1-116.2+120.4-15+38-59.6+51.8-22.6+34</f>
        <v>288.30000000000007</v>
      </c>
      <c r="D45" s="806">
        <f>739+59.2-739+669+100</f>
        <v>828.2</v>
      </c>
      <c r="E45" s="806">
        <f>0+11+151+6</f>
        <v>168</v>
      </c>
      <c r="F45" s="806">
        <f>251.8+608.2+887.2+143.6-887.2+608.2</f>
        <v>1611.8</v>
      </c>
      <c r="G45" s="806">
        <f>201.3-201.3+183.3</f>
        <v>183.3</v>
      </c>
      <c r="H45" s="806">
        <f>48.9+72.6-48.9+47.1-72.6+71.5</f>
        <v>118.6</v>
      </c>
      <c r="I45" s="806">
        <f>184.7+443.5+10.8+779+35.8+127.5-443.5+446.9-779+820.3-184.7+174.7+43.7</f>
        <v>1659.6999999999998</v>
      </c>
      <c r="J45" s="806">
        <f>2374.8+63.1+9868.5+154.4+4997.4+117.6+4396.4+446.3+1333.7+87-9868.5+9986-154.4+153-4997.4+4936.6-117.6+116-4396.4+4298.8-446.3+450-1333.7+1319.5-87+87.5-2374.8+2298.8-63.1+61-153+152.4-43.7</f>
        <v>23662.899999999994</v>
      </c>
      <c r="K45" s="806">
        <f>738.4+4972.6+557+1366.6+285.7-4972.6+4956.1-557+560.4-1366.6+1360.3-285.7+226.8-738.4+769.9-4956.1+4956.7</f>
        <v>7874.1</v>
      </c>
      <c r="L45" s="806">
        <f t="shared" si="3"/>
        <v>36394.899999999994</v>
      </c>
    </row>
    <row r="46" spans="1:16" hidden="1">
      <c r="A46" s="87" t="s">
        <v>41</v>
      </c>
      <c r="B46" s="806"/>
      <c r="C46" s="806">
        <f>22.6+250.5+116.2+15+59.6-250.5+44.1-116.2+120.4-15+38-59.6+51.8-22.6+34-51.8+14.4-44.1+56.5-38+177.1-120.4+79.4-34+14.1</f>
        <v>341.50000000000011</v>
      </c>
      <c r="D46" s="806">
        <f>739+59.2-739+669+100-669+709-100</f>
        <v>768.2</v>
      </c>
      <c r="E46" s="806">
        <f>0+11+151+6</f>
        <v>168</v>
      </c>
      <c r="F46" s="806">
        <f>251.8+608.2+887.2+143.6-887.2+608.2-143.6+150</f>
        <v>1618.2</v>
      </c>
      <c r="G46" s="806">
        <f>201.3-201.3+183.3</f>
        <v>183.3</v>
      </c>
      <c r="H46" s="806">
        <f>48.9+72.6-48.9+47.1-72.6+71.5-47.1+44.1-71.5+129.1</f>
        <v>173.2</v>
      </c>
      <c r="I46" s="806">
        <f>184.7+443.5+10.8+779+35.8+127.5-443.5+446.9-779+820.3-184.7+174.7+43.7-171.2+171.6-446.9+450-820.3+820.6-174.7+196.7</f>
        <v>1685.5</v>
      </c>
      <c r="J46" s="806">
        <v>24055.4</v>
      </c>
      <c r="K46" s="806">
        <f>738.4+4972.6+557+1366.6+285.7-4972.6+4956.1-557+560.4-1366.6+1360.3-285.7+226.8-738.4+769.9-4956.1+4956.7-226.8+219.1-4956.7+4148.2-1360.3+1461.6-560.4+644.8-769.9+782.3</f>
        <v>7256.0000000000018</v>
      </c>
      <c r="L46" s="806">
        <f t="shared" si="3"/>
        <v>36249.300000000003</v>
      </c>
    </row>
    <row r="47" spans="1:16" hidden="1">
      <c r="A47" s="87" t="s">
        <v>42</v>
      </c>
      <c r="B47" s="806"/>
      <c r="C47" s="806">
        <f>22.6+250.5+116.2+15+59.6-250.5+44.1-116.2+120.4-15+38-59.6+51.8-22.6+34-51.8+14.4-44.1+56.5-38+177.1-120.4+79.4-34+14.1-79.4+120-56.5+95-14.1+11.4-14.4+70.4-177.1+163.4-11.4</f>
        <v>448.80000000000007</v>
      </c>
      <c r="D47" s="806">
        <f>739+59.2-739+669+100-669+709-100-709+290</f>
        <v>349.20000000000005</v>
      </c>
      <c r="E47" s="806">
        <f>0+11+151+6-151</f>
        <v>17</v>
      </c>
      <c r="F47" s="806">
        <f>251.8+608.2+887.2+143.6-887.2+608.2-143.6+150-150+150-251.8</f>
        <v>1366.4</v>
      </c>
      <c r="G47" s="806">
        <f>201.3-201.3+183.3</f>
        <v>183.3</v>
      </c>
      <c r="H47" s="806">
        <f>48.9+72.6-48.9+47.1-72.6+71.5-47.1+44.1-71.5+129.1-44.1+44.4-129.1+125.4</f>
        <v>169.8</v>
      </c>
      <c r="I47" s="806">
        <f>184.7+443.5+10.8+779+35.8+127.5-443.5+446.9-779+820.3-184.7+174.7+43.7-171.2+171.6-446.9+450-820.3+820.6-174.7+196.7-450+452.9-196.7+202.7-171.6+190.2-820.6+914.7-202.7</f>
        <v>1604.4000000000003</v>
      </c>
      <c r="J47" s="806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47" s="806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47" s="806">
        <f t="shared" si="3"/>
        <v>33990.399999999994</v>
      </c>
    </row>
    <row r="48" spans="1:16" hidden="1">
      <c r="A48" s="87" t="s">
        <v>43</v>
      </c>
      <c r="B48" s="806"/>
      <c r="C48" s="806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48" s="806">
        <f>739+59.2-739+669+100-669+709-100-709+290</f>
        <v>349.20000000000005</v>
      </c>
      <c r="E48" s="806">
        <f>0+11+151+6-151</f>
        <v>17</v>
      </c>
      <c r="F48" s="806">
        <f>251.8+608.2+887.2+143.6-887.2+608.2-143.6+150-150+150-251.8</f>
        <v>1366.4</v>
      </c>
      <c r="G48" s="806">
        <f>201.3-201.3+183.3</f>
        <v>183.3</v>
      </c>
      <c r="H48" s="806">
        <f>48.9+72.6-48.9+47.1-72.6+71.5-47.1+44.1-71.5+129.1-44.1+44.4-129.1+125.4-44.4+44.7-125.4+122</f>
        <v>166.70000000000002</v>
      </c>
      <c r="I48" s="806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48" s="806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48" s="80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48" s="806">
        <f t="shared" si="3"/>
        <v>36024</v>
      </c>
    </row>
    <row r="49" spans="1:12" hidden="1">
      <c r="A49" s="87" t="s">
        <v>44</v>
      </c>
      <c r="B49" s="806"/>
      <c r="C49" s="806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49" s="806">
        <f>739+59.2-739+669+100-669+709-100-709+290-290+150</f>
        <v>209.20000000000005</v>
      </c>
      <c r="E49" s="806">
        <f>0+11+151+6-151</f>
        <v>17</v>
      </c>
      <c r="F49" s="806">
        <f>251.8+608.2+887.2+143.6-887.2+608.2-143.6+150-150+150-251.8-150+370</f>
        <v>1586.4</v>
      </c>
      <c r="G49" s="806">
        <f>201.3-201.3+183.3-183.3+164.4</f>
        <v>164.4</v>
      </c>
      <c r="H49" s="806">
        <f>48.9+72.6-48.9+47.1-72.6+71.5-47.1+44.1-71.5+129.1-44.1+44.4-129.1+125.4-44.4+44.7-125.4+122-122+142.8-44.7+43.9</f>
        <v>186.70000000000002</v>
      </c>
      <c r="I49" s="806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49" s="806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49" s="80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49" s="806">
        <f t="shared" si="3"/>
        <v>38021.399999999994</v>
      </c>
    </row>
    <row r="50" spans="1:12" hidden="1">
      <c r="A50" s="87" t="s">
        <v>45</v>
      </c>
      <c r="B50" s="806"/>
      <c r="C50" s="806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50" s="806">
        <f>739+59.2-739+669+100-669+709-100-709+290-290+150-150+300+200</f>
        <v>559.20000000000005</v>
      </c>
      <c r="E50" s="806">
        <f>0+11+151+6-151</f>
        <v>17</v>
      </c>
      <c r="F50" s="806">
        <f>251.8+608.2+887.2+143.6-887.2+608.2-143.6+150-150+150-251.8-150+370-370+410-608.2+1052.5-608.2+956.9</f>
        <v>2419.3999999999996</v>
      </c>
      <c r="G50" s="806">
        <f>201.3-201.3+183.3-183.3+164.4-164.4+144.4</f>
        <v>144.4</v>
      </c>
      <c r="H50" s="806">
        <f>48.9+72.6-48.9+47.1-72.6+71.5-47.1+44.1-71.5+129.1-44.1+44.4-129.1+125.4-44.4+44.7-125.4+122-122+142.8-44.7+43.9-142.8+295.4-43.9+44.5</f>
        <v>339.9</v>
      </c>
      <c r="I50" s="80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50" s="806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50" s="80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50" s="806">
        <f t="shared" si="3"/>
        <v>39955.899999999994</v>
      </c>
    </row>
    <row r="51" spans="1:12" hidden="1">
      <c r="A51" s="87" t="s">
        <v>46</v>
      </c>
      <c r="B51" s="806"/>
      <c r="C51" s="806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51" s="806">
        <f>739+59.2-739+669+100-669+709-100-709+290-290+150-150+300+200-300+200-200+300</f>
        <v>559.20000000000005</v>
      </c>
      <c r="E51" s="806">
        <f>0+11+151+6-151</f>
        <v>17</v>
      </c>
      <c r="F51" s="806">
        <f>251.8+608.2+887.2+143.6-887.2+608.2-143.6+150-150+150-251.8-150+370-370+410-608.2+1052.5-608.2+956.9-410+460</f>
        <v>2469.3999999999996</v>
      </c>
      <c r="G51" s="806">
        <f>201.3-201.3+183.3-183.3+164.4-164.4+144.4+45.8</f>
        <v>190.2</v>
      </c>
      <c r="H51" s="806">
        <f>48.9+72.6-48.9+47.1-72.6+71.5-47.1+44.1-71.5+129.1-44.1+44.4-129.1+125.4-44.4+44.7-125.4+122-122+142.8-44.7+43.9-142.8+295.4-43.9+44.5-295.4+114.5+80.1-44.5+42.4</f>
        <v>237</v>
      </c>
      <c r="I51" s="80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51" s="806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51" s="80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51" s="806">
        <f t="shared" si="3"/>
        <v>41895.399999999987</v>
      </c>
    </row>
    <row r="52" spans="1:12" hidden="1">
      <c r="A52" s="87" t="s">
        <v>47</v>
      </c>
      <c r="B52" s="806"/>
      <c r="C52" s="806">
        <f>30.7+56.5+15+211</f>
        <v>313.2</v>
      </c>
      <c r="D52" s="806">
        <f>200+59.2+200</f>
        <v>459.2</v>
      </c>
      <c r="E52" s="806">
        <f>6+11</f>
        <v>17</v>
      </c>
      <c r="F52" s="806">
        <f>520+1052.5+956.9</f>
        <v>2529.4</v>
      </c>
      <c r="G52" s="806">
        <f>45.8+144.4</f>
        <v>190.2</v>
      </c>
      <c r="H52" s="806">
        <f>104.4+133.2+42</f>
        <v>279.60000000000002</v>
      </c>
      <c r="I52" s="806">
        <f>262.6+75.9+844.2+35.8+546.3+10.8</f>
        <v>1775.6</v>
      </c>
      <c r="J52" s="806">
        <f>3327.4+78.9+4816.9+148+6292.8+521.8+13521.7+144.6</f>
        <v>28852.1</v>
      </c>
      <c r="K52" s="806">
        <f>258.9+828.8+1303.3+7702</f>
        <v>10093</v>
      </c>
      <c r="L52" s="806">
        <f t="shared" si="3"/>
        <v>44509.299999999996</v>
      </c>
    </row>
    <row r="53" spans="1:12" hidden="1">
      <c r="A53" s="87" t="s">
        <v>48</v>
      </c>
      <c r="B53" s="806"/>
      <c r="C53" s="806">
        <f>274.4+84.4+65.3+86.7</f>
        <v>510.79999999999995</v>
      </c>
      <c r="D53" s="806">
        <f>350+59.2+150</f>
        <v>559.20000000000005</v>
      </c>
      <c r="E53" s="806">
        <f>6+11</f>
        <v>17</v>
      </c>
      <c r="F53" s="806">
        <f>570+1052.5+1267.2</f>
        <v>2889.7</v>
      </c>
      <c r="G53" s="806">
        <f>40+153.4</f>
        <v>193.4</v>
      </c>
      <c r="H53" s="806">
        <f>104+131.9+41.9</f>
        <v>277.8</v>
      </c>
      <c r="I53" s="806">
        <f>262.6+73.8+909.4+35.8+530.2+10.8</f>
        <v>1822.6</v>
      </c>
      <c r="J53" s="806">
        <f>3255.2+79.6+4781.4+166.3+6077.7+518.7+13191.4+143.7</f>
        <v>28213.999999999996</v>
      </c>
      <c r="K53" s="806">
        <f>305.6+838.9+1422.3+7648.5</f>
        <v>10215.299999999999</v>
      </c>
      <c r="L53" s="806">
        <f t="shared" si="3"/>
        <v>44699.8</v>
      </c>
    </row>
    <row r="54" spans="1:12" hidden="1">
      <c r="A54" s="87" t="s">
        <v>49</v>
      </c>
      <c r="B54" s="806"/>
      <c r="C54" s="806">
        <f>18.8+403.7+96+169.9</f>
        <v>688.4</v>
      </c>
      <c r="D54" s="806">
        <f>320+59.2</f>
        <v>379.2</v>
      </c>
      <c r="E54" s="806">
        <f>6+11</f>
        <v>17</v>
      </c>
      <c r="F54" s="806">
        <f>241+1052.5+1267.2</f>
        <v>2560.6999999999998</v>
      </c>
      <c r="G54" s="806">
        <f>40+123.4</f>
        <v>163.4</v>
      </c>
      <c r="H54" s="806">
        <f>103.6+128.1+40.9</f>
        <v>272.59999999999997</v>
      </c>
      <c r="I54" s="806">
        <f>262.6+69.8+905.9+35.8+539.8+10.8</f>
        <v>1824.6999999999998</v>
      </c>
      <c r="J54" s="806">
        <f>3103.9+78.3+5043.9+175.8+6127.1+518.9+12859.6+140.2</f>
        <v>28047.7</v>
      </c>
      <c r="K54" s="806">
        <f>290.4+1043.6+1415.9+7645.6</f>
        <v>10395.5</v>
      </c>
      <c r="L54" s="806">
        <f t="shared" si="3"/>
        <v>44349.2</v>
      </c>
    </row>
    <row r="55" spans="1:12" hidden="1">
      <c r="A55" s="87" t="s">
        <v>50</v>
      </c>
      <c r="B55" s="806"/>
      <c r="C55" s="806">
        <f>30.5+86.5+76+130.8</f>
        <v>323.8</v>
      </c>
      <c r="D55" s="806">
        <f>320+59.2</f>
        <v>379.2</v>
      </c>
      <c r="E55" s="806">
        <f>6+11</f>
        <v>17</v>
      </c>
      <c r="F55" s="806">
        <f>154.3+1052.5+1044.5</f>
        <v>2251.3000000000002</v>
      </c>
      <c r="G55" s="806">
        <f>37+101.2</f>
        <v>138.19999999999999</v>
      </c>
      <c r="H55" s="806">
        <f>103.3+124.3+40</f>
        <v>267.60000000000002</v>
      </c>
      <c r="I55" s="806">
        <f>262.6+69.3+881.4+35.8+355.2+10.8</f>
        <v>1615.1</v>
      </c>
      <c r="J55" s="806">
        <f>2977.4+76.3+5130.1+189.2+6084.1+516.8+12827.6+133.7</f>
        <v>27935.200000000001</v>
      </c>
      <c r="K55" s="806">
        <f>377.2+1183.2+1406+7927.5</f>
        <v>10893.9</v>
      </c>
      <c r="L55" s="806">
        <f t="shared" si="3"/>
        <v>43821.3</v>
      </c>
    </row>
    <row r="56" spans="1:12" ht="12" hidden="1" customHeight="1">
      <c r="A56" s="70"/>
      <c r="B56" s="807"/>
      <c r="C56" s="807"/>
      <c r="D56" s="807"/>
      <c r="E56" s="807"/>
      <c r="F56" s="807"/>
      <c r="G56" s="807"/>
      <c r="H56" s="807"/>
      <c r="I56" s="807"/>
      <c r="J56" s="807"/>
      <c r="K56" s="807"/>
      <c r="L56" s="807"/>
    </row>
    <row r="57" spans="1:12" ht="12" hidden="1" customHeight="1">
      <c r="A57" s="87" t="s">
        <v>334</v>
      </c>
      <c r="B57" s="806"/>
      <c r="C57" s="806">
        <f>28.6+18.1+32.5+6.8+60.6</f>
        <v>146.6</v>
      </c>
      <c r="D57" s="806">
        <f>59.2+200</f>
        <v>259.2</v>
      </c>
      <c r="E57" s="806">
        <f>6+11</f>
        <v>17</v>
      </c>
      <c r="F57" s="806">
        <f>608.2+647.1+89.2+122.7</f>
        <v>1467.2000000000003</v>
      </c>
      <c r="G57" s="806">
        <f>101.2+97.6+34</f>
        <v>232.8</v>
      </c>
      <c r="H57" s="806">
        <f>122.5+39.5+98.1</f>
        <v>260.10000000000002</v>
      </c>
      <c r="I57" s="806">
        <f>881.4+35.8+135.1+518.5+10.8+67.6</f>
        <v>1649.1999999999998</v>
      </c>
      <c r="J57" s="806">
        <f>5910.2+511.3+2792.4+74.8+12221.4+147+410.7+44.3+5229.2+209.4</f>
        <v>27550.7</v>
      </c>
      <c r="K57" s="806">
        <f>1568.6+261.3+7926.9+71.1+1170.2</f>
        <v>10998.1</v>
      </c>
      <c r="L57" s="806">
        <f t="shared" ref="L57:L62" si="4">SUM(C57:K57)</f>
        <v>42580.9</v>
      </c>
    </row>
    <row r="58" spans="1:12" hidden="1">
      <c r="A58" s="87" t="s">
        <v>40</v>
      </c>
      <c r="B58" s="806"/>
      <c r="C58" s="806">
        <f>19.6+49.7+18.1+5.3+102.8</f>
        <v>195.5</v>
      </c>
      <c r="D58" s="806">
        <f>59.2+400</f>
        <v>459.2</v>
      </c>
      <c r="E58" s="806">
        <f>6+11</f>
        <v>17</v>
      </c>
      <c r="F58" s="806">
        <f>608.2+647.1+88.5+98.3</f>
        <v>1442.1000000000001</v>
      </c>
      <c r="G58" s="806">
        <f>101.2+108.4+30.8</f>
        <v>240.40000000000003</v>
      </c>
      <c r="H58" s="806">
        <f>119.9+39.4+96</f>
        <v>255.3</v>
      </c>
      <c r="I58" s="806">
        <f>881.4+35.8+135.1+521.8+10.8+67.6</f>
        <v>1652.4999999999998</v>
      </c>
      <c r="J58" s="806">
        <f>5675.2+549.2+2585.3+72.4+11964.6+152.1+392.4+44.3+5214.6+214.4</f>
        <v>26864.5</v>
      </c>
      <c r="K58" s="806">
        <f>1682.6+285.1+7988.5+72.3+1190.6</f>
        <v>11219.1</v>
      </c>
      <c r="L58" s="806">
        <f t="shared" si="4"/>
        <v>42345.599999999999</v>
      </c>
    </row>
    <row r="59" spans="1:12" hidden="1">
      <c r="A59" s="87" t="s">
        <v>41</v>
      </c>
      <c r="B59" s="806"/>
      <c r="C59" s="806">
        <f>50.9+40.8+58.5+3.3+77.2</f>
        <v>230.7</v>
      </c>
      <c r="D59" s="806">
        <f>59.2+200+150</f>
        <v>409.2</v>
      </c>
      <c r="E59" s="806">
        <f>6+11</f>
        <v>17</v>
      </c>
      <c r="F59" s="806">
        <f>608.2+647.1+98.5+248.3</f>
        <v>1602.1000000000001</v>
      </c>
      <c r="G59" s="806">
        <f>101.2+98.2+27.7</f>
        <v>227.1</v>
      </c>
      <c r="H59" s="806">
        <f>118.6+39.3+95.6</f>
        <v>253.49999999999997</v>
      </c>
      <c r="I59" s="806">
        <f>881.4+35.8+135.1+524.7+10.8+66.6</f>
        <v>1654.3999999999999</v>
      </c>
      <c r="J59" s="806">
        <f>5423.4+550.3+2422.8+66.8+11644.4+148.6+390.2+43.3+5167+235.8</f>
        <v>26092.599999999995</v>
      </c>
      <c r="K59" s="806">
        <f>1744.6+273.2+8528.9+81.7+1185.1</f>
        <v>11813.5</v>
      </c>
      <c r="L59" s="806">
        <f t="shared" si="4"/>
        <v>42300.099999999991</v>
      </c>
    </row>
    <row r="60" spans="1:12" ht="12" hidden="1" customHeight="1">
      <c r="A60" s="87" t="s">
        <v>42</v>
      </c>
      <c r="B60" s="806"/>
      <c r="C60" s="806">
        <f>11.8+36.1+27.4+14.9+120</f>
        <v>210.20000000000002</v>
      </c>
      <c r="D60" s="806">
        <f>59.2+370+50</f>
        <v>479.2</v>
      </c>
      <c r="E60" s="806">
        <f>6+11</f>
        <v>17</v>
      </c>
      <c r="F60" s="806">
        <f>186.6+225.4+93.5+278.3</f>
        <v>783.8</v>
      </c>
      <c r="G60" s="806">
        <f>77.9+101.9+27.7</f>
        <v>207.5</v>
      </c>
      <c r="H60" s="806">
        <f>189.3+37.8+86.1</f>
        <v>313.20000000000005</v>
      </c>
      <c r="I60" s="806">
        <f>878.5+35.8+135.1+527.4+10.8+74.4</f>
        <v>1661.9999999999998</v>
      </c>
      <c r="J60" s="806">
        <f>5228.6+577.6+2212.8+24+11307.1+144.7+371.6+43+5090.6+245.4</f>
        <v>25245.4</v>
      </c>
      <c r="K60" s="806">
        <f>1616.6+271.3+8515.3+86.4+1153.3</f>
        <v>11642.899999999998</v>
      </c>
      <c r="L60" s="806">
        <f t="shared" si="4"/>
        <v>40561.199999999997</v>
      </c>
    </row>
    <row r="61" spans="1:12" ht="12" hidden="1" customHeight="1">
      <c r="A61" s="87" t="s">
        <v>43</v>
      </c>
      <c r="B61" s="806"/>
      <c r="C61" s="806">
        <f>16.8+51.6+11.1+76.1</f>
        <v>155.6</v>
      </c>
      <c r="D61" s="806">
        <f>400+50</f>
        <v>450</v>
      </c>
      <c r="E61" s="806">
        <f>11</f>
        <v>11</v>
      </c>
      <c r="F61" s="806">
        <f>225.4+89+458.3</f>
        <v>772.7</v>
      </c>
      <c r="G61" s="806">
        <f>147.8+18.1</f>
        <v>165.9</v>
      </c>
      <c r="H61" s="806">
        <f>37.7+159.3</f>
        <v>197</v>
      </c>
      <c r="I61" s="806">
        <f>135.1+560.9+10.8+73.6</f>
        <v>780.4</v>
      </c>
      <c r="J61" s="806">
        <f>2143.1+23.2+11217.9+144.7+334.4+42.2+5020.9+242.2</f>
        <v>19168.600000000002</v>
      </c>
      <c r="K61" s="806">
        <f>281.9+8400.9+80.3+1141.4</f>
        <v>9904.4999999999982</v>
      </c>
      <c r="L61" s="806">
        <f t="shared" si="4"/>
        <v>31605.700000000004</v>
      </c>
    </row>
    <row r="62" spans="1:12" ht="12" hidden="1" customHeight="1">
      <c r="A62" s="87" t="s">
        <v>44</v>
      </c>
      <c r="B62" s="806"/>
      <c r="C62" s="806">
        <f>21.6+60.9+94.2+64.1</f>
        <v>240.79999999999998</v>
      </c>
      <c r="D62" s="806">
        <f>50</f>
        <v>50</v>
      </c>
      <c r="E62" s="806">
        <f>11</f>
        <v>11</v>
      </c>
      <c r="F62" s="806">
        <f>225.4+0.2+518.3</f>
        <v>743.9</v>
      </c>
      <c r="G62" s="806">
        <f>115+14.7</f>
        <v>129.69999999999999</v>
      </c>
      <c r="H62" s="806">
        <f>37.8+158.9</f>
        <v>196.7</v>
      </c>
      <c r="I62" s="806">
        <f>135.1+470.6+10.8+71.9</f>
        <v>688.4</v>
      </c>
      <c r="J62" s="806">
        <f>2035.9+11.9+11215.6+125.2+369.6+41.5+5109.8+160.9</f>
        <v>19070.400000000005</v>
      </c>
      <c r="K62" s="806">
        <f>263.3+9270.6+80.6+1158.1</f>
        <v>10772.6</v>
      </c>
      <c r="L62" s="806">
        <f t="shared" si="4"/>
        <v>31903.500000000007</v>
      </c>
    </row>
    <row r="63" spans="1:12" ht="12" hidden="1" customHeight="1">
      <c r="A63" s="87" t="s">
        <v>45</v>
      </c>
      <c r="B63" s="806"/>
      <c r="C63" s="806">
        <f>21.6+60.9+94.2+64.1-21.6+23.7-94.2+94.3-60.9+63.5-64.1+77.8</f>
        <v>259.3</v>
      </c>
      <c r="D63" s="806">
        <f>50</f>
        <v>50</v>
      </c>
      <c r="E63" s="806">
        <f>11</f>
        <v>11</v>
      </c>
      <c r="F63" s="806">
        <f>225.4+0.2+518.3-518.3+518.1</f>
        <v>743.7</v>
      </c>
      <c r="G63" s="806">
        <f>115+14.7-115+110.3</f>
        <v>124.99999999999999</v>
      </c>
      <c r="H63" s="806">
        <f>37.8+158.9-37.8+35.6-158.9+64</f>
        <v>99.599999999999966</v>
      </c>
      <c r="I63" s="806">
        <f>135.1+470.6+10.8+71.9-470.6+543.1-71.9+72</f>
        <v>761</v>
      </c>
      <c r="J63" s="806">
        <f>2035.9+11.9+11215.6+125.2+369.6+41.5+5109.8+160.9-2035.9+1983-11.9+11.3-369.6+373.8-41.5+40.5-11215.6+11197-136+136.1-5109.8+5192.6-160.9+167.2</f>
        <v>19090.7</v>
      </c>
      <c r="K63" s="806">
        <f>263.3+9270.6+80.6+1158.1-263.3+257.9-80.6+104.1-9270.6+8964.5-1158.1+1144.1</f>
        <v>10470.6</v>
      </c>
      <c r="L63" s="806">
        <f t="shared" ref="L63:L68" si="5">SUM(C63:K63)</f>
        <v>31610.9</v>
      </c>
    </row>
    <row r="64" spans="1:12" ht="12" hidden="1" customHeight="1">
      <c r="A64" s="87" t="s">
        <v>46</v>
      </c>
      <c r="B64" s="806"/>
      <c r="C64" s="806">
        <v>351.5</v>
      </c>
      <c r="D64" s="806">
        <v>90</v>
      </c>
      <c r="E64" s="806">
        <v>11</v>
      </c>
      <c r="F64" s="806">
        <v>741.9</v>
      </c>
      <c r="G64" s="806">
        <v>125</v>
      </c>
      <c r="H64" s="806">
        <v>114.7</v>
      </c>
      <c r="I64" s="806">
        <v>828.8</v>
      </c>
      <c r="J64" s="806">
        <v>19184.599999999999</v>
      </c>
      <c r="K64" s="806">
        <v>10447.1</v>
      </c>
      <c r="L64" s="806">
        <f t="shared" si="5"/>
        <v>31894.6</v>
      </c>
    </row>
    <row r="65" spans="1:12" ht="12" hidden="1" customHeight="1">
      <c r="A65" s="87" t="s">
        <v>47</v>
      </c>
      <c r="B65" s="806"/>
      <c r="C65" s="806">
        <f>351.5-151.2+157-17.4+21.1-54.2+63.5-128.7+81.8</f>
        <v>323.40000000000009</v>
      </c>
      <c r="D65" s="806">
        <v>90</v>
      </c>
      <c r="E65" s="806">
        <v>11</v>
      </c>
      <c r="F65" s="806">
        <f>741.9-1.5+50.2</f>
        <v>790.6</v>
      </c>
      <c r="G65" s="806">
        <f>125-110.3+113.5-14.7+7.8</f>
        <v>121.29999999999998</v>
      </c>
      <c r="H65" s="806">
        <f>114.7-35.7+55.4-79+355.8</f>
        <v>411.20000000000005</v>
      </c>
      <c r="I65" s="806">
        <f>828.8-611.3+590.4-71.6+86.4</f>
        <v>822.69999999999993</v>
      </c>
      <c r="J65" s="806">
        <f>19184.6-370.4+372-39.9+37.3-1962.3+1961.3-11.2+10.5-11293.4+11246.2-134.9+132.8-5213.4+5139.2-169.9+182.1</f>
        <v>19070.599999999991</v>
      </c>
      <c r="K65" s="806">
        <f>10447.1-99.9+100.5-255.2+251.3-8955+9241.1-1137+1137.3</f>
        <v>10730.199999999999</v>
      </c>
      <c r="L65" s="806">
        <f t="shared" si="5"/>
        <v>32370.999999999993</v>
      </c>
    </row>
    <row r="66" spans="1:12" ht="12" hidden="1" customHeight="1">
      <c r="A66" s="87" t="s">
        <v>48</v>
      </c>
      <c r="B66" s="806"/>
      <c r="C66" s="806">
        <f>351.5-151.2+157-17.4+21.1-54.2+63.5-128.7+81.8-157+159.4-21.1+23.7-63.5+32.7-81.8+503.5</f>
        <v>719.3</v>
      </c>
      <c r="D66" s="806" t="s">
        <v>88</v>
      </c>
      <c r="E66" s="806">
        <v>11</v>
      </c>
      <c r="F66" s="806">
        <f>741.9-1.5+50.2-50.2+49.4-515+415</f>
        <v>689.8</v>
      </c>
      <c r="G66" s="806">
        <f>125-110.3+113.5-14.7+7.8-113.5+115.6-7.8+0.7</f>
        <v>116.29999999999998</v>
      </c>
      <c r="H66" s="806">
        <f>114.7-35.7+55.4-79+355.8-55.4+32.2-355.8+72.7</f>
        <v>104.90000000000005</v>
      </c>
      <c r="I66" s="806">
        <f>828.8-611.3+590.4-71.6+86.4-590.4+596-86.4+70.8</f>
        <v>812.69999999999993</v>
      </c>
      <c r="J66" s="806">
        <f>19184.6-370.4+372-39.9+37.3-1962.3+1961.3-11.2+10.5-11293.4+11246.2-134.9+132.8-5213.4+5139.2-169.9+182.1-372+365.3-37.3+42-1961.3+1950-10.5+10-11246.2+11719.9-132.8+130.5-5139.2+5109.3-182.1+188.9</f>
        <v>19505.099999999995</v>
      </c>
      <c r="K66" s="806">
        <f>10447.1-99.9+100.5-255.2+251.3-8955+9241.1-1137+1137.3-100.5+102-251.3+232.6-9241.1+9151.7-1137.3+1128.7</f>
        <v>10615.000000000002</v>
      </c>
      <c r="L66" s="806">
        <f t="shared" si="5"/>
        <v>32574.1</v>
      </c>
    </row>
    <row r="67" spans="1:12" ht="12" hidden="1" customHeight="1">
      <c r="A67" s="87" t="s">
        <v>49</v>
      </c>
      <c r="B67" s="806"/>
      <c r="C67" s="806">
        <f>351.5-151.2+157-17.4+21.1-54.2+63.5-128.7+81.8-157+159.4-21.1+23.7-63.5+32.7-81.8+503.5-159.4+153.2-23.7+46.7-503.5+102.1-32.7+29.1</f>
        <v>331.09999999999997</v>
      </c>
      <c r="D67" s="806">
        <f>0+240+300</f>
        <v>540</v>
      </c>
      <c r="E67" s="806">
        <v>11</v>
      </c>
      <c r="F67" s="806">
        <f>741.9-1.5+50.2-50.2+49.4-515+415-49.4+57.3-415+1225</f>
        <v>1507.6999999999998</v>
      </c>
      <c r="G67" s="806">
        <f>125-110.3+113.5-14.7+7.8-113.5+115.6-7.8+0.7-115.6+119.5</f>
        <v>120.19999999999999</v>
      </c>
      <c r="H67" s="806">
        <f>114.7-35.7+55.4-79+355.8-55.4+32.2-355.8+72.7-32.2+55.3</f>
        <v>128.00000000000006</v>
      </c>
      <c r="I67" s="806">
        <f>828.8-611.3+590.4-71.6+86.4-590.4+596-86.4+70.8-70.8+84.8-596+601.2</f>
        <v>831.9</v>
      </c>
      <c r="J67" s="806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67" s="806">
        <f>10447.1-99.9+100.5-255.2+251.3-8955+9241.1-1137+1137.3-100.5+102-251.3+232.6-9241.1+9151.7-1137.3+1128.7-102+102.7-232.6+240.1-1128.7+1119.6-9151.7+9161.5</f>
        <v>10623.900000000001</v>
      </c>
      <c r="L67" s="806">
        <f t="shared" si="5"/>
        <v>33041.1</v>
      </c>
    </row>
    <row r="68" spans="1:12" ht="12" hidden="1" customHeight="1">
      <c r="A68" s="87" t="s">
        <v>50</v>
      </c>
      <c r="B68" s="806"/>
      <c r="C68" s="806">
        <f>351.5-151.2+157-17.4+21.1-54.2+63.5-128.7+81.8-157+159.4-21.1+23.7-63.5+32.7-81.8+503.5-159.4+153.2-23.7+46.7-503.5+102.1-32.7+29.1-153.2+200.4-46.7+57.8-29.1+194.2-102.1+534.2</f>
        <v>986.6</v>
      </c>
      <c r="D68" s="806" t="s">
        <v>88</v>
      </c>
      <c r="E68" s="806">
        <v>11</v>
      </c>
      <c r="F68" s="806">
        <f>741.9-1.5+50.2-50.2+49.4-515+415-49.4+57.3-415+1225-57.3-225.4+186.6-1225+825</f>
        <v>1011.5999999999997</v>
      </c>
      <c r="G68" s="806">
        <f>125-110.3+113.5-14.7+7.8-113.5+115.6-7.8+0.7-115.6+119.5-119.5+115.1</f>
        <v>115.79999999999998</v>
      </c>
      <c r="H68" s="806">
        <f>114.7-35.7+55.4-79+355.8-55.4+32.2-355.8+72.7-32.2+55.3-55.3+55.8-72.7+72.2</f>
        <v>128.00000000000006</v>
      </c>
      <c r="I68" s="806">
        <f>828.8-611.3+590.4-71.6+86.4-590.4+596-86.4+70.8-70.8+84.8-596+601.2-601.2+606-84.8+86.2</f>
        <v>838.1</v>
      </c>
      <c r="J68" s="806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68" s="806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68" s="806">
        <f t="shared" si="5"/>
        <v>33938.699999999997</v>
      </c>
    </row>
    <row r="69" spans="1:12" ht="12" hidden="1" customHeight="1">
      <c r="A69" s="87"/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</row>
    <row r="70" spans="1:12" ht="12" hidden="1" customHeight="1">
      <c r="A70" s="87" t="s">
        <v>333</v>
      </c>
      <c r="B70" s="806"/>
      <c r="C70" s="806">
        <v>733</v>
      </c>
      <c r="D70" s="806">
        <v>350</v>
      </c>
      <c r="E70" s="806">
        <v>11</v>
      </c>
      <c r="F70" s="806">
        <v>1246.4000000000001</v>
      </c>
      <c r="G70" s="806">
        <v>115.4</v>
      </c>
      <c r="H70" s="806">
        <v>106.6</v>
      </c>
      <c r="I70" s="806">
        <v>669</v>
      </c>
      <c r="J70" s="806">
        <v>19256.8</v>
      </c>
      <c r="K70" s="806">
        <v>11219.3</v>
      </c>
      <c r="L70" s="806">
        <f t="shared" ref="L70:L75" si="6">SUM(C70:K70)</f>
        <v>33707.5</v>
      </c>
    </row>
    <row r="71" spans="1:12" ht="12" hidden="1" customHeight="1">
      <c r="A71" s="87" t="s">
        <v>40</v>
      </c>
      <c r="B71" s="806"/>
      <c r="C71" s="806">
        <v>509</v>
      </c>
      <c r="D71" s="806">
        <v>150</v>
      </c>
      <c r="E71" s="806">
        <v>11</v>
      </c>
      <c r="F71" s="806">
        <v>1396.9</v>
      </c>
      <c r="G71" s="806">
        <v>224.6</v>
      </c>
      <c r="H71" s="806">
        <v>112.5</v>
      </c>
      <c r="I71" s="806">
        <v>645.79999999999995</v>
      </c>
      <c r="J71" s="806">
        <v>18907.099999999999</v>
      </c>
      <c r="K71" s="806">
        <v>11259.7</v>
      </c>
      <c r="L71" s="806">
        <f t="shared" si="6"/>
        <v>33216.6</v>
      </c>
    </row>
    <row r="72" spans="1:12" ht="12" hidden="1" customHeight="1">
      <c r="A72" s="87" t="s">
        <v>41</v>
      </c>
      <c r="B72" s="806"/>
      <c r="C72" s="806">
        <v>858.2</v>
      </c>
      <c r="D72" s="806">
        <v>170</v>
      </c>
      <c r="E72" s="806">
        <v>11</v>
      </c>
      <c r="F72" s="806">
        <v>1544.6</v>
      </c>
      <c r="G72" s="806">
        <v>221.3</v>
      </c>
      <c r="H72" s="806">
        <v>108.2</v>
      </c>
      <c r="I72" s="806">
        <v>647.20000000000005</v>
      </c>
      <c r="J72" s="806">
        <v>18595.8</v>
      </c>
      <c r="K72" s="806">
        <v>10984.3</v>
      </c>
      <c r="L72" s="806">
        <f t="shared" si="6"/>
        <v>33140.6</v>
      </c>
    </row>
    <row r="73" spans="1:12" ht="12" hidden="1" customHeight="1">
      <c r="A73" s="87" t="s">
        <v>42</v>
      </c>
      <c r="B73" s="806"/>
      <c r="C73" s="806">
        <v>499.3</v>
      </c>
      <c r="D73" s="806">
        <v>221.2</v>
      </c>
      <c r="E73" s="806">
        <v>11</v>
      </c>
      <c r="F73" s="806">
        <v>1235.5999999999999</v>
      </c>
      <c r="G73" s="806">
        <v>216.1</v>
      </c>
      <c r="H73" s="806">
        <v>105.3</v>
      </c>
      <c r="I73" s="806">
        <v>704.6</v>
      </c>
      <c r="J73" s="806">
        <v>19599.8</v>
      </c>
      <c r="K73" s="806">
        <v>10965.5</v>
      </c>
      <c r="L73" s="806">
        <f t="shared" si="6"/>
        <v>33558.399999999994</v>
      </c>
    </row>
    <row r="74" spans="1:12" ht="12" hidden="1" customHeight="1">
      <c r="A74" s="87" t="s">
        <v>43</v>
      </c>
      <c r="B74" s="806"/>
      <c r="C74" s="806">
        <v>352.8</v>
      </c>
      <c r="D74" s="806">
        <v>201.2</v>
      </c>
      <c r="E74" s="806">
        <v>11</v>
      </c>
      <c r="F74" s="806">
        <v>1235.5999999999999</v>
      </c>
      <c r="G74" s="806">
        <v>216.1</v>
      </c>
      <c r="H74" s="806">
        <v>104.6</v>
      </c>
      <c r="I74" s="806">
        <v>692.8</v>
      </c>
      <c r="J74" s="806">
        <v>20936.400000000001</v>
      </c>
      <c r="K74" s="806">
        <v>10991.9</v>
      </c>
      <c r="L74" s="806">
        <f t="shared" si="6"/>
        <v>34742.400000000001</v>
      </c>
    </row>
    <row r="75" spans="1:12" ht="12" hidden="1" customHeight="1">
      <c r="A75" s="87" t="s">
        <v>44</v>
      </c>
      <c r="B75" s="806"/>
      <c r="C75" s="806">
        <v>300.10000000000002</v>
      </c>
      <c r="D75" s="806">
        <v>101.2</v>
      </c>
      <c r="E75" s="806">
        <v>11</v>
      </c>
      <c r="F75" s="806">
        <v>965.6</v>
      </c>
      <c r="G75" s="806">
        <v>212</v>
      </c>
      <c r="H75" s="806">
        <v>103.6</v>
      </c>
      <c r="I75" s="806">
        <v>725.7</v>
      </c>
      <c r="J75" s="806">
        <v>20704.3</v>
      </c>
      <c r="K75" s="806">
        <v>10718.9</v>
      </c>
      <c r="L75" s="806">
        <f t="shared" si="6"/>
        <v>33842.400000000001</v>
      </c>
    </row>
    <row r="76" spans="1:12" ht="12" hidden="1" customHeight="1">
      <c r="A76" s="87" t="s">
        <v>45</v>
      </c>
      <c r="B76" s="806"/>
      <c r="C76" s="806">
        <v>326.89999999999998</v>
      </c>
      <c r="D76" s="806">
        <v>181.2</v>
      </c>
      <c r="E76" s="806">
        <v>11</v>
      </c>
      <c r="F76" s="806">
        <v>1005.6</v>
      </c>
      <c r="G76" s="806">
        <v>215.6</v>
      </c>
      <c r="H76" s="806">
        <v>128.1</v>
      </c>
      <c r="I76" s="806">
        <v>975</v>
      </c>
      <c r="J76" s="806">
        <v>22590.6</v>
      </c>
      <c r="K76" s="806">
        <v>10851.6</v>
      </c>
      <c r="L76" s="806">
        <f t="shared" ref="L76:L81" si="7">SUM(C76:K76)</f>
        <v>36285.599999999999</v>
      </c>
    </row>
    <row r="77" spans="1:12" ht="12" hidden="1" customHeight="1">
      <c r="A77" s="87" t="s">
        <v>46</v>
      </c>
      <c r="B77" s="806"/>
      <c r="C77" s="806">
        <v>297.2</v>
      </c>
      <c r="D77" s="806">
        <v>91.2</v>
      </c>
      <c r="E77" s="806">
        <v>11</v>
      </c>
      <c r="F77" s="806">
        <v>1146.9000000000001</v>
      </c>
      <c r="G77" s="806">
        <v>211.6</v>
      </c>
      <c r="H77" s="806">
        <v>160.4</v>
      </c>
      <c r="I77" s="806">
        <v>828.6</v>
      </c>
      <c r="J77" s="806">
        <v>21360.2</v>
      </c>
      <c r="K77" s="806">
        <v>10745.6</v>
      </c>
      <c r="L77" s="806">
        <f t="shared" si="7"/>
        <v>34852.700000000004</v>
      </c>
    </row>
    <row r="78" spans="1:12" ht="12" hidden="1" customHeight="1">
      <c r="A78" s="87" t="s">
        <v>47</v>
      </c>
      <c r="B78" s="806"/>
      <c r="C78" s="806">
        <v>342.8</v>
      </c>
      <c r="D78" s="806">
        <v>81.2</v>
      </c>
      <c r="E78" s="806">
        <v>11</v>
      </c>
      <c r="F78" s="806">
        <v>1147</v>
      </c>
      <c r="G78" s="806">
        <v>207</v>
      </c>
      <c r="H78" s="806">
        <v>184.5</v>
      </c>
      <c r="I78" s="806">
        <v>812</v>
      </c>
      <c r="J78" s="806">
        <v>20645.7</v>
      </c>
      <c r="K78" s="806">
        <v>10881</v>
      </c>
      <c r="L78" s="806">
        <f t="shared" si="7"/>
        <v>34312.199999999997</v>
      </c>
    </row>
    <row r="79" spans="1:12" ht="12" hidden="1" customHeight="1">
      <c r="A79" s="87" t="s">
        <v>48</v>
      </c>
      <c r="B79" s="806"/>
      <c r="C79" s="806">
        <v>110.2</v>
      </c>
      <c r="D79" s="806" t="s">
        <v>88</v>
      </c>
      <c r="E79" s="806">
        <v>11</v>
      </c>
      <c r="F79" s="806">
        <v>1146.9000000000001</v>
      </c>
      <c r="G79" s="806">
        <v>90.2</v>
      </c>
      <c r="H79" s="806">
        <v>149.19999999999999</v>
      </c>
      <c r="I79" s="806">
        <v>819.7</v>
      </c>
      <c r="J79" s="806">
        <v>20108.7</v>
      </c>
      <c r="K79" s="806">
        <v>10716.8</v>
      </c>
      <c r="L79" s="806">
        <f t="shared" si="7"/>
        <v>33152.699999999997</v>
      </c>
    </row>
    <row r="80" spans="1:12" ht="12" hidden="1" customHeight="1">
      <c r="A80" s="87" t="s">
        <v>49</v>
      </c>
      <c r="B80" s="806"/>
      <c r="C80" s="806">
        <v>217.3</v>
      </c>
      <c r="D80" s="806" t="s">
        <v>88</v>
      </c>
      <c r="E80" s="806">
        <v>11</v>
      </c>
      <c r="F80" s="806">
        <v>1146.9000000000001</v>
      </c>
      <c r="G80" s="806">
        <v>85.2</v>
      </c>
      <c r="H80" s="806">
        <v>216.1</v>
      </c>
      <c r="I80" s="806">
        <v>464.1</v>
      </c>
      <c r="J80" s="806">
        <v>19374.7</v>
      </c>
      <c r="K80" s="806">
        <v>8360.7000000000007</v>
      </c>
      <c r="L80" s="806">
        <f t="shared" si="7"/>
        <v>29876</v>
      </c>
    </row>
    <row r="81" spans="1:12" ht="12" hidden="1" customHeight="1">
      <c r="A81" s="87" t="s">
        <v>50</v>
      </c>
      <c r="B81" s="806"/>
      <c r="C81" s="806">
        <v>257.2</v>
      </c>
      <c r="D81" s="806" t="s">
        <v>88</v>
      </c>
      <c r="E81" s="806">
        <v>11</v>
      </c>
      <c r="F81" s="806">
        <v>1146.9000000000001</v>
      </c>
      <c r="G81" s="806">
        <v>82.6</v>
      </c>
      <c r="H81" s="806">
        <v>322.5</v>
      </c>
      <c r="I81" s="806">
        <v>431.8</v>
      </c>
      <c r="J81" s="806">
        <v>18112.400000000001</v>
      </c>
      <c r="K81" s="806">
        <v>8295.1</v>
      </c>
      <c r="L81" s="806">
        <f t="shared" si="7"/>
        <v>28659.5</v>
      </c>
    </row>
    <row r="82" spans="1:12" ht="12" hidden="1" customHeight="1">
      <c r="A82" s="87"/>
      <c r="B82" s="806"/>
      <c r="C82" s="806"/>
      <c r="D82" s="806"/>
      <c r="E82" s="806"/>
      <c r="F82" s="806"/>
      <c r="G82" s="806"/>
      <c r="H82" s="806"/>
      <c r="I82" s="806"/>
      <c r="J82" s="806"/>
      <c r="K82" s="806"/>
      <c r="L82" s="806"/>
    </row>
    <row r="83" spans="1:12" ht="12" hidden="1" customHeight="1">
      <c r="A83" s="87" t="s">
        <v>332</v>
      </c>
      <c r="B83" s="806"/>
      <c r="C83" s="806">
        <f>338.9+40.2</f>
        <v>379.09999999999997</v>
      </c>
      <c r="D83" s="806" t="s">
        <v>88</v>
      </c>
      <c r="E83" s="806">
        <v>11</v>
      </c>
      <c r="F83" s="806">
        <f>186.6+574.9</f>
        <v>761.5</v>
      </c>
      <c r="G83" s="806">
        <f>79.9+0</f>
        <v>79.900000000000006</v>
      </c>
      <c r="H83" s="806">
        <f>447.5+40.4</f>
        <v>487.9</v>
      </c>
      <c r="I83" s="806">
        <f>55.1+318</f>
        <v>373.1</v>
      </c>
      <c r="J83" s="806">
        <f>5544.6+302.8+12945.8+200.8</f>
        <v>18994</v>
      </c>
      <c r="K83" s="806">
        <f>1073.7+3917.9</f>
        <v>4991.6000000000004</v>
      </c>
      <c r="L83" s="806">
        <f t="shared" ref="L83:L88" si="8">SUM(C83:K83)</f>
        <v>26078.1</v>
      </c>
    </row>
    <row r="84" spans="1:12" ht="12" hidden="1" customHeight="1">
      <c r="A84" s="87" t="s">
        <v>40</v>
      </c>
      <c r="B84" s="806"/>
      <c r="C84" s="806">
        <f>378.4+45.9</f>
        <v>424.29999999999995</v>
      </c>
      <c r="D84" s="806" t="s">
        <v>88</v>
      </c>
      <c r="E84" s="806">
        <v>11</v>
      </c>
      <c r="F84" s="806">
        <f>186.6+576</f>
        <v>762.6</v>
      </c>
      <c r="G84" s="806">
        <f>80</f>
        <v>80</v>
      </c>
      <c r="H84" s="806">
        <f>437.3+40.3</f>
        <v>477.6</v>
      </c>
      <c r="I84" s="806">
        <f>55.1+297.2</f>
        <v>352.3</v>
      </c>
      <c r="J84" s="806">
        <f>5554.2+301.1+11725.5+199.9</f>
        <v>17780.7</v>
      </c>
      <c r="K84" s="806">
        <f>1085.2+3896.6</f>
        <v>4981.8</v>
      </c>
      <c r="L84" s="806">
        <f t="shared" si="8"/>
        <v>24870.3</v>
      </c>
    </row>
    <row r="85" spans="1:12" ht="12" hidden="1" customHeight="1">
      <c r="A85" s="87" t="s">
        <v>41</v>
      </c>
      <c r="B85" s="806"/>
      <c r="C85" s="806">
        <f>382.9+76.3</f>
        <v>459.2</v>
      </c>
      <c r="D85" s="806">
        <v>364</v>
      </c>
      <c r="E85" s="806">
        <v>11</v>
      </c>
      <c r="F85" s="806">
        <f>186.6</f>
        <v>186.6</v>
      </c>
      <c r="G85" s="806">
        <f>80</f>
        <v>80</v>
      </c>
      <c r="H85" s="806">
        <f>413.2+22.2</f>
        <v>435.4</v>
      </c>
      <c r="I85" s="806">
        <f>53.1+276</f>
        <v>329.1</v>
      </c>
      <c r="J85" s="806">
        <f>5886.5+313.3+11283.8+195.5</f>
        <v>17679.099999999999</v>
      </c>
      <c r="K85" s="806">
        <f>1078.4+3887.4</f>
        <v>4965.8</v>
      </c>
      <c r="L85" s="806">
        <f t="shared" si="8"/>
        <v>24510.199999999997</v>
      </c>
    </row>
    <row r="86" spans="1:12" ht="12" hidden="1" customHeight="1">
      <c r="A86" s="87" t="s">
        <v>42</v>
      </c>
      <c r="B86" s="806"/>
      <c r="C86" s="806">
        <f>100.3+984.7</f>
        <v>1085</v>
      </c>
      <c r="D86" s="806">
        <v>364</v>
      </c>
      <c r="E86" s="806">
        <v>11</v>
      </c>
      <c r="F86" s="806">
        <f>430.6</f>
        <v>430.6</v>
      </c>
      <c r="G86" s="806">
        <f>78</f>
        <v>78</v>
      </c>
      <c r="H86" s="806">
        <f>395.5+22.2</f>
        <v>417.7</v>
      </c>
      <c r="I86" s="806">
        <f>51.1+621.7</f>
        <v>672.80000000000007</v>
      </c>
      <c r="J86" s="806">
        <f>5921.5+316+10670.1+192.5</f>
        <v>17100.099999999999</v>
      </c>
      <c r="K86" s="806">
        <f>1122.9+3933.9</f>
        <v>5056.8</v>
      </c>
      <c r="L86" s="806">
        <f t="shared" si="8"/>
        <v>25215.999999999996</v>
      </c>
    </row>
    <row r="87" spans="1:12" ht="12" hidden="1" customHeight="1">
      <c r="A87" s="87" t="s">
        <v>43</v>
      </c>
      <c r="B87" s="806"/>
      <c r="C87" s="806">
        <f>175.9+552.4</f>
        <v>728.3</v>
      </c>
      <c r="D87" s="806">
        <v>514</v>
      </c>
      <c r="E87" s="806">
        <v>11</v>
      </c>
      <c r="F87" s="806">
        <f>186.6</f>
        <v>186.6</v>
      </c>
      <c r="G87" s="806">
        <f>75</f>
        <v>75</v>
      </c>
      <c r="H87" s="806">
        <f>385.3+27.2</f>
        <v>412.5</v>
      </c>
      <c r="I87" s="806">
        <f>50.8+514.7</f>
        <v>565.5</v>
      </c>
      <c r="J87" s="806">
        <f>5597.7+312.5+10374.4+189.5</f>
        <v>16474.099999999999</v>
      </c>
      <c r="K87" s="806">
        <f>1090.5+3916.8</f>
        <v>5007.3</v>
      </c>
      <c r="L87" s="806">
        <f t="shared" si="8"/>
        <v>23974.3</v>
      </c>
    </row>
    <row r="88" spans="1:12" ht="12" hidden="1" customHeight="1">
      <c r="A88" s="87" t="s">
        <v>44</v>
      </c>
      <c r="B88" s="806"/>
      <c r="C88" s="806">
        <f>361+236.7</f>
        <v>597.70000000000005</v>
      </c>
      <c r="D88" s="806">
        <v>714</v>
      </c>
      <c r="E88" s="806">
        <v>11</v>
      </c>
      <c r="F88" s="806">
        <f>186.6</f>
        <v>186.6</v>
      </c>
      <c r="G88" s="806">
        <f>75</f>
        <v>75</v>
      </c>
      <c r="H88" s="806">
        <f>37.8+19.6</f>
        <v>57.4</v>
      </c>
      <c r="I88" s="806">
        <f>46.9+621.8</f>
        <v>668.69999999999993</v>
      </c>
      <c r="J88" s="806">
        <f>5665.3+316.4+9723.1+186</f>
        <v>15890.8</v>
      </c>
      <c r="K88" s="806">
        <f>1082.4+3079.1</f>
        <v>4161.5</v>
      </c>
      <c r="L88" s="806">
        <f t="shared" si="8"/>
        <v>22362.7</v>
      </c>
    </row>
    <row r="89" spans="1:12" ht="12" hidden="1" customHeight="1">
      <c r="A89" s="87" t="s">
        <v>45</v>
      </c>
      <c r="B89" s="806"/>
      <c r="C89" s="806">
        <f>119.3+266.7</f>
        <v>386</v>
      </c>
      <c r="D89" s="806">
        <v>554</v>
      </c>
      <c r="E89" s="806">
        <v>11</v>
      </c>
      <c r="F89" s="806">
        <f>1046.8</f>
        <v>1046.8</v>
      </c>
      <c r="G89" s="806">
        <f>70.7</f>
        <v>70.7</v>
      </c>
      <c r="H89" s="806">
        <f>32+19.6</f>
        <v>51.6</v>
      </c>
      <c r="I89" s="806">
        <f>46.5+754.6</f>
        <v>801.1</v>
      </c>
      <c r="J89" s="806">
        <f>5909.7+313.8+9305+184.5</f>
        <v>15713</v>
      </c>
      <c r="K89" s="806">
        <f>1133.4+2975.6</f>
        <v>4109</v>
      </c>
      <c r="L89" s="806">
        <f t="shared" ref="L89:L94" si="9">SUM(C89:K89)</f>
        <v>22743.200000000001</v>
      </c>
    </row>
    <row r="90" spans="1:12" ht="12" hidden="1" customHeight="1">
      <c r="A90" s="87" t="s">
        <v>46</v>
      </c>
      <c r="B90" s="806"/>
      <c r="C90" s="806">
        <f>141.3+286.7</f>
        <v>428</v>
      </c>
      <c r="D90" s="806">
        <v>654</v>
      </c>
      <c r="E90" s="806">
        <v>11</v>
      </c>
      <c r="F90" s="806">
        <f>1292.5</f>
        <v>1292.5</v>
      </c>
      <c r="G90" s="806">
        <f>70.7</f>
        <v>70.7</v>
      </c>
      <c r="H90" s="806">
        <f>27.3+19.6</f>
        <v>46.900000000000006</v>
      </c>
      <c r="I90" s="806">
        <f>46.5+886.9</f>
        <v>933.4</v>
      </c>
      <c r="J90" s="806">
        <f>6042.1+322.1+8876.3+183.4</f>
        <v>15423.9</v>
      </c>
      <c r="K90" s="806">
        <f>1083.8+3022.5</f>
        <v>4106.3</v>
      </c>
      <c r="L90" s="806">
        <f t="shared" si="9"/>
        <v>22966.7</v>
      </c>
    </row>
    <row r="91" spans="1:12" ht="12" hidden="1" customHeight="1">
      <c r="A91" s="87" t="s">
        <v>47</v>
      </c>
      <c r="B91" s="806"/>
      <c r="C91" s="806">
        <f>184.6+362.8</f>
        <v>547.4</v>
      </c>
      <c r="D91" s="806">
        <v>684</v>
      </c>
      <c r="E91" s="806">
        <v>11</v>
      </c>
      <c r="F91" s="806">
        <f>1486.6</f>
        <v>1486.6</v>
      </c>
      <c r="G91" s="806">
        <v>64.3</v>
      </c>
      <c r="H91" s="806">
        <f>43+19.6</f>
        <v>62.6</v>
      </c>
      <c r="I91" s="806">
        <f>45.7+856</f>
        <v>901.7</v>
      </c>
      <c r="J91" s="806">
        <f>6044.1+320.7+8652.3+181.3</f>
        <v>15198.399999999998</v>
      </c>
      <c r="K91" s="806">
        <f>1063+2930.4</f>
        <v>3993.4</v>
      </c>
      <c r="L91" s="806">
        <f t="shared" si="9"/>
        <v>22949.4</v>
      </c>
    </row>
    <row r="92" spans="1:12" ht="12" hidden="1" customHeight="1">
      <c r="A92" s="87" t="s">
        <v>48</v>
      </c>
      <c r="B92" s="806"/>
      <c r="C92" s="806">
        <f>162.1+266.5</f>
        <v>428.6</v>
      </c>
      <c r="D92" s="806">
        <f>834+200</f>
        <v>1034</v>
      </c>
      <c r="E92" s="806">
        <v>11</v>
      </c>
      <c r="F92" s="806">
        <f>1686.6</f>
        <v>1686.6</v>
      </c>
      <c r="G92" s="806">
        <v>61</v>
      </c>
      <c r="H92" s="806">
        <f>42.8+1.5</f>
        <v>44.3</v>
      </c>
      <c r="I92" s="806">
        <f>45.7+824.4</f>
        <v>870.1</v>
      </c>
      <c r="J92" s="806">
        <f>6007.6+321+8569.3+179.2</f>
        <v>15077.1</v>
      </c>
      <c r="K92" s="806">
        <f>1060.8+2954.2</f>
        <v>4015</v>
      </c>
      <c r="L92" s="806">
        <f t="shared" si="9"/>
        <v>23227.7</v>
      </c>
    </row>
    <row r="93" spans="1:12" ht="12" hidden="1" customHeight="1">
      <c r="A93" s="87" t="s">
        <v>49</v>
      </c>
      <c r="B93" s="806"/>
      <c r="C93" s="806">
        <f>105.8+1204.5</f>
        <v>1310.3</v>
      </c>
      <c r="D93" s="806">
        <f>934+1000</f>
        <v>1934</v>
      </c>
      <c r="E93" s="806">
        <v>11</v>
      </c>
      <c r="F93" s="806">
        <f>186.6</f>
        <v>186.6</v>
      </c>
      <c r="G93" s="806">
        <v>57.6</v>
      </c>
      <c r="H93" s="806">
        <f>4.4+1.5</f>
        <v>5.9</v>
      </c>
      <c r="I93" s="806">
        <f>45.7+828.3</f>
        <v>874</v>
      </c>
      <c r="J93" s="806">
        <f>6206.5+326.9+9052.4+175.9</f>
        <v>15761.699999999999</v>
      </c>
      <c r="K93" s="806">
        <f>1040+2660.2</f>
        <v>3700.2</v>
      </c>
      <c r="L93" s="806">
        <f t="shared" si="9"/>
        <v>23841.3</v>
      </c>
    </row>
    <row r="94" spans="1:12" ht="12" hidden="1" customHeight="1">
      <c r="A94" s="87" t="s">
        <v>50</v>
      </c>
      <c r="B94" s="806"/>
      <c r="C94" s="806">
        <f>128.1+618</f>
        <v>746.1</v>
      </c>
      <c r="D94" s="806">
        <f>834+1300</f>
        <v>2134</v>
      </c>
      <c r="E94" s="806">
        <v>11</v>
      </c>
      <c r="F94" s="806">
        <f>186.6</f>
        <v>186.6</v>
      </c>
      <c r="G94" s="806">
        <v>54.2</v>
      </c>
      <c r="H94" s="806">
        <f>4.4+1.5</f>
        <v>5.9</v>
      </c>
      <c r="I94" s="806">
        <f>42.2+661.1</f>
        <v>703.30000000000007</v>
      </c>
      <c r="J94" s="806">
        <f>6213.1+378.2+9208.6+168.7</f>
        <v>15968.600000000002</v>
      </c>
      <c r="K94" s="806">
        <f>1009.5+2484.9</f>
        <v>3494.4</v>
      </c>
      <c r="L94" s="806">
        <f t="shared" si="9"/>
        <v>23304.100000000002</v>
      </c>
    </row>
    <row r="95" spans="1:12" ht="12" hidden="1" customHeight="1">
      <c r="A95" s="87"/>
      <c r="B95" s="806"/>
      <c r="C95" s="806"/>
      <c r="D95" s="806"/>
      <c r="E95" s="806"/>
      <c r="F95" s="806"/>
      <c r="G95" s="806"/>
      <c r="H95" s="806"/>
      <c r="I95" s="806"/>
      <c r="J95" s="806"/>
      <c r="K95" s="806"/>
      <c r="L95" s="806"/>
    </row>
    <row r="96" spans="1:12" ht="12" hidden="1" customHeight="1">
      <c r="A96" s="87" t="s">
        <v>331</v>
      </c>
      <c r="B96" s="806"/>
      <c r="C96" s="806">
        <f>149.8+1110.5</f>
        <v>1260.3</v>
      </c>
      <c r="D96" s="806">
        <f>490+400</f>
        <v>890</v>
      </c>
      <c r="E96" s="806">
        <v>11</v>
      </c>
      <c r="F96" s="806" t="s">
        <v>88</v>
      </c>
      <c r="G96" s="806">
        <v>54.2</v>
      </c>
      <c r="H96" s="806">
        <f>4.4+1.5</f>
        <v>5.9</v>
      </c>
      <c r="I96" s="806">
        <f>42.2+626.7</f>
        <v>668.90000000000009</v>
      </c>
      <c r="J96" s="806">
        <f>6262.2+396.4+9497.7+193.9</f>
        <v>16350.199999999999</v>
      </c>
      <c r="K96" s="806">
        <f>1025.9+2629.7</f>
        <v>3655.6</v>
      </c>
      <c r="L96" s="806">
        <f t="shared" ref="L96:L101" si="10">SUM(C96:K96)</f>
        <v>22896.1</v>
      </c>
    </row>
    <row r="97" spans="1:12" ht="12" hidden="1" customHeight="1">
      <c r="A97" s="87" t="s">
        <v>40</v>
      </c>
      <c r="B97" s="806"/>
      <c r="C97" s="806">
        <f>325.8+527</f>
        <v>852.8</v>
      </c>
      <c r="D97" s="806">
        <f>490+400</f>
        <v>890</v>
      </c>
      <c r="E97" s="806">
        <v>11</v>
      </c>
      <c r="F97" s="806" t="s">
        <v>88</v>
      </c>
      <c r="G97" s="806">
        <v>54.2</v>
      </c>
      <c r="H97" s="806">
        <f>4.3+1.5</f>
        <v>5.8</v>
      </c>
      <c r="I97" s="806">
        <f>42.2+602.3</f>
        <v>644.5</v>
      </c>
      <c r="J97" s="806">
        <f>6588+407.3+10189.8+194.9</f>
        <v>17380</v>
      </c>
      <c r="K97" s="806">
        <f>1094.2+2566.6</f>
        <v>3660.8</v>
      </c>
      <c r="L97" s="806">
        <f t="shared" si="10"/>
        <v>23499.1</v>
      </c>
    </row>
    <row r="98" spans="1:12" ht="12" hidden="1" customHeight="1">
      <c r="A98" s="87" t="s">
        <v>41</v>
      </c>
      <c r="B98" s="806"/>
      <c r="C98" s="806">
        <f>276.4+724.8</f>
        <v>1001.1999999999999</v>
      </c>
      <c r="D98" s="806">
        <f>490+300</f>
        <v>790</v>
      </c>
      <c r="E98" s="806">
        <v>11</v>
      </c>
      <c r="F98" s="806" t="s">
        <v>88</v>
      </c>
      <c r="G98" s="806">
        <v>43.6</v>
      </c>
      <c r="H98" s="806">
        <f>4.4+1.5</f>
        <v>5.9</v>
      </c>
      <c r="I98" s="806">
        <f>42.2+555.6</f>
        <v>597.80000000000007</v>
      </c>
      <c r="J98" s="806">
        <f>6649.5+408.2+10302+196.3</f>
        <v>17556</v>
      </c>
      <c r="K98" s="806">
        <f>1053.8+2664.9</f>
        <v>3718.7</v>
      </c>
      <c r="L98" s="806">
        <f t="shared" si="10"/>
        <v>23724.2</v>
      </c>
    </row>
    <row r="99" spans="1:12" ht="12" hidden="1" customHeight="1">
      <c r="A99" s="87" t="s">
        <v>42</v>
      </c>
      <c r="B99" s="806"/>
      <c r="C99" s="806">
        <f>229.4+342.8</f>
        <v>572.20000000000005</v>
      </c>
      <c r="D99" s="806">
        <f>490+600</f>
        <v>1090</v>
      </c>
      <c r="E99" s="806">
        <v>11</v>
      </c>
      <c r="F99" s="806" t="s">
        <v>88</v>
      </c>
      <c r="G99" s="806">
        <v>43.6</v>
      </c>
      <c r="H99" s="806">
        <f>2.8+1.5</f>
        <v>4.3</v>
      </c>
      <c r="I99" s="806">
        <f>42.2+521.5</f>
        <v>563.70000000000005</v>
      </c>
      <c r="J99" s="806">
        <f>6760.3+410.6+9937.3+149.5</f>
        <v>17257.7</v>
      </c>
      <c r="K99" s="806">
        <f>1133.9+3140.8</f>
        <v>4274.7000000000007</v>
      </c>
      <c r="L99" s="806">
        <f t="shared" si="10"/>
        <v>23817.200000000001</v>
      </c>
    </row>
    <row r="100" spans="1:12" ht="12" hidden="1" customHeight="1">
      <c r="A100" s="87" t="s">
        <v>43</v>
      </c>
      <c r="B100" s="806"/>
      <c r="C100" s="806">
        <f>393.6+181.7</f>
        <v>575.29999999999995</v>
      </c>
      <c r="D100" s="806">
        <f>300+500</f>
        <v>800</v>
      </c>
      <c r="E100" s="806">
        <v>11</v>
      </c>
      <c r="F100" s="806" t="s">
        <v>88</v>
      </c>
      <c r="G100" s="806">
        <v>39.799999999999997</v>
      </c>
      <c r="H100" s="806">
        <f>2.8+1.5</f>
        <v>4.3</v>
      </c>
      <c r="I100" s="806">
        <f>42.1+479.6</f>
        <v>521.70000000000005</v>
      </c>
      <c r="J100" s="806">
        <f>6856+471.1+10648.2+142.5</f>
        <v>18117.800000000003</v>
      </c>
      <c r="K100" s="806">
        <f>1084.8+2886.3</f>
        <v>3971.1000000000004</v>
      </c>
      <c r="L100" s="806">
        <f t="shared" si="10"/>
        <v>24041</v>
      </c>
    </row>
    <row r="101" spans="1:12" ht="12" hidden="1" customHeight="1">
      <c r="A101" s="87" t="s">
        <v>44</v>
      </c>
      <c r="B101" s="806"/>
      <c r="C101" s="806">
        <f>184.9+402.7</f>
        <v>587.6</v>
      </c>
      <c r="D101" s="806">
        <f>480</f>
        <v>480</v>
      </c>
      <c r="E101" s="806">
        <v>11</v>
      </c>
      <c r="F101" s="806" t="s">
        <v>88</v>
      </c>
      <c r="G101" s="806">
        <v>39.799999999999997</v>
      </c>
      <c r="H101" s="806">
        <f>4.4+1.5</f>
        <v>5.9</v>
      </c>
      <c r="I101" s="806">
        <f>38.6+445.1</f>
        <v>483.70000000000005</v>
      </c>
      <c r="J101" s="806">
        <f>7282.1+471.1+10716.1+140.2</f>
        <v>18609.500000000004</v>
      </c>
      <c r="K101" s="806">
        <f>1082.2+3347.5</f>
        <v>4429.7</v>
      </c>
      <c r="L101" s="806">
        <f t="shared" si="10"/>
        <v>24647.200000000004</v>
      </c>
    </row>
    <row r="102" spans="1:12" ht="12" hidden="1" customHeight="1">
      <c r="A102" s="87" t="s">
        <v>45</v>
      </c>
      <c r="B102" s="806"/>
      <c r="C102" s="806">
        <f>90.3+202.4</f>
        <v>292.7</v>
      </c>
      <c r="D102" s="806">
        <v>610</v>
      </c>
      <c r="E102" s="806">
        <v>11</v>
      </c>
      <c r="F102" s="806" t="s">
        <v>88</v>
      </c>
      <c r="G102" s="806">
        <v>39.799999999999997</v>
      </c>
      <c r="H102" s="806">
        <f>5.7+1.5</f>
        <v>7.2</v>
      </c>
      <c r="I102" s="806">
        <f>38.7+699.3</f>
        <v>738</v>
      </c>
      <c r="J102" s="806">
        <f>7507.3+489.8+11025+139.4</f>
        <v>19161.5</v>
      </c>
      <c r="K102" s="806">
        <f>1128.2+3368.1</f>
        <v>4496.3</v>
      </c>
      <c r="L102" s="806">
        <f t="shared" ref="L102:L107" si="11">SUM(C102:K102)</f>
        <v>25356.5</v>
      </c>
    </row>
    <row r="103" spans="1:12" ht="12" hidden="1" customHeight="1">
      <c r="A103" s="87" t="s">
        <v>46</v>
      </c>
      <c r="B103" s="806"/>
      <c r="C103" s="806">
        <f>169.8+465.6</f>
        <v>635.40000000000009</v>
      </c>
      <c r="D103" s="806">
        <v>180</v>
      </c>
      <c r="E103" s="806">
        <v>11</v>
      </c>
      <c r="F103" s="806" t="s">
        <v>88</v>
      </c>
      <c r="G103" s="806">
        <v>36.299999999999997</v>
      </c>
      <c r="H103" s="806">
        <f>5.7+1.5</f>
        <v>7.2</v>
      </c>
      <c r="I103" s="806">
        <f>38.7+788.2</f>
        <v>826.90000000000009</v>
      </c>
      <c r="J103" s="806">
        <f>7642.8+492.6+10917.3+139.8</f>
        <v>19192.5</v>
      </c>
      <c r="K103" s="806">
        <f>1107+3145.2</f>
        <v>4252.2</v>
      </c>
      <c r="L103" s="806">
        <f t="shared" si="11"/>
        <v>25141.5</v>
      </c>
    </row>
    <row r="104" spans="1:12" ht="12" hidden="1" customHeight="1">
      <c r="A104" s="87" t="s">
        <v>47</v>
      </c>
      <c r="B104" s="806"/>
      <c r="C104" s="806">
        <f>242.5+752.2</f>
        <v>994.7</v>
      </c>
      <c r="D104" s="806">
        <v>480</v>
      </c>
      <c r="E104" s="806">
        <v>11</v>
      </c>
      <c r="F104" s="806" t="s">
        <v>88</v>
      </c>
      <c r="G104" s="806">
        <v>36.1</v>
      </c>
      <c r="H104" s="806">
        <f>5.7+1.5</f>
        <v>7.2</v>
      </c>
      <c r="I104" s="806">
        <f>38.6+758.4</f>
        <v>797</v>
      </c>
      <c r="J104" s="806">
        <f>7858.3+513.5+10866.7+135.1</f>
        <v>19373.599999999999</v>
      </c>
      <c r="K104" s="806">
        <f>1139.8+3018</f>
        <v>4157.8</v>
      </c>
      <c r="L104" s="806">
        <f t="shared" si="11"/>
        <v>25857.399999999998</v>
      </c>
    </row>
    <row r="105" spans="1:12" ht="12" hidden="1" customHeight="1">
      <c r="A105" s="87" t="s">
        <v>48</v>
      </c>
      <c r="B105" s="806"/>
      <c r="C105" s="806">
        <f>360.4+753.5</f>
        <v>1113.9000000000001</v>
      </c>
      <c r="D105" s="806">
        <v>575</v>
      </c>
      <c r="E105" s="806">
        <v>11</v>
      </c>
      <c r="F105" s="806" t="s">
        <v>88</v>
      </c>
      <c r="G105" s="806">
        <v>32.299999999999997</v>
      </c>
      <c r="H105" s="806">
        <f>5.7+1.5</f>
        <v>7.2</v>
      </c>
      <c r="I105" s="806">
        <f>32.4+730.4</f>
        <v>762.8</v>
      </c>
      <c r="J105" s="806">
        <f>7947+517+11067.4+132.7</f>
        <v>19664.100000000002</v>
      </c>
      <c r="K105" s="806">
        <f>1080.2+2968.3</f>
        <v>4048.5</v>
      </c>
      <c r="L105" s="806">
        <f t="shared" si="11"/>
        <v>26214.800000000003</v>
      </c>
    </row>
    <row r="106" spans="1:12" ht="12" hidden="1" customHeight="1">
      <c r="A106" s="87" t="s">
        <v>49</v>
      </c>
      <c r="B106" s="806"/>
      <c r="C106" s="806">
        <f>618.4+326</f>
        <v>944.4</v>
      </c>
      <c r="D106" s="806">
        <v>875</v>
      </c>
      <c r="E106" s="806">
        <v>11</v>
      </c>
      <c r="F106" s="806" t="s">
        <v>88</v>
      </c>
      <c r="G106" s="806">
        <v>16.399999999999999</v>
      </c>
      <c r="H106" s="806">
        <f>2.8+1.5</f>
        <v>4.3</v>
      </c>
      <c r="I106" s="806">
        <f>38.6+473.7</f>
        <v>512.29999999999995</v>
      </c>
      <c r="J106" s="806">
        <f>8048.5+517.9+11824.7+126.3</f>
        <v>20517.399999999998</v>
      </c>
      <c r="K106" s="806">
        <f>1117.8+2980.2</f>
        <v>4098</v>
      </c>
      <c r="L106" s="806">
        <f t="shared" si="11"/>
        <v>26978.799999999999</v>
      </c>
    </row>
    <row r="107" spans="1:12" ht="12" hidden="1" customHeight="1">
      <c r="A107" s="87" t="s">
        <v>50</v>
      </c>
      <c r="B107" s="806"/>
      <c r="C107" s="806">
        <f>410.1+269.4</f>
        <v>679.5</v>
      </c>
      <c r="D107" s="806">
        <v>725</v>
      </c>
      <c r="E107" s="806">
        <v>11</v>
      </c>
      <c r="F107" s="806" t="s">
        <v>88</v>
      </c>
      <c r="G107" s="806">
        <v>16.399999999999999</v>
      </c>
      <c r="H107" s="806">
        <f>4.3</f>
        <v>4.3</v>
      </c>
      <c r="I107" s="806">
        <f>38.6+374.7</f>
        <v>413.3</v>
      </c>
      <c r="J107" s="806">
        <f>8168.9+512+12055.9+119.9</f>
        <v>20856.7</v>
      </c>
      <c r="K107" s="806">
        <f>1144.6+3064.6</f>
        <v>4209.2</v>
      </c>
      <c r="L107" s="806">
        <f t="shared" si="11"/>
        <v>26915.4</v>
      </c>
    </row>
    <row r="108" spans="1:12" ht="12" hidden="1" customHeight="1">
      <c r="A108" s="87"/>
      <c r="B108" s="806"/>
      <c r="C108" s="806"/>
      <c r="D108" s="806"/>
      <c r="E108" s="806"/>
      <c r="F108" s="806"/>
      <c r="G108" s="806"/>
      <c r="H108" s="806"/>
      <c r="I108" s="806"/>
      <c r="J108" s="806"/>
      <c r="K108" s="806"/>
      <c r="L108" s="806"/>
    </row>
    <row r="109" spans="1:12" ht="12" hidden="1" customHeight="1">
      <c r="A109" s="87" t="s">
        <v>330</v>
      </c>
      <c r="B109" s="806"/>
      <c r="C109" s="806">
        <f>260.4+276.4</f>
        <v>536.79999999999995</v>
      </c>
      <c r="D109" s="806">
        <v>835</v>
      </c>
      <c r="E109" s="806">
        <v>11</v>
      </c>
      <c r="F109" s="806">
        <v>50.7</v>
      </c>
      <c r="G109" s="806">
        <v>4</v>
      </c>
      <c r="H109" s="806">
        <f>79.2+1.4</f>
        <v>80.600000000000009</v>
      </c>
      <c r="I109" s="806">
        <f>87.8+717.9</f>
        <v>805.69999999999993</v>
      </c>
      <c r="J109" s="806">
        <f>7916.3+534.6+11638.5+138.7</f>
        <v>20228.100000000002</v>
      </c>
      <c r="K109" s="806">
        <f>1107.7+4018.2</f>
        <v>5125.8999999999996</v>
      </c>
      <c r="L109" s="806">
        <f t="shared" ref="L109:L114" si="12">SUM(C109:K109)</f>
        <v>27677.800000000003</v>
      </c>
    </row>
    <row r="110" spans="1:12" ht="12" hidden="1" customHeight="1">
      <c r="A110" s="87" t="s">
        <v>40</v>
      </c>
      <c r="B110" s="806"/>
      <c r="C110" s="806">
        <f>382.3+1110.8</f>
        <v>1493.1</v>
      </c>
      <c r="D110" s="806">
        <v>835</v>
      </c>
      <c r="E110" s="806">
        <v>11</v>
      </c>
      <c r="F110" s="806">
        <v>50.7</v>
      </c>
      <c r="G110" s="806">
        <v>4</v>
      </c>
      <c r="H110" s="806">
        <f>84.1+1.4</f>
        <v>85.5</v>
      </c>
      <c r="I110" s="806">
        <f>90+874.7</f>
        <v>964.7</v>
      </c>
      <c r="J110" s="806">
        <f>7893.8+546.1+12650.7+146.6</f>
        <v>21237.199999999997</v>
      </c>
      <c r="K110" s="806">
        <f>1117.8+3170.8</f>
        <v>4288.6000000000004</v>
      </c>
      <c r="L110" s="806">
        <f t="shared" si="12"/>
        <v>28969.799999999996</v>
      </c>
    </row>
    <row r="111" spans="1:12" ht="12" hidden="1" customHeight="1">
      <c r="A111" s="87" t="s">
        <v>41</v>
      </c>
      <c r="B111" s="806"/>
      <c r="C111" s="806">
        <f>462+838.4</f>
        <v>1300.4000000000001</v>
      </c>
      <c r="D111" s="806">
        <v>875</v>
      </c>
      <c r="E111" s="806">
        <v>11</v>
      </c>
      <c r="F111" s="806" t="s">
        <v>88</v>
      </c>
      <c r="G111" s="806">
        <v>28.7</v>
      </c>
      <c r="H111" s="806">
        <f>19.4+1.4</f>
        <v>20.799999999999997</v>
      </c>
      <c r="I111" s="806">
        <f>86.1+971.6</f>
        <v>1057.7</v>
      </c>
      <c r="J111" s="806">
        <f>7899.5+592.8+12971.5+147</f>
        <v>21610.799999999999</v>
      </c>
      <c r="K111" s="806">
        <f>1135.2+3276.5</f>
        <v>4411.7</v>
      </c>
      <c r="L111" s="806">
        <f t="shared" si="12"/>
        <v>29316.100000000002</v>
      </c>
    </row>
    <row r="112" spans="1:12" ht="12" hidden="1" customHeight="1">
      <c r="A112" s="87" t="s">
        <v>42</v>
      </c>
      <c r="B112" s="806"/>
      <c r="C112" s="806">
        <f>250+511.5</f>
        <v>761.5</v>
      </c>
      <c r="D112" s="806">
        <v>725</v>
      </c>
      <c r="E112" s="806">
        <v>11</v>
      </c>
      <c r="F112" s="806" t="s">
        <v>88</v>
      </c>
      <c r="G112" s="806">
        <v>28.7</v>
      </c>
      <c r="H112" s="806">
        <v>20.3</v>
      </c>
      <c r="I112" s="806">
        <f>86.1+884.3</f>
        <v>970.4</v>
      </c>
      <c r="J112" s="806">
        <f>8393.5+603.8+13465.4+151.2</f>
        <v>22613.899999999998</v>
      </c>
      <c r="K112" s="806">
        <f>1064.5+3325</f>
        <v>4389.5</v>
      </c>
      <c r="L112" s="806">
        <f t="shared" si="12"/>
        <v>29520.3</v>
      </c>
    </row>
    <row r="113" spans="1:12" ht="12" hidden="1" customHeight="1">
      <c r="A113" s="87" t="s">
        <v>43</v>
      </c>
      <c r="B113" s="806"/>
      <c r="C113" s="806">
        <f>526.6+388.1</f>
        <v>914.7</v>
      </c>
      <c r="D113" s="806">
        <v>375</v>
      </c>
      <c r="E113" s="806">
        <v>11</v>
      </c>
      <c r="F113" s="806" t="s">
        <v>88</v>
      </c>
      <c r="G113" s="806">
        <v>3</v>
      </c>
      <c r="H113" s="806">
        <f>18.2+1.4</f>
        <v>19.599999999999998</v>
      </c>
      <c r="I113" s="806">
        <f>82.2+885.1</f>
        <v>967.30000000000007</v>
      </c>
      <c r="J113" s="806">
        <f>8762+616.1+14029.5+145</f>
        <v>23552.6</v>
      </c>
      <c r="K113" s="806">
        <f>1068+3386.4</f>
        <v>4454.3999999999996</v>
      </c>
      <c r="L113" s="806">
        <f t="shared" si="12"/>
        <v>30297.599999999999</v>
      </c>
    </row>
    <row r="114" spans="1:12" ht="12" hidden="1" customHeight="1">
      <c r="A114" s="87" t="s">
        <v>44</v>
      </c>
      <c r="B114" s="806"/>
      <c r="C114" s="806">
        <f>229.2+384.8</f>
        <v>614</v>
      </c>
      <c r="D114" s="806">
        <v>75</v>
      </c>
      <c r="E114" s="806">
        <v>11</v>
      </c>
      <c r="F114" s="806" t="s">
        <v>88</v>
      </c>
      <c r="G114" s="806">
        <v>2.7</v>
      </c>
      <c r="H114" s="806">
        <f>15.6+1.4</f>
        <v>17</v>
      </c>
      <c r="I114" s="806">
        <f>80.1+828</f>
        <v>908.1</v>
      </c>
      <c r="J114" s="806">
        <f>9257.9+620+14486+146.3</f>
        <v>24510.2</v>
      </c>
      <c r="K114" s="806">
        <f>1111.7+3895.5</f>
        <v>5007.2</v>
      </c>
      <c r="L114" s="806">
        <f t="shared" si="12"/>
        <v>31145.200000000001</v>
      </c>
    </row>
    <row r="115" spans="1:12" ht="12" hidden="1" customHeight="1">
      <c r="A115" s="87" t="s">
        <v>45</v>
      </c>
      <c r="B115" s="806"/>
      <c r="C115" s="806">
        <f>223.9+563</f>
        <v>786.9</v>
      </c>
      <c r="D115" s="806">
        <v>225</v>
      </c>
      <c r="E115" s="806">
        <v>11</v>
      </c>
      <c r="F115" s="806" t="s">
        <v>88</v>
      </c>
      <c r="G115" s="806">
        <v>2.5</v>
      </c>
      <c r="H115" s="806">
        <f>15.6+1.4</f>
        <v>17</v>
      </c>
      <c r="I115" s="806">
        <f>77.6+827.5</f>
        <v>905.1</v>
      </c>
      <c r="J115" s="806">
        <f>9322.1+617.5+14492.6+150.4</f>
        <v>24582.600000000002</v>
      </c>
      <c r="K115" s="806">
        <f>1078.6+3934.2</f>
        <v>5012.7999999999993</v>
      </c>
      <c r="L115" s="806">
        <f t="shared" ref="L115:L120" si="13">SUM(C115:K115)</f>
        <v>31542.9</v>
      </c>
    </row>
    <row r="116" spans="1:12" ht="12" hidden="1" customHeight="1">
      <c r="A116" s="87" t="s">
        <v>46</v>
      </c>
      <c r="B116" s="806"/>
      <c r="C116" s="806">
        <f>207.9+390.3</f>
        <v>598.20000000000005</v>
      </c>
      <c r="D116" s="806">
        <v>225</v>
      </c>
      <c r="E116" s="806">
        <v>11</v>
      </c>
      <c r="F116" s="806" t="s">
        <v>88</v>
      </c>
      <c r="G116" s="806">
        <v>2.2000000000000002</v>
      </c>
      <c r="H116" s="806">
        <f>15.6+1.4</f>
        <v>17</v>
      </c>
      <c r="I116" s="806">
        <f>74.4+1109.2</f>
        <v>1183.6000000000001</v>
      </c>
      <c r="J116" s="806">
        <f>9489.6+667.2+14910.7+146.3</f>
        <v>25213.8</v>
      </c>
      <c r="K116" s="806">
        <f>1062.1+4075.4</f>
        <v>5137.5</v>
      </c>
      <c r="L116" s="806">
        <f t="shared" si="13"/>
        <v>32388.3</v>
      </c>
    </row>
    <row r="117" spans="1:12" ht="12" hidden="1" customHeight="1">
      <c r="A117" s="87" t="s">
        <v>47</v>
      </c>
      <c r="B117" s="806"/>
      <c r="C117" s="806">
        <f>188.6+398.2</f>
        <v>586.79999999999995</v>
      </c>
      <c r="D117" s="806">
        <v>225</v>
      </c>
      <c r="E117" s="806">
        <v>11</v>
      </c>
      <c r="F117" s="806" t="s">
        <v>88</v>
      </c>
      <c r="G117" s="806">
        <v>1.9</v>
      </c>
      <c r="H117" s="806">
        <f>15+1.4</f>
        <v>16.399999999999999</v>
      </c>
      <c r="I117" s="806">
        <f>68.8+1039.4</f>
        <v>1108.2</v>
      </c>
      <c r="J117" s="806">
        <f>9612.9+701.1+15292.1+137.2</f>
        <v>25743.3</v>
      </c>
      <c r="K117" s="806">
        <f>1130.2+3986</f>
        <v>5116.2</v>
      </c>
      <c r="L117" s="806">
        <f t="shared" si="13"/>
        <v>32808.799999999996</v>
      </c>
    </row>
    <row r="118" spans="1:12" ht="12" hidden="1" customHeight="1">
      <c r="A118" s="87" t="s">
        <v>48</v>
      </c>
      <c r="B118" s="806"/>
      <c r="C118" s="806">
        <f>314.3+912.8</f>
        <v>1227.0999999999999</v>
      </c>
      <c r="D118" s="806">
        <v>225</v>
      </c>
      <c r="E118" s="806">
        <v>11</v>
      </c>
      <c r="F118" s="806" t="s">
        <v>88</v>
      </c>
      <c r="G118" s="806">
        <v>1.6</v>
      </c>
      <c r="H118" s="806">
        <f>12.5+1.4</f>
        <v>13.9</v>
      </c>
      <c r="I118" s="806">
        <f>64.7+978.9</f>
        <v>1043.5999999999999</v>
      </c>
      <c r="J118" s="806">
        <f>9721.9+716.4+15137.5+135.4</f>
        <v>25711.200000000001</v>
      </c>
      <c r="K118" s="806">
        <f>992.1+3837.9</f>
        <v>4830</v>
      </c>
      <c r="L118" s="806">
        <f t="shared" si="13"/>
        <v>33063.4</v>
      </c>
    </row>
    <row r="119" spans="1:12" ht="12" hidden="1" customHeight="1">
      <c r="A119" s="87" t="s">
        <v>49</v>
      </c>
      <c r="B119" s="806"/>
      <c r="C119" s="806">
        <f>183.4+820.6</f>
        <v>1004</v>
      </c>
      <c r="D119" s="806">
        <f>560+44</f>
        <v>604</v>
      </c>
      <c r="E119" s="806">
        <v>11</v>
      </c>
      <c r="F119" s="806">
        <v>36</v>
      </c>
      <c r="G119" s="806">
        <v>1.3</v>
      </c>
      <c r="H119" s="806">
        <f>126.1</f>
        <v>126.1</v>
      </c>
      <c r="I119" s="806">
        <f>65.3+932</f>
        <v>997.3</v>
      </c>
      <c r="J119" s="806">
        <f>10087.6+690.7+14933.8+132.9</f>
        <v>25845</v>
      </c>
      <c r="K119" s="806">
        <f>961.5+3832.1</f>
        <v>4793.6000000000004</v>
      </c>
      <c r="L119" s="806">
        <f t="shared" si="13"/>
        <v>33418.300000000003</v>
      </c>
    </row>
    <row r="120" spans="1:12" ht="12" hidden="1" customHeight="1">
      <c r="A120" s="87" t="s">
        <v>50</v>
      </c>
      <c r="B120" s="806"/>
      <c r="C120" s="806">
        <f>120.4+871.4</f>
        <v>991.8</v>
      </c>
      <c r="D120" s="806">
        <f>610+44</f>
        <v>654</v>
      </c>
      <c r="E120" s="806">
        <v>11</v>
      </c>
      <c r="F120" s="806">
        <v>31.9</v>
      </c>
      <c r="G120" s="806">
        <v>1.3</v>
      </c>
      <c r="H120" s="806">
        <f>265.9</f>
        <v>265.89999999999998</v>
      </c>
      <c r="I120" s="806">
        <f>58.7+903.8</f>
        <v>962.5</v>
      </c>
      <c r="J120" s="806">
        <f>10067.1+706.5+14449.9+119.2</f>
        <v>25342.7</v>
      </c>
      <c r="K120" s="806">
        <f>958.3+3935.3</f>
        <v>4893.6000000000004</v>
      </c>
      <c r="L120" s="806">
        <f t="shared" si="13"/>
        <v>33154.700000000004</v>
      </c>
    </row>
    <row r="121" spans="1:12" ht="12" hidden="1" customHeight="1">
      <c r="A121" s="87"/>
      <c r="B121" s="806"/>
      <c r="C121" s="806"/>
      <c r="D121" s="806"/>
      <c r="E121" s="806"/>
      <c r="F121" s="806"/>
      <c r="G121" s="806"/>
      <c r="H121" s="806"/>
      <c r="I121" s="806"/>
      <c r="J121" s="806"/>
      <c r="K121" s="806"/>
      <c r="L121" s="806"/>
    </row>
    <row r="122" spans="1:12" ht="12" hidden="1" customHeight="1">
      <c r="A122" s="87" t="s">
        <v>60</v>
      </c>
      <c r="B122" s="806"/>
      <c r="C122" s="806">
        <f>149.3+810.9</f>
        <v>960.2</v>
      </c>
      <c r="D122" s="806">
        <f>660+44</f>
        <v>704</v>
      </c>
      <c r="E122" s="806">
        <v>11</v>
      </c>
      <c r="F122" s="806">
        <v>30.5</v>
      </c>
      <c r="G122" s="806">
        <v>0.8</v>
      </c>
      <c r="H122" s="806">
        <v>320.8</v>
      </c>
      <c r="I122" s="806">
        <f>56.1+729.6</f>
        <v>785.7</v>
      </c>
      <c r="J122" s="806">
        <f>10193+744.7+14466.4+167.5</f>
        <v>25571.599999999999</v>
      </c>
      <c r="K122" s="806">
        <f>953.1+3906.3</f>
        <v>4859.4000000000005</v>
      </c>
      <c r="L122" s="806">
        <f t="shared" ref="L122:L127" si="14">SUM(C122:K122)</f>
        <v>33244</v>
      </c>
    </row>
    <row r="123" spans="1:12" ht="12" hidden="1" customHeight="1">
      <c r="A123" s="87" t="s">
        <v>40</v>
      </c>
      <c r="B123" s="806"/>
      <c r="C123" s="806">
        <f>539.3+1542.6</f>
        <v>2081.8999999999996</v>
      </c>
      <c r="D123" s="806">
        <f>860+44</f>
        <v>904</v>
      </c>
      <c r="E123" s="806">
        <v>11</v>
      </c>
      <c r="F123" s="806">
        <f>30.5+506.8</f>
        <v>537.29999999999995</v>
      </c>
      <c r="G123" s="806" t="s">
        <v>88</v>
      </c>
      <c r="H123" s="806">
        <v>140.9</v>
      </c>
      <c r="I123" s="806">
        <f>54.3+663.5</f>
        <v>717.8</v>
      </c>
      <c r="J123" s="806">
        <f>10237.8+754.1+13762.9+163.7</f>
        <v>24918.5</v>
      </c>
      <c r="K123" s="806">
        <f>954.8+4248.3</f>
        <v>5203.1000000000004</v>
      </c>
      <c r="L123" s="806">
        <f t="shared" si="14"/>
        <v>34514.5</v>
      </c>
    </row>
    <row r="124" spans="1:12" ht="12" hidden="1" customHeight="1">
      <c r="A124" s="87" t="s">
        <v>41</v>
      </c>
      <c r="B124" s="806"/>
      <c r="C124" s="806">
        <f>256.6+916.3</f>
        <v>1172.9000000000001</v>
      </c>
      <c r="D124" s="806">
        <f>510+44</f>
        <v>554</v>
      </c>
      <c r="E124" s="806">
        <v>11</v>
      </c>
      <c r="F124" s="806">
        <f>2.1+506.8</f>
        <v>508.90000000000003</v>
      </c>
      <c r="G124" s="806" t="s">
        <v>88</v>
      </c>
      <c r="H124" s="806">
        <f>132.9</f>
        <v>132.9</v>
      </c>
      <c r="I124" s="806">
        <f>47.5+453.5</f>
        <v>501</v>
      </c>
      <c r="J124" s="806">
        <f>10854.5+764+14411.1+163.4</f>
        <v>26193</v>
      </c>
      <c r="K124" s="806">
        <f>935.7+3637.1</f>
        <v>4572.8</v>
      </c>
      <c r="L124" s="806">
        <f t="shared" si="14"/>
        <v>33646.5</v>
      </c>
    </row>
    <row r="125" spans="1:12" ht="12" hidden="1" customHeight="1">
      <c r="A125" s="87" t="s">
        <v>42</v>
      </c>
      <c r="B125" s="806"/>
      <c r="C125" s="806">
        <f>264.4+1253.1</f>
        <v>1517.5</v>
      </c>
      <c r="D125" s="806">
        <f>510+44</f>
        <v>554</v>
      </c>
      <c r="E125" s="806">
        <v>11</v>
      </c>
      <c r="F125" s="806">
        <f>25.3+506.8</f>
        <v>532.1</v>
      </c>
      <c r="G125" s="806" t="s">
        <v>88</v>
      </c>
      <c r="H125" s="806">
        <f>21.3</f>
        <v>21.3</v>
      </c>
      <c r="I125" s="806">
        <f>252.3+425.3</f>
        <v>677.6</v>
      </c>
      <c r="J125" s="806">
        <f>10989.9+781.3+14248.1+174.9</f>
        <v>26194.2</v>
      </c>
      <c r="K125" s="806">
        <f>940.1+3472.3</f>
        <v>4412.4000000000005</v>
      </c>
      <c r="L125" s="806">
        <f t="shared" si="14"/>
        <v>33920.1</v>
      </c>
    </row>
    <row r="126" spans="1:12" ht="12" hidden="1" customHeight="1">
      <c r="A126" s="87" t="s">
        <v>43</v>
      </c>
      <c r="B126" s="806"/>
      <c r="C126" s="806">
        <f>205.9+1342.3</f>
        <v>1548.2</v>
      </c>
      <c r="D126" s="806">
        <f>510+193.9</f>
        <v>703.9</v>
      </c>
      <c r="E126" s="806">
        <v>11</v>
      </c>
      <c r="F126" s="806">
        <f>22.2+506.8</f>
        <v>529</v>
      </c>
      <c r="G126" s="806" t="s">
        <v>88</v>
      </c>
      <c r="H126" s="806">
        <v>19</v>
      </c>
      <c r="I126" s="806">
        <f>245.9+395.2</f>
        <v>641.1</v>
      </c>
      <c r="J126" s="806">
        <f>11214.8+792.5+14067.5+156.3</f>
        <v>26231.1</v>
      </c>
      <c r="K126" s="806">
        <f>940.3+3484.8</f>
        <v>4425.1000000000004</v>
      </c>
      <c r="L126" s="806">
        <f t="shared" si="14"/>
        <v>34108.400000000001</v>
      </c>
    </row>
    <row r="127" spans="1:12" ht="12" hidden="1" customHeight="1">
      <c r="A127" s="87" t="s">
        <v>44</v>
      </c>
      <c r="B127" s="806"/>
      <c r="C127" s="806">
        <v>1706.2</v>
      </c>
      <c r="D127" s="806">
        <v>700</v>
      </c>
      <c r="E127" s="806">
        <v>11</v>
      </c>
      <c r="F127" s="806">
        <f>22.2+506.8</f>
        <v>529</v>
      </c>
      <c r="G127" s="806" t="s">
        <v>88</v>
      </c>
      <c r="H127" s="806">
        <v>20.399999999999999</v>
      </c>
      <c r="I127" s="806">
        <v>591.6</v>
      </c>
      <c r="J127" s="806">
        <v>26739.8</v>
      </c>
      <c r="K127" s="806">
        <v>5003.8</v>
      </c>
      <c r="L127" s="806">
        <f t="shared" si="14"/>
        <v>35301.800000000003</v>
      </c>
    </row>
    <row r="128" spans="1:12" ht="12" hidden="1" customHeight="1">
      <c r="A128" s="87" t="s">
        <v>45</v>
      </c>
      <c r="B128" s="806"/>
      <c r="C128" s="806">
        <f>319.6+987.3</f>
        <v>1306.9000000000001</v>
      </c>
      <c r="D128" s="806">
        <f>900+394</f>
        <v>1294</v>
      </c>
      <c r="E128" s="806">
        <v>11</v>
      </c>
      <c r="F128" s="806">
        <f>22.2+833.8</f>
        <v>856</v>
      </c>
      <c r="G128" s="806" t="s">
        <v>88</v>
      </c>
      <c r="H128" s="806">
        <v>17</v>
      </c>
      <c r="I128" s="806">
        <f>214.5+316.6</f>
        <v>531.1</v>
      </c>
      <c r="J128" s="806">
        <f>11943.6+786.9+13935.2+147.1</f>
        <v>26812.799999999999</v>
      </c>
      <c r="K128" s="806">
        <f>962.6+4145</f>
        <v>5107.6000000000004</v>
      </c>
      <c r="L128" s="806">
        <f t="shared" ref="L128:L133" si="15">SUM(C128:K128)</f>
        <v>35936.400000000001</v>
      </c>
    </row>
    <row r="129" spans="1:12" ht="12" hidden="1" customHeight="1">
      <c r="A129" s="87" t="s">
        <v>46</v>
      </c>
      <c r="B129" s="806"/>
      <c r="C129" s="806">
        <f>621.9+1113.2</f>
        <v>1735.1</v>
      </c>
      <c r="D129" s="806">
        <f>500+150</f>
        <v>650</v>
      </c>
      <c r="E129" s="806">
        <v>11</v>
      </c>
      <c r="F129" s="806">
        <f>22.2+833.8</f>
        <v>856</v>
      </c>
      <c r="G129" s="806" t="s">
        <v>88</v>
      </c>
      <c r="H129" s="806">
        <v>17</v>
      </c>
      <c r="I129" s="806">
        <f>201.5+376.1</f>
        <v>577.6</v>
      </c>
      <c r="J129" s="806">
        <f>12146.6+786.6+14308.3+146.2</f>
        <v>27387.7</v>
      </c>
      <c r="K129" s="806">
        <f>1037.8+4233.9</f>
        <v>5271.7</v>
      </c>
      <c r="L129" s="806">
        <f t="shared" si="15"/>
        <v>36506.1</v>
      </c>
    </row>
    <row r="130" spans="1:12" ht="12" hidden="1" customHeight="1">
      <c r="A130" s="87" t="s">
        <v>47</v>
      </c>
      <c r="B130" s="806"/>
      <c r="C130" s="806">
        <f>75.9+1473.1</f>
        <v>1549</v>
      </c>
      <c r="D130" s="806">
        <f>500</f>
        <v>500</v>
      </c>
      <c r="E130" s="806">
        <v>11</v>
      </c>
      <c r="F130" s="806">
        <f>15.8+833.8</f>
        <v>849.59999999999991</v>
      </c>
      <c r="G130" s="806" t="s">
        <v>88</v>
      </c>
      <c r="H130" s="806">
        <v>658.1</v>
      </c>
      <c r="I130" s="806">
        <f>197.3+376.1</f>
        <v>573.40000000000009</v>
      </c>
      <c r="J130" s="806">
        <f>12300.1+785.4+13927+787.9</f>
        <v>27800.400000000001</v>
      </c>
      <c r="K130" s="806">
        <f>1078.2+3753.5</f>
        <v>4831.7</v>
      </c>
      <c r="L130" s="806">
        <f t="shared" si="15"/>
        <v>36773.199999999997</v>
      </c>
    </row>
    <row r="131" spans="1:12" ht="12" hidden="1" customHeight="1">
      <c r="A131" s="87" t="s">
        <v>48</v>
      </c>
      <c r="B131" s="806"/>
      <c r="C131" s="806">
        <f>294+902.4</f>
        <v>1196.4000000000001</v>
      </c>
      <c r="D131" s="806">
        <f>300+1000</f>
        <v>1300</v>
      </c>
      <c r="E131" s="806">
        <v>11</v>
      </c>
      <c r="F131" s="806">
        <f>13.1+833.8</f>
        <v>846.9</v>
      </c>
      <c r="G131" s="806" t="s">
        <v>88</v>
      </c>
      <c r="H131" s="806">
        <v>636.9</v>
      </c>
      <c r="I131" s="806">
        <f>174.8+176.1</f>
        <v>350.9</v>
      </c>
      <c r="J131" s="806">
        <f>12575.5+773.4+13760.5+796.1</f>
        <v>27905.5</v>
      </c>
      <c r="K131" s="806">
        <f>1020.7+3600.5</f>
        <v>4621.2</v>
      </c>
      <c r="L131" s="806">
        <f t="shared" si="15"/>
        <v>36868.799999999996</v>
      </c>
    </row>
    <row r="132" spans="1:12" ht="12" hidden="1" customHeight="1">
      <c r="A132" s="87" t="s">
        <v>49</v>
      </c>
      <c r="B132" s="806"/>
      <c r="C132" s="806">
        <f>246.9+618.2</f>
        <v>865.1</v>
      </c>
      <c r="D132" s="806">
        <f>300</f>
        <v>300</v>
      </c>
      <c r="E132" s="806">
        <f>0+11</f>
        <v>11</v>
      </c>
      <c r="F132" s="806">
        <f>6.7+833.8</f>
        <v>840.5</v>
      </c>
      <c r="G132" s="806" t="s">
        <v>88</v>
      </c>
      <c r="H132" s="806">
        <f>624.4</f>
        <v>624.4</v>
      </c>
      <c r="I132" s="806">
        <f>185+324</f>
        <v>509</v>
      </c>
      <c r="J132" s="806">
        <f>12663.6+769.7+14601.3+789.3</f>
        <v>28823.899999999998</v>
      </c>
      <c r="K132" s="806">
        <f>1043.1+3568.7</f>
        <v>4611.7999999999993</v>
      </c>
      <c r="L132" s="806">
        <f t="shared" si="15"/>
        <v>36585.699999999997</v>
      </c>
    </row>
    <row r="133" spans="1:12" ht="12" hidden="1" customHeight="1">
      <c r="A133" s="87" t="s">
        <v>50</v>
      </c>
      <c r="B133" s="806"/>
      <c r="C133" s="806">
        <f>368.4+1042.3</f>
        <v>1410.6999999999998</v>
      </c>
      <c r="D133" s="806">
        <v>450</v>
      </c>
      <c r="E133" s="806">
        <f>0+11</f>
        <v>11</v>
      </c>
      <c r="F133" s="806">
        <f>833.8</f>
        <v>833.8</v>
      </c>
      <c r="G133" s="806" t="s">
        <v>88</v>
      </c>
      <c r="H133" s="806">
        <v>615.9</v>
      </c>
      <c r="I133" s="806">
        <f>166.6+176.1</f>
        <v>342.7</v>
      </c>
      <c r="J133" s="806">
        <f>12723.8+781.9+14884.8+758.3</f>
        <v>29148.799999999999</v>
      </c>
      <c r="K133" s="806">
        <f>967.8+3396.8</f>
        <v>4364.6000000000004</v>
      </c>
      <c r="L133" s="806">
        <f t="shared" si="15"/>
        <v>37177.5</v>
      </c>
    </row>
    <row r="134" spans="1:12" ht="12" hidden="1" customHeight="1">
      <c r="A134" s="222"/>
      <c r="B134" s="806"/>
      <c r="C134" s="806"/>
      <c r="D134" s="806"/>
      <c r="E134" s="806"/>
      <c r="F134" s="806"/>
      <c r="G134" s="806"/>
      <c r="H134" s="806"/>
      <c r="I134" s="806"/>
      <c r="J134" s="806"/>
      <c r="K134" s="806"/>
      <c r="L134" s="806"/>
    </row>
    <row r="135" spans="1:12" ht="12" hidden="1" customHeight="1">
      <c r="A135" s="87" t="s">
        <v>59</v>
      </c>
      <c r="B135" s="806"/>
      <c r="C135" s="806">
        <f>578.7+723.7</f>
        <v>1302.4000000000001</v>
      </c>
      <c r="D135" s="806">
        <v>150</v>
      </c>
      <c r="E135" s="806">
        <f t="shared" ref="E135:E157" si="16">0+11</f>
        <v>11</v>
      </c>
      <c r="F135" s="806">
        <f>833.8+11</f>
        <v>844.8</v>
      </c>
      <c r="G135" s="806" t="s">
        <v>88</v>
      </c>
      <c r="H135" s="806">
        <v>26.4</v>
      </c>
      <c r="I135" s="806">
        <f>78.4+176.1</f>
        <v>254.5</v>
      </c>
      <c r="J135" s="806">
        <f>13512.9+825.9+15002.4+823.1</f>
        <v>30164.299999999996</v>
      </c>
      <c r="K135" s="806">
        <f>1042.9+3544.6</f>
        <v>4587.5</v>
      </c>
      <c r="L135" s="806">
        <f t="shared" ref="L135:L140" si="17">SUM(C135:K135)</f>
        <v>37340.899999999994</v>
      </c>
    </row>
    <row r="136" spans="1:12" ht="12" hidden="1" customHeight="1">
      <c r="A136" s="87" t="s">
        <v>40</v>
      </c>
      <c r="B136" s="806"/>
      <c r="C136" s="806">
        <f>294.2+530.2</f>
        <v>824.40000000000009</v>
      </c>
      <c r="D136" s="806">
        <v>300</v>
      </c>
      <c r="E136" s="806">
        <f t="shared" si="16"/>
        <v>11</v>
      </c>
      <c r="F136" s="806">
        <f>833.8+2.3</f>
        <v>836.09999999999991</v>
      </c>
      <c r="G136" s="806" t="s">
        <v>88</v>
      </c>
      <c r="H136" s="806">
        <v>3.5</v>
      </c>
      <c r="I136" s="806">
        <f>68.5+176.1</f>
        <v>244.6</v>
      </c>
      <c r="J136" s="806">
        <f>14069.8+816.6+14854.4+873.4</f>
        <v>30614.2</v>
      </c>
      <c r="K136" s="806">
        <f>1130.5+3900.6</f>
        <v>5031.1000000000004</v>
      </c>
      <c r="L136" s="806">
        <f t="shared" si="17"/>
        <v>37864.9</v>
      </c>
    </row>
    <row r="137" spans="1:12" ht="12" hidden="1" customHeight="1">
      <c r="A137" s="87" t="s">
        <v>41</v>
      </c>
      <c r="B137" s="806"/>
      <c r="C137" s="806">
        <f>266+377.8</f>
        <v>643.79999999999995</v>
      </c>
      <c r="D137" s="806">
        <v>650</v>
      </c>
      <c r="E137" s="806">
        <f t="shared" si="16"/>
        <v>11</v>
      </c>
      <c r="F137" s="806">
        <f>833.8</f>
        <v>833.8</v>
      </c>
      <c r="G137" s="806" t="s">
        <v>88</v>
      </c>
      <c r="H137" s="806">
        <v>47.5</v>
      </c>
      <c r="I137" s="806">
        <f>60.2+218.2</f>
        <v>278.39999999999998</v>
      </c>
      <c r="J137" s="806">
        <f>13994.5+829+15318.2+857.6</f>
        <v>30999.3</v>
      </c>
      <c r="K137" s="806">
        <f>1012.8+3575.4</f>
        <v>4588.2</v>
      </c>
      <c r="L137" s="806">
        <f t="shared" si="17"/>
        <v>38052</v>
      </c>
    </row>
    <row r="138" spans="1:12" ht="12" hidden="1" customHeight="1">
      <c r="A138" s="87" t="s">
        <v>42</v>
      </c>
      <c r="B138" s="806"/>
      <c r="C138" s="806">
        <f>201.3+299.1</f>
        <v>500.40000000000003</v>
      </c>
      <c r="D138" s="806">
        <v>650</v>
      </c>
      <c r="E138" s="806">
        <f t="shared" si="16"/>
        <v>11</v>
      </c>
      <c r="F138" s="806">
        <f>833.8</f>
        <v>833.8</v>
      </c>
      <c r="G138" s="806" t="s">
        <v>88</v>
      </c>
      <c r="H138" s="806">
        <v>18.399999999999999</v>
      </c>
      <c r="I138" s="806">
        <f>56+332.9</f>
        <v>388.9</v>
      </c>
      <c r="J138" s="806">
        <f>14342.8+831.7+15274.6+926.7</f>
        <v>31375.8</v>
      </c>
      <c r="K138" s="806">
        <f>1064.2+3433.1</f>
        <v>4497.3</v>
      </c>
      <c r="L138" s="806">
        <f t="shared" si="17"/>
        <v>38275.600000000006</v>
      </c>
    </row>
    <row r="139" spans="1:12" ht="12" hidden="1" customHeight="1">
      <c r="A139" s="87" t="s">
        <v>43</v>
      </c>
      <c r="B139" s="806"/>
      <c r="C139" s="806">
        <f>375.8+241.4</f>
        <v>617.20000000000005</v>
      </c>
      <c r="D139" s="806">
        <v>700</v>
      </c>
      <c r="E139" s="806">
        <f t="shared" si="16"/>
        <v>11</v>
      </c>
      <c r="F139" s="806">
        <f>833.8</f>
        <v>833.8</v>
      </c>
      <c r="G139" s="806" t="s">
        <v>88</v>
      </c>
      <c r="H139" s="806">
        <v>124.3</v>
      </c>
      <c r="I139" s="806">
        <f>51.7+176.1</f>
        <v>227.8</v>
      </c>
      <c r="J139" s="806">
        <f>14518.4+866.1+15437+885.5</f>
        <v>31707</v>
      </c>
      <c r="K139" s="806">
        <f>1121.6+3670.1</f>
        <v>4791.7</v>
      </c>
      <c r="L139" s="806">
        <f t="shared" si="17"/>
        <v>39012.799999999996</v>
      </c>
    </row>
    <row r="140" spans="1:12" ht="12" hidden="1" customHeight="1">
      <c r="A140" s="87" t="s">
        <v>44</v>
      </c>
      <c r="B140" s="806"/>
      <c r="C140" s="806">
        <f>271+569.3</f>
        <v>840.3</v>
      </c>
      <c r="D140" s="806">
        <v>850</v>
      </c>
      <c r="E140" s="806">
        <f t="shared" si="16"/>
        <v>11</v>
      </c>
      <c r="F140" s="806">
        <f>833.8</f>
        <v>833.8</v>
      </c>
      <c r="G140" s="806" t="s">
        <v>88</v>
      </c>
      <c r="H140" s="806">
        <v>122</v>
      </c>
      <c r="I140" s="806">
        <f>47.5+728.9</f>
        <v>776.4</v>
      </c>
      <c r="J140" s="806">
        <f>14758.6+890.4+15372.4+929.4</f>
        <v>31950.800000000003</v>
      </c>
      <c r="K140" s="806">
        <f>1058.4+3723.6</f>
        <v>4782</v>
      </c>
      <c r="L140" s="806">
        <f t="shared" si="17"/>
        <v>40166.300000000003</v>
      </c>
    </row>
    <row r="141" spans="1:12" ht="12" hidden="1" customHeight="1">
      <c r="A141" s="87" t="s">
        <v>45</v>
      </c>
      <c r="B141" s="806"/>
      <c r="C141" s="806">
        <f>178.5+202.5</f>
        <v>381</v>
      </c>
      <c r="D141" s="806">
        <v>858.3</v>
      </c>
      <c r="E141" s="806">
        <f t="shared" si="16"/>
        <v>11</v>
      </c>
      <c r="F141" s="806">
        <f>833.8</f>
        <v>833.8</v>
      </c>
      <c r="G141" s="806" t="s">
        <v>88</v>
      </c>
      <c r="H141" s="806">
        <v>694.8</v>
      </c>
      <c r="I141" s="806">
        <f>40.6+1122.2</f>
        <v>1162.8</v>
      </c>
      <c r="J141" s="806">
        <f>14507.4+907.6+15575.3+977.2</f>
        <v>31967.5</v>
      </c>
      <c r="K141" s="806">
        <f>1032.4+3389.1</f>
        <v>4421.5</v>
      </c>
      <c r="L141" s="806">
        <f t="shared" ref="L141:L146" si="18">SUM(C141:K141)</f>
        <v>40330.699999999997</v>
      </c>
    </row>
    <row r="142" spans="1:12" ht="12" hidden="1" customHeight="1">
      <c r="A142" s="87" t="s">
        <v>46</v>
      </c>
      <c r="B142" s="806"/>
      <c r="C142" s="806">
        <f>278.2+246.8</f>
        <v>525</v>
      </c>
      <c r="D142" s="806">
        <v>700</v>
      </c>
      <c r="E142" s="806">
        <f t="shared" si="16"/>
        <v>11</v>
      </c>
      <c r="F142" s="806">
        <f>833.8+75.6</f>
        <v>909.4</v>
      </c>
      <c r="G142" s="806" t="s">
        <v>88</v>
      </c>
      <c r="H142" s="806">
        <v>741.3</v>
      </c>
      <c r="I142" s="806">
        <f>35.4+615.9</f>
        <v>651.29999999999995</v>
      </c>
      <c r="J142" s="806">
        <f>14600.2+934.1+15284.9+956.5</f>
        <v>31775.7</v>
      </c>
      <c r="K142" s="806">
        <f>1055.7+5013.6</f>
        <v>6069.3</v>
      </c>
      <c r="L142" s="806">
        <f t="shared" si="18"/>
        <v>41383</v>
      </c>
    </row>
    <row r="143" spans="1:12" hidden="1">
      <c r="A143" s="87" t="s">
        <v>47</v>
      </c>
      <c r="B143" s="806"/>
      <c r="C143" s="806">
        <f>311.9+898.7</f>
        <v>1210.5999999999999</v>
      </c>
      <c r="D143" s="806">
        <v>450</v>
      </c>
      <c r="E143" s="806">
        <f t="shared" si="16"/>
        <v>11</v>
      </c>
      <c r="F143" s="806">
        <f>833.8+73.8</f>
        <v>907.59999999999991</v>
      </c>
      <c r="G143" s="806" t="s">
        <v>88</v>
      </c>
      <c r="H143" s="806">
        <v>725.9</v>
      </c>
      <c r="I143" s="806">
        <f>34.2+754.8</f>
        <v>789</v>
      </c>
      <c r="J143" s="806">
        <f>15157+928.7+15212.1+955.3</f>
        <v>32253.100000000002</v>
      </c>
      <c r="K143" s="806">
        <f>1122.1+4982.4</f>
        <v>6104.5</v>
      </c>
      <c r="L143" s="806">
        <f t="shared" si="18"/>
        <v>42451.700000000004</v>
      </c>
    </row>
    <row r="144" spans="1:12" ht="11.25" hidden="1" customHeight="1">
      <c r="A144" s="87" t="s">
        <v>48</v>
      </c>
      <c r="B144" s="806"/>
      <c r="C144" s="806">
        <f>342.5+900</f>
        <v>1242.5</v>
      </c>
      <c r="D144" s="806">
        <v>750</v>
      </c>
      <c r="E144" s="806">
        <f t="shared" si="16"/>
        <v>11</v>
      </c>
      <c r="F144" s="806">
        <f>72+833.8</f>
        <v>905.8</v>
      </c>
      <c r="G144" s="806" t="s">
        <v>88</v>
      </c>
      <c r="H144" s="806">
        <v>714.4</v>
      </c>
      <c r="I144" s="806">
        <f>33.7+692.8</f>
        <v>726.5</v>
      </c>
      <c r="J144" s="806">
        <f>15672+931.9+16323.1+969.9</f>
        <v>33896.9</v>
      </c>
      <c r="K144" s="806">
        <f>1077.7+3818.7</f>
        <v>4896.3999999999996</v>
      </c>
      <c r="L144" s="806">
        <f t="shared" si="18"/>
        <v>43143.500000000007</v>
      </c>
    </row>
    <row r="145" spans="1:14" ht="11.25" hidden="1" customHeight="1">
      <c r="A145" s="87" t="s">
        <v>49</v>
      </c>
      <c r="B145" s="806"/>
      <c r="C145" s="806">
        <f>689+609.3</f>
        <v>1298.3</v>
      </c>
      <c r="D145" s="806">
        <v>750</v>
      </c>
      <c r="E145" s="806">
        <f t="shared" si="16"/>
        <v>11</v>
      </c>
      <c r="F145" s="806">
        <f>71.1+833.8</f>
        <v>904.9</v>
      </c>
      <c r="G145" s="806" t="s">
        <v>88</v>
      </c>
      <c r="H145" s="806">
        <v>712.2</v>
      </c>
      <c r="I145" s="806">
        <f>29.8+760.5</f>
        <v>790.3</v>
      </c>
      <c r="J145" s="806">
        <f>16077.1+919+15624.5+983.3</f>
        <v>33603.9</v>
      </c>
      <c r="K145" s="806">
        <f>1126+4115.1</f>
        <v>5241.1000000000004</v>
      </c>
      <c r="L145" s="806">
        <f t="shared" si="18"/>
        <v>43311.700000000004</v>
      </c>
    </row>
    <row r="146" spans="1:14" ht="11.25" hidden="1" customHeight="1">
      <c r="A146" s="87" t="s">
        <v>50</v>
      </c>
      <c r="B146" s="806"/>
      <c r="C146" s="806">
        <f>762.5+957.7</f>
        <v>1720.2</v>
      </c>
      <c r="D146" s="806">
        <v>750</v>
      </c>
      <c r="E146" s="806">
        <f t="shared" si="16"/>
        <v>11</v>
      </c>
      <c r="F146" s="806">
        <f>68.2+833.8</f>
        <v>902</v>
      </c>
      <c r="G146" s="806" t="s">
        <v>88</v>
      </c>
      <c r="H146" s="806">
        <v>657</v>
      </c>
      <c r="I146" s="806">
        <f>24.4+728.3+10.8</f>
        <v>763.49999999999989</v>
      </c>
      <c r="J146" s="806">
        <f>15766.6+857.8+16123.7+1007.3</f>
        <v>33755.4</v>
      </c>
      <c r="K146" s="806">
        <f>1070.7+3901.4</f>
        <v>4972.1000000000004</v>
      </c>
      <c r="L146" s="806">
        <f t="shared" si="18"/>
        <v>43531.199999999997</v>
      </c>
    </row>
    <row r="147" spans="1:14" ht="11.25" hidden="1" customHeight="1">
      <c r="A147" s="87"/>
      <c r="B147" s="806"/>
      <c r="C147" s="806"/>
      <c r="D147" s="806"/>
      <c r="E147" s="806"/>
      <c r="F147" s="806"/>
      <c r="G147" s="806"/>
      <c r="H147" s="806"/>
      <c r="I147" s="806"/>
      <c r="J147" s="806"/>
      <c r="K147" s="806"/>
      <c r="L147" s="806"/>
    </row>
    <row r="148" spans="1:14" ht="12.75" hidden="1" customHeight="1">
      <c r="A148" s="87" t="s">
        <v>58</v>
      </c>
      <c r="B148" s="806"/>
      <c r="C148" s="806">
        <f>1044.6+942.5</f>
        <v>1987.1</v>
      </c>
      <c r="D148" s="806">
        <v>600</v>
      </c>
      <c r="E148" s="806">
        <f t="shared" si="16"/>
        <v>11</v>
      </c>
      <c r="F148" s="806">
        <f>66.4+833.8</f>
        <v>900.19999999999993</v>
      </c>
      <c r="G148" s="806" t="s">
        <v>88</v>
      </c>
      <c r="H148" s="806">
        <v>653.1</v>
      </c>
      <c r="I148" s="806">
        <f>23.8+1218.4+10.8</f>
        <v>1253</v>
      </c>
      <c r="J148" s="806">
        <f>16360.5+924+15278.1+1099.2</f>
        <v>33661.799999999996</v>
      </c>
      <c r="K148" s="806">
        <f>1131.7+4318.3</f>
        <v>5450</v>
      </c>
      <c r="L148" s="806">
        <f t="shared" ref="L148:L153" si="19">SUM(C148:K148)</f>
        <v>44516.2</v>
      </c>
    </row>
    <row r="149" spans="1:14" hidden="1">
      <c r="A149" s="87" t="s">
        <v>40</v>
      </c>
      <c r="B149" s="806"/>
      <c r="C149" s="806">
        <f>1030.8+1937.9</f>
        <v>2968.7</v>
      </c>
      <c r="D149" s="806">
        <v>600</v>
      </c>
      <c r="E149" s="806">
        <f t="shared" si="16"/>
        <v>11</v>
      </c>
      <c r="F149" s="806">
        <f>64.5+833.8</f>
        <v>898.3</v>
      </c>
      <c r="G149" s="806" t="s">
        <v>88</v>
      </c>
      <c r="H149" s="806">
        <v>638.5</v>
      </c>
      <c r="I149" s="806">
        <f>23.5+616.6+10.8</f>
        <v>650.9</v>
      </c>
      <c r="J149" s="806">
        <f>16734.5+946.2+15489.5+1165</f>
        <v>34335.199999999997</v>
      </c>
      <c r="K149" s="806">
        <f>1149.6+3676</f>
        <v>4825.6000000000004</v>
      </c>
      <c r="L149" s="806">
        <f t="shared" si="19"/>
        <v>44928.2</v>
      </c>
    </row>
    <row r="150" spans="1:14" ht="12" hidden="1" customHeight="1">
      <c r="A150" s="87" t="s">
        <v>41</v>
      </c>
      <c r="B150" s="806"/>
      <c r="C150" s="806">
        <f>966.5+1270.6</f>
        <v>2237.1</v>
      </c>
      <c r="D150" s="806">
        <v>1100</v>
      </c>
      <c r="E150" s="806">
        <f t="shared" si="16"/>
        <v>11</v>
      </c>
      <c r="F150" s="806">
        <f>62.5+833.8</f>
        <v>896.3</v>
      </c>
      <c r="G150" s="806" t="s">
        <v>88</v>
      </c>
      <c r="H150" s="806">
        <v>621.20000000000005</v>
      </c>
      <c r="I150" s="806">
        <f>22.8+607.7+10.8</f>
        <v>641.29999999999995</v>
      </c>
      <c r="J150" s="806">
        <f>16996+1043.9+15614.1+1283.1</f>
        <v>34937.1</v>
      </c>
      <c r="K150" s="806">
        <f>1065.4+3264.1</f>
        <v>4329.5</v>
      </c>
      <c r="L150" s="806">
        <f t="shared" si="19"/>
        <v>44773.5</v>
      </c>
    </row>
    <row r="151" spans="1:14" ht="12" hidden="1" customHeight="1">
      <c r="A151" s="87" t="s">
        <v>42</v>
      </c>
      <c r="B151" s="806"/>
      <c r="C151" s="806">
        <f>853.5+832.9</f>
        <v>1686.4</v>
      </c>
      <c r="D151" s="806">
        <v>1450</v>
      </c>
      <c r="E151" s="806">
        <f t="shared" si="16"/>
        <v>11</v>
      </c>
      <c r="F151" s="806">
        <f>59.5+833.8</f>
        <v>893.3</v>
      </c>
      <c r="G151" s="806" t="s">
        <v>88</v>
      </c>
      <c r="H151" s="806">
        <v>606.79999999999995</v>
      </c>
      <c r="I151" s="806">
        <f>22.5+681.6+10.8</f>
        <v>714.9</v>
      </c>
      <c r="J151" s="806">
        <f>17034.4+1042+15714.6+1315.8</f>
        <v>35106.800000000003</v>
      </c>
      <c r="K151" s="806">
        <f>1068.8+3009.1</f>
        <v>4077.8999999999996</v>
      </c>
      <c r="L151" s="806">
        <f t="shared" si="19"/>
        <v>44547.100000000006</v>
      </c>
    </row>
    <row r="152" spans="1:14" ht="12" hidden="1" customHeight="1">
      <c r="A152" s="87" t="s">
        <v>43</v>
      </c>
      <c r="B152" s="806"/>
      <c r="C152" s="806">
        <f>1174.3+405.8</f>
        <v>1580.1</v>
      </c>
      <c r="D152" s="806">
        <v>1450</v>
      </c>
      <c r="E152" s="806">
        <f t="shared" si="16"/>
        <v>11</v>
      </c>
      <c r="F152" s="806">
        <f>59.5+833.8</f>
        <v>893.3</v>
      </c>
      <c r="G152" s="806" t="s">
        <v>88</v>
      </c>
      <c r="H152" s="806">
        <v>586.79999999999995</v>
      </c>
      <c r="I152" s="806">
        <f>21.8+681.2+10.8</f>
        <v>713.8</v>
      </c>
      <c r="J152" s="806">
        <f>16926+1027.2+15898.6+1386.1</f>
        <v>35237.9</v>
      </c>
      <c r="K152" s="806">
        <f>1137.6+3320.1</f>
        <v>4457.7</v>
      </c>
      <c r="L152" s="806">
        <f t="shared" si="19"/>
        <v>44930.6</v>
      </c>
    </row>
    <row r="153" spans="1:14" ht="12" hidden="1" customHeight="1">
      <c r="A153" s="87" t="s">
        <v>44</v>
      </c>
      <c r="B153" s="806"/>
      <c r="C153" s="806">
        <f>1325.2+356.7</f>
        <v>1681.9</v>
      </c>
      <c r="D153" s="806">
        <v>950</v>
      </c>
      <c r="E153" s="806">
        <f t="shared" si="16"/>
        <v>11</v>
      </c>
      <c r="F153" s="806">
        <f>57.5+833.8</f>
        <v>891.3</v>
      </c>
      <c r="G153" s="806" t="s">
        <v>88</v>
      </c>
      <c r="H153" s="806">
        <v>579.79999999999995</v>
      </c>
      <c r="I153" s="806">
        <f>17.6+680.9+10.8</f>
        <v>709.3</v>
      </c>
      <c r="J153" s="806">
        <f>18048.9+1025.8+16765.2+1525.1</f>
        <v>37365</v>
      </c>
      <c r="K153" s="806">
        <f>1177.8+3082.4</f>
        <v>4260.2</v>
      </c>
      <c r="L153" s="806">
        <f t="shared" si="19"/>
        <v>46448.5</v>
      </c>
    </row>
    <row r="154" spans="1:14" ht="12" hidden="1" customHeight="1">
      <c r="A154" s="87" t="s">
        <v>45</v>
      </c>
      <c r="B154" s="806"/>
      <c r="C154" s="806">
        <f>749+875.1</f>
        <v>1624.1</v>
      </c>
      <c r="D154" s="806">
        <v>1350</v>
      </c>
      <c r="E154" s="806">
        <f t="shared" si="16"/>
        <v>11</v>
      </c>
      <c r="F154" s="806">
        <f>53.5+833.8</f>
        <v>887.3</v>
      </c>
      <c r="G154" s="806" t="s">
        <v>88</v>
      </c>
      <c r="H154" s="806">
        <v>230.2</v>
      </c>
      <c r="I154" s="806">
        <f>17.1+681.4+10.8</f>
        <v>709.3</v>
      </c>
      <c r="J154" s="806">
        <f>19253.4+1056.9+17949.3+1597.9</f>
        <v>39857.500000000007</v>
      </c>
      <c r="K154" s="806">
        <f>1171.8+3329.6</f>
        <v>4501.3999999999996</v>
      </c>
      <c r="L154" s="806">
        <f>SUM(C154:K154)</f>
        <v>49170.80000000001</v>
      </c>
    </row>
    <row r="155" spans="1:14" ht="12" hidden="1" customHeight="1">
      <c r="A155" s="87" t="s">
        <v>46</v>
      </c>
      <c r="B155" s="806"/>
      <c r="C155" s="806">
        <f>876.3+738.2</f>
        <v>1614.5</v>
      </c>
      <c r="D155" s="806">
        <v>850</v>
      </c>
      <c r="E155" s="806">
        <f t="shared" si="16"/>
        <v>11</v>
      </c>
      <c r="F155" s="806">
        <f>51.4+833.8</f>
        <v>885.19999999999993</v>
      </c>
      <c r="G155" s="806" t="s">
        <v>88</v>
      </c>
      <c r="H155" s="806">
        <v>595.79999999999995</v>
      </c>
      <c r="I155" s="806">
        <f>16.6+707.7+10.8</f>
        <v>735.1</v>
      </c>
      <c r="J155" s="806">
        <f>19725+1051.8+19035.7+1636.7</f>
        <v>41449.199999999997</v>
      </c>
      <c r="K155" s="806">
        <f>1266.8+3653.1</f>
        <v>4919.8999999999996</v>
      </c>
      <c r="L155" s="806">
        <f>SUM(C155:K155)</f>
        <v>51060.7</v>
      </c>
    </row>
    <row r="156" spans="1:14" ht="12" hidden="1" customHeight="1">
      <c r="A156" s="87" t="s">
        <v>47</v>
      </c>
      <c r="B156" s="806"/>
      <c r="C156" s="806">
        <f>1269.8+1547.2</f>
        <v>2817</v>
      </c>
      <c r="D156" s="806">
        <v>450</v>
      </c>
      <c r="E156" s="806">
        <f t="shared" si="16"/>
        <v>11</v>
      </c>
      <c r="F156" s="806">
        <f>51.4+833.8</f>
        <v>885.19999999999993</v>
      </c>
      <c r="G156" s="806" t="s">
        <v>88</v>
      </c>
      <c r="H156" s="806">
        <v>593.20000000000005</v>
      </c>
      <c r="I156" s="806">
        <f>16+707.5+10.8</f>
        <v>734.3</v>
      </c>
      <c r="J156" s="806">
        <f>20019.2+1041.5+21291.3+1338.1</f>
        <v>43690.1</v>
      </c>
      <c r="K156" s="806">
        <f>1249.2+3581.5</f>
        <v>4830.7</v>
      </c>
      <c r="L156" s="806">
        <f>SUM(C156:K156)</f>
        <v>54011.499999999993</v>
      </c>
    </row>
    <row r="157" spans="1:14" ht="12" hidden="1" customHeight="1">
      <c r="A157" s="87" t="s">
        <v>48</v>
      </c>
      <c r="B157" s="806"/>
      <c r="C157" s="806">
        <f>558.6+3504.9</f>
        <v>4063.5</v>
      </c>
      <c r="D157" s="806">
        <v>450</v>
      </c>
      <c r="E157" s="806">
        <f t="shared" si="16"/>
        <v>11</v>
      </c>
      <c r="F157" s="806">
        <f>49.3+833.8</f>
        <v>883.09999999999991</v>
      </c>
      <c r="G157" s="806" t="s">
        <v>88</v>
      </c>
      <c r="H157" s="806">
        <v>209.6</v>
      </c>
      <c r="I157" s="806">
        <f>15.4+707.5+10.8</f>
        <v>733.69999999999993</v>
      </c>
      <c r="J157" s="806">
        <f>21543.8+1060.2+21609.5+1344.1-10.8</f>
        <v>45546.799999999996</v>
      </c>
      <c r="K157" s="806">
        <f>1344.8+4020.8</f>
        <v>5365.6</v>
      </c>
      <c r="L157" s="806">
        <f>SUM(C157:K157)</f>
        <v>57263.299999999996</v>
      </c>
    </row>
    <row r="158" spans="1:14" ht="12" hidden="1" customHeight="1">
      <c r="A158" s="87" t="s">
        <v>49</v>
      </c>
      <c r="B158" s="806"/>
      <c r="C158" s="806">
        <f>1496.3+3530.7</f>
        <v>5027</v>
      </c>
      <c r="D158" s="806">
        <v>450</v>
      </c>
      <c r="E158" s="806">
        <v>11</v>
      </c>
      <c r="F158" s="806">
        <f>47.2+833.8</f>
        <v>881</v>
      </c>
      <c r="G158" s="806" t="s">
        <v>88</v>
      </c>
      <c r="H158" s="806">
        <v>552.9</v>
      </c>
      <c r="I158" s="806">
        <f>14.8+707.2+10.8</f>
        <v>732.8</v>
      </c>
      <c r="J158" s="806">
        <f>21342.5+1068.7+21781.2+1354.3-10.8</f>
        <v>45535.9</v>
      </c>
      <c r="K158" s="806">
        <f>1322+3670.9</f>
        <v>4992.8999999999996</v>
      </c>
      <c r="L158" s="806">
        <f>SUM(C158:K158)</f>
        <v>58183.5</v>
      </c>
    </row>
    <row r="159" spans="1:14" s="145" customFormat="1" ht="12" hidden="1" customHeight="1">
      <c r="A159" s="87" t="s">
        <v>50</v>
      </c>
      <c r="B159" s="805" t="s">
        <v>88</v>
      </c>
      <c r="C159" s="805">
        <v>2353.3000000000002</v>
      </c>
      <c r="D159" s="805">
        <v>450</v>
      </c>
      <c r="E159" s="805">
        <v>11</v>
      </c>
      <c r="F159" s="805">
        <v>876.6</v>
      </c>
      <c r="G159" s="805" t="s">
        <v>88</v>
      </c>
      <c r="H159" s="805">
        <v>142.9</v>
      </c>
      <c r="I159" s="805">
        <v>920.59999999999991</v>
      </c>
      <c r="J159" s="805">
        <v>46586.3</v>
      </c>
      <c r="K159" s="805">
        <v>4986.5</v>
      </c>
      <c r="L159" s="805">
        <f>SUM(B159:K159)</f>
        <v>56327.200000000004</v>
      </c>
      <c r="N159" s="69"/>
    </row>
    <row r="160" spans="1:14" s="145" customFormat="1" ht="12" hidden="1" customHeight="1">
      <c r="A160" s="87"/>
      <c r="B160" s="805"/>
      <c r="C160" s="805"/>
      <c r="D160" s="805"/>
      <c r="E160" s="805"/>
      <c r="F160" s="805"/>
      <c r="G160" s="805"/>
      <c r="H160" s="805"/>
      <c r="I160" s="805"/>
      <c r="J160" s="805"/>
      <c r="K160" s="805"/>
      <c r="L160" s="805"/>
      <c r="N160" s="69"/>
    </row>
    <row r="161" spans="1:16" ht="12" hidden="1" customHeight="1">
      <c r="A161" s="87" t="s">
        <v>57</v>
      </c>
      <c r="B161" s="805" t="s">
        <v>88</v>
      </c>
      <c r="C161" s="805">
        <v>2432.5</v>
      </c>
      <c r="D161" s="805" t="s">
        <v>88</v>
      </c>
      <c r="E161" s="805">
        <v>11</v>
      </c>
      <c r="F161" s="805">
        <v>876.59999999999991</v>
      </c>
      <c r="G161" s="805" t="s">
        <v>88</v>
      </c>
      <c r="H161" s="805">
        <v>522</v>
      </c>
      <c r="I161" s="805">
        <v>877.69999999999993</v>
      </c>
      <c r="J161" s="805">
        <v>47092.5</v>
      </c>
      <c r="K161" s="805">
        <v>4627.2</v>
      </c>
      <c r="L161" s="805">
        <f t="shared" ref="L161:L229" si="20">SUM(B161:K161)</f>
        <v>56439.5</v>
      </c>
      <c r="O161" s="498"/>
      <c r="P161" s="498"/>
    </row>
    <row r="162" spans="1:16" ht="12" hidden="1" customHeight="1">
      <c r="A162" s="87" t="s">
        <v>40</v>
      </c>
      <c r="B162" s="805" t="s">
        <v>88</v>
      </c>
      <c r="C162" s="805">
        <v>2226.8999999999996</v>
      </c>
      <c r="D162" s="805" t="s">
        <v>88</v>
      </c>
      <c r="E162" s="805">
        <v>11</v>
      </c>
      <c r="F162" s="805">
        <v>833.8</v>
      </c>
      <c r="G162" s="805" t="s">
        <v>88</v>
      </c>
      <c r="H162" s="805">
        <v>134.6</v>
      </c>
      <c r="I162" s="805">
        <v>835.4</v>
      </c>
      <c r="J162" s="805">
        <v>48523.8</v>
      </c>
      <c r="K162" s="805">
        <v>4868.8</v>
      </c>
      <c r="L162" s="805">
        <f t="shared" si="20"/>
        <v>57434.3</v>
      </c>
      <c r="O162" s="498"/>
      <c r="P162" s="498"/>
    </row>
    <row r="163" spans="1:16" ht="12" hidden="1" customHeight="1">
      <c r="A163" s="87" t="s">
        <v>41</v>
      </c>
      <c r="B163" s="805" t="s">
        <v>88</v>
      </c>
      <c r="C163" s="805">
        <v>1604.5</v>
      </c>
      <c r="D163" s="805" t="s">
        <v>88</v>
      </c>
      <c r="E163" s="805">
        <v>11</v>
      </c>
      <c r="F163" s="805">
        <v>833.80000000000007</v>
      </c>
      <c r="G163" s="805" t="s">
        <v>88</v>
      </c>
      <c r="H163" s="805">
        <v>523.1</v>
      </c>
      <c r="I163" s="805">
        <v>616.49999999999989</v>
      </c>
      <c r="J163" s="805">
        <v>49347.199999999997</v>
      </c>
      <c r="K163" s="805">
        <v>5406.2</v>
      </c>
      <c r="L163" s="805">
        <f t="shared" si="20"/>
        <v>58342.299999999996</v>
      </c>
      <c r="O163" s="498"/>
      <c r="P163" s="498"/>
    </row>
    <row r="164" spans="1:16" ht="12" hidden="1" customHeight="1">
      <c r="A164" s="87" t="s">
        <v>42</v>
      </c>
      <c r="B164" s="805" t="s">
        <v>88</v>
      </c>
      <c r="C164" s="805">
        <v>823.7</v>
      </c>
      <c r="D164" s="805">
        <v>400</v>
      </c>
      <c r="E164" s="805">
        <v>11</v>
      </c>
      <c r="F164" s="805">
        <v>833.8</v>
      </c>
      <c r="G164" s="805" t="s">
        <v>88</v>
      </c>
      <c r="H164" s="805">
        <v>522.5</v>
      </c>
      <c r="I164" s="805">
        <v>616.19999999999993</v>
      </c>
      <c r="J164" s="805">
        <v>49852.2</v>
      </c>
      <c r="K164" s="805">
        <v>5321.7</v>
      </c>
      <c r="L164" s="805">
        <f t="shared" si="20"/>
        <v>58381.099999999991</v>
      </c>
      <c r="O164" s="498"/>
      <c r="P164" s="498"/>
    </row>
    <row r="165" spans="1:16" ht="12" hidden="1" customHeight="1">
      <c r="A165" s="87" t="s">
        <v>43</v>
      </c>
      <c r="B165" s="805" t="s">
        <v>88</v>
      </c>
      <c r="C165" s="805">
        <v>1938.2000000000003</v>
      </c>
      <c r="D165" s="805" t="s">
        <v>88</v>
      </c>
      <c r="E165" s="805">
        <v>11</v>
      </c>
      <c r="F165" s="805">
        <v>833.80000000000007</v>
      </c>
      <c r="G165" s="805" t="s">
        <v>88</v>
      </c>
      <c r="H165" s="805">
        <v>487.6</v>
      </c>
      <c r="I165" s="805">
        <v>615.99999999999989</v>
      </c>
      <c r="J165" s="805">
        <v>51357.900000000009</v>
      </c>
      <c r="K165" s="805">
        <v>4793.1000000000004</v>
      </c>
      <c r="L165" s="805">
        <f t="shared" si="20"/>
        <v>60037.600000000006</v>
      </c>
      <c r="O165" s="498"/>
      <c r="P165" s="498"/>
    </row>
    <row r="166" spans="1:16" ht="12" hidden="1" customHeight="1">
      <c r="A166" s="87" t="s">
        <v>44</v>
      </c>
      <c r="B166" s="805" t="s">
        <v>88</v>
      </c>
      <c r="C166" s="805">
        <v>1708.6999999999998</v>
      </c>
      <c r="D166" s="805">
        <v>300</v>
      </c>
      <c r="E166" s="805">
        <v>11</v>
      </c>
      <c r="F166" s="805">
        <v>862.69999999999982</v>
      </c>
      <c r="G166" s="805" t="s">
        <v>88</v>
      </c>
      <c r="H166" s="805">
        <v>465.5</v>
      </c>
      <c r="I166" s="805">
        <v>614.59999999999991</v>
      </c>
      <c r="J166" s="805">
        <v>52919.6</v>
      </c>
      <c r="K166" s="805">
        <v>4347.2000000000007</v>
      </c>
      <c r="L166" s="805">
        <f t="shared" si="20"/>
        <v>61229.3</v>
      </c>
      <c r="O166" s="498"/>
      <c r="P166" s="498"/>
    </row>
    <row r="167" spans="1:16" ht="12" hidden="1" customHeight="1">
      <c r="A167" s="87" t="s">
        <v>45</v>
      </c>
      <c r="B167" s="805" t="s">
        <v>88</v>
      </c>
      <c r="C167" s="805">
        <v>815</v>
      </c>
      <c r="D167" s="805" t="s">
        <v>88</v>
      </c>
      <c r="E167" s="805">
        <v>11</v>
      </c>
      <c r="F167" s="805">
        <v>862.69999999999993</v>
      </c>
      <c r="G167" s="805" t="s">
        <v>88</v>
      </c>
      <c r="H167" s="805">
        <v>448.9</v>
      </c>
      <c r="I167" s="805">
        <v>1015.4999999999999</v>
      </c>
      <c r="J167" s="805">
        <v>53523.5</v>
      </c>
      <c r="K167" s="805">
        <v>4971.1000000000004</v>
      </c>
      <c r="L167" s="805">
        <f t="shared" si="20"/>
        <v>61647.7</v>
      </c>
      <c r="O167" s="498"/>
      <c r="P167" s="498"/>
    </row>
    <row r="168" spans="1:16" ht="12" hidden="1" customHeight="1">
      <c r="A168" s="87" t="s">
        <v>46</v>
      </c>
      <c r="B168" s="805" t="s">
        <v>88</v>
      </c>
      <c r="C168" s="805">
        <v>1096.5</v>
      </c>
      <c r="D168" s="805" t="s">
        <v>88</v>
      </c>
      <c r="E168" s="805">
        <v>11</v>
      </c>
      <c r="F168" s="805">
        <v>862.69999999999982</v>
      </c>
      <c r="G168" s="805" t="s">
        <v>88</v>
      </c>
      <c r="H168" s="805">
        <v>432</v>
      </c>
      <c r="I168" s="805">
        <v>1006.0999999999999</v>
      </c>
      <c r="J168" s="805">
        <v>53636.9</v>
      </c>
      <c r="K168" s="805">
        <v>5780.5000000000009</v>
      </c>
      <c r="L168" s="805">
        <f t="shared" si="20"/>
        <v>62825.700000000004</v>
      </c>
      <c r="O168" s="498"/>
      <c r="P168" s="498"/>
    </row>
    <row r="169" spans="1:16" ht="12" hidden="1" customHeight="1">
      <c r="A169" s="87" t="s">
        <v>47</v>
      </c>
      <c r="B169" s="805" t="s">
        <v>88</v>
      </c>
      <c r="C169" s="805">
        <v>1327.7999999999997</v>
      </c>
      <c r="D169" s="805">
        <v>150</v>
      </c>
      <c r="E169" s="805">
        <v>11</v>
      </c>
      <c r="F169" s="805">
        <v>857.8</v>
      </c>
      <c r="G169" s="805" t="s">
        <v>88</v>
      </c>
      <c r="H169" s="805">
        <v>420.2</v>
      </c>
      <c r="I169" s="805">
        <v>996.59999999999991</v>
      </c>
      <c r="J169" s="805">
        <v>54875.100000000006</v>
      </c>
      <c r="K169" s="805">
        <v>4451.7000000000007</v>
      </c>
      <c r="L169" s="805">
        <f t="shared" si="20"/>
        <v>63090.200000000012</v>
      </c>
      <c r="O169" s="498"/>
      <c r="P169" s="498"/>
    </row>
    <row r="170" spans="1:16" ht="12" hidden="1" customHeight="1">
      <c r="A170" s="87" t="s">
        <v>48</v>
      </c>
      <c r="B170" s="805" t="s">
        <v>88</v>
      </c>
      <c r="C170" s="805">
        <v>1349</v>
      </c>
      <c r="D170" s="805" t="s">
        <v>88</v>
      </c>
      <c r="E170" s="805">
        <v>11</v>
      </c>
      <c r="F170" s="805">
        <v>857.8</v>
      </c>
      <c r="G170" s="805" t="s">
        <v>88</v>
      </c>
      <c r="H170" s="805">
        <v>611</v>
      </c>
      <c r="I170" s="805">
        <v>986.99999999999989</v>
      </c>
      <c r="J170" s="805">
        <v>55623.4</v>
      </c>
      <c r="K170" s="805">
        <v>4969.3</v>
      </c>
      <c r="L170" s="805">
        <f t="shared" si="20"/>
        <v>64408.500000000007</v>
      </c>
      <c r="O170" s="498"/>
      <c r="P170" s="498"/>
    </row>
    <row r="171" spans="1:16" ht="12" hidden="1" customHeight="1">
      <c r="A171" s="87" t="s">
        <v>49</v>
      </c>
      <c r="B171" s="805" t="s">
        <v>88</v>
      </c>
      <c r="C171" s="805">
        <v>908</v>
      </c>
      <c r="D171" s="805" t="s">
        <v>88</v>
      </c>
      <c r="E171" s="805">
        <v>11</v>
      </c>
      <c r="F171" s="805">
        <v>852.69999999999982</v>
      </c>
      <c r="G171" s="805" t="s">
        <v>88</v>
      </c>
      <c r="H171" s="805">
        <v>289</v>
      </c>
      <c r="I171" s="805">
        <v>977.4</v>
      </c>
      <c r="J171" s="805">
        <v>56018.599999999991</v>
      </c>
      <c r="K171" s="805">
        <v>5437.4</v>
      </c>
      <c r="L171" s="805">
        <f t="shared" si="20"/>
        <v>64494.099999999991</v>
      </c>
      <c r="O171" s="498"/>
      <c r="P171" s="498"/>
    </row>
    <row r="172" spans="1:16" ht="12" hidden="1" customHeight="1">
      <c r="A172" s="87" t="s">
        <v>50</v>
      </c>
      <c r="B172" s="805" t="s">
        <v>88</v>
      </c>
      <c r="C172" s="805">
        <v>1069.2</v>
      </c>
      <c r="D172" s="805" t="s">
        <v>88</v>
      </c>
      <c r="E172" s="805">
        <v>11</v>
      </c>
      <c r="F172" s="805">
        <v>850.2</v>
      </c>
      <c r="G172" s="805" t="s">
        <v>88</v>
      </c>
      <c r="H172" s="805">
        <v>261.8</v>
      </c>
      <c r="I172" s="805">
        <v>967.59999999999991</v>
      </c>
      <c r="J172" s="805">
        <v>56451.100000000006</v>
      </c>
      <c r="K172" s="805">
        <v>5218.8</v>
      </c>
      <c r="L172" s="805">
        <f t="shared" si="20"/>
        <v>64829.700000000012</v>
      </c>
      <c r="O172" s="498"/>
      <c r="P172" s="498"/>
    </row>
    <row r="173" spans="1:16" ht="12" hidden="1" customHeight="1">
      <c r="A173" s="87"/>
      <c r="B173" s="805"/>
      <c r="C173" s="805"/>
      <c r="D173" s="805"/>
      <c r="E173" s="805"/>
      <c r="F173" s="805"/>
      <c r="G173" s="805"/>
      <c r="H173" s="805"/>
      <c r="I173" s="805"/>
      <c r="J173" s="805"/>
      <c r="K173" s="805"/>
      <c r="L173" s="805"/>
      <c r="O173" s="498"/>
      <c r="P173" s="498"/>
    </row>
    <row r="174" spans="1:16" ht="12" hidden="1" customHeight="1">
      <c r="A174" s="87" t="s">
        <v>56</v>
      </c>
      <c r="B174" s="805" t="s">
        <v>88</v>
      </c>
      <c r="C174" s="805">
        <v>1305.5</v>
      </c>
      <c r="D174" s="805" t="s">
        <v>88</v>
      </c>
      <c r="E174" s="805">
        <v>11</v>
      </c>
      <c r="F174" s="805">
        <v>847.5</v>
      </c>
      <c r="G174" s="805" t="s">
        <v>88</v>
      </c>
      <c r="H174" s="805">
        <v>261.8</v>
      </c>
      <c r="I174" s="805">
        <v>954.8</v>
      </c>
      <c r="J174" s="805">
        <v>56246.700000000004</v>
      </c>
      <c r="K174" s="805">
        <v>5560.5</v>
      </c>
      <c r="L174" s="805">
        <f t="shared" si="20"/>
        <v>65187.8</v>
      </c>
      <c r="O174" s="498"/>
      <c r="P174" s="498"/>
    </row>
    <row r="175" spans="1:16" ht="12" hidden="1" customHeight="1">
      <c r="A175" s="87" t="s">
        <v>40</v>
      </c>
      <c r="B175" s="805" t="s">
        <v>88</v>
      </c>
      <c r="C175" s="805">
        <v>2364.8999999999996</v>
      </c>
      <c r="D175" s="805" t="s">
        <v>88</v>
      </c>
      <c r="E175" s="805">
        <v>11</v>
      </c>
      <c r="F175" s="805">
        <v>847.49999999999989</v>
      </c>
      <c r="G175" s="805" t="s">
        <v>88</v>
      </c>
      <c r="H175" s="805">
        <v>185.9</v>
      </c>
      <c r="I175" s="805">
        <v>944.89999999999986</v>
      </c>
      <c r="J175" s="805">
        <v>55638.200000000004</v>
      </c>
      <c r="K175" s="805">
        <v>5514.5999999999995</v>
      </c>
      <c r="L175" s="805">
        <f t="shared" si="20"/>
        <v>65507</v>
      </c>
      <c r="O175" s="498"/>
      <c r="P175" s="498"/>
    </row>
    <row r="176" spans="1:16" ht="12" hidden="1" customHeight="1">
      <c r="A176" s="87" t="s">
        <v>41</v>
      </c>
      <c r="B176" s="805" t="s">
        <v>88</v>
      </c>
      <c r="C176" s="805">
        <v>1348.7</v>
      </c>
      <c r="D176" s="805" t="s">
        <v>88</v>
      </c>
      <c r="E176" s="805">
        <v>11</v>
      </c>
      <c r="F176" s="805">
        <v>844.89999999999986</v>
      </c>
      <c r="G176" s="805" t="s">
        <v>88</v>
      </c>
      <c r="H176" s="805">
        <v>617.20000000000005</v>
      </c>
      <c r="I176" s="805">
        <v>946.8</v>
      </c>
      <c r="J176" s="805">
        <v>55968.2</v>
      </c>
      <c r="K176" s="805">
        <v>6412.8000000000011</v>
      </c>
      <c r="L176" s="805">
        <f t="shared" si="20"/>
        <v>66149.599999999991</v>
      </c>
      <c r="O176" s="498"/>
      <c r="P176" s="498"/>
    </row>
    <row r="177" spans="1:16" ht="12" hidden="1" customHeight="1">
      <c r="A177" s="87" t="s">
        <v>42</v>
      </c>
      <c r="B177" s="805" t="s">
        <v>88</v>
      </c>
      <c r="C177" s="805">
        <v>2294.3999999999996</v>
      </c>
      <c r="D177" s="805">
        <v>300</v>
      </c>
      <c r="E177" s="805">
        <v>11</v>
      </c>
      <c r="F177" s="805">
        <v>842.2</v>
      </c>
      <c r="G177" s="805" t="s">
        <v>88</v>
      </c>
      <c r="H177" s="805">
        <v>670.7</v>
      </c>
      <c r="I177" s="805">
        <v>924.59999999999991</v>
      </c>
      <c r="J177" s="805">
        <v>55764.799999999996</v>
      </c>
      <c r="K177" s="805">
        <v>5901</v>
      </c>
      <c r="L177" s="805">
        <f t="shared" si="20"/>
        <v>66708.7</v>
      </c>
      <c r="O177" s="498"/>
      <c r="P177" s="498"/>
    </row>
    <row r="178" spans="1:16" ht="12" hidden="1" customHeight="1">
      <c r="A178" s="87" t="s">
        <v>43</v>
      </c>
      <c r="B178" s="805" t="s">
        <v>88</v>
      </c>
      <c r="C178" s="805">
        <v>1582.8000000000002</v>
      </c>
      <c r="D178" s="805">
        <v>1000</v>
      </c>
      <c r="E178" s="805">
        <v>11</v>
      </c>
      <c r="F178" s="805">
        <v>842.19999999999993</v>
      </c>
      <c r="G178" s="805" t="s">
        <v>88</v>
      </c>
      <c r="H178" s="805">
        <v>856.1</v>
      </c>
      <c r="I178" s="805">
        <v>925.8</v>
      </c>
      <c r="J178" s="805">
        <v>56145.099999999991</v>
      </c>
      <c r="K178" s="805">
        <v>6513.6</v>
      </c>
      <c r="L178" s="805">
        <f t="shared" si="20"/>
        <v>67876.599999999991</v>
      </c>
      <c r="O178" s="498"/>
      <c r="P178" s="498"/>
    </row>
    <row r="179" spans="1:16" ht="12" hidden="1" customHeight="1">
      <c r="A179" s="87" t="s">
        <v>44</v>
      </c>
      <c r="B179" s="805" t="s">
        <v>88</v>
      </c>
      <c r="C179" s="805">
        <v>1892</v>
      </c>
      <c r="D179" s="805">
        <v>500</v>
      </c>
      <c r="E179" s="805">
        <v>11</v>
      </c>
      <c r="F179" s="805">
        <v>836.6</v>
      </c>
      <c r="G179" s="805" t="s">
        <v>88</v>
      </c>
      <c r="H179" s="805">
        <v>882.9</v>
      </c>
      <c r="I179" s="805">
        <v>915.39999999999986</v>
      </c>
      <c r="J179" s="805">
        <v>57089.3</v>
      </c>
      <c r="K179" s="805">
        <v>6110.6</v>
      </c>
      <c r="L179" s="805">
        <f t="shared" si="20"/>
        <v>68237.8</v>
      </c>
      <c r="O179" s="498"/>
      <c r="P179" s="498"/>
    </row>
    <row r="180" spans="1:16" hidden="1">
      <c r="A180" s="87" t="s">
        <v>45</v>
      </c>
      <c r="B180" s="805" t="s">
        <v>88</v>
      </c>
      <c r="C180" s="805">
        <v>2190.5</v>
      </c>
      <c r="D180" s="805">
        <v>500</v>
      </c>
      <c r="E180" s="805">
        <v>11</v>
      </c>
      <c r="F180" s="805">
        <v>836.59999999999991</v>
      </c>
      <c r="G180" s="805"/>
      <c r="H180" s="805">
        <v>934.5</v>
      </c>
      <c r="I180" s="805">
        <v>904.49999999999989</v>
      </c>
      <c r="J180" s="805">
        <v>58394.500000000007</v>
      </c>
      <c r="K180" s="805">
        <v>5400.8</v>
      </c>
      <c r="L180" s="805">
        <f t="shared" si="20"/>
        <v>69172.400000000009</v>
      </c>
      <c r="O180" s="498"/>
      <c r="P180" s="498"/>
    </row>
    <row r="181" spans="1:16" ht="12" hidden="1" customHeight="1">
      <c r="A181" s="87" t="s">
        <v>46</v>
      </c>
      <c r="B181" s="805" t="s">
        <v>88</v>
      </c>
      <c r="C181" s="805">
        <v>760.59999999999991</v>
      </c>
      <c r="D181" s="805">
        <v>500</v>
      </c>
      <c r="E181" s="805">
        <v>11</v>
      </c>
      <c r="F181" s="805">
        <v>836.60000000000014</v>
      </c>
      <c r="G181" s="805" t="s">
        <v>88</v>
      </c>
      <c r="H181" s="805">
        <v>317.3</v>
      </c>
      <c r="I181" s="805">
        <v>893.59999999999991</v>
      </c>
      <c r="J181" s="805">
        <v>60316.100000000006</v>
      </c>
      <c r="K181" s="805">
        <v>5879</v>
      </c>
      <c r="L181" s="805">
        <f t="shared" si="20"/>
        <v>69514.200000000012</v>
      </c>
      <c r="O181" s="498"/>
      <c r="P181" s="498"/>
    </row>
    <row r="182" spans="1:16" ht="12" hidden="1" customHeight="1">
      <c r="A182" s="87" t="s">
        <v>47</v>
      </c>
      <c r="B182" s="805" t="s">
        <v>88</v>
      </c>
      <c r="C182" s="805">
        <v>661.8</v>
      </c>
      <c r="D182" s="805">
        <v>500</v>
      </c>
      <c r="E182" s="805">
        <v>11</v>
      </c>
      <c r="F182" s="805">
        <v>836.6</v>
      </c>
      <c r="G182" s="805" t="s">
        <v>88</v>
      </c>
      <c r="H182" s="805">
        <v>779.4</v>
      </c>
      <c r="I182" s="805">
        <v>882.89999999999986</v>
      </c>
      <c r="J182" s="805">
        <v>60186.3</v>
      </c>
      <c r="K182" s="805">
        <v>6362.3</v>
      </c>
      <c r="L182" s="805">
        <f t="shared" si="20"/>
        <v>70220.3</v>
      </c>
      <c r="O182" s="498"/>
      <c r="P182" s="498"/>
    </row>
    <row r="183" spans="1:16" ht="12" hidden="1" customHeight="1">
      <c r="A183" s="87" t="s">
        <v>48</v>
      </c>
      <c r="B183" s="805" t="s">
        <v>88</v>
      </c>
      <c r="C183" s="805">
        <v>2440.3000000000002</v>
      </c>
      <c r="D183" s="805">
        <v>500</v>
      </c>
      <c r="E183" s="805">
        <v>11</v>
      </c>
      <c r="F183" s="805">
        <v>836.59999999999991</v>
      </c>
      <c r="G183" s="805" t="s">
        <v>88</v>
      </c>
      <c r="H183" s="805">
        <v>933.3</v>
      </c>
      <c r="I183" s="805">
        <v>871.59999999999991</v>
      </c>
      <c r="J183" s="805">
        <v>59575.4</v>
      </c>
      <c r="K183" s="805">
        <v>6155</v>
      </c>
      <c r="L183" s="805">
        <f t="shared" si="20"/>
        <v>71323.199999999997</v>
      </c>
      <c r="O183" s="498"/>
      <c r="P183" s="498"/>
    </row>
    <row r="184" spans="1:16" ht="12" hidden="1" customHeight="1">
      <c r="A184" s="87" t="s">
        <v>49</v>
      </c>
      <c r="B184" s="805" t="s">
        <v>88</v>
      </c>
      <c r="C184" s="805">
        <v>3429.6</v>
      </c>
      <c r="D184" s="805">
        <v>200</v>
      </c>
      <c r="E184" s="805">
        <v>11</v>
      </c>
      <c r="F184" s="805">
        <v>836.6</v>
      </c>
      <c r="G184" s="805" t="s">
        <v>88</v>
      </c>
      <c r="H184" s="805">
        <v>374.6</v>
      </c>
      <c r="I184" s="805">
        <v>860.59999999999991</v>
      </c>
      <c r="J184" s="805">
        <v>60284.600000000006</v>
      </c>
      <c r="K184" s="805">
        <v>6308.7</v>
      </c>
      <c r="L184" s="805">
        <f t="shared" si="20"/>
        <v>72305.7</v>
      </c>
      <c r="O184" s="498"/>
      <c r="P184" s="498"/>
    </row>
    <row r="185" spans="1:16" ht="12" hidden="1" customHeight="1">
      <c r="A185" s="87" t="s">
        <v>50</v>
      </c>
      <c r="B185" s="805" t="s">
        <v>88</v>
      </c>
      <c r="C185" s="805">
        <v>3984.8</v>
      </c>
      <c r="D185" s="805">
        <v>1200</v>
      </c>
      <c r="E185" s="805">
        <v>11</v>
      </c>
      <c r="F185" s="805">
        <v>836.59999999999991</v>
      </c>
      <c r="G185" s="805" t="s">
        <v>88</v>
      </c>
      <c r="H185" s="805">
        <v>693.3</v>
      </c>
      <c r="I185" s="805">
        <v>839.19999999999982</v>
      </c>
      <c r="J185" s="805">
        <v>59250.000000000007</v>
      </c>
      <c r="K185" s="805">
        <v>5417.5</v>
      </c>
      <c r="L185" s="805">
        <f t="shared" si="20"/>
        <v>72232.400000000009</v>
      </c>
      <c r="O185" s="498"/>
      <c r="P185" s="498"/>
    </row>
    <row r="186" spans="1:16" ht="12" hidden="1" customHeight="1">
      <c r="A186" s="87"/>
      <c r="B186" s="805"/>
      <c r="C186" s="805"/>
      <c r="D186" s="805"/>
      <c r="E186" s="805"/>
      <c r="F186" s="805"/>
      <c r="G186" s="805"/>
      <c r="H186" s="805"/>
      <c r="I186" s="805"/>
      <c r="J186" s="805"/>
      <c r="K186" s="805"/>
      <c r="L186" s="805"/>
      <c r="O186" s="498"/>
      <c r="P186" s="498"/>
    </row>
    <row r="187" spans="1:16" ht="12" hidden="1" customHeight="1">
      <c r="A187" s="87" t="s">
        <v>55</v>
      </c>
      <c r="B187" s="805" t="s">
        <v>88</v>
      </c>
      <c r="C187" s="805">
        <v>3676.1000000000004</v>
      </c>
      <c r="D187" s="805">
        <v>1200</v>
      </c>
      <c r="E187" s="805">
        <v>11</v>
      </c>
      <c r="F187" s="805">
        <v>329.79999999999995</v>
      </c>
      <c r="G187" s="805" t="s">
        <v>88</v>
      </c>
      <c r="H187" s="805">
        <v>690</v>
      </c>
      <c r="I187" s="805">
        <v>827.69999999999993</v>
      </c>
      <c r="J187" s="805">
        <v>59740</v>
      </c>
      <c r="K187" s="805">
        <v>5320.7</v>
      </c>
      <c r="L187" s="805">
        <f t="shared" si="20"/>
        <v>71795.3</v>
      </c>
      <c r="O187" s="498"/>
      <c r="P187" s="498"/>
    </row>
    <row r="188" spans="1:16" ht="12" hidden="1" customHeight="1">
      <c r="A188" s="87" t="s">
        <v>40</v>
      </c>
      <c r="B188" s="805" t="s">
        <v>88</v>
      </c>
      <c r="C188" s="805">
        <v>2966.1000000000004</v>
      </c>
      <c r="D188" s="805">
        <v>1200</v>
      </c>
      <c r="E188" s="805">
        <v>11</v>
      </c>
      <c r="F188" s="805">
        <v>329.80000000000007</v>
      </c>
      <c r="G188" s="805" t="s">
        <v>88</v>
      </c>
      <c r="H188" s="805">
        <v>696.1</v>
      </c>
      <c r="I188" s="805">
        <v>816.5</v>
      </c>
      <c r="J188" s="805">
        <v>59923.900000000009</v>
      </c>
      <c r="K188" s="805">
        <v>5930.7000000000007</v>
      </c>
      <c r="L188" s="805">
        <f t="shared" si="20"/>
        <v>71874.100000000006</v>
      </c>
      <c r="O188" s="498"/>
      <c r="P188" s="498"/>
    </row>
    <row r="189" spans="1:16" ht="12" hidden="1" customHeight="1">
      <c r="A189" s="87" t="s">
        <v>41</v>
      </c>
      <c r="B189" s="805" t="s">
        <v>88</v>
      </c>
      <c r="C189" s="805">
        <v>2437.2999999999997</v>
      </c>
      <c r="D189" s="805">
        <v>1200</v>
      </c>
      <c r="E189" s="805">
        <v>11</v>
      </c>
      <c r="F189" s="805">
        <v>329.79999999999995</v>
      </c>
      <c r="G189" s="805" t="s">
        <v>88</v>
      </c>
      <c r="H189" s="805">
        <v>659.3</v>
      </c>
      <c r="I189" s="805">
        <v>804.49999999999989</v>
      </c>
      <c r="J189" s="805">
        <v>61556.200000000012</v>
      </c>
      <c r="K189" s="805">
        <v>5974.5</v>
      </c>
      <c r="L189" s="805">
        <f t="shared" si="20"/>
        <v>72972.600000000006</v>
      </c>
      <c r="O189" s="498"/>
      <c r="P189" s="498"/>
    </row>
    <row r="190" spans="1:16" ht="12" hidden="1" customHeight="1">
      <c r="A190" s="87" t="s">
        <v>42</v>
      </c>
      <c r="B190" s="805" t="s">
        <v>88</v>
      </c>
      <c r="C190" s="805">
        <v>2552.3000000000002</v>
      </c>
      <c r="D190" s="805">
        <v>200</v>
      </c>
      <c r="E190" s="805">
        <v>11</v>
      </c>
      <c r="F190" s="805">
        <v>329.80000000000007</v>
      </c>
      <c r="G190" s="805" t="s">
        <v>88</v>
      </c>
      <c r="H190" s="805">
        <v>889.6</v>
      </c>
      <c r="I190" s="805">
        <v>792.99999999999989</v>
      </c>
      <c r="J190" s="805">
        <v>62499.7</v>
      </c>
      <c r="K190" s="805">
        <v>6220.6</v>
      </c>
      <c r="L190" s="805">
        <f t="shared" si="20"/>
        <v>73496</v>
      </c>
      <c r="O190" s="498"/>
      <c r="P190" s="498"/>
    </row>
    <row r="191" spans="1:16" ht="12" hidden="1" customHeight="1">
      <c r="A191" s="87" t="s">
        <v>43</v>
      </c>
      <c r="B191" s="805" t="s">
        <v>88</v>
      </c>
      <c r="C191" s="805">
        <v>2603.7000000000003</v>
      </c>
      <c r="D191" s="805">
        <v>200</v>
      </c>
      <c r="E191" s="805">
        <v>11</v>
      </c>
      <c r="F191" s="805">
        <v>329.79999999999995</v>
      </c>
      <c r="G191" s="805" t="s">
        <v>88</v>
      </c>
      <c r="H191" s="805">
        <v>866.2</v>
      </c>
      <c r="I191" s="805">
        <v>780.99999999999989</v>
      </c>
      <c r="J191" s="805">
        <v>63391.9</v>
      </c>
      <c r="K191" s="805">
        <v>6340</v>
      </c>
      <c r="L191" s="805">
        <f t="shared" si="20"/>
        <v>74523.600000000006</v>
      </c>
      <c r="O191" s="498"/>
      <c r="P191" s="498"/>
    </row>
    <row r="192" spans="1:16" ht="12" hidden="1" customHeight="1">
      <c r="A192" s="87" t="s">
        <v>44</v>
      </c>
      <c r="B192" s="805" t="s">
        <v>88</v>
      </c>
      <c r="C192" s="805">
        <v>3149.5</v>
      </c>
      <c r="D192" s="805">
        <v>200</v>
      </c>
      <c r="E192" s="805">
        <v>11</v>
      </c>
      <c r="F192" s="805">
        <v>2.7999999999999545</v>
      </c>
      <c r="G192" s="805" t="s">
        <v>88</v>
      </c>
      <c r="H192" s="805">
        <v>1041.2</v>
      </c>
      <c r="I192" s="805">
        <v>769.29999999999984</v>
      </c>
      <c r="J192" s="805">
        <v>63817.599999999999</v>
      </c>
      <c r="K192" s="805">
        <v>6176</v>
      </c>
      <c r="L192" s="805">
        <f t="shared" si="20"/>
        <v>75167.399999999994</v>
      </c>
      <c r="O192" s="498"/>
      <c r="P192" s="498"/>
    </row>
    <row r="193" spans="1:16" ht="12" hidden="1" customHeight="1">
      <c r="A193" s="87" t="s">
        <v>45</v>
      </c>
      <c r="B193" s="805" t="s">
        <v>88</v>
      </c>
      <c r="C193" s="805">
        <v>2638.5000000000005</v>
      </c>
      <c r="D193" s="805">
        <v>200</v>
      </c>
      <c r="E193" s="805">
        <v>11</v>
      </c>
      <c r="F193" s="805">
        <v>2.7999999999999545</v>
      </c>
      <c r="G193" s="805" t="s">
        <v>88</v>
      </c>
      <c r="H193" s="805">
        <v>803.3</v>
      </c>
      <c r="I193" s="805">
        <v>606.09999999999991</v>
      </c>
      <c r="J193" s="805">
        <v>66088.400000000009</v>
      </c>
      <c r="K193" s="805">
        <v>6685.5999999999995</v>
      </c>
      <c r="L193" s="805">
        <f t="shared" si="20"/>
        <v>77035.700000000012</v>
      </c>
      <c r="O193" s="498"/>
      <c r="P193" s="498"/>
    </row>
    <row r="194" spans="1:16" ht="12" hidden="1" customHeight="1">
      <c r="A194" s="87" t="s">
        <v>46</v>
      </c>
      <c r="B194" s="805" t="s">
        <v>88</v>
      </c>
      <c r="C194" s="805">
        <v>1476.8</v>
      </c>
      <c r="D194" s="805">
        <v>200</v>
      </c>
      <c r="E194" s="805">
        <v>11</v>
      </c>
      <c r="F194" s="805">
        <v>2.7999999999999545</v>
      </c>
      <c r="G194" s="805" t="s">
        <v>88</v>
      </c>
      <c r="H194" s="805">
        <v>829.2</v>
      </c>
      <c r="I194" s="805">
        <v>605.4</v>
      </c>
      <c r="J194" s="805">
        <v>67490.700000000012</v>
      </c>
      <c r="K194" s="805">
        <v>7354.7</v>
      </c>
      <c r="L194" s="805">
        <f t="shared" si="20"/>
        <v>77970.600000000006</v>
      </c>
      <c r="O194" s="498"/>
      <c r="P194" s="498"/>
    </row>
    <row r="195" spans="1:16" ht="12" hidden="1" customHeight="1">
      <c r="A195" s="87" t="s">
        <v>47</v>
      </c>
      <c r="B195" s="805" t="s">
        <v>88</v>
      </c>
      <c r="C195" s="805">
        <v>1005.3</v>
      </c>
      <c r="D195" s="805">
        <v>200</v>
      </c>
      <c r="E195" s="805">
        <v>11</v>
      </c>
      <c r="F195" s="805">
        <v>0</v>
      </c>
      <c r="G195" s="805" t="s">
        <v>88</v>
      </c>
      <c r="H195" s="805">
        <v>550.70000000000005</v>
      </c>
      <c r="I195" s="805">
        <v>605.4</v>
      </c>
      <c r="J195" s="805">
        <v>69742.100000000006</v>
      </c>
      <c r="K195" s="805">
        <v>6601.1</v>
      </c>
      <c r="L195" s="805">
        <f t="shared" si="20"/>
        <v>78715.600000000006</v>
      </c>
      <c r="O195" s="498"/>
      <c r="P195" s="498"/>
    </row>
    <row r="196" spans="1:16" ht="12" hidden="1" customHeight="1">
      <c r="A196" s="87" t="s">
        <v>48</v>
      </c>
      <c r="B196" s="805" t="s">
        <v>88</v>
      </c>
      <c r="C196" s="805">
        <v>1679.1999999999998</v>
      </c>
      <c r="D196" s="805">
        <v>200</v>
      </c>
      <c r="E196" s="805">
        <v>11</v>
      </c>
      <c r="F196" s="805">
        <v>0</v>
      </c>
      <c r="G196" s="805" t="s">
        <v>88</v>
      </c>
      <c r="H196" s="805">
        <v>698.4</v>
      </c>
      <c r="I196" s="805">
        <v>604.99999999999989</v>
      </c>
      <c r="J196" s="805">
        <v>71180.100000000006</v>
      </c>
      <c r="K196" s="805">
        <v>7066.9</v>
      </c>
      <c r="L196" s="805">
        <f t="shared" si="20"/>
        <v>81440.600000000006</v>
      </c>
      <c r="O196" s="498"/>
      <c r="P196" s="498"/>
    </row>
    <row r="197" spans="1:16" ht="12" hidden="1" customHeight="1">
      <c r="A197" s="87" t="s">
        <v>49</v>
      </c>
      <c r="B197" s="805" t="s">
        <v>88</v>
      </c>
      <c r="C197" s="805">
        <v>1006.3</v>
      </c>
      <c r="D197" s="805">
        <v>200</v>
      </c>
      <c r="E197" s="805">
        <v>11</v>
      </c>
      <c r="F197" s="805">
        <v>0</v>
      </c>
      <c r="G197" s="805" t="s">
        <v>88</v>
      </c>
      <c r="H197" s="805">
        <v>372.6</v>
      </c>
      <c r="I197" s="805">
        <v>604.99999999999989</v>
      </c>
      <c r="J197" s="805">
        <v>72581.100000000006</v>
      </c>
      <c r="K197" s="805">
        <v>7601.2999999999993</v>
      </c>
      <c r="L197" s="805">
        <f t="shared" si="20"/>
        <v>82377.3</v>
      </c>
      <c r="O197" s="498"/>
      <c r="P197" s="498"/>
    </row>
    <row r="198" spans="1:16" ht="12" hidden="1" customHeight="1">
      <c r="A198" s="87" t="s">
        <v>50</v>
      </c>
      <c r="B198" s="805" t="s">
        <v>88</v>
      </c>
      <c r="C198" s="805">
        <v>1535.5</v>
      </c>
      <c r="D198" s="805">
        <v>200</v>
      </c>
      <c r="E198" s="805">
        <v>11</v>
      </c>
      <c r="F198" s="805">
        <v>0</v>
      </c>
      <c r="G198" s="805" t="s">
        <v>88</v>
      </c>
      <c r="H198" s="805">
        <v>609.79999999999995</v>
      </c>
      <c r="I198" s="805">
        <v>604.59999999999991</v>
      </c>
      <c r="J198" s="805">
        <v>73439.199999999997</v>
      </c>
      <c r="K198" s="805">
        <v>6708.5</v>
      </c>
      <c r="L198" s="805">
        <f t="shared" si="20"/>
        <v>83108.599999999991</v>
      </c>
      <c r="O198" s="498"/>
      <c r="P198" s="498"/>
    </row>
    <row r="199" spans="1:16" ht="12" hidden="1" customHeight="1">
      <c r="A199" s="222"/>
      <c r="B199" s="805"/>
      <c r="C199" s="805"/>
      <c r="D199" s="805"/>
      <c r="E199" s="805"/>
      <c r="F199" s="805"/>
      <c r="G199" s="805"/>
      <c r="H199" s="805"/>
      <c r="I199" s="805"/>
      <c r="J199" s="805"/>
      <c r="K199" s="805"/>
      <c r="L199" s="805"/>
      <c r="O199" s="498"/>
      <c r="P199" s="498"/>
    </row>
    <row r="200" spans="1:16" ht="12" hidden="1" customHeight="1">
      <c r="A200" s="87" t="s">
        <v>54</v>
      </c>
      <c r="B200" s="805" t="s">
        <v>88</v>
      </c>
      <c r="C200" s="805">
        <v>970.8</v>
      </c>
      <c r="D200" s="805">
        <v>200</v>
      </c>
      <c r="E200" s="805">
        <v>11</v>
      </c>
      <c r="F200" s="805">
        <v>0</v>
      </c>
      <c r="G200" s="805" t="s">
        <v>88</v>
      </c>
      <c r="H200" s="805">
        <v>433.2</v>
      </c>
      <c r="I200" s="805">
        <v>604.19999999999993</v>
      </c>
      <c r="J200" s="805">
        <v>74690.200000000012</v>
      </c>
      <c r="K200" s="805">
        <v>6804.6</v>
      </c>
      <c r="L200" s="805">
        <f t="shared" si="20"/>
        <v>83714.000000000015</v>
      </c>
      <c r="O200" s="498"/>
      <c r="P200" s="498"/>
    </row>
    <row r="201" spans="1:16" ht="12" hidden="1" customHeight="1">
      <c r="A201" s="87" t="s">
        <v>40</v>
      </c>
      <c r="B201" s="805" t="s">
        <v>88</v>
      </c>
      <c r="C201" s="805">
        <v>1189.1999999999998</v>
      </c>
      <c r="D201" s="805">
        <v>200</v>
      </c>
      <c r="E201" s="805">
        <v>11</v>
      </c>
      <c r="F201" s="805">
        <v>0</v>
      </c>
      <c r="G201" s="805" t="s">
        <v>88</v>
      </c>
      <c r="H201" s="805">
        <v>65.900000000000006</v>
      </c>
      <c r="I201" s="805">
        <v>603.79999999999995</v>
      </c>
      <c r="J201" s="805">
        <v>76361.8</v>
      </c>
      <c r="K201" s="805">
        <v>7146.8</v>
      </c>
      <c r="L201" s="805">
        <f t="shared" si="20"/>
        <v>85578.5</v>
      </c>
      <c r="O201" s="498"/>
      <c r="P201" s="498"/>
    </row>
    <row r="202" spans="1:16" ht="12" hidden="1" customHeight="1">
      <c r="A202" s="87" t="s">
        <v>41</v>
      </c>
      <c r="B202" s="805" t="s">
        <v>88</v>
      </c>
      <c r="C202" s="805">
        <v>1175.9000000000001</v>
      </c>
      <c r="D202" s="805">
        <v>200</v>
      </c>
      <c r="E202" s="805">
        <v>11</v>
      </c>
      <c r="F202" s="805">
        <v>0</v>
      </c>
      <c r="G202" s="805" t="s">
        <v>88</v>
      </c>
      <c r="H202" s="805">
        <v>461.5</v>
      </c>
      <c r="I202" s="805">
        <v>602.99999999999989</v>
      </c>
      <c r="J202" s="805">
        <v>75716.200000000012</v>
      </c>
      <c r="K202" s="805">
        <v>7587.5</v>
      </c>
      <c r="L202" s="805">
        <f t="shared" si="20"/>
        <v>85755.1</v>
      </c>
      <c r="O202" s="498"/>
      <c r="P202" s="498"/>
    </row>
    <row r="203" spans="1:16" ht="12" hidden="1" customHeight="1">
      <c r="A203" s="87" t="s">
        <v>42</v>
      </c>
      <c r="B203" s="805" t="s">
        <v>88</v>
      </c>
      <c r="C203" s="805">
        <v>2070</v>
      </c>
      <c r="D203" s="805">
        <v>200</v>
      </c>
      <c r="E203" s="805">
        <v>311</v>
      </c>
      <c r="F203" s="805">
        <v>0</v>
      </c>
      <c r="G203" s="805" t="s">
        <v>88</v>
      </c>
      <c r="H203" s="805">
        <v>382.1</v>
      </c>
      <c r="I203" s="805">
        <v>602.99999999999989</v>
      </c>
      <c r="J203" s="805">
        <v>76553.2</v>
      </c>
      <c r="K203" s="805">
        <v>7581.9000000000005</v>
      </c>
      <c r="L203" s="805">
        <f t="shared" si="20"/>
        <v>87701.2</v>
      </c>
      <c r="O203" s="498"/>
      <c r="P203" s="498"/>
    </row>
    <row r="204" spans="1:16" ht="12" hidden="1" customHeight="1">
      <c r="A204" s="87" t="s">
        <v>43</v>
      </c>
      <c r="B204" s="805" t="s">
        <v>88</v>
      </c>
      <c r="C204" s="805">
        <v>1580.9</v>
      </c>
      <c r="D204" s="805">
        <v>250</v>
      </c>
      <c r="E204" s="805">
        <v>11</v>
      </c>
      <c r="F204" s="805">
        <v>0</v>
      </c>
      <c r="G204" s="805" t="s">
        <v>88</v>
      </c>
      <c r="H204" s="805">
        <v>55.4</v>
      </c>
      <c r="I204" s="805">
        <v>602.19999999999993</v>
      </c>
      <c r="J204" s="805">
        <v>78787.899999999994</v>
      </c>
      <c r="K204" s="805">
        <v>7542.2000000000007</v>
      </c>
      <c r="L204" s="805">
        <f t="shared" si="20"/>
        <v>88829.599999999991</v>
      </c>
      <c r="O204" s="498"/>
      <c r="P204" s="498"/>
    </row>
    <row r="205" spans="1:16" ht="12" hidden="1" customHeight="1">
      <c r="A205" s="87" t="s">
        <v>44</v>
      </c>
      <c r="B205" s="805" t="s">
        <v>88</v>
      </c>
      <c r="C205" s="805">
        <v>1781.1</v>
      </c>
      <c r="D205" s="805">
        <v>250</v>
      </c>
      <c r="E205" s="805">
        <v>11</v>
      </c>
      <c r="F205" s="805">
        <v>73.199999999999989</v>
      </c>
      <c r="G205" s="805" t="s">
        <v>88</v>
      </c>
      <c r="H205" s="805">
        <v>444.8</v>
      </c>
      <c r="I205" s="805">
        <v>601.79999999999995</v>
      </c>
      <c r="J205" s="805">
        <v>79629.900000000009</v>
      </c>
      <c r="K205" s="805">
        <v>8264.6000000000022</v>
      </c>
      <c r="L205" s="805">
        <f t="shared" si="20"/>
        <v>91056.400000000009</v>
      </c>
      <c r="O205" s="498"/>
      <c r="P205" s="498"/>
    </row>
    <row r="206" spans="1:16" ht="12" hidden="1" customHeight="1">
      <c r="A206" s="87" t="s">
        <v>45</v>
      </c>
      <c r="B206" s="805" t="s">
        <v>88</v>
      </c>
      <c r="C206" s="805">
        <v>2029.1</v>
      </c>
      <c r="D206" s="805">
        <v>50</v>
      </c>
      <c r="E206" s="805">
        <v>11</v>
      </c>
      <c r="F206" s="805">
        <v>0</v>
      </c>
      <c r="G206" s="805" t="s">
        <v>88</v>
      </c>
      <c r="H206" s="805">
        <v>341</v>
      </c>
      <c r="I206" s="805">
        <v>601.79999999999995</v>
      </c>
      <c r="J206" s="805">
        <v>81857.3</v>
      </c>
      <c r="K206" s="805">
        <v>7603.8</v>
      </c>
      <c r="L206" s="805">
        <f t="shared" si="20"/>
        <v>92494</v>
      </c>
      <c r="O206" s="498"/>
      <c r="P206" s="498"/>
    </row>
    <row r="207" spans="1:16" ht="12" hidden="1" customHeight="1">
      <c r="A207" s="87" t="s">
        <v>46</v>
      </c>
      <c r="B207" s="806">
        <v>67.2</v>
      </c>
      <c r="C207" s="806">
        <v>1947.1</v>
      </c>
      <c r="D207" s="806">
        <v>50</v>
      </c>
      <c r="E207" s="806">
        <v>11</v>
      </c>
      <c r="F207" s="806">
        <v>0</v>
      </c>
      <c r="G207" s="806" t="s">
        <v>88</v>
      </c>
      <c r="H207" s="806">
        <v>384.4</v>
      </c>
      <c r="I207" s="806">
        <v>601.4</v>
      </c>
      <c r="J207" s="806">
        <v>83304.700000000012</v>
      </c>
      <c r="K207" s="806">
        <v>7674</v>
      </c>
      <c r="L207" s="806">
        <f t="shared" si="20"/>
        <v>94039.800000000017</v>
      </c>
      <c r="O207" s="498"/>
      <c r="P207" s="498"/>
    </row>
    <row r="208" spans="1:16" ht="12" hidden="1" customHeight="1">
      <c r="A208" s="87" t="s">
        <v>47</v>
      </c>
      <c r="B208" s="806">
        <v>67.2</v>
      </c>
      <c r="C208" s="806">
        <v>2418</v>
      </c>
      <c r="D208" s="806" t="s">
        <v>88</v>
      </c>
      <c r="E208" s="806">
        <v>11</v>
      </c>
      <c r="F208" s="806">
        <v>0</v>
      </c>
      <c r="G208" s="806" t="s">
        <v>88</v>
      </c>
      <c r="H208" s="806">
        <v>401.1</v>
      </c>
      <c r="I208" s="806">
        <v>600.9</v>
      </c>
      <c r="J208" s="806">
        <v>84091.8</v>
      </c>
      <c r="K208" s="806">
        <v>8356.5</v>
      </c>
      <c r="L208" s="806">
        <f t="shared" si="20"/>
        <v>95946.5</v>
      </c>
      <c r="O208" s="498"/>
      <c r="P208" s="498"/>
    </row>
    <row r="209" spans="1:16" ht="12" hidden="1" customHeight="1">
      <c r="A209" s="87" t="s">
        <v>48</v>
      </c>
      <c r="B209" s="806">
        <v>67.2</v>
      </c>
      <c r="C209" s="806">
        <v>2656.5</v>
      </c>
      <c r="D209" s="806" t="s">
        <v>88</v>
      </c>
      <c r="E209" s="806">
        <v>512.4</v>
      </c>
      <c r="F209" s="806">
        <v>0</v>
      </c>
      <c r="G209" s="806" t="s">
        <v>88</v>
      </c>
      <c r="H209" s="806">
        <v>383.1</v>
      </c>
      <c r="I209" s="806">
        <v>597.69999999999993</v>
      </c>
      <c r="J209" s="806">
        <v>85658.4</v>
      </c>
      <c r="K209" s="806">
        <v>7792.2</v>
      </c>
      <c r="L209" s="806">
        <f t="shared" si="20"/>
        <v>97667.499999999985</v>
      </c>
      <c r="O209" s="498"/>
      <c r="P209" s="498"/>
    </row>
    <row r="210" spans="1:16" hidden="1">
      <c r="A210" s="87" t="s">
        <v>49</v>
      </c>
      <c r="B210" s="806">
        <v>67.2</v>
      </c>
      <c r="C210" s="806">
        <v>2498.6999999999998</v>
      </c>
      <c r="D210" s="806">
        <v>500</v>
      </c>
      <c r="E210" s="806">
        <v>511</v>
      </c>
      <c r="F210" s="806">
        <v>0</v>
      </c>
      <c r="G210" s="806" t="s">
        <v>88</v>
      </c>
      <c r="H210" s="806" t="s">
        <v>88</v>
      </c>
      <c r="I210" s="806">
        <v>597.69999999999993</v>
      </c>
      <c r="J210" s="806">
        <v>86819.9</v>
      </c>
      <c r="K210" s="806">
        <v>9008.9</v>
      </c>
      <c r="L210" s="806">
        <f t="shared" si="20"/>
        <v>100003.4</v>
      </c>
      <c r="O210" s="498"/>
      <c r="P210" s="498"/>
    </row>
    <row r="211" spans="1:16" ht="12" hidden="1" customHeight="1">
      <c r="A211" s="87" t="s">
        <v>50</v>
      </c>
      <c r="B211" s="806">
        <v>67.2</v>
      </c>
      <c r="C211" s="806">
        <v>2724.3</v>
      </c>
      <c r="D211" s="806">
        <v>1500</v>
      </c>
      <c r="E211" s="806">
        <v>511</v>
      </c>
      <c r="F211" s="806">
        <v>0</v>
      </c>
      <c r="G211" s="806" t="s">
        <v>88</v>
      </c>
      <c r="H211" s="806" t="s">
        <v>88</v>
      </c>
      <c r="I211" s="806">
        <v>597.69999999999993</v>
      </c>
      <c r="J211" s="806">
        <v>87468.6</v>
      </c>
      <c r="K211" s="806">
        <v>9064.2000000000007</v>
      </c>
      <c r="L211" s="806">
        <f t="shared" si="20"/>
        <v>101933</v>
      </c>
      <c r="O211" s="498"/>
      <c r="P211" s="498"/>
    </row>
    <row r="212" spans="1:16" ht="12" hidden="1" customHeight="1">
      <c r="A212" s="87"/>
      <c r="B212" s="806"/>
      <c r="C212" s="806"/>
      <c r="D212" s="806"/>
      <c r="E212" s="806"/>
      <c r="F212" s="806"/>
      <c r="G212" s="806"/>
      <c r="H212" s="806"/>
      <c r="I212" s="806"/>
      <c r="J212" s="806"/>
      <c r="K212" s="806"/>
      <c r="L212" s="806"/>
      <c r="O212" s="498"/>
      <c r="P212" s="498"/>
    </row>
    <row r="213" spans="1:16" ht="12" hidden="1" customHeight="1">
      <c r="A213" s="87" t="s">
        <v>51</v>
      </c>
      <c r="B213" s="806">
        <v>67.2</v>
      </c>
      <c r="C213" s="806">
        <v>1351.1999999999998</v>
      </c>
      <c r="D213" s="806">
        <v>1903.9</v>
      </c>
      <c r="E213" s="806">
        <v>511</v>
      </c>
      <c r="F213" s="806">
        <v>0</v>
      </c>
      <c r="G213" s="806" t="s">
        <v>88</v>
      </c>
      <c r="H213" s="806" t="s">
        <v>88</v>
      </c>
      <c r="I213" s="806">
        <v>597.69999999999993</v>
      </c>
      <c r="J213" s="806">
        <v>88722.099999999991</v>
      </c>
      <c r="K213" s="806">
        <v>9347.9000000000015</v>
      </c>
      <c r="L213" s="806">
        <f t="shared" si="20"/>
        <v>102501</v>
      </c>
      <c r="O213" s="498"/>
      <c r="P213" s="498"/>
    </row>
    <row r="214" spans="1:16" ht="12" hidden="1" customHeight="1">
      <c r="A214" s="87" t="s">
        <v>52</v>
      </c>
      <c r="B214" s="806">
        <v>67.2</v>
      </c>
      <c r="C214" s="806">
        <v>2396.9</v>
      </c>
      <c r="D214" s="806">
        <v>1403.9</v>
      </c>
      <c r="E214" s="806">
        <v>511</v>
      </c>
      <c r="F214" s="806">
        <v>0</v>
      </c>
      <c r="G214" s="806" t="s">
        <v>88</v>
      </c>
      <c r="H214" s="806" t="s">
        <v>88</v>
      </c>
      <c r="I214" s="806">
        <v>597.69999999999993</v>
      </c>
      <c r="J214" s="806">
        <v>87626.1</v>
      </c>
      <c r="K214" s="806">
        <v>9506.7000000000007</v>
      </c>
      <c r="L214" s="806">
        <f t="shared" si="20"/>
        <v>102109.5</v>
      </c>
      <c r="O214" s="498"/>
      <c r="P214" s="498"/>
    </row>
    <row r="215" spans="1:16" ht="12" hidden="1" customHeight="1">
      <c r="A215" s="87" t="s">
        <v>53</v>
      </c>
      <c r="B215" s="806">
        <v>67.2</v>
      </c>
      <c r="C215" s="806">
        <v>1745.7</v>
      </c>
      <c r="D215" s="806">
        <v>2265.8000000000002</v>
      </c>
      <c r="E215" s="806">
        <v>511</v>
      </c>
      <c r="F215" s="806">
        <v>0</v>
      </c>
      <c r="G215" s="806" t="s">
        <v>88</v>
      </c>
      <c r="H215" s="806" t="s">
        <v>88</v>
      </c>
      <c r="I215" s="806">
        <v>597.69999999999993</v>
      </c>
      <c r="J215" s="806">
        <v>87282.8</v>
      </c>
      <c r="K215" s="806">
        <v>10418.700000000001</v>
      </c>
      <c r="L215" s="806">
        <f t="shared" si="20"/>
        <v>102888.9</v>
      </c>
      <c r="O215" s="498"/>
      <c r="P215" s="498"/>
    </row>
    <row r="216" spans="1:16" ht="12" hidden="1" customHeight="1">
      <c r="A216" s="87" t="s">
        <v>603</v>
      </c>
      <c r="B216" s="806">
        <v>67.2</v>
      </c>
      <c r="C216" s="806">
        <v>2744</v>
      </c>
      <c r="D216" s="806">
        <v>3715.8</v>
      </c>
      <c r="E216" s="806">
        <v>11</v>
      </c>
      <c r="F216" s="806">
        <v>0</v>
      </c>
      <c r="G216" s="806" t="s">
        <v>88</v>
      </c>
      <c r="H216" s="806" t="s">
        <v>88</v>
      </c>
      <c r="I216" s="806">
        <v>597.69999999999993</v>
      </c>
      <c r="J216" s="806">
        <v>88061.7</v>
      </c>
      <c r="K216" s="806">
        <v>10481.299999999999</v>
      </c>
      <c r="L216" s="806">
        <f t="shared" si="20"/>
        <v>105678.7</v>
      </c>
      <c r="O216" s="498"/>
      <c r="P216" s="498"/>
    </row>
    <row r="217" spans="1:16" ht="12" hidden="1" customHeight="1">
      <c r="A217" s="87" t="s">
        <v>609</v>
      </c>
      <c r="B217" s="806">
        <v>67.2</v>
      </c>
      <c r="C217" s="806">
        <v>4321.6000000000004</v>
      </c>
      <c r="D217" s="806">
        <v>3715.8</v>
      </c>
      <c r="E217" s="806">
        <v>11</v>
      </c>
      <c r="F217" s="806">
        <v>0</v>
      </c>
      <c r="G217" s="806" t="s">
        <v>88</v>
      </c>
      <c r="H217" s="806" t="s">
        <v>88</v>
      </c>
      <c r="I217" s="806">
        <v>597.69999999999993</v>
      </c>
      <c r="J217" s="806">
        <v>86891.700000000012</v>
      </c>
      <c r="K217" s="806">
        <v>10916.1</v>
      </c>
      <c r="L217" s="806">
        <f t="shared" si="20"/>
        <v>106521.10000000002</v>
      </c>
      <c r="O217" s="498"/>
      <c r="P217" s="498"/>
    </row>
    <row r="218" spans="1:16" ht="12" hidden="1" customHeight="1">
      <c r="A218" s="87" t="s">
        <v>44</v>
      </c>
      <c r="B218" s="806">
        <v>67.2</v>
      </c>
      <c r="C218" s="806">
        <v>3429.1000000000004</v>
      </c>
      <c r="D218" s="806">
        <v>5715.8</v>
      </c>
      <c r="E218" s="806">
        <v>11</v>
      </c>
      <c r="F218" s="806">
        <v>0</v>
      </c>
      <c r="G218" s="806" t="s">
        <v>88</v>
      </c>
      <c r="H218" s="806" t="s">
        <v>88</v>
      </c>
      <c r="I218" s="806">
        <v>597.69999999999993</v>
      </c>
      <c r="J218" s="806">
        <v>86842</v>
      </c>
      <c r="K218" s="806">
        <v>10593.5</v>
      </c>
      <c r="L218" s="806">
        <f t="shared" si="20"/>
        <v>107256.3</v>
      </c>
      <c r="O218" s="498"/>
      <c r="P218" s="498"/>
    </row>
    <row r="219" spans="1:16" ht="12" hidden="1" customHeight="1">
      <c r="A219" s="87" t="s">
        <v>617</v>
      </c>
      <c r="B219" s="806">
        <v>67.2</v>
      </c>
      <c r="C219" s="806">
        <v>3685.1</v>
      </c>
      <c r="D219" s="806">
        <v>7215.8</v>
      </c>
      <c r="E219" s="806">
        <v>11</v>
      </c>
      <c r="F219" s="806">
        <v>0</v>
      </c>
      <c r="G219" s="806" t="s">
        <v>88</v>
      </c>
      <c r="H219" s="806" t="s">
        <v>88</v>
      </c>
      <c r="I219" s="806">
        <v>597.69999999999993</v>
      </c>
      <c r="J219" s="806">
        <v>86222.7</v>
      </c>
      <c r="K219" s="806">
        <v>11069.8</v>
      </c>
      <c r="L219" s="806">
        <f t="shared" si="20"/>
        <v>108869.3</v>
      </c>
      <c r="O219" s="498"/>
      <c r="P219" s="498"/>
    </row>
    <row r="220" spans="1:16" ht="12" hidden="1" customHeight="1">
      <c r="A220" s="87" t="s">
        <v>623</v>
      </c>
      <c r="B220" s="806">
        <v>67.2</v>
      </c>
      <c r="C220" s="806">
        <v>6119.6</v>
      </c>
      <c r="D220" s="806">
        <v>7215.8</v>
      </c>
      <c r="E220" s="806">
        <v>11</v>
      </c>
      <c r="F220" s="806">
        <v>0</v>
      </c>
      <c r="G220" s="806" t="s">
        <v>88</v>
      </c>
      <c r="H220" s="806" t="s">
        <v>88</v>
      </c>
      <c r="I220" s="806">
        <v>597.69999999999993</v>
      </c>
      <c r="J220" s="806">
        <v>86475.7</v>
      </c>
      <c r="K220" s="806">
        <v>11082.099999999999</v>
      </c>
      <c r="L220" s="806">
        <f t="shared" si="20"/>
        <v>111569.1</v>
      </c>
      <c r="O220" s="498"/>
      <c r="P220" s="498"/>
    </row>
    <row r="221" spans="1:16" ht="12" hidden="1" customHeight="1">
      <c r="A221" s="87" t="s">
        <v>47</v>
      </c>
      <c r="B221" s="806">
        <v>67.2</v>
      </c>
      <c r="C221" s="806">
        <v>4414.1000000000004</v>
      </c>
      <c r="D221" s="806">
        <v>9215.7999999999993</v>
      </c>
      <c r="E221" s="806">
        <v>11</v>
      </c>
      <c r="F221" s="806">
        <v>0</v>
      </c>
      <c r="G221" s="806" t="s">
        <v>88</v>
      </c>
      <c r="H221" s="806" t="s">
        <v>88</v>
      </c>
      <c r="I221" s="806">
        <v>597.69999999999993</v>
      </c>
      <c r="J221" s="806">
        <v>87471.799999999988</v>
      </c>
      <c r="K221" s="806">
        <v>10771.5</v>
      </c>
      <c r="L221" s="806">
        <f t="shared" si="20"/>
        <v>112549.09999999999</v>
      </c>
      <c r="O221" s="498"/>
      <c r="P221" s="498"/>
    </row>
    <row r="222" spans="1:16" ht="12" hidden="1" customHeight="1">
      <c r="A222" s="87" t="s">
        <v>631</v>
      </c>
      <c r="B222" s="806">
        <v>67.2</v>
      </c>
      <c r="C222" s="806">
        <v>4440.1000000000004</v>
      </c>
      <c r="D222" s="806">
        <v>9215.7999999999993</v>
      </c>
      <c r="E222" s="806">
        <v>11</v>
      </c>
      <c r="F222" s="806">
        <v>0</v>
      </c>
      <c r="G222" s="806" t="s">
        <v>88</v>
      </c>
      <c r="H222" s="806" t="s">
        <v>88</v>
      </c>
      <c r="I222" s="806">
        <v>597.69999999999993</v>
      </c>
      <c r="J222" s="806">
        <v>88217.600000000006</v>
      </c>
      <c r="K222" s="806">
        <v>10941.9</v>
      </c>
      <c r="L222" s="806">
        <f t="shared" si="20"/>
        <v>113491.3</v>
      </c>
      <c r="O222" s="498"/>
      <c r="P222" s="498"/>
    </row>
    <row r="223" spans="1:16" ht="12" hidden="1" customHeight="1">
      <c r="A223" s="87" t="s">
        <v>654</v>
      </c>
      <c r="B223" s="805" t="s">
        <v>88</v>
      </c>
      <c r="C223" s="805">
        <v>6180.9</v>
      </c>
      <c r="D223" s="805">
        <v>9497.1</v>
      </c>
      <c r="E223" s="805">
        <v>11</v>
      </c>
      <c r="F223" s="805">
        <v>16.2</v>
      </c>
      <c r="G223" s="805" t="s">
        <v>88</v>
      </c>
      <c r="H223" s="805" t="s">
        <v>88</v>
      </c>
      <c r="I223" s="805">
        <v>668.49999999999989</v>
      </c>
      <c r="J223" s="805">
        <v>86271.200000000012</v>
      </c>
      <c r="K223" s="805">
        <v>14687.5</v>
      </c>
      <c r="L223" s="805">
        <f t="shared" si="20"/>
        <v>117332.40000000001</v>
      </c>
      <c r="O223" s="498"/>
      <c r="P223" s="498"/>
    </row>
    <row r="224" spans="1:16" ht="12" hidden="1" customHeight="1">
      <c r="A224" s="87" t="s">
        <v>666</v>
      </c>
      <c r="B224" s="805" t="s">
        <v>88</v>
      </c>
      <c r="C224" s="805">
        <v>8555</v>
      </c>
      <c r="D224" s="805">
        <v>9496.7000000000007</v>
      </c>
      <c r="E224" s="805">
        <v>11</v>
      </c>
      <c r="F224" s="805">
        <v>23.2</v>
      </c>
      <c r="G224" s="805" t="s">
        <v>88</v>
      </c>
      <c r="H224" s="805" t="s">
        <v>88</v>
      </c>
      <c r="I224" s="805">
        <v>529</v>
      </c>
      <c r="J224" s="805">
        <v>86640.700000000012</v>
      </c>
      <c r="K224" s="805">
        <v>14206.4</v>
      </c>
      <c r="L224" s="805">
        <f t="shared" si="20"/>
        <v>119462</v>
      </c>
      <c r="O224" s="498"/>
      <c r="P224" s="498"/>
    </row>
    <row r="225" spans="1:16" ht="12" hidden="1" customHeight="1">
      <c r="A225" s="87"/>
      <c r="B225" s="805"/>
      <c r="C225" s="805"/>
      <c r="D225" s="805"/>
      <c r="E225" s="805"/>
      <c r="F225" s="805"/>
      <c r="G225" s="805"/>
      <c r="H225" s="805"/>
      <c r="I225" s="805"/>
      <c r="J225" s="805"/>
      <c r="K225" s="805"/>
      <c r="L225" s="805"/>
      <c r="O225" s="498"/>
      <c r="P225" s="498"/>
    </row>
    <row r="226" spans="1:16" ht="12" hidden="1" customHeight="1">
      <c r="A226" s="87" t="s">
        <v>39</v>
      </c>
      <c r="B226" s="805" t="s">
        <v>88</v>
      </c>
      <c r="C226" s="805">
        <v>6419.8</v>
      </c>
      <c r="D226" s="805">
        <v>9543.1</v>
      </c>
      <c r="E226" s="805">
        <v>11</v>
      </c>
      <c r="F226" s="805">
        <v>59.9</v>
      </c>
      <c r="G226" s="805" t="s">
        <v>88</v>
      </c>
      <c r="H226" s="805" t="s">
        <v>88</v>
      </c>
      <c r="I226" s="805">
        <v>529</v>
      </c>
      <c r="J226" s="805">
        <v>86875.5</v>
      </c>
      <c r="K226" s="805">
        <v>16647.199999999997</v>
      </c>
      <c r="L226" s="805">
        <f t="shared" si="20"/>
        <v>120085.5</v>
      </c>
      <c r="O226" s="498"/>
      <c r="P226" s="498"/>
    </row>
    <row r="227" spans="1:16" ht="12" hidden="1" customHeight="1">
      <c r="A227" s="87" t="s">
        <v>677</v>
      </c>
      <c r="B227" s="805" t="s">
        <v>88</v>
      </c>
      <c r="C227" s="805">
        <v>7764.2000000000007</v>
      </c>
      <c r="D227" s="805">
        <v>9580.2000000000007</v>
      </c>
      <c r="E227" s="805">
        <v>11</v>
      </c>
      <c r="F227" s="805">
        <v>24.4</v>
      </c>
      <c r="G227" s="805" t="s">
        <v>88</v>
      </c>
      <c r="H227" s="805" t="s">
        <v>88</v>
      </c>
      <c r="I227" s="805">
        <v>529</v>
      </c>
      <c r="J227" s="805">
        <v>88010.900000000009</v>
      </c>
      <c r="K227" s="805">
        <v>17623.300000000003</v>
      </c>
      <c r="L227" s="805">
        <f t="shared" si="20"/>
        <v>123543.00000000001</v>
      </c>
      <c r="O227" s="498"/>
      <c r="P227" s="498"/>
    </row>
    <row r="228" spans="1:16" ht="12" hidden="1" customHeight="1">
      <c r="A228" s="87" t="s">
        <v>65</v>
      </c>
      <c r="B228" s="805" t="s">
        <v>88</v>
      </c>
      <c r="C228" s="805">
        <v>9209.5</v>
      </c>
      <c r="D228" s="805">
        <v>9626.5</v>
      </c>
      <c r="E228" s="805">
        <v>11</v>
      </c>
      <c r="F228" s="805">
        <v>24.4</v>
      </c>
      <c r="G228" s="805" t="s">
        <v>88</v>
      </c>
      <c r="H228" s="805" t="s">
        <v>88</v>
      </c>
      <c r="I228" s="805">
        <v>528.20000000000005</v>
      </c>
      <c r="J228" s="805">
        <v>90185.5</v>
      </c>
      <c r="K228" s="805">
        <v>17286</v>
      </c>
      <c r="L228" s="805">
        <f t="shared" si="20"/>
        <v>126871.1</v>
      </c>
      <c r="O228" s="498"/>
      <c r="P228" s="498"/>
    </row>
    <row r="229" spans="1:16" ht="12" hidden="1" customHeight="1">
      <c r="A229" s="87" t="s">
        <v>698</v>
      </c>
      <c r="B229" s="805" t="s">
        <v>88</v>
      </c>
      <c r="C229" s="805">
        <v>6756.3</v>
      </c>
      <c r="D229" s="805">
        <v>9667.2000000000007</v>
      </c>
      <c r="E229" s="805">
        <v>11</v>
      </c>
      <c r="F229" s="805">
        <v>24.4</v>
      </c>
      <c r="G229" s="805" t="s">
        <v>88</v>
      </c>
      <c r="H229" s="805" t="s">
        <v>88</v>
      </c>
      <c r="I229" s="805">
        <v>528.20000000000005</v>
      </c>
      <c r="J229" s="805">
        <v>92994.4</v>
      </c>
      <c r="K229" s="805">
        <v>17590.5</v>
      </c>
      <c r="L229" s="805">
        <f t="shared" si="20"/>
        <v>127572</v>
      </c>
      <c r="O229" s="498"/>
      <c r="P229" s="498"/>
    </row>
    <row r="230" spans="1:16" ht="12" hidden="1" customHeight="1">
      <c r="A230" s="87" t="s">
        <v>700</v>
      </c>
      <c r="B230" s="805" t="s">
        <v>88</v>
      </c>
      <c r="C230" s="805">
        <v>5647.6</v>
      </c>
      <c r="D230" s="805">
        <v>9710</v>
      </c>
      <c r="E230" s="805">
        <v>11</v>
      </c>
      <c r="F230" s="805">
        <v>24.5</v>
      </c>
      <c r="G230" s="805" t="s">
        <v>88</v>
      </c>
      <c r="H230" s="805" t="s">
        <v>88</v>
      </c>
      <c r="I230" s="805">
        <v>507.1</v>
      </c>
      <c r="J230" s="805">
        <v>95232.5</v>
      </c>
      <c r="K230" s="805">
        <v>17153.399999999998</v>
      </c>
      <c r="L230" s="805">
        <f t="shared" ref="L230:L241" si="21">SUM(B230:K230)</f>
        <v>128286.09999999999</v>
      </c>
      <c r="O230" s="498"/>
      <c r="P230" s="498"/>
    </row>
    <row r="231" spans="1:16" ht="12" hidden="1" customHeight="1">
      <c r="A231" s="87" t="s">
        <v>713</v>
      </c>
      <c r="B231" s="805" t="s">
        <v>88</v>
      </c>
      <c r="C231" s="805">
        <v>4975.3</v>
      </c>
      <c r="D231" s="805">
        <v>8060.6</v>
      </c>
      <c r="E231" s="805">
        <v>311</v>
      </c>
      <c r="F231" s="805">
        <v>33.299999999999997</v>
      </c>
      <c r="G231" s="805"/>
      <c r="H231" s="805" t="s">
        <v>88</v>
      </c>
      <c r="I231" s="805">
        <v>507.1</v>
      </c>
      <c r="J231" s="805">
        <v>96470.1</v>
      </c>
      <c r="K231" s="805">
        <v>17272.400000000001</v>
      </c>
      <c r="L231" s="805">
        <f t="shared" si="21"/>
        <v>127629.80000000002</v>
      </c>
      <c r="O231" s="498"/>
      <c r="P231" s="498"/>
    </row>
    <row r="232" spans="1:16" ht="12" customHeight="1">
      <c r="A232" s="87" t="s">
        <v>730</v>
      </c>
      <c r="B232" s="805" t="s">
        <v>88</v>
      </c>
      <c r="C232" s="805">
        <v>5089.7</v>
      </c>
      <c r="D232" s="805">
        <v>9618.2999999999993</v>
      </c>
      <c r="E232" s="805">
        <v>315.3</v>
      </c>
      <c r="F232" s="805">
        <v>33.299999999999997</v>
      </c>
      <c r="G232" s="805"/>
      <c r="H232" s="805" t="s">
        <v>88</v>
      </c>
      <c r="I232" s="805">
        <v>507.1</v>
      </c>
      <c r="J232" s="805">
        <v>97434.2</v>
      </c>
      <c r="K232" s="805">
        <v>17481.699999999997</v>
      </c>
      <c r="L232" s="805">
        <f t="shared" si="21"/>
        <v>130479.59999999999</v>
      </c>
      <c r="O232" s="498"/>
      <c r="P232" s="498"/>
    </row>
    <row r="233" spans="1:16" ht="12" customHeight="1">
      <c r="A233" s="87" t="s">
        <v>46</v>
      </c>
      <c r="B233" s="805" t="s">
        <v>88</v>
      </c>
      <c r="C233" s="805">
        <v>6895.5</v>
      </c>
      <c r="D233" s="805">
        <v>9068.7999999999993</v>
      </c>
      <c r="E233" s="805">
        <v>317.10000000000002</v>
      </c>
      <c r="F233" s="805">
        <v>33.299999999999997</v>
      </c>
      <c r="G233" s="805"/>
      <c r="H233" s="805" t="s">
        <v>88</v>
      </c>
      <c r="I233" s="805">
        <v>507.1</v>
      </c>
      <c r="J233" s="805">
        <v>97450.7</v>
      </c>
      <c r="K233" s="805">
        <v>18564.7</v>
      </c>
      <c r="L233" s="805">
        <f t="shared" si="21"/>
        <v>132837.20000000001</v>
      </c>
      <c r="O233" s="498"/>
      <c r="P233" s="498"/>
    </row>
    <row r="234" spans="1:16" ht="12" customHeight="1">
      <c r="A234" s="87" t="s">
        <v>47</v>
      </c>
      <c r="B234" s="805" t="s">
        <v>88</v>
      </c>
      <c r="C234" s="805">
        <v>8292.6999999999989</v>
      </c>
      <c r="D234" s="805">
        <v>8078.5000000000009</v>
      </c>
      <c r="E234" s="805">
        <v>312.7</v>
      </c>
      <c r="F234" s="805">
        <v>42.2</v>
      </c>
      <c r="G234" s="805"/>
      <c r="H234" s="805" t="s">
        <v>88</v>
      </c>
      <c r="I234" s="805">
        <v>507.1</v>
      </c>
      <c r="J234" s="805">
        <v>98409.9</v>
      </c>
      <c r="K234" s="805">
        <v>18620.599999999999</v>
      </c>
      <c r="L234" s="805">
        <f t="shared" si="21"/>
        <v>134263.69999999998</v>
      </c>
      <c r="O234" s="498"/>
      <c r="P234" s="498"/>
    </row>
    <row r="235" spans="1:16" ht="12" customHeight="1">
      <c r="A235" s="87" t="s">
        <v>48</v>
      </c>
      <c r="B235" s="805" t="s">
        <v>88</v>
      </c>
      <c r="C235" s="805">
        <v>6964.3</v>
      </c>
      <c r="D235" s="805">
        <v>8032.8</v>
      </c>
      <c r="E235" s="805">
        <v>314.5</v>
      </c>
      <c r="F235" s="805">
        <v>42.2</v>
      </c>
      <c r="G235" s="805"/>
      <c r="H235" s="805" t="s">
        <v>88</v>
      </c>
      <c r="I235" s="805">
        <v>507.1</v>
      </c>
      <c r="J235" s="805">
        <v>100933</v>
      </c>
      <c r="K235" s="805">
        <v>19054</v>
      </c>
      <c r="L235" s="805">
        <f t="shared" si="21"/>
        <v>135847.9</v>
      </c>
      <c r="O235" s="498"/>
      <c r="P235" s="498"/>
    </row>
    <row r="236" spans="1:16" ht="12" customHeight="1">
      <c r="A236" s="87" t="s">
        <v>49</v>
      </c>
      <c r="B236" s="805" t="s">
        <v>88</v>
      </c>
      <c r="C236" s="805">
        <v>5627.0999999999995</v>
      </c>
      <c r="D236" s="805">
        <v>8750</v>
      </c>
      <c r="E236" s="805">
        <v>316.3</v>
      </c>
      <c r="F236" s="805">
        <v>42.2</v>
      </c>
      <c r="G236" s="805"/>
      <c r="H236" s="805" t="s">
        <v>88</v>
      </c>
      <c r="I236" s="805">
        <v>507.1</v>
      </c>
      <c r="J236" s="805">
        <v>102240.59999999999</v>
      </c>
      <c r="K236" s="805">
        <v>19770.900000000001</v>
      </c>
      <c r="L236" s="805">
        <f t="shared" si="21"/>
        <v>137254.19999999998</v>
      </c>
      <c r="O236" s="498"/>
      <c r="P236" s="498"/>
    </row>
    <row r="237" spans="1:16" ht="12" customHeight="1">
      <c r="A237" s="87" t="s">
        <v>50</v>
      </c>
      <c r="B237" s="805" t="s">
        <v>88</v>
      </c>
      <c r="C237" s="805">
        <v>7159.2</v>
      </c>
      <c r="D237" s="805">
        <v>8792.4</v>
      </c>
      <c r="E237" s="805">
        <v>312.8</v>
      </c>
      <c r="F237" s="805">
        <v>51.1</v>
      </c>
      <c r="G237" s="805"/>
      <c r="H237" s="805" t="s">
        <v>88</v>
      </c>
      <c r="I237" s="805">
        <v>507.1</v>
      </c>
      <c r="J237" s="805">
        <v>102322.1</v>
      </c>
      <c r="K237" s="805">
        <v>19061.099999999999</v>
      </c>
      <c r="L237" s="805">
        <f t="shared" si="21"/>
        <v>138205.80000000002</v>
      </c>
      <c r="O237" s="498"/>
      <c r="P237" s="498"/>
    </row>
    <row r="238" spans="1:16" ht="12" customHeight="1">
      <c r="A238" s="87"/>
      <c r="B238" s="805"/>
      <c r="C238" s="805"/>
      <c r="D238" s="805"/>
      <c r="E238" s="805"/>
      <c r="F238" s="805"/>
      <c r="G238" s="805"/>
      <c r="H238" s="805"/>
      <c r="I238" s="805"/>
      <c r="J238" s="805"/>
      <c r="K238" s="805"/>
      <c r="L238" s="805"/>
      <c r="O238" s="498"/>
      <c r="P238" s="498"/>
    </row>
    <row r="239" spans="1:16" ht="12" customHeight="1">
      <c r="A239" s="87" t="s">
        <v>36</v>
      </c>
      <c r="B239" s="805" t="s">
        <v>88</v>
      </c>
      <c r="C239" s="805">
        <v>5636.5</v>
      </c>
      <c r="D239" s="805">
        <v>8834.0999999999985</v>
      </c>
      <c r="E239" s="805">
        <v>314.5</v>
      </c>
      <c r="F239" s="805">
        <v>51.1</v>
      </c>
      <c r="G239" s="805"/>
      <c r="H239" s="805" t="s">
        <v>88</v>
      </c>
      <c r="I239" s="805">
        <v>507.1</v>
      </c>
      <c r="J239" s="805">
        <v>102883.09999999999</v>
      </c>
      <c r="K239" s="805">
        <v>20375</v>
      </c>
      <c r="L239" s="805">
        <f t="shared" si="21"/>
        <v>138601.4</v>
      </c>
      <c r="O239" s="498"/>
      <c r="P239" s="498"/>
    </row>
    <row r="240" spans="1:16" ht="12" customHeight="1">
      <c r="A240" s="87" t="s">
        <v>37</v>
      </c>
      <c r="B240" s="805" t="s">
        <v>88</v>
      </c>
      <c r="C240" s="805">
        <v>5915</v>
      </c>
      <c r="D240" s="805">
        <v>8882.7999999999993</v>
      </c>
      <c r="E240" s="805">
        <v>316.10000000000002</v>
      </c>
      <c r="F240" s="805">
        <v>51.1</v>
      </c>
      <c r="G240" s="805"/>
      <c r="H240" s="805" t="s">
        <v>88</v>
      </c>
      <c r="I240" s="805">
        <v>447.7</v>
      </c>
      <c r="J240" s="805">
        <v>100818</v>
      </c>
      <c r="K240" s="805">
        <v>20167.2</v>
      </c>
      <c r="L240" s="805">
        <f t="shared" si="21"/>
        <v>136597.9</v>
      </c>
      <c r="O240" s="498"/>
      <c r="P240" s="498"/>
    </row>
    <row r="241" spans="1:16" ht="12" customHeight="1">
      <c r="A241" s="87" t="s">
        <v>38</v>
      </c>
      <c r="B241" s="805" t="s">
        <v>88</v>
      </c>
      <c r="C241" s="805">
        <v>6991.1</v>
      </c>
      <c r="D241" s="805">
        <v>8936.6</v>
      </c>
      <c r="E241" s="805">
        <v>312.8</v>
      </c>
      <c r="F241" s="805">
        <v>2.2000000000000002</v>
      </c>
      <c r="G241" s="805"/>
      <c r="H241" s="805" t="s">
        <v>88</v>
      </c>
      <c r="I241" s="805">
        <v>447.7</v>
      </c>
      <c r="J241" s="805">
        <v>100995.79999999999</v>
      </c>
      <c r="K241" s="805">
        <v>20915.400000000001</v>
      </c>
      <c r="L241" s="805">
        <f t="shared" si="21"/>
        <v>138601.59999999998</v>
      </c>
      <c r="O241" s="498"/>
      <c r="P241" s="498"/>
    </row>
    <row r="242" spans="1:16" ht="12" customHeight="1">
      <c r="A242" s="87" t="s">
        <v>42</v>
      </c>
      <c r="B242" s="805" t="s">
        <v>88</v>
      </c>
      <c r="C242" s="805">
        <v>6655.9</v>
      </c>
      <c r="D242" s="805">
        <v>8984.2999999999993</v>
      </c>
      <c r="E242" s="805">
        <v>314.5</v>
      </c>
      <c r="F242" s="805">
        <v>2.2000000000000002</v>
      </c>
      <c r="G242" s="805"/>
      <c r="H242" s="805" t="s">
        <v>88</v>
      </c>
      <c r="I242" s="805" t="s">
        <v>88</v>
      </c>
      <c r="J242" s="805">
        <v>103058.7</v>
      </c>
      <c r="K242" s="805">
        <v>20763.599999999999</v>
      </c>
      <c r="L242" s="805">
        <v>139779.19999999998</v>
      </c>
      <c r="O242" s="498"/>
      <c r="P242" s="498"/>
    </row>
    <row r="243" spans="1:16" ht="12" customHeight="1">
      <c r="A243" s="87" t="s">
        <v>43</v>
      </c>
      <c r="B243" s="805" t="s">
        <v>88</v>
      </c>
      <c r="C243" s="805">
        <v>8794.2999999999993</v>
      </c>
      <c r="D243" s="805">
        <v>8989.1</v>
      </c>
      <c r="E243" s="805">
        <v>316.2</v>
      </c>
      <c r="F243" s="805">
        <v>2.2000000000000002</v>
      </c>
      <c r="G243" s="805"/>
      <c r="H243" s="805" t="s">
        <v>88</v>
      </c>
      <c r="I243" s="805" t="s">
        <v>88</v>
      </c>
      <c r="J243" s="805">
        <v>104816.59999999999</v>
      </c>
      <c r="K243" s="805">
        <v>20089.900000000001</v>
      </c>
      <c r="L243" s="805">
        <v>143008.29999999999</v>
      </c>
      <c r="O243" s="498"/>
      <c r="P243" s="498"/>
    </row>
    <row r="244" spans="1:16" ht="12" customHeight="1">
      <c r="A244" s="87" t="s">
        <v>44</v>
      </c>
      <c r="B244" s="805"/>
      <c r="C244" s="805">
        <v>8205.1</v>
      </c>
      <c r="D244" s="805">
        <v>9027.4</v>
      </c>
      <c r="E244" s="805">
        <v>1014.2</v>
      </c>
      <c r="F244" s="805">
        <v>14.4</v>
      </c>
      <c r="G244" s="805"/>
      <c r="H244" s="805" t="s">
        <v>88</v>
      </c>
      <c r="I244" s="805" t="s">
        <v>88</v>
      </c>
      <c r="J244" s="805">
        <v>105879.4</v>
      </c>
      <c r="K244" s="805">
        <v>20318.400000000001</v>
      </c>
      <c r="L244" s="805">
        <v>144458.9</v>
      </c>
      <c r="O244" s="498"/>
      <c r="P244" s="498"/>
    </row>
    <row r="245" spans="1:16" ht="12" customHeight="1">
      <c r="A245" s="87" t="s">
        <v>619</v>
      </c>
      <c r="B245" s="805" t="s">
        <v>88</v>
      </c>
      <c r="C245" s="805">
        <f>4917.1+4496.3</f>
        <v>9413.4000000000015</v>
      </c>
      <c r="D245" s="805">
        <v>9080.2999999999993</v>
      </c>
      <c r="E245" s="805">
        <f>11+1006.4</f>
        <v>1017.4</v>
      </c>
      <c r="F245" s="805">
        <v>14.4</v>
      </c>
      <c r="G245" s="805"/>
      <c r="H245" s="805" t="s">
        <v>88</v>
      </c>
      <c r="I245" s="805" t="s">
        <v>88</v>
      </c>
      <c r="J245" s="805">
        <f>8361.3+32283.2+65433.9+109.2</f>
        <v>106187.59999999999</v>
      </c>
      <c r="K245" s="805">
        <f>11703.2+8763.2</f>
        <v>20466.400000000001</v>
      </c>
      <c r="L245" s="805">
        <f t="shared" ref="L245" si="22">SUM(B245:K245)</f>
        <v>146179.5</v>
      </c>
      <c r="O245" s="498"/>
      <c r="P245" s="498"/>
    </row>
    <row r="246" spans="1:16" ht="12" customHeight="1">
      <c r="A246" s="87" t="s">
        <v>46</v>
      </c>
      <c r="B246" s="808" t="s">
        <v>88</v>
      </c>
      <c r="C246" s="805">
        <f>4346.4+3052.6</f>
        <v>7399</v>
      </c>
      <c r="D246" s="809">
        <v>9126.7000000000007</v>
      </c>
      <c r="E246" s="808">
        <f>1009.5+11</f>
        <v>1020.5</v>
      </c>
      <c r="F246" s="808">
        <v>14.4</v>
      </c>
      <c r="G246" s="808"/>
      <c r="H246" s="808" t="s">
        <v>88</v>
      </c>
      <c r="I246" s="805" t="s">
        <v>88</v>
      </c>
      <c r="J246" s="810">
        <f>109.2+8295.6+32194.1+67609.7</f>
        <v>108208.6</v>
      </c>
      <c r="K246" s="811">
        <f>11890.3+9231.8</f>
        <v>21122.1</v>
      </c>
      <c r="L246" s="812">
        <f t="shared" ref="L246" si="23">SUM(B246:K246)</f>
        <v>146891.30000000002</v>
      </c>
      <c r="O246" s="498"/>
      <c r="P246" s="498"/>
    </row>
    <row r="247" spans="1:16" ht="12" customHeight="1">
      <c r="A247" s="87" t="s">
        <v>47</v>
      </c>
      <c r="B247" s="141" t="s">
        <v>88</v>
      </c>
      <c r="C247" s="130">
        <f>2680.4+3959.8</f>
        <v>6640.2000000000007</v>
      </c>
      <c r="D247" s="129">
        <v>9143.7999999999993</v>
      </c>
      <c r="E247" s="141">
        <f>1002.8+11</f>
        <v>1013.8</v>
      </c>
      <c r="F247" s="141">
        <v>26.7</v>
      </c>
      <c r="G247" s="141"/>
      <c r="H247" s="141" t="s">
        <v>88</v>
      </c>
      <c r="I247" s="130">
        <v>1006.9</v>
      </c>
      <c r="J247" s="496">
        <f>109.2+8218.6+32043.8+68156</f>
        <v>108527.6</v>
      </c>
      <c r="K247" s="495">
        <f>12084.7+9216.1</f>
        <v>21300.800000000003</v>
      </c>
      <c r="L247" s="140">
        <f t="shared" ref="L247:L250" si="24">SUM(B247:K247)</f>
        <v>147659.79999999999</v>
      </c>
      <c r="O247" s="498"/>
      <c r="P247" s="498"/>
    </row>
    <row r="248" spans="1:16" ht="12" customHeight="1">
      <c r="A248" s="87" t="s">
        <v>48</v>
      </c>
      <c r="B248" s="141" t="s">
        <v>88</v>
      </c>
      <c r="C248" s="130">
        <f>4191.1+2854.4</f>
        <v>7045.5</v>
      </c>
      <c r="D248" s="129">
        <v>9192.9</v>
      </c>
      <c r="E248" s="141">
        <f>11+1005.9</f>
        <v>1016.9</v>
      </c>
      <c r="F248" s="141">
        <v>26.7</v>
      </c>
      <c r="G248" s="141"/>
      <c r="H248" s="141" t="s">
        <v>88</v>
      </c>
      <c r="I248" s="130">
        <v>1013.9</v>
      </c>
      <c r="J248" s="496">
        <f>69258.7+8159.2+31972.1+109.2</f>
        <v>109499.2</v>
      </c>
      <c r="K248" s="495">
        <f>9491.2+12188.2</f>
        <v>21679.4</v>
      </c>
      <c r="L248" s="140">
        <f t="shared" si="24"/>
        <v>149474.5</v>
      </c>
      <c r="O248" s="498"/>
      <c r="P248" s="498"/>
    </row>
    <row r="249" spans="1:16" ht="12" customHeight="1">
      <c r="A249" s="87" t="s">
        <v>49</v>
      </c>
      <c r="B249" s="141" t="s">
        <v>88</v>
      </c>
      <c r="C249" s="130">
        <f>4881.6+3335.6</f>
        <v>8217.2000000000007</v>
      </c>
      <c r="D249" s="129">
        <v>9220</v>
      </c>
      <c r="E249" s="141">
        <f>11+1008.7</f>
        <v>1019.7</v>
      </c>
      <c r="F249" s="141">
        <v>26.6</v>
      </c>
      <c r="G249" s="141"/>
      <c r="H249" s="141" t="s">
        <v>88</v>
      </c>
      <c r="I249" s="130">
        <v>1020.8</v>
      </c>
      <c r="J249" s="496">
        <f>69112.6+109.2+8075.5+31643.4</f>
        <v>108940.70000000001</v>
      </c>
      <c r="K249" s="495">
        <f>9520.2+12415.4</f>
        <v>21935.599999999999</v>
      </c>
      <c r="L249" s="140">
        <f t="shared" si="24"/>
        <v>150380.6</v>
      </c>
      <c r="O249" s="498"/>
      <c r="P249" s="498"/>
    </row>
    <row r="250" spans="1:16" ht="12" customHeight="1">
      <c r="A250" s="87" t="s">
        <v>50</v>
      </c>
      <c r="B250" s="141" t="s">
        <v>88</v>
      </c>
      <c r="C250" s="130">
        <f>5308.1+2888.1</f>
        <v>8196.2000000000007</v>
      </c>
      <c r="D250" s="129">
        <v>10280</v>
      </c>
      <c r="E250" s="141">
        <f>11+1003.1</f>
        <v>1014.1</v>
      </c>
      <c r="F250" s="141">
        <v>38.9</v>
      </c>
      <c r="G250" s="141"/>
      <c r="H250" s="141" t="s">
        <v>88</v>
      </c>
      <c r="I250" s="130" t="s">
        <v>88</v>
      </c>
      <c r="J250" s="496">
        <f>70583+109.2+8656.9+31196.8</f>
        <v>110545.9</v>
      </c>
      <c r="K250" s="495">
        <f>8739.5+12387.3</f>
        <v>21126.799999999999</v>
      </c>
      <c r="L250" s="140">
        <f t="shared" si="24"/>
        <v>151201.9</v>
      </c>
      <c r="O250" s="498"/>
      <c r="P250" s="498"/>
    </row>
    <row r="251" spans="1:16" ht="12" customHeight="1">
      <c r="A251" s="87"/>
      <c r="B251" s="141"/>
      <c r="C251" s="130"/>
      <c r="D251" s="129"/>
      <c r="E251" s="141"/>
      <c r="F251" s="141"/>
      <c r="G251" s="141"/>
      <c r="H251" s="141"/>
      <c r="I251" s="130"/>
      <c r="J251" s="496"/>
      <c r="K251" s="495"/>
      <c r="L251" s="140"/>
      <c r="O251" s="498"/>
      <c r="P251" s="498"/>
    </row>
    <row r="252" spans="1:16" ht="12" customHeight="1">
      <c r="A252" s="87" t="s">
        <v>671</v>
      </c>
      <c r="B252" s="141" t="s">
        <v>88</v>
      </c>
      <c r="C252" s="130">
        <f>4316.9+2666.5</f>
        <v>6983.4</v>
      </c>
      <c r="D252" s="129">
        <v>10333</v>
      </c>
      <c r="E252" s="141">
        <f>11+1006.3</f>
        <v>1017.3</v>
      </c>
      <c r="F252" s="141">
        <v>38.799999999999997</v>
      </c>
      <c r="G252" s="141"/>
      <c r="H252" s="141" t="s">
        <v>88</v>
      </c>
      <c r="I252" s="130" t="s">
        <v>88</v>
      </c>
      <c r="J252" s="496">
        <f>71235.1+109.2+8587.1+31888.4</f>
        <v>111819.80000000002</v>
      </c>
      <c r="K252" s="495">
        <f>12989.1+9460.6</f>
        <v>22449.7</v>
      </c>
      <c r="L252" s="140">
        <f t="shared" ref="L252" si="25">SUM(B252:K252)</f>
        <v>152642.00000000003</v>
      </c>
      <c r="O252" s="498"/>
      <c r="P252" s="498"/>
    </row>
    <row r="253" spans="1:16" ht="12" customHeight="1">
      <c r="A253" s="87" t="s">
        <v>676</v>
      </c>
      <c r="B253" s="141" t="s">
        <v>88</v>
      </c>
      <c r="C253" s="130">
        <f>5156.2+5457.7</f>
        <v>10613.9</v>
      </c>
      <c r="D253" s="129">
        <v>10376.200000000001</v>
      </c>
      <c r="E253" s="141">
        <f>11</f>
        <v>11</v>
      </c>
      <c r="F253" s="141">
        <v>38.9</v>
      </c>
      <c r="G253" s="141"/>
      <c r="H253" s="141" t="s">
        <v>88</v>
      </c>
      <c r="I253" s="130" t="s">
        <v>88</v>
      </c>
      <c r="J253" s="130">
        <f>71079.5+109.2+8587.5+31642.6</f>
        <v>111418.79999999999</v>
      </c>
      <c r="K253" s="495">
        <f>13144.6+9554.8</f>
        <v>22699.4</v>
      </c>
      <c r="L253" s="140">
        <f t="shared" ref="L253" si="26">SUM(B253:K253)</f>
        <v>155158.19999999998</v>
      </c>
      <c r="O253" s="498"/>
      <c r="P253" s="498"/>
    </row>
    <row r="254" spans="1:16" ht="12" customHeight="1">
      <c r="A254" s="87" t="s">
        <v>683</v>
      </c>
      <c r="B254" s="141" t="s">
        <v>88</v>
      </c>
      <c r="C254" s="130">
        <f>3317.2+3127</f>
        <v>6444.2</v>
      </c>
      <c r="D254" s="129">
        <v>10158.200000000001</v>
      </c>
      <c r="E254" s="141">
        <f>11</f>
        <v>11</v>
      </c>
      <c r="F254" s="141">
        <v>2004.4</v>
      </c>
      <c r="G254" s="141"/>
      <c r="H254" s="141" t="s">
        <v>88</v>
      </c>
      <c r="I254" s="130" t="s">
        <v>88</v>
      </c>
      <c r="J254" s="130">
        <f>72753.3+1109.2+8514.4+31715.9</f>
        <v>114092.79999999999</v>
      </c>
      <c r="K254" s="495">
        <f>13039.4+9537.8</f>
        <v>22577.199999999997</v>
      </c>
      <c r="L254" s="140">
        <f t="shared" ref="L254" si="27">SUM(B254:K254)</f>
        <v>155287.79999999999</v>
      </c>
      <c r="O254" s="498"/>
      <c r="P254" s="498"/>
    </row>
    <row r="255" spans="1:16" ht="12" customHeight="1">
      <c r="A255" s="87" t="s">
        <v>693</v>
      </c>
      <c r="B255" s="141" t="s">
        <v>88</v>
      </c>
      <c r="C255" s="130">
        <v>6477.4</v>
      </c>
      <c r="D255" s="129">
        <v>10196</v>
      </c>
      <c r="E255" s="141">
        <v>11</v>
      </c>
      <c r="F255" s="141">
        <v>2004.4</v>
      </c>
      <c r="G255" s="141"/>
      <c r="H255" s="141" t="s">
        <v>88</v>
      </c>
      <c r="I255" s="130" t="s">
        <v>88</v>
      </c>
      <c r="J255" s="130">
        <v>115085.9</v>
      </c>
      <c r="K255" s="495">
        <v>22866.400000000001</v>
      </c>
      <c r="L255" s="140">
        <v>156641.1</v>
      </c>
      <c r="O255" s="498"/>
      <c r="P255" s="498"/>
    </row>
    <row r="256" spans="1:16" ht="12" customHeight="1">
      <c r="A256" s="87" t="s">
        <v>607</v>
      </c>
      <c r="B256" s="141" t="s">
        <v>88</v>
      </c>
      <c r="C256" s="130">
        <f>3901.4+3256.8</f>
        <v>7158.2000000000007</v>
      </c>
      <c r="D256" s="129">
        <v>10220.799999999999</v>
      </c>
      <c r="E256" s="141">
        <v>11</v>
      </c>
      <c r="F256" s="141">
        <v>2004.4</v>
      </c>
      <c r="G256" s="141"/>
      <c r="H256" s="141" t="s">
        <v>88</v>
      </c>
      <c r="I256" s="130" t="s">
        <v>88</v>
      </c>
      <c r="J256" s="129">
        <f>74948.6+609.2+8365.7+32258.1</f>
        <v>116181.6</v>
      </c>
      <c r="K256" s="495">
        <f>9576.2+13478.1</f>
        <v>23054.300000000003</v>
      </c>
      <c r="L256" s="140">
        <f t="shared" ref="L256" si="28">SUM(B256:K256)</f>
        <v>158630.29999999999</v>
      </c>
      <c r="O256" s="498"/>
      <c r="P256" s="498"/>
    </row>
    <row r="257" spans="1:16" s="1051" customFormat="1" ht="12" customHeight="1">
      <c r="A257" s="1021" t="s">
        <v>629</v>
      </c>
      <c r="B257" s="141" t="s">
        <v>88</v>
      </c>
      <c r="C257" s="130">
        <f>3145.6+3996.6</f>
        <v>7142.2</v>
      </c>
      <c r="D257" s="129">
        <v>10255.6</v>
      </c>
      <c r="E257" s="141">
        <v>11</v>
      </c>
      <c r="F257" s="141">
        <f>2000+16.2</f>
        <v>2016.2</v>
      </c>
      <c r="G257" s="141"/>
      <c r="H257" s="141" t="s">
        <v>88</v>
      </c>
      <c r="I257" s="130" t="s">
        <v>88</v>
      </c>
      <c r="J257" s="129">
        <f>75583.2+109.2+1500+8290.9+32275.2</f>
        <v>117758.49999999999</v>
      </c>
      <c r="K257" s="495">
        <f>9545.2+13502.2</f>
        <v>23047.4</v>
      </c>
      <c r="L257" s="140">
        <f t="shared" ref="L257" si="29">SUM(B257:K257)</f>
        <v>160230.9</v>
      </c>
      <c r="O257" s="498"/>
      <c r="P257" s="498"/>
    </row>
    <row r="258" spans="1:16" s="1051" customFormat="1" ht="12" customHeight="1">
      <c r="A258" s="1021" t="s">
        <v>733</v>
      </c>
      <c r="B258" s="141" t="s">
        <v>88</v>
      </c>
      <c r="C258" s="130">
        <f>3395.3+1999.9</f>
        <v>5395.2000000000007</v>
      </c>
      <c r="D258" s="129">
        <v>10298</v>
      </c>
      <c r="E258" s="141">
        <v>11</v>
      </c>
      <c r="F258" s="141">
        <f>4000+16.2</f>
        <v>4016.2</v>
      </c>
      <c r="G258" s="141"/>
      <c r="H258" s="141" t="s">
        <v>88</v>
      </c>
      <c r="I258" s="130" t="s">
        <v>88</v>
      </c>
      <c r="J258" s="129">
        <f>77133.3+109.2+1500+8199.4+32444.6</f>
        <v>119386.5</v>
      </c>
      <c r="K258" s="495">
        <f>9949.7+13897</f>
        <v>23846.7</v>
      </c>
      <c r="L258" s="140">
        <f t="shared" ref="L258" si="30">SUM(B258:K258)</f>
        <v>162953.60000000001</v>
      </c>
      <c r="M258" s="140"/>
      <c r="O258" s="498"/>
      <c r="P258" s="498"/>
    </row>
    <row r="259" spans="1:16" s="71" customFormat="1" ht="12" customHeight="1">
      <c r="A259" s="500"/>
      <c r="B259" s="785"/>
      <c r="C259" s="785"/>
      <c r="D259" s="785"/>
      <c r="E259" s="785"/>
      <c r="F259" s="785"/>
      <c r="G259" s="785"/>
      <c r="H259" s="785"/>
      <c r="I259" s="785"/>
      <c r="J259" s="785"/>
      <c r="K259" s="785"/>
      <c r="L259" s="785"/>
      <c r="N259" s="69"/>
    </row>
    <row r="260" spans="1:16">
      <c r="A260" s="324" t="s">
        <v>638</v>
      </c>
      <c r="B260" s="96"/>
      <c r="C260" s="479"/>
      <c r="D260" s="479"/>
      <c r="E260" s="150"/>
      <c r="F260" s="479"/>
      <c r="G260" s="150"/>
      <c r="H260" s="150"/>
      <c r="I260" s="150"/>
      <c r="J260" s="150"/>
      <c r="K260" s="150"/>
      <c r="L260" s="480"/>
    </row>
    <row r="261" spans="1:16">
      <c r="A261" s="102"/>
      <c r="B261" s="104"/>
      <c r="C261" s="501"/>
      <c r="D261" s="501"/>
      <c r="E261" s="382"/>
      <c r="F261" s="501"/>
      <c r="G261" s="382"/>
      <c r="H261" s="382"/>
      <c r="I261" s="382"/>
      <c r="J261" s="382"/>
      <c r="K261" s="382"/>
      <c r="L261" s="765"/>
    </row>
  </sheetData>
  <mergeCells count="2">
    <mergeCell ref="B2:K2"/>
    <mergeCell ref="B3:K3"/>
  </mergeCells>
  <pageMargins left="1.8897637795275593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showGridLines="0" view="pageBreakPreview" zoomScale="80" zoomScaleNormal="100" zoomScaleSheetLayoutView="80" workbookViewId="0">
      <pane xSplit="1" ySplit="10" topLeftCell="B233" activePane="bottomRight" state="frozen"/>
      <selection pane="topRight" activeCell="B1" sqref="B1"/>
      <selection pane="bottomLeft" activeCell="A11" sqref="A11"/>
      <selection pane="bottomRight" activeCell="G262" sqref="G262"/>
    </sheetView>
  </sheetViews>
  <sheetFormatPr defaultColWidth="12.6640625" defaultRowHeight="12.75"/>
  <cols>
    <col min="1" max="1" width="20.88671875" style="69" customWidth="1"/>
    <col min="2" max="3" width="11.33203125" style="496" bestFit="1" customWidth="1"/>
    <col min="4" max="4" width="11.77734375" style="496" bestFit="1" customWidth="1"/>
    <col min="5" max="5" width="9.5546875" style="496" bestFit="1" customWidth="1"/>
    <col min="6" max="6" width="8.21875" style="496" bestFit="1" customWidth="1"/>
    <col min="7" max="7" width="7.77734375" style="496" bestFit="1" customWidth="1"/>
    <col min="8" max="8" width="8.109375" style="496" bestFit="1" customWidth="1"/>
    <col min="9" max="9" width="10.109375" style="497" bestFit="1" customWidth="1"/>
    <col min="10" max="16384" width="12.6640625" style="69"/>
  </cols>
  <sheetData>
    <row r="1" spans="1:9">
      <c r="A1" s="95"/>
      <c r="B1" s="96"/>
      <c r="C1" s="479"/>
      <c r="D1" s="479"/>
      <c r="E1" s="150"/>
      <c r="F1" s="479"/>
      <c r="G1" s="150"/>
      <c r="H1" s="150"/>
      <c r="I1" s="503"/>
    </row>
    <row r="2" spans="1:9">
      <c r="A2" s="481" t="s">
        <v>336</v>
      </c>
      <c r="B2" s="1210" t="s">
        <v>324</v>
      </c>
      <c r="C2" s="1210"/>
      <c r="D2" s="1210"/>
      <c r="E2" s="1210"/>
      <c r="F2" s="1210"/>
      <c r="G2" s="1210"/>
      <c r="H2" s="1210"/>
      <c r="I2" s="504" t="s">
        <v>232</v>
      </c>
    </row>
    <row r="3" spans="1:9">
      <c r="A3" s="327"/>
      <c r="B3" s="1191" t="s">
        <v>113</v>
      </c>
      <c r="C3" s="1191"/>
      <c r="D3" s="1191"/>
      <c r="E3" s="1191"/>
      <c r="F3" s="1191"/>
      <c r="G3" s="1191"/>
      <c r="H3" s="1191"/>
      <c r="I3" s="337"/>
    </row>
    <row r="4" spans="1:9">
      <c r="A4" s="505"/>
      <c r="B4" s="501"/>
      <c r="C4" s="501"/>
      <c r="D4" s="501"/>
      <c r="E4" s="501"/>
      <c r="F4" s="501"/>
      <c r="G4" s="501"/>
      <c r="H4" s="501"/>
      <c r="I4" s="506"/>
    </row>
    <row r="5" spans="1:9">
      <c r="A5" s="100"/>
      <c r="B5" s="257"/>
      <c r="C5" s="260"/>
      <c r="D5" s="258"/>
      <c r="E5" s="258"/>
      <c r="F5" s="258"/>
      <c r="G5" s="260"/>
      <c r="H5" s="258"/>
      <c r="I5" s="213"/>
    </row>
    <row r="6" spans="1:9">
      <c r="A6" s="84" t="s">
        <v>264</v>
      </c>
      <c r="B6" s="284" t="s">
        <v>337</v>
      </c>
      <c r="C6" s="115" t="s">
        <v>337</v>
      </c>
      <c r="D6" s="115" t="s">
        <v>338</v>
      </c>
      <c r="E6" s="115" t="s">
        <v>339</v>
      </c>
      <c r="F6" s="115" t="s">
        <v>29</v>
      </c>
      <c r="G6" s="107" t="s">
        <v>340</v>
      </c>
      <c r="H6" s="115" t="s">
        <v>111</v>
      </c>
      <c r="I6" s="180" t="s">
        <v>74</v>
      </c>
    </row>
    <row r="7" spans="1:9">
      <c r="A7" s="84"/>
      <c r="B7" s="284" t="s">
        <v>341</v>
      </c>
      <c r="C7" s="115" t="s">
        <v>344</v>
      </c>
      <c r="D7" s="115" t="s">
        <v>282</v>
      </c>
      <c r="E7" s="115"/>
      <c r="F7" s="115" t="s">
        <v>342</v>
      </c>
      <c r="G7" s="107" t="s">
        <v>343</v>
      </c>
      <c r="H7" s="115" t="s">
        <v>30</v>
      </c>
      <c r="I7" s="180" t="s">
        <v>140</v>
      </c>
    </row>
    <row r="8" spans="1:9">
      <c r="A8" s="80"/>
      <c r="B8" s="116"/>
      <c r="C8" s="117" t="s">
        <v>141</v>
      </c>
      <c r="D8" s="115"/>
      <c r="E8" s="115"/>
      <c r="F8" s="115"/>
      <c r="G8" s="260"/>
      <c r="H8" s="258"/>
      <c r="I8" s="213"/>
    </row>
    <row r="9" spans="1:9">
      <c r="A9" s="84" t="s">
        <v>34</v>
      </c>
      <c r="B9" s="116"/>
      <c r="C9" s="117" t="s">
        <v>175</v>
      </c>
      <c r="D9" s="258"/>
      <c r="E9" s="258"/>
      <c r="F9" s="261"/>
      <c r="G9" s="260"/>
      <c r="H9" s="258"/>
      <c r="I9" s="213"/>
    </row>
    <row r="10" spans="1:9">
      <c r="A10" s="121"/>
      <c r="B10" s="499"/>
      <c r="C10" s="482"/>
      <c r="D10" s="323"/>
      <c r="E10" s="323"/>
      <c r="F10" s="323"/>
      <c r="G10" s="482"/>
      <c r="H10" s="323"/>
      <c r="I10" s="147"/>
    </row>
    <row r="11" spans="1:9">
      <c r="A11" s="80"/>
      <c r="B11" s="258"/>
      <c r="D11" s="258"/>
      <c r="E11" s="258"/>
      <c r="F11" s="258"/>
      <c r="H11" s="258"/>
      <c r="I11" s="213"/>
    </row>
    <row r="12" spans="1:9" hidden="1">
      <c r="A12" s="493">
        <v>2008</v>
      </c>
      <c r="B12" s="261" t="s">
        <v>88</v>
      </c>
      <c r="C12" s="261" t="s">
        <v>88</v>
      </c>
      <c r="D12" s="261">
        <f>1178.8+7166.2</f>
        <v>8345</v>
      </c>
      <c r="E12" s="261">
        <f>6019.6+1179.9</f>
        <v>7199.5</v>
      </c>
      <c r="F12" s="261">
        <f>374.8+1699</f>
        <v>2073.8000000000002</v>
      </c>
      <c r="G12" s="507">
        <f>6306.3+765+8934.3+787</f>
        <v>16792.599999999999</v>
      </c>
      <c r="H12" s="261">
        <f>1429.9+1336.7</f>
        <v>2766.6000000000004</v>
      </c>
      <c r="I12" s="130">
        <f>SUM(B12:H12)</f>
        <v>37177.499999999993</v>
      </c>
    </row>
    <row r="13" spans="1:9" hidden="1">
      <c r="A13" s="493">
        <v>2009</v>
      </c>
      <c r="B13" s="130" t="s">
        <v>88</v>
      </c>
      <c r="C13" s="130" t="s">
        <v>88</v>
      </c>
      <c r="D13" s="130">
        <v>11783.1</v>
      </c>
      <c r="E13" s="130">
        <v>9015.5</v>
      </c>
      <c r="F13" s="130">
        <v>1764.8</v>
      </c>
      <c r="G13" s="508">
        <v>18122.3</v>
      </c>
      <c r="H13" s="130">
        <v>2845.5</v>
      </c>
      <c r="I13" s="130">
        <v>43531.199999999997</v>
      </c>
    </row>
    <row r="14" spans="1:9" hidden="1">
      <c r="A14" s="493">
        <v>2010</v>
      </c>
      <c r="B14" s="140">
        <v>2179</v>
      </c>
      <c r="C14" s="261" t="s">
        <v>88</v>
      </c>
      <c r="D14" s="140">
        <v>17033.199999999997</v>
      </c>
      <c r="E14" s="140">
        <v>11788.7</v>
      </c>
      <c r="F14" s="140">
        <v>1350.2</v>
      </c>
      <c r="G14" s="509">
        <v>19832.2</v>
      </c>
      <c r="H14" s="140">
        <v>4143.8999999999996</v>
      </c>
      <c r="I14" s="140">
        <v>56327.200000000004</v>
      </c>
    </row>
    <row r="15" spans="1:9" hidden="1">
      <c r="A15" s="493">
        <v>2011</v>
      </c>
      <c r="B15" s="130">
        <v>2690.1</v>
      </c>
      <c r="C15" s="261" t="s">
        <v>88</v>
      </c>
      <c r="D15" s="130">
        <v>15478.699999999999</v>
      </c>
      <c r="E15" s="130">
        <v>16713.399999999998</v>
      </c>
      <c r="F15" s="130">
        <v>1087.9000000000001</v>
      </c>
      <c r="G15" s="508">
        <v>24144.200000000004</v>
      </c>
      <c r="H15" s="130">
        <v>4715.3999999999996</v>
      </c>
      <c r="I15" s="130">
        <v>64829.700000000004</v>
      </c>
    </row>
    <row r="16" spans="1:9" hidden="1">
      <c r="A16" s="493">
        <v>2012</v>
      </c>
      <c r="B16" s="130">
        <v>2568.4</v>
      </c>
      <c r="C16" s="261" t="s">
        <v>88</v>
      </c>
      <c r="D16" s="130">
        <v>17471.5</v>
      </c>
      <c r="E16" s="130">
        <v>18859.3</v>
      </c>
      <c r="F16" s="130">
        <v>812.8</v>
      </c>
      <c r="G16" s="508">
        <v>27483.3</v>
      </c>
      <c r="H16" s="130">
        <v>5037.1000000000004</v>
      </c>
      <c r="I16" s="130">
        <v>72232.400000000009</v>
      </c>
    </row>
    <row r="17" spans="1:9">
      <c r="A17" s="493">
        <v>2013</v>
      </c>
      <c r="B17" s="130">
        <v>2430.7999999999997</v>
      </c>
      <c r="C17" s="261" t="s">
        <v>88</v>
      </c>
      <c r="D17" s="130">
        <v>17595.400000000001</v>
      </c>
      <c r="E17" s="130">
        <v>24760.100000000002</v>
      </c>
      <c r="F17" s="130">
        <v>331.2</v>
      </c>
      <c r="G17" s="508">
        <v>32945.599999999999</v>
      </c>
      <c r="H17" s="130">
        <v>5045.5</v>
      </c>
      <c r="I17" s="130">
        <v>83108.600000000006</v>
      </c>
    </row>
    <row r="18" spans="1:9">
      <c r="A18" s="493">
        <v>2014</v>
      </c>
      <c r="B18" s="130">
        <v>5732.2000000000007</v>
      </c>
      <c r="C18" s="69">
        <v>500</v>
      </c>
      <c r="D18" s="130">
        <v>18489.400000000001</v>
      </c>
      <c r="E18" s="130">
        <v>32440.199999999997</v>
      </c>
      <c r="F18" s="130">
        <v>331.2</v>
      </c>
      <c r="G18" s="496">
        <v>38242.199999999997</v>
      </c>
      <c r="H18" s="130">
        <v>6197.7999999999993</v>
      </c>
      <c r="I18" s="130">
        <v>101933</v>
      </c>
    </row>
    <row r="19" spans="1:9">
      <c r="A19" s="138" t="s">
        <v>14</v>
      </c>
      <c r="B19" s="130">
        <v>4680.2</v>
      </c>
      <c r="C19" s="261" t="s">
        <v>88</v>
      </c>
      <c r="D19" s="130">
        <v>12527.599999999999</v>
      </c>
      <c r="E19" s="130">
        <v>48125.500000000015</v>
      </c>
      <c r="F19" s="130">
        <v>331.2</v>
      </c>
      <c r="G19" s="496">
        <v>50193.3</v>
      </c>
      <c r="H19" s="130">
        <v>3604.2</v>
      </c>
      <c r="I19" s="130">
        <v>119462.00000000001</v>
      </c>
    </row>
    <row r="20" spans="1:9">
      <c r="A20" s="138" t="s">
        <v>15</v>
      </c>
      <c r="B20" s="130">
        <v>5477.9</v>
      </c>
      <c r="C20" s="69">
        <v>301.79999999999995</v>
      </c>
      <c r="D20" s="130">
        <v>13744.4</v>
      </c>
      <c r="E20" s="130">
        <v>45799.7</v>
      </c>
      <c r="F20" s="130">
        <v>331.2</v>
      </c>
      <c r="G20" s="496">
        <v>59948.2</v>
      </c>
      <c r="H20" s="130">
        <v>12602.6</v>
      </c>
      <c r="I20" s="130">
        <v>138205.79999999999</v>
      </c>
    </row>
    <row r="21" spans="1:9">
      <c r="A21" s="138" t="s">
        <v>669</v>
      </c>
      <c r="B21" s="130">
        <v>3610.1000000000004</v>
      </c>
      <c r="C21" s="69">
        <v>1003.3</v>
      </c>
      <c r="D21" s="130">
        <v>12022.2</v>
      </c>
      <c r="E21" s="130">
        <v>55942.200000000004</v>
      </c>
      <c r="F21" s="130">
        <v>2484.5</v>
      </c>
      <c r="G21" s="496">
        <v>40889</v>
      </c>
      <c r="H21" s="130">
        <v>35250.6</v>
      </c>
      <c r="I21" s="130">
        <v>151201.9</v>
      </c>
    </row>
    <row r="22" spans="1:9" hidden="1">
      <c r="A22" s="113" t="s">
        <v>61</v>
      </c>
      <c r="B22" s="130">
        <v>4553.8</v>
      </c>
      <c r="C22" s="261" t="s">
        <v>88</v>
      </c>
      <c r="D22" s="130">
        <v>17678.7</v>
      </c>
      <c r="E22" s="130">
        <v>25576.400000000005</v>
      </c>
      <c r="F22" s="130">
        <v>331.2</v>
      </c>
      <c r="G22" s="496">
        <v>32920</v>
      </c>
      <c r="H22" s="130">
        <v>4695</v>
      </c>
      <c r="I22" s="130">
        <v>85755.1</v>
      </c>
    </row>
    <row r="23" spans="1:9" hidden="1">
      <c r="A23" s="113" t="s">
        <v>62</v>
      </c>
      <c r="B23" s="130">
        <v>4562.2000000000007</v>
      </c>
      <c r="C23" s="261" t="s">
        <v>88</v>
      </c>
      <c r="D23" s="130">
        <v>18384.599999999999</v>
      </c>
      <c r="E23" s="130">
        <v>28649.899999999998</v>
      </c>
      <c r="F23" s="130">
        <v>331.2</v>
      </c>
      <c r="G23" s="496">
        <v>33987.699999999997</v>
      </c>
      <c r="H23" s="130">
        <v>5140.7999999999993</v>
      </c>
      <c r="I23" s="130">
        <v>91056.4</v>
      </c>
    </row>
    <row r="24" spans="1:9" hidden="1">
      <c r="A24" s="113" t="s">
        <v>636</v>
      </c>
      <c r="B24" s="130">
        <v>4444.8</v>
      </c>
      <c r="C24" s="261" t="s">
        <v>88</v>
      </c>
      <c r="D24" s="130">
        <v>18608.3</v>
      </c>
      <c r="E24" s="130">
        <v>31166.500000000004</v>
      </c>
      <c r="F24" s="130">
        <v>331.2</v>
      </c>
      <c r="G24" s="496">
        <v>35701</v>
      </c>
      <c r="H24" s="130">
        <v>5694.7000000000007</v>
      </c>
      <c r="I24" s="130">
        <v>95946.5</v>
      </c>
    </row>
    <row r="25" spans="1:9" hidden="1">
      <c r="A25" s="113" t="s">
        <v>667</v>
      </c>
      <c r="B25" s="130">
        <v>5732.2000000000007</v>
      </c>
      <c r="C25" s="69">
        <v>500</v>
      </c>
      <c r="D25" s="130">
        <v>18489.400000000001</v>
      </c>
      <c r="E25" s="130">
        <v>32440.199999999997</v>
      </c>
      <c r="F25" s="130">
        <v>331.2</v>
      </c>
      <c r="G25" s="496">
        <v>38242.199999999997</v>
      </c>
      <c r="H25" s="130">
        <v>6197.7999999999993</v>
      </c>
      <c r="I25" s="130">
        <v>101933</v>
      </c>
    </row>
    <row r="26" spans="1:9">
      <c r="A26" s="113"/>
      <c r="B26" s="130"/>
      <c r="C26" s="261"/>
      <c r="D26" s="130"/>
      <c r="E26" s="130"/>
      <c r="F26" s="130"/>
      <c r="H26" s="130"/>
      <c r="I26" s="130"/>
    </row>
    <row r="27" spans="1:9">
      <c r="A27" s="113" t="s">
        <v>53</v>
      </c>
      <c r="B27" s="130">
        <v>5302</v>
      </c>
      <c r="C27" s="69">
        <v>500</v>
      </c>
      <c r="D27" s="130">
        <v>18108.099999999999</v>
      </c>
      <c r="E27" s="130">
        <v>33868.5</v>
      </c>
      <c r="F27" s="130">
        <v>331.2</v>
      </c>
      <c r="G27" s="496">
        <v>39073.199999999997</v>
      </c>
      <c r="H27" s="130">
        <v>5705.9</v>
      </c>
      <c r="I27" s="130">
        <v>102888.9</v>
      </c>
    </row>
    <row r="28" spans="1:9">
      <c r="A28" s="113" t="s">
        <v>44</v>
      </c>
      <c r="B28" s="130">
        <v>5446.4</v>
      </c>
      <c r="C28" s="261" t="s">
        <v>88</v>
      </c>
      <c r="D28" s="130">
        <v>15873.099999999999</v>
      </c>
      <c r="E28" s="130">
        <v>36962.1</v>
      </c>
      <c r="F28" s="130">
        <v>331.2</v>
      </c>
      <c r="G28" s="496">
        <v>41815</v>
      </c>
      <c r="H28" s="130">
        <v>6828.5</v>
      </c>
      <c r="I28" s="130">
        <v>107256.29999999999</v>
      </c>
    </row>
    <row r="29" spans="1:9">
      <c r="A29" s="113" t="s">
        <v>47</v>
      </c>
      <c r="B29" s="130">
        <v>5446.4</v>
      </c>
      <c r="C29" s="261" t="s">
        <v>88</v>
      </c>
      <c r="D29" s="130">
        <v>16259.899999999998</v>
      </c>
      <c r="E29" s="130">
        <v>37483.800000000003</v>
      </c>
      <c r="F29" s="130">
        <v>331.2</v>
      </c>
      <c r="G29" s="496">
        <v>44840.4</v>
      </c>
      <c r="H29" s="130">
        <v>8187.4</v>
      </c>
      <c r="I29" s="130">
        <v>112549.09999999999</v>
      </c>
    </row>
    <row r="30" spans="1:9">
      <c r="A30" s="113" t="s">
        <v>50</v>
      </c>
      <c r="B30" s="130">
        <v>4680.2</v>
      </c>
      <c r="C30" s="261" t="s">
        <v>88</v>
      </c>
      <c r="D30" s="130">
        <v>12527.599999999999</v>
      </c>
      <c r="E30" s="130">
        <v>48125.500000000015</v>
      </c>
      <c r="F30" s="130">
        <v>331.2</v>
      </c>
      <c r="G30" s="496">
        <v>50193.3</v>
      </c>
      <c r="H30" s="130">
        <v>3604.2</v>
      </c>
      <c r="I30" s="130">
        <v>119462.00000000001</v>
      </c>
    </row>
    <row r="31" spans="1:9">
      <c r="A31" s="113"/>
      <c r="B31" s="130"/>
      <c r="C31" s="261"/>
      <c r="D31" s="130"/>
      <c r="E31" s="130"/>
      <c r="F31" s="130"/>
      <c r="H31" s="130"/>
      <c r="I31" s="130"/>
    </row>
    <row r="32" spans="1:9">
      <c r="A32" s="113" t="s">
        <v>65</v>
      </c>
      <c r="B32" s="130">
        <v>4205.0999999999995</v>
      </c>
      <c r="C32" s="261" t="s">
        <v>88</v>
      </c>
      <c r="D32" s="130">
        <v>12645.4</v>
      </c>
      <c r="E32" s="130">
        <v>51896.3</v>
      </c>
      <c r="F32" s="130">
        <v>331.2</v>
      </c>
      <c r="G32" s="496">
        <v>52851.3</v>
      </c>
      <c r="H32" s="130">
        <v>4941.8</v>
      </c>
      <c r="I32" s="130">
        <v>126871.1</v>
      </c>
    </row>
    <row r="33" spans="1:9">
      <c r="A33" s="113" t="s">
        <v>44</v>
      </c>
      <c r="B33" s="130">
        <v>3879.1</v>
      </c>
      <c r="C33" s="69">
        <v>301.60000000000014</v>
      </c>
      <c r="D33" s="130">
        <v>11194.099999999999</v>
      </c>
      <c r="E33" s="130">
        <v>52988.900000000009</v>
      </c>
      <c r="F33" s="130">
        <v>331.2</v>
      </c>
      <c r="G33" s="496">
        <v>54935.299999999996</v>
      </c>
      <c r="H33" s="130">
        <v>3999.6</v>
      </c>
      <c r="I33" s="130">
        <v>127629.80000000002</v>
      </c>
    </row>
    <row r="34" spans="1:9">
      <c r="A34" s="353" t="s">
        <v>47</v>
      </c>
      <c r="B34" s="130">
        <v>3910.7</v>
      </c>
      <c r="C34" s="69">
        <v>301.60000000000014</v>
      </c>
      <c r="D34" s="130">
        <v>27794.5</v>
      </c>
      <c r="E34" s="130">
        <v>31767.499999999996</v>
      </c>
      <c r="F34" s="130">
        <v>331.2</v>
      </c>
      <c r="G34" s="496">
        <v>57445.9</v>
      </c>
      <c r="H34" s="130">
        <v>12712.3</v>
      </c>
      <c r="I34" s="130">
        <v>134263.69999999998</v>
      </c>
    </row>
    <row r="35" spans="1:9">
      <c r="A35" s="353" t="s">
        <v>50</v>
      </c>
      <c r="B35" s="130">
        <v>5477.9</v>
      </c>
      <c r="C35" s="69">
        <v>301.79999999999995</v>
      </c>
      <c r="D35" s="130">
        <v>13744.4</v>
      </c>
      <c r="E35" s="130">
        <v>45799.7</v>
      </c>
      <c r="F35" s="130">
        <v>331.2</v>
      </c>
      <c r="G35" s="496">
        <v>59948.2</v>
      </c>
      <c r="H35" s="130">
        <v>12602.6</v>
      </c>
      <c r="I35" s="130">
        <v>138205.79999999999</v>
      </c>
    </row>
    <row r="36" spans="1:9">
      <c r="A36" s="113"/>
      <c r="B36" s="130"/>
      <c r="C36" s="261"/>
      <c r="D36" s="130"/>
      <c r="E36" s="130"/>
      <c r="F36" s="130"/>
      <c r="G36" s="508"/>
      <c r="H36" s="130"/>
      <c r="I36" s="130"/>
    </row>
    <row r="37" spans="1:9">
      <c r="A37" s="353" t="s">
        <v>66</v>
      </c>
      <c r="B37" s="130">
        <v>4213.8</v>
      </c>
      <c r="C37" s="69">
        <v>301.7</v>
      </c>
      <c r="D37" s="130">
        <v>14102.3</v>
      </c>
      <c r="E37" s="130">
        <v>48881.9</v>
      </c>
      <c r="F37" s="130">
        <v>331.2</v>
      </c>
      <c r="G37" s="496">
        <v>57537.100000000006</v>
      </c>
      <c r="H37" s="130">
        <v>13233.6</v>
      </c>
      <c r="I37" s="130">
        <f>SUM(B37:H37)</f>
        <v>138601.60000000001</v>
      </c>
    </row>
    <row r="38" spans="1:9">
      <c r="A38" s="113" t="s">
        <v>44</v>
      </c>
      <c r="B38" s="130">
        <v>4482.1000000000004</v>
      </c>
      <c r="C38" s="69">
        <v>1003</v>
      </c>
      <c r="D38" s="130">
        <v>13350.1</v>
      </c>
      <c r="E38" s="130">
        <v>51836.6</v>
      </c>
      <c r="F38" s="130">
        <v>2141.1999999999998</v>
      </c>
      <c r="G38" s="496">
        <v>37753</v>
      </c>
      <c r="H38" s="130">
        <v>33892.9</v>
      </c>
      <c r="I38" s="130">
        <v>144458.9</v>
      </c>
    </row>
    <row r="39" spans="1:9">
      <c r="A39" s="113" t="s">
        <v>47</v>
      </c>
      <c r="B39" s="130">
        <v>3567.3</v>
      </c>
      <c r="C39" s="69">
        <v>1002.5</v>
      </c>
      <c r="D39" s="130">
        <v>12501.7</v>
      </c>
      <c r="E39" s="130">
        <v>54306.1</v>
      </c>
      <c r="F39" s="130">
        <v>2247.6</v>
      </c>
      <c r="G39" s="496">
        <v>39233</v>
      </c>
      <c r="H39" s="130">
        <v>34801.599999999999</v>
      </c>
      <c r="I39" s="130">
        <v>147659.80000000002</v>
      </c>
    </row>
    <row r="40" spans="1:9">
      <c r="A40" s="113" t="s">
        <v>50</v>
      </c>
      <c r="B40" s="130">
        <v>3610.1000000000004</v>
      </c>
      <c r="C40" s="69">
        <v>1003.3</v>
      </c>
      <c r="D40" s="130">
        <v>12022.2</v>
      </c>
      <c r="E40" s="130">
        <v>55942.200000000004</v>
      </c>
      <c r="F40" s="130">
        <v>2484.5</v>
      </c>
      <c r="G40" s="496">
        <v>40889</v>
      </c>
      <c r="H40" s="130">
        <v>35250.6</v>
      </c>
      <c r="I40" s="130">
        <v>151201.9</v>
      </c>
    </row>
    <row r="41" spans="1:9">
      <c r="A41" s="113"/>
      <c r="B41" s="130"/>
      <c r="C41" s="69"/>
      <c r="D41" s="130"/>
      <c r="E41" s="130"/>
      <c r="F41" s="130"/>
      <c r="H41" s="130"/>
      <c r="I41" s="130"/>
    </row>
    <row r="42" spans="1:9">
      <c r="A42" s="113" t="s">
        <v>720</v>
      </c>
      <c r="B42" s="130">
        <f>1440.8+2121.5</f>
        <v>3562.3</v>
      </c>
      <c r="C42" s="69">
        <v>0</v>
      </c>
      <c r="D42" s="130">
        <f>7677.1+3607.8</f>
        <v>11284.900000000001</v>
      </c>
      <c r="E42" s="130">
        <f>57342.6+1299.5</f>
        <v>58642.1</v>
      </c>
      <c r="F42" s="130">
        <f>3641+331.2</f>
        <v>3972.2</v>
      </c>
      <c r="G42" s="496">
        <f>508.2+27819.1-11880.4+21194.5+613.3</f>
        <v>38254.700000000004</v>
      </c>
      <c r="H42" s="130">
        <f>11819.8+11880.4+1843.3+14028.1</f>
        <v>39571.599999999999</v>
      </c>
      <c r="I42" s="130">
        <f t="shared" ref="I42" si="0">SUM(B42:H42)</f>
        <v>155287.80000000002</v>
      </c>
    </row>
    <row r="43" spans="1:9" s="1051" customFormat="1">
      <c r="A43" s="1059" t="s">
        <v>44</v>
      </c>
      <c r="B43" s="130">
        <f>1470.1+2136.3</f>
        <v>3606.4</v>
      </c>
      <c r="C43" s="1051">
        <v>0</v>
      </c>
      <c r="D43" s="130">
        <f>7745+3684.7</f>
        <v>11429.7</v>
      </c>
      <c r="E43" s="130">
        <f>60992.3+1315.2</f>
        <v>62307.5</v>
      </c>
      <c r="F43" s="130">
        <f>3450.7+331.2</f>
        <v>3781.8999999999996</v>
      </c>
      <c r="G43" s="496">
        <f>924.3+28017.8-12050.9+21194.5+1623.7</f>
        <v>39709.399999999994</v>
      </c>
      <c r="H43" s="130">
        <f>11954+12050.9+1121.9+14269.2</f>
        <v>39396</v>
      </c>
      <c r="I43" s="130">
        <f t="shared" ref="I43" si="1">SUM(B43:H43)</f>
        <v>160230.9</v>
      </c>
    </row>
    <row r="44" spans="1:9">
      <c r="A44" s="113"/>
      <c r="B44" s="130"/>
      <c r="C44" s="261"/>
      <c r="D44" s="130"/>
      <c r="E44" s="130"/>
      <c r="F44" s="130"/>
      <c r="G44" s="508"/>
      <c r="H44" s="130"/>
      <c r="I44" s="130"/>
    </row>
    <row r="45" spans="1:9" hidden="1">
      <c r="A45" s="113" t="s">
        <v>335</v>
      </c>
      <c r="B45" s="130">
        <f>1081.3+1325.5+1813.7+575.7</f>
        <v>4796.2</v>
      </c>
      <c r="C45" s="508">
        <f>151+10+318.9</f>
        <v>479.9</v>
      </c>
      <c r="D45" s="130">
        <f>1053+1796.7+83.9+997.2</f>
        <v>3930.8</v>
      </c>
      <c r="E45" s="130">
        <f>229.6+15.8+1479.5+968.9+458.3</f>
        <v>3152.1000000000004</v>
      </c>
      <c r="F45" s="130">
        <f>7267.5+454.5+200</f>
        <v>7922</v>
      </c>
      <c r="G45" s="508">
        <f>676.3+122.3+4737.3+599.4+3509+543.1+1650+388.5+669.9-202.8</f>
        <v>12693</v>
      </c>
      <c r="H45" s="130">
        <f>321.9+626.2+598.2+2128.2+192.4</f>
        <v>3866.9</v>
      </c>
      <c r="I45" s="130">
        <f t="shared" ref="I45:I56" si="2">SUM(B45:H45)</f>
        <v>36840.9</v>
      </c>
    </row>
    <row r="46" spans="1:9" hidden="1">
      <c r="A46" s="113" t="s">
        <v>40</v>
      </c>
      <c r="B46" s="130">
        <f>1081.3+1325.5+1813.7+575.7-1325.5+1134.6-1813.7+1519.5-575.7+540-1081.3+1082.5</f>
        <v>4276.5999999999995</v>
      </c>
      <c r="C46" s="508">
        <f>151+10+318.9</f>
        <v>479.9</v>
      </c>
      <c r="D46" s="130">
        <f>1053+1796.7+83.9+997.2-1796.7+1814.2-997.2+949.9-1053+1128</f>
        <v>3976.0000000000005</v>
      </c>
      <c r="E46" s="130">
        <f>229.6+15.8+1479.5+968.9+458.3-1479.5+1484.3-968.9+938.9-458.3+488.4-229.6+249.5</f>
        <v>3176.9000000000005</v>
      </c>
      <c r="F46" s="130">
        <f>7267.5+454.5+200</f>
        <v>7922</v>
      </c>
      <c r="G46" s="508">
        <f>676.3+122.3+4737.3+599.4+3509+543.1+1650+388.5+669.9-202.8-4737.3+4769.7-599.4+634-3509+3512.9-543.1+574-1650+1649.6-388.5+349.9-669.9+670+202.8-217.1-676.3+675.3-122.3+128.9</f>
        <v>12747.199999999999</v>
      </c>
      <c r="H46" s="130">
        <f>321.9+626.2+598.2+2128.2+192.4-626.2+627.4-598.2+577.4-2128.2+2204.7-192.4+131.8-321.9+275</f>
        <v>3816.2999999999997</v>
      </c>
      <c r="I46" s="130">
        <f t="shared" si="2"/>
        <v>36394.9</v>
      </c>
    </row>
    <row r="47" spans="1:9" hidden="1">
      <c r="A47" s="113" t="s">
        <v>41</v>
      </c>
      <c r="B47" s="130">
        <f>1081.3+1325.5+1813.7+575.7-1325.5+1134.6-1813.7+1519.5-575.7+540-1081.3+1082.5-540+657.3-1134.6+1334.1-1519.5+1674.5-1082.5+1152.5</f>
        <v>4818.3999999999996</v>
      </c>
      <c r="C47" s="508">
        <f>151+10+318.9</f>
        <v>479.9</v>
      </c>
      <c r="D47" s="130">
        <f>1053+1796.7+83.9+997.2-1796.7+1814.2-997.2+949.9-1053+1128-1814.2+1812.9-1128+958</f>
        <v>3804.7000000000003</v>
      </c>
      <c r="E47" s="130">
        <f>229.6+15.8+1479.5+968.9+458.3-1479.5+1484.3-968.9+938.9-458.3+488.4-229.6+249.5-488.4+488.5-15.8+16.7-938.9+902.1-1484.3+1487-249.5+191.3</f>
        <v>3085.6000000000004</v>
      </c>
      <c r="F47" s="130">
        <f>7267.5+454.5+200-7267.5+6445.5</f>
        <v>7100</v>
      </c>
      <c r="G47" s="508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47" s="130">
        <f>321.9+626.2+598.2+2128.2+192.4-626.2+627.4-598.2+577.4-2128.2+2204.7-192.4+131.8-321.9+275-131.8+121.6-627.4+690.2-2204.7+2426.1-577.4+799.2-275+291.5</f>
        <v>4328.5999999999995</v>
      </c>
      <c r="I47" s="130">
        <f t="shared" si="2"/>
        <v>36249.300000000003</v>
      </c>
    </row>
    <row r="48" spans="1:9" hidden="1">
      <c r="A48" s="113" t="s">
        <v>42</v>
      </c>
      <c r="B48" s="130">
        <f>1081.3+1325.5+1813.7+575.7-1325.5+1134.6-1813.7+1519.5-575.7+540-1081.3+1082.5-540+657.3-1134.6+1334.1-1519.5+1674.5-1082.5+1152.5-1334.1+1472.7-1152.5+1229.6-657.3+795.4-1674.5+1944-1229.6</f>
        <v>4212.1000000000004</v>
      </c>
      <c r="C48" s="508">
        <f>151+10+318.9-151</f>
        <v>328.9</v>
      </c>
      <c r="D48" s="130">
        <f>1053+1796.7+83.9+997.2-1796.7+1814.2-997.2+949.9-1053+1128-1814.2+1812.9-1128+958-1812.9+1804.3-958+1088-1088</f>
        <v>2838.1000000000004</v>
      </c>
      <c r="E48" s="130">
        <f>229.6+15.8+1479.5+968.9+458.3-1479.5+1484.3-968.9+938.9-458.3+488.4-229.6+249.5-488.4+488.5-15.8+16.7-938.9+902.1-1484.3+1487-249.5+191.3-1487+1610.2-16.7+16.3-191.3+233.3-488.5+539.9-902.1+906-233.3</f>
        <v>3072.4000000000005</v>
      </c>
      <c r="F48" s="130">
        <f>7267.5+454.5+200-7267.5+6445.5-6445.5+7233.5</f>
        <v>7888</v>
      </c>
      <c r="G48" s="508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48" s="1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48" s="130">
        <f t="shared" si="2"/>
        <v>33990.400000000001</v>
      </c>
    </row>
    <row r="49" spans="1:9" hidden="1">
      <c r="A49" s="113" t="s">
        <v>43</v>
      </c>
      <c r="B49" s="1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49" s="508">
        <f>151+10+318.9-151-10</f>
        <v>318.89999999999998</v>
      </c>
      <c r="D49" s="130">
        <f>1053+1796.7+83.9+997.2-1796.7+1814.2-997.2+949.9-1053+1128-1814.2+1812.9-1128+958-1812.9+1804.3-958+1088-1088-1804.3+1928.7-949.9+1052.7</f>
        <v>3065.3</v>
      </c>
      <c r="E49" s="1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49" s="130">
        <f>7267.5+454.5+200-7267.5+6445.5-6445.5+7233.5</f>
        <v>7888</v>
      </c>
      <c r="G49" s="508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49" s="1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49" s="130">
        <f t="shared" si="2"/>
        <v>36024.000000000007</v>
      </c>
    </row>
    <row r="50" spans="1:9" hidden="1">
      <c r="A50" s="113" t="s">
        <v>44</v>
      </c>
      <c r="B50" s="1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0" s="508">
        <f>151+10+318.9-151-10</f>
        <v>318.89999999999998</v>
      </c>
      <c r="D50" s="130">
        <f>1053+1796.7+83.9+997.2-1796.7+1814.2-997.2+949.9-1053+1128-1814.2+1812.9-1128+958-1812.9+1804.3-958+1088-1088-1804.3+1928.7-949.9+1052.7-1928.7+1975.1</f>
        <v>3111.7</v>
      </c>
      <c r="E50" s="1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0" s="130">
        <f>7267.5+454.5+200-7267.5+6445.5-6445.5+7233.5-7233.5+7294.3</f>
        <v>7948.8</v>
      </c>
      <c r="G50" s="508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0" s="1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0" s="130">
        <f t="shared" si="2"/>
        <v>38021.400000000009</v>
      </c>
    </row>
    <row r="51" spans="1:9" hidden="1">
      <c r="A51" s="113" t="s">
        <v>45</v>
      </c>
      <c r="B51" s="1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1" s="508">
        <f>151+10+318.9-151-10-318.9+328.9</f>
        <v>328.9</v>
      </c>
      <c r="D51" s="130">
        <f>1053+1796.7+83.9+997.2-1796.7+1814.2-997.2+949.9-1053+1128-1814.2+1812.9-1128+958-1812.9+1804.3-958+1088-1088-1804.3+1928.7-949.9+1052.7-1928.7+1975.1-1975.1+2077.7</f>
        <v>3214.2999999999997</v>
      </c>
      <c r="E51" s="1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1" s="130">
        <f>7267.5+454.5+200-7267.5+6445.5-6445.5+7233.5-7233.5+7294.3-7294.3+7294.3</f>
        <v>7948.8</v>
      </c>
      <c r="G51" s="508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1" s="1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1" s="130">
        <f t="shared" si="2"/>
        <v>39955.900000000009</v>
      </c>
    </row>
    <row r="52" spans="1:9" hidden="1">
      <c r="A52" s="113" t="s">
        <v>46</v>
      </c>
      <c r="B52" s="1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2" s="508">
        <f>151+10+318.9-151-10-318.9+328.9-328.9+368.9</f>
        <v>368.9</v>
      </c>
      <c r="D52" s="130">
        <f>1053+1796.7+83.9+997.2-1796.7+1814.2-997.2+949.9-1053+1128-1814.2+1812.9-1128+958-1812.9+1804.3-958+1088-1088-1804.3+1928.7-949.9+1052.7-1928.7+1975.1-1975.1+2077.7-1052.7+1155.6-2077.7+2149.4</f>
        <v>3388.8999999999996</v>
      </c>
      <c r="E52" s="1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2" s="130">
        <f>7267.5+454.5+200-7267.5+6445.5-6445.5+7233.5-7233.5+7294.3-7294.3+7294.3</f>
        <v>7948.8</v>
      </c>
      <c r="G52" s="508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2" s="1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2" s="130">
        <f t="shared" si="2"/>
        <v>41895.4</v>
      </c>
    </row>
    <row r="53" spans="1:9" hidden="1">
      <c r="A53" s="113" t="s">
        <v>47</v>
      </c>
      <c r="B53" s="130">
        <f>2747+3114.6+4687.5</f>
        <v>10549.1</v>
      </c>
      <c r="C53" s="508">
        <v>268.89999999999998</v>
      </c>
      <c r="D53" s="130">
        <f>83.9+1315.6+2170.9</f>
        <v>3570.4</v>
      </c>
      <c r="E53" s="130">
        <f>496.5+1572.9+863.7+171.5</f>
        <v>3104.6000000000004</v>
      </c>
      <c r="F53" s="130">
        <f>200+454.5+9883.8</f>
        <v>10538.3</v>
      </c>
      <c r="G53" s="508">
        <f>-297+672.8+3720.6+373.2+2195.5+45.7+5240.8+574.6</f>
        <v>12526.199999999999</v>
      </c>
      <c r="H53" s="130">
        <f>139.2+591.2+2604.2+617.2</f>
        <v>3951.8</v>
      </c>
      <c r="I53" s="130">
        <f t="shared" si="2"/>
        <v>44509.3</v>
      </c>
    </row>
    <row r="54" spans="1:9" hidden="1">
      <c r="A54" s="113" t="s">
        <v>48</v>
      </c>
      <c r="B54" s="130">
        <f>2743.7+3004.9+4346.7+120.9</f>
        <v>10216.199999999999</v>
      </c>
      <c r="C54" s="508">
        <v>268.89999999999998</v>
      </c>
      <c r="D54" s="130">
        <f>83.9+1379.3+2225.4</f>
        <v>3688.6000000000004</v>
      </c>
      <c r="E54" s="130">
        <f>450.1+1578.4+867.2+171.3</f>
        <v>3067</v>
      </c>
      <c r="F54" s="130">
        <f>200+454.5+9883.8</f>
        <v>10538.3</v>
      </c>
      <c r="G54" s="508">
        <f>-276.3+623+49.8+3723.3+419.4+2194.5+52.8+5234.4+653.6</f>
        <v>12674.5</v>
      </c>
      <c r="H54" s="130">
        <f>387.1+628.4+2664.6+566.2</f>
        <v>4246.3</v>
      </c>
      <c r="I54" s="130">
        <f t="shared" si="2"/>
        <v>44699.8</v>
      </c>
    </row>
    <row r="55" spans="1:9" hidden="1">
      <c r="A55" s="113" t="s">
        <v>49</v>
      </c>
      <c r="B55" s="130">
        <f>2575.1+2997.5+4059.1+387.2</f>
        <v>10018.900000000001</v>
      </c>
      <c r="C55" s="508">
        <v>268.89999999999998</v>
      </c>
      <c r="D55" s="130">
        <f>83.9+1229.4+2172.4</f>
        <v>3485.7000000000003</v>
      </c>
      <c r="E55" s="130">
        <f>455.3+1575+924.1+171.2</f>
        <v>3125.6</v>
      </c>
      <c r="F55" s="130">
        <f>200+454.5+9785.5</f>
        <v>10440</v>
      </c>
      <c r="G55" s="508">
        <f>-292.9+623+49.8+3901.3+448.1+2194.2+75.8+5188.1+707.1</f>
        <v>12894.500000000002</v>
      </c>
      <c r="H55" s="130">
        <f>143.7+591.4+2778.9+601.6</f>
        <v>4115.6000000000004</v>
      </c>
      <c r="I55" s="130">
        <f t="shared" si="2"/>
        <v>44349.200000000004</v>
      </c>
    </row>
    <row r="56" spans="1:9" hidden="1">
      <c r="A56" s="113" t="s">
        <v>50</v>
      </c>
      <c r="B56" s="130">
        <f>2454+3245+3400+88.5</f>
        <v>9187.5</v>
      </c>
      <c r="C56" s="508">
        <v>268.89999999999998</v>
      </c>
      <c r="D56" s="130">
        <f>83.9+1192.4+2218.3</f>
        <v>3494.6000000000004</v>
      </c>
      <c r="E56" s="130">
        <f>467.9+1581.8+873.7+172</f>
        <v>3095.3999999999996</v>
      </c>
      <c r="F56" s="130">
        <f>200+454.5+10159.3</f>
        <v>10813.8</v>
      </c>
      <c r="G56" s="508">
        <f>-423.8+708+157.6+3928.9+446.1+2200.4+346.4+5194.2+701.5</f>
        <v>13259.3</v>
      </c>
      <c r="H56" s="130">
        <f>160.3+689.2+2216.5+635.8</f>
        <v>3701.8</v>
      </c>
      <c r="I56" s="130">
        <f t="shared" si="2"/>
        <v>43821.3</v>
      </c>
    </row>
    <row r="57" spans="1:9" hidden="1">
      <c r="A57" s="80"/>
      <c r="B57" s="130"/>
      <c r="C57" s="508"/>
      <c r="D57" s="130"/>
      <c r="E57" s="130"/>
      <c r="F57" s="130"/>
      <c r="G57" s="508"/>
      <c r="H57" s="130"/>
      <c r="I57" s="130"/>
    </row>
    <row r="58" spans="1:9" hidden="1">
      <c r="A58" s="113" t="s">
        <v>334</v>
      </c>
      <c r="B58" s="130">
        <f>24.4+2379.8+2086.8+2681.8</f>
        <v>7172.8</v>
      </c>
      <c r="C58" s="508">
        <v>268.89999999999998</v>
      </c>
      <c r="D58" s="130">
        <f>83.9+2250.5+1208.5</f>
        <v>3542.9</v>
      </c>
      <c r="E58" s="130">
        <f>1681.7+171.5+456.3+874.4</f>
        <v>3183.9</v>
      </c>
      <c r="F58" s="130">
        <f>415.6+10159.3+200</f>
        <v>10774.9</v>
      </c>
      <c r="G58" s="508">
        <f>4059.6+375.5+846.6-198+5205.3+786.5+790.6-430.5+2221.9+338.2</f>
        <v>13995.7</v>
      </c>
      <c r="H58" s="130">
        <f>551.1+71.1+601.8+178.5+2239.3</f>
        <v>3641.8</v>
      </c>
      <c r="I58" s="130">
        <f t="shared" ref="I58:I63" si="3">SUM(B58:H58)</f>
        <v>42580.900000000009</v>
      </c>
    </row>
    <row r="59" spans="1:9" hidden="1">
      <c r="A59" s="113" t="s">
        <v>40</v>
      </c>
      <c r="B59" s="130">
        <f>200.5+2139.7+1893.1+2426.1</f>
        <v>6659.4</v>
      </c>
      <c r="C59" s="508">
        <v>268.89999999999998</v>
      </c>
      <c r="D59" s="130">
        <f>83.9+2256.7+1016.3</f>
        <v>3356.8999999999996</v>
      </c>
      <c r="E59" s="130">
        <f>1688.5+101.6+448.8+931.2</f>
        <v>3170.1000000000004</v>
      </c>
      <c r="F59" s="130">
        <f>415.6+10159.3+200</f>
        <v>10774.9</v>
      </c>
      <c r="G59" s="508">
        <f>4107+369.1+956.3-310.3+5280.2+793.9+840.6-440.4+2236.6+316.3</f>
        <v>14149.3</v>
      </c>
      <c r="H59" s="130">
        <f>550.5+65.2+622+185.5+2542.9</f>
        <v>3966.1000000000004</v>
      </c>
      <c r="I59" s="130">
        <f t="shared" si="3"/>
        <v>42345.599999999999</v>
      </c>
    </row>
    <row r="60" spans="1:9" hidden="1">
      <c r="A60" s="113" t="s">
        <v>41</v>
      </c>
      <c r="B60" s="130">
        <f>0.2+2178.4+1725.3+2704.8</f>
        <v>6608.7</v>
      </c>
      <c r="C60" s="508">
        <v>268.89999999999998</v>
      </c>
      <c r="D60" s="130">
        <f>83.9+2251.1+816.3</f>
        <v>3151.3</v>
      </c>
      <c r="E60" s="130">
        <f>1700.2+101.7+430.5+829.4</f>
        <v>3061.8</v>
      </c>
      <c r="F60" s="130">
        <f>415.6+10536.1+200</f>
        <v>11151.7</v>
      </c>
      <c r="G60" s="508">
        <f>4299.4+1.3+969.3-327.1+5952.2+124.7+832.8-446.3+2367.9-81</f>
        <v>13693.199999999999</v>
      </c>
      <c r="H60" s="130">
        <f>752.7+73+669.1+196.4+2673.3</f>
        <v>4364.5</v>
      </c>
      <c r="I60" s="130">
        <f t="shared" si="3"/>
        <v>42300.1</v>
      </c>
    </row>
    <row r="61" spans="1:9" hidden="1">
      <c r="A61" s="113" t="s">
        <v>42</v>
      </c>
      <c r="B61" s="130">
        <f>0.2+1371.5+1466.1+1918.8</f>
        <v>4756.6000000000004</v>
      </c>
      <c r="C61" s="508">
        <v>288.89999999999998</v>
      </c>
      <c r="D61" s="130">
        <f>133.9+2287.5+816.3</f>
        <v>3237.7</v>
      </c>
      <c r="E61" s="130">
        <f>1682.2+101.8+431.2+779.4</f>
        <v>2994.6</v>
      </c>
      <c r="F61" s="130">
        <f>415.6+10536.1+200</f>
        <v>11151.7</v>
      </c>
      <c r="G61" s="508">
        <f>4280.8+51.5+979-341.3+5957.7+277+837.8-449.2+2367.5+172.8</f>
        <v>14133.599999999999</v>
      </c>
      <c r="H61" s="130">
        <f>561.6+73.6+645.3+193.4+2524.2</f>
        <v>3998.1</v>
      </c>
      <c r="I61" s="130">
        <f t="shared" si="3"/>
        <v>40561.199999999997</v>
      </c>
    </row>
    <row r="62" spans="1:9" hidden="1">
      <c r="A62" s="113" t="s">
        <v>43</v>
      </c>
      <c r="B62" s="130">
        <f>73.6+1371.2+1402.3</f>
        <v>2847.1</v>
      </c>
      <c r="C62" s="508" t="s">
        <v>88</v>
      </c>
      <c r="D62" s="130">
        <f>133.9+2190</f>
        <v>2323.9</v>
      </c>
      <c r="E62" s="130">
        <f>1685.8+102.1+433.9</f>
        <v>2221.7999999999997</v>
      </c>
      <c r="F62" s="130">
        <f>415.6+10422.5+200</f>
        <v>11038.1</v>
      </c>
      <c r="G62" s="508">
        <f>4275.9+91.4+989.7-353.2+5996.1+324.6+837.8-460.3</f>
        <v>11702</v>
      </c>
      <c r="H62" s="130">
        <f>563.7+68.3+654.4+186.4</f>
        <v>1472.8000000000002</v>
      </c>
      <c r="I62" s="130">
        <f t="shared" si="3"/>
        <v>31605.7</v>
      </c>
    </row>
    <row r="63" spans="1:9" hidden="1">
      <c r="A63" s="113" t="s">
        <v>44</v>
      </c>
      <c r="B63" s="130">
        <f>79+931.1+1286.9</f>
        <v>2297</v>
      </c>
      <c r="C63" s="508" t="s">
        <v>88</v>
      </c>
      <c r="D63" s="130">
        <f>133.9+2244.9</f>
        <v>2378.8000000000002</v>
      </c>
      <c r="E63" s="130">
        <f>1699.9+101.4+421.7</f>
        <v>2223</v>
      </c>
      <c r="F63" s="130">
        <f>415.6+10989.1+200</f>
        <v>11604.7</v>
      </c>
      <c r="G63" s="508">
        <f>4276.7+132.1+1012-378.4+6059.5+384.6+837.8-467.2</f>
        <v>11857.1</v>
      </c>
      <c r="H63" s="130">
        <f>569.5+67.5+717.3+188.6</f>
        <v>1542.8999999999999</v>
      </c>
      <c r="I63" s="130">
        <f t="shared" si="3"/>
        <v>31903.5</v>
      </c>
    </row>
    <row r="64" spans="1:9" hidden="1">
      <c r="A64" s="113" t="s">
        <v>45</v>
      </c>
      <c r="B64" s="130">
        <f>79+931.1+1286.9-1286.9+1231.7+3-931.1+543.9-79+1.3</f>
        <v>1779.9000000000003</v>
      </c>
      <c r="C64" s="508" t="s">
        <v>88</v>
      </c>
      <c r="D64" s="130">
        <f>133.9+2244.9-2244.9+2312.7</f>
        <v>2446.6</v>
      </c>
      <c r="E64" s="130">
        <f>1699.9+101.4+421.7-421.7+424.7-101.4+103.4-1699.9+1697.5</f>
        <v>2225.6</v>
      </c>
      <c r="F64" s="130">
        <f>415.6+10989.1+200</f>
        <v>11604.7</v>
      </c>
      <c r="G64" s="508">
        <f>4276.7+132.1+1012-378.4+6059.5+384.6+837.8-467.2+467.2-476.3-1012+1017.5+378.4-391.6-6059.5+6080.4-384.6+448.2-4276.7+4268.5-132.1+191.8</f>
        <v>11976.300000000001</v>
      </c>
      <c r="H64" s="130">
        <f>569.5+67.5+717.3+188.6-188.6+193.1-67.5+94.3-717.3+698.5-569.5+591.9</f>
        <v>1577.7999999999997</v>
      </c>
      <c r="I64" s="130">
        <f t="shared" ref="I64:I69" si="4">SUM(B64:H64)</f>
        <v>31610.900000000005</v>
      </c>
    </row>
    <row r="65" spans="1:9" hidden="1">
      <c r="A65" s="113" t="s">
        <v>46</v>
      </c>
      <c r="B65" s="130">
        <v>1851.5</v>
      </c>
      <c r="C65" s="508" t="s">
        <v>88</v>
      </c>
      <c r="D65" s="130">
        <v>2488.8000000000002</v>
      </c>
      <c r="E65" s="130">
        <v>2221.1</v>
      </c>
      <c r="F65" s="130">
        <v>11604.7</v>
      </c>
      <c r="G65" s="508">
        <v>12087.9</v>
      </c>
      <c r="H65" s="130">
        <v>1640.6</v>
      </c>
      <c r="I65" s="130">
        <f t="shared" si="4"/>
        <v>31894.6</v>
      </c>
    </row>
    <row r="66" spans="1:9" hidden="1">
      <c r="A66" s="113" t="s">
        <v>47</v>
      </c>
      <c r="B66" s="130">
        <f>1851.5+60-1223.6+1235.2-627.8+540.3-0.1+154.4</f>
        <v>1989.9000000000003</v>
      </c>
      <c r="C66" s="508" t="s">
        <v>88</v>
      </c>
      <c r="D66" s="130">
        <f>2488.8-2354.9+2403.2</f>
        <v>2537.1</v>
      </c>
      <c r="E66" s="130">
        <f>2221.1-433.3+435.5-102.1+107.6-1685.7+1678.4</f>
        <v>2221.5</v>
      </c>
      <c r="F66" s="130">
        <f>11604.7-10989.1+11206.5</f>
        <v>11822.1</v>
      </c>
      <c r="G66" s="508">
        <f>12087.9-1006.9+1012.3+384.9-399.3+506.2-530.2-6162.8+6144.7-458.1+529.7-4277.2+4266.8-236.2+302.8</f>
        <v>12164.599999999999</v>
      </c>
      <c r="H66" s="130">
        <f>1640.6-151.2+157.5-192.7+201-626.1+633.8-670.6+643.5</f>
        <v>1635.7999999999997</v>
      </c>
      <c r="I66" s="130">
        <f t="shared" si="4"/>
        <v>32370.999999999996</v>
      </c>
    </row>
    <row r="67" spans="1:9" hidden="1">
      <c r="A67" s="113" t="s">
        <v>48</v>
      </c>
      <c r="B67" s="130">
        <f>1851.5+60-1223.6+1235.2-627.8+540.3-0.1+154.4-1235.2+1220.8-540.3+750-154.4+1.6</f>
        <v>2032.4</v>
      </c>
      <c r="C67" s="508" t="s">
        <v>88</v>
      </c>
      <c r="D67" s="130">
        <f>2488.8-2354.9+2403.2-2403.2+2312.3</f>
        <v>2446.2000000000003</v>
      </c>
      <c r="E67" s="130">
        <f>2221.1-433.3+435.5-102.1+107.6-1685.7+1678.4-435.5+440.6-107.6+167.2-1678.4+1662.4</f>
        <v>2270.1999999999998</v>
      </c>
      <c r="F67" s="130">
        <f>11604.7-10989.1+11206.5</f>
        <v>11822.1</v>
      </c>
      <c r="G67" s="508">
        <f>12087.9-1006.9+1012.3+384.9-399.3+506.2-530.2-6162.8+6144.7-458.1+529.7-4277.2+4266.8-236.2+302.8-1012.3+1017.8+530.2-557-11206.5+11089.2-6144.7+6295.6-529.7+558.3-4266.8+4243.8-302.8+391</f>
        <v>12270.7</v>
      </c>
      <c r="H67" s="130">
        <f>1640.6-151.2+157.5-192.7+201-626.1+633.8-670.6+643.5-157.5+158.3+399.3-402.4-201+209.2-633.8+726.8-643.5+641.3</f>
        <v>1732.4999999999995</v>
      </c>
      <c r="I67" s="130">
        <f t="shared" si="4"/>
        <v>32574.100000000002</v>
      </c>
    </row>
    <row r="68" spans="1:9" hidden="1">
      <c r="A68" s="113" t="s">
        <v>49</v>
      </c>
      <c r="B68" s="130">
        <f>1851.5+60-1223.6+1235.2-627.8+540.3-0.1+154.4-1235.2+1220.8-540.3+750-154.4+1.6-1220.8+1156.3-1.6+151.1-750+708.4</f>
        <v>2075.8000000000002</v>
      </c>
      <c r="C68" s="508" t="s">
        <v>88</v>
      </c>
      <c r="D68" s="130">
        <f>2488.8-2354.9+2403.2-2403.2+2312.3-2312.3+2365.9</f>
        <v>2499.8000000000002</v>
      </c>
      <c r="E68" s="130">
        <f>2221.1-433.3+435.5-102.1+107.6-1685.7+1678.4-435.5+440.6-107.6+167.2-1678.4+1662.4-440.6+262.1-1662.4+2101.5</f>
        <v>2530.7999999999997</v>
      </c>
      <c r="F68" s="130">
        <f>11604.7-10989.1+11206.5</f>
        <v>11822.1</v>
      </c>
      <c r="G68" s="508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68" s="130">
        <f>1640.6-151.2+157.5-192.7+201-626.1+633.8-670.6+643.5-157.5+158.3+399.3-402.4-201+209.2-633.8+726.8-643.5+641.3+402.4-407.2-158.3+160.2-209.2+197.6-641.3+621.7-726.8+647.1</f>
        <v>1618.6999999999998</v>
      </c>
      <c r="I68" s="130">
        <f t="shared" si="4"/>
        <v>33041.1</v>
      </c>
    </row>
    <row r="69" spans="1:9" hidden="1">
      <c r="A69" s="113" t="s">
        <v>50</v>
      </c>
      <c r="B69" s="130">
        <f>1851.5+60-1223.6+1235.2-627.8+540.3-0.1+154.4-1235.2+1220.8-540.3+750-154.4+1.6-1220.8+1156.3-1.6+151.1-750+708.4-60+60.3-1156.3+1134.5-708.4+722.3-151.1+275.9</f>
        <v>2193</v>
      </c>
      <c r="C69" s="508" t="s">
        <v>88</v>
      </c>
      <c r="D69" s="130">
        <f>2488.8-2354.9+2403.2-2403.2+2312.3-2312.3+2365.9-2365.9+2407.9-133.9+186.1</f>
        <v>2594</v>
      </c>
      <c r="E69" s="130">
        <f>2221.1-433.3+435.5-102.1+107.6-1685.7+1678.4-435.5+440.6-107.6+167.2-1678.4+1662.4-440.6+262.1-1662.4+2101.5-262.1+168.6-167.2+166.5-2101.5+2135.3</f>
        <v>2470.4</v>
      </c>
      <c r="F69" s="130">
        <f>11604.7-10989.1+11206.5-11089.2+11916.4-415.5+408.9</f>
        <v>12642.699999999999</v>
      </c>
      <c r="G69" s="508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69" s="1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69" s="130">
        <f t="shared" si="4"/>
        <v>33938.700000000004</v>
      </c>
    </row>
    <row r="70" spans="1:9" hidden="1">
      <c r="A70" s="113"/>
      <c r="B70" s="130"/>
      <c r="C70" s="508"/>
      <c r="D70" s="130"/>
      <c r="E70" s="130"/>
      <c r="F70" s="130"/>
      <c r="G70" s="508"/>
      <c r="H70" s="130"/>
      <c r="I70" s="130"/>
    </row>
    <row r="71" spans="1:9" hidden="1">
      <c r="A71" s="113" t="s">
        <v>333</v>
      </c>
      <c r="B71" s="130">
        <f>1851.5+60-1223.6+1235.2-627.8+540.3-0.1+154.4-1235.2+1220.8-540.3+750-154.4+1.6-1220.8+1156.3-1.6+151.1-750+708.4-60+60.3-1156.3+1134.5-708.4+722.3-151.1+275.9-60.3-722.3+656.6-275.9+0.7</f>
        <v>1791.8</v>
      </c>
      <c r="C71" s="508" t="s">
        <v>88</v>
      </c>
      <c r="D71" s="130">
        <f>2488.8-2354.9+2403.2-2403.2+2312.3-2312.3+2365.9-2365.9+2407.9-133.9+186.1+56.3-2407.9+2301.5</f>
        <v>2543.9</v>
      </c>
      <c r="E71" s="130">
        <f>2221.1-433.3+435.5-102.1+107.6-1685.7+1678.4-435.5+440.6-107.6+167.2-1678.4+1662.4-440.6+262.1-1662.4+2101.5-262.1+168.6-167.2+166.5-2101.5+2135.3-168.6+168.7-166.5+167.2-2135.3+2163.5</f>
        <v>2499.3999999999996</v>
      </c>
      <c r="F71" s="130">
        <f>11604.7-10989.1+11206.5-11089.2+11916.4-415.5+408.9-408.9+409.1</f>
        <v>12642.9</v>
      </c>
      <c r="G71" s="508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1" s="1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1" s="130">
        <f t="shared" ref="I71:I76" si="5">SUM(B71:H71)</f>
        <v>33707.500000000007</v>
      </c>
    </row>
    <row r="72" spans="1:9" hidden="1">
      <c r="A72" s="113" t="s">
        <v>40</v>
      </c>
      <c r="B72" s="1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72" s="508" t="s">
        <v>88</v>
      </c>
      <c r="D72" s="130">
        <f>2488.8-2354.9+2403.2-2403.2+2312.3-2312.3+2365.9-2365.9+2407.9-133.9+186.1+56.3-2407.9+2301.5-56.3-2301.5+2289.4</f>
        <v>2475.5</v>
      </c>
      <c r="E72" s="1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72" s="130">
        <f>11604.7-10989.1+11206.5-11089.2+11916.4-415.5+408.9-408.9+409.1-409.1+402.4</f>
        <v>12636.199999999999</v>
      </c>
      <c r="G72" s="508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72" s="1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72" s="130">
        <f t="shared" si="5"/>
        <v>33216.6</v>
      </c>
    </row>
    <row r="73" spans="1:9" hidden="1">
      <c r="A73" s="113" t="s">
        <v>41</v>
      </c>
      <c r="B73" s="130">
        <f>1851.5+60-1223.6+1235.2-627.8+540.3-0.1+154.4-1235.2+1220.8-540.3+750-154.4+1.6-1220.8+1156.3-1.6+151.1-750+708.4-60+60.3-1156.3+1134.5-708.4+722.3-151.1+275.9-60.3-722.3+656.6-275.9+0.7+52.6-0.7-656.6-52.6+48.8</f>
        <v>1183.3</v>
      </c>
      <c r="C73" s="508" t="s">
        <v>88</v>
      </c>
      <c r="D73" s="130">
        <f>2488.8-2354.9+2403.2-2403.2+2312.3-2312.3+2365.9-2365.9+2407.9-133.9+186.1+56.3-2407.9+2301.5-56.3-2301.5+2289.4-2289.4+2318.8</f>
        <v>2504.9</v>
      </c>
      <c r="E73" s="1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73" s="130">
        <f>11604.7-10989.1+11206.5-11089.2+11916.4-415.5+408.9-408.9+409.1-409.1+402.4-11916.4+11704.6</f>
        <v>12424.4</v>
      </c>
      <c r="G73" s="508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73" s="1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73" s="130">
        <f t="shared" si="5"/>
        <v>33140.600000000006</v>
      </c>
    </row>
    <row r="74" spans="1:9" hidden="1">
      <c r="A74" s="113" t="s">
        <v>42</v>
      </c>
      <c r="B74" s="1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74" s="508" t="s">
        <v>88</v>
      </c>
      <c r="D74" s="130">
        <f>2488.8-2354.9+2403.2-2403.2+2312.3-2312.3+2365.9-2365.9+2407.9-133.9+186.1+56.3-2407.9+2301.5-56.3-2301.5+2289.4-2289.4+2318.8-2318.8+2208.9</f>
        <v>2395</v>
      </c>
      <c r="E74" s="1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74" s="130">
        <f>11604.7-10989.1+11206.5-11089.2+11916.4-415.5+408.9-408.9+409.1-409.1+402.4-11916.4+11704.6-11704.6+11582.1</f>
        <v>12301.9</v>
      </c>
      <c r="G74" s="508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74" s="1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74" s="130">
        <f t="shared" si="5"/>
        <v>33558.400000000001</v>
      </c>
    </row>
    <row r="75" spans="1:9" hidden="1">
      <c r="A75" s="113" t="s">
        <v>43</v>
      </c>
      <c r="B75" s="1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75" s="508" t="s">
        <v>88</v>
      </c>
      <c r="D75" s="130">
        <f>2488.8-2354.9+2403.2-2403.2+2312.3-2312.3+2365.9-2365.9+2407.9-133.9+186.1+56.3-2407.9+2301.5-56.3-2301.5+2289.4-2289.4+2318.8-2318.8+2208.9-2208.9+2252.5</f>
        <v>2438.6</v>
      </c>
      <c r="E75" s="1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75" s="130">
        <f>11604.7-10989.1+11206.5-11089.2+11916.4-415.5+408.9-408.9+409.1-409.1+402.4-11916.4+11704.6-11704.6+11582.1</f>
        <v>12301.9</v>
      </c>
      <c r="G75" s="508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75" s="1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75" s="130">
        <f t="shared" si="5"/>
        <v>34742.400000000001</v>
      </c>
    </row>
    <row r="76" spans="1:9" hidden="1">
      <c r="A76" s="113" t="s">
        <v>44</v>
      </c>
      <c r="B76" s="130">
        <f>37.2+2917.6</f>
        <v>2954.7999999999997</v>
      </c>
      <c r="C76" s="508" t="s">
        <v>88</v>
      </c>
      <c r="D76" s="130">
        <f>2324.3+206.1</f>
        <v>2530.4</v>
      </c>
      <c r="E76" s="130">
        <f>189.2+2156.9</f>
        <v>2346.1</v>
      </c>
      <c r="F76" s="130">
        <f>11511.5+402.4</f>
        <v>11913.9</v>
      </c>
      <c r="G76" s="508">
        <f>1146-443.5+7010.5+306.3+4490.2+210.8</f>
        <v>12720.3</v>
      </c>
      <c r="H76" s="130">
        <f>69.1+809.8+498</f>
        <v>1376.9</v>
      </c>
      <c r="I76" s="130">
        <f t="shared" si="5"/>
        <v>33842.399999999994</v>
      </c>
    </row>
    <row r="77" spans="1:9" hidden="1">
      <c r="A77" s="113" t="s">
        <v>45</v>
      </c>
      <c r="B77" s="130">
        <f>33.3+5115.7</f>
        <v>5149</v>
      </c>
      <c r="C77" s="508" t="s">
        <v>88</v>
      </c>
      <c r="D77" s="130">
        <f>2359.3+206.1</f>
        <v>2565.4</v>
      </c>
      <c r="E77" s="130">
        <f>188.8+2148.3</f>
        <v>2337.1000000000004</v>
      </c>
      <c r="F77" s="130">
        <f>11511.5+402.4</f>
        <v>11913.9</v>
      </c>
      <c r="G77" s="508">
        <f>1165.5-441.4+7025.6+365.5+4481.7+250</f>
        <v>12846.900000000001</v>
      </c>
      <c r="H77" s="130">
        <f>44.3+912.6+516.4</f>
        <v>1473.3</v>
      </c>
      <c r="I77" s="130">
        <f t="shared" ref="I77:I82" si="6">SUM(B77:H77)</f>
        <v>36285.600000000006</v>
      </c>
    </row>
    <row r="78" spans="1:9" hidden="1">
      <c r="A78" s="113" t="s">
        <v>46</v>
      </c>
      <c r="B78" s="130">
        <f>29.3+3532</f>
        <v>3561.3</v>
      </c>
      <c r="C78" s="508" t="s">
        <v>88</v>
      </c>
      <c r="D78" s="130">
        <f>2382.5+219.2</f>
        <v>2601.6999999999998</v>
      </c>
      <c r="E78" s="130">
        <f>184.2+2108.8</f>
        <v>2293</v>
      </c>
      <c r="F78" s="130">
        <f>11511.5+402.4</f>
        <v>11913.9</v>
      </c>
      <c r="G78" s="508">
        <f>1172.5-457.6+7231+404.8+4474.5+301.3</f>
        <v>13126.499999999998</v>
      </c>
      <c r="H78" s="130">
        <f>38.5+826.8+491</f>
        <v>1356.3</v>
      </c>
      <c r="I78" s="130">
        <f t="shared" si="6"/>
        <v>34852.700000000004</v>
      </c>
    </row>
    <row r="79" spans="1:9" hidden="1">
      <c r="A79" s="113" t="s">
        <v>47</v>
      </c>
      <c r="B79" s="130">
        <f>29.3+3532-29.3+25.3-3532+2723.6</f>
        <v>2748.9</v>
      </c>
      <c r="C79" s="508" t="s">
        <v>88</v>
      </c>
      <c r="D79" s="130">
        <f>2382.5+219.2-2382.5+2419</f>
        <v>2638.2</v>
      </c>
      <c r="E79" s="130">
        <f>184.2+2108.8-2108.8+2105.9-184.2+184.3</f>
        <v>2290.2000000000003</v>
      </c>
      <c r="F79" s="130">
        <f>11511.5+402.4-11511.5+11684</f>
        <v>12086.4</v>
      </c>
      <c r="G79" s="508">
        <f>1172.5-457.6+7231+404.8+4474.5+301.3-1172.5+1174.9+457.6-467.2-4474.5+4477.3-301.3+343.7-7231+7233.8-404.8+469</f>
        <v>13231.5</v>
      </c>
      <c r="H79" s="130">
        <f>38.5+826.8+491-38.5+36.9-491+499.1-826.8+781</f>
        <v>1317.0000000000002</v>
      </c>
      <c r="I79" s="130">
        <f t="shared" si="6"/>
        <v>34312.199999999997</v>
      </c>
    </row>
    <row r="80" spans="1:9" hidden="1">
      <c r="A80" s="113" t="s">
        <v>48</v>
      </c>
      <c r="B80" s="128">
        <f>14.2+2271.4</f>
        <v>2285.6</v>
      </c>
      <c r="C80" s="508" t="s">
        <v>88</v>
      </c>
      <c r="D80" s="130">
        <f>234.2+2266.4</f>
        <v>2500.6</v>
      </c>
      <c r="E80" s="130">
        <f>2122.1+184</f>
        <v>2306.1</v>
      </c>
      <c r="F80" s="130">
        <f>402.4+11561.1</f>
        <v>11963.5</v>
      </c>
      <c r="G80" s="508">
        <f>4502.3+387.4+7340+514.2</f>
        <v>12743.900000000001</v>
      </c>
      <c r="H80" s="130">
        <f>529.7+823.3</f>
        <v>1353</v>
      </c>
      <c r="I80" s="130">
        <f t="shared" si="6"/>
        <v>33152.699999999997</v>
      </c>
    </row>
    <row r="81" spans="1:9" hidden="1">
      <c r="A81" s="113" t="s">
        <v>49</v>
      </c>
      <c r="B81" s="130">
        <f>40.4+1826.3</f>
        <v>1866.7</v>
      </c>
      <c r="C81" s="508" t="s">
        <v>88</v>
      </c>
      <c r="D81" s="130">
        <f>234.2+2191.1</f>
        <v>2425.2999999999997</v>
      </c>
      <c r="E81" s="130">
        <f>2062.3+183</f>
        <v>2245.3000000000002</v>
      </c>
      <c r="F81" s="130">
        <f>402.4+8700.3</f>
        <v>9102.6999999999989</v>
      </c>
      <c r="G81" s="508">
        <f>4478.5+472.4+7257.2+614.1</f>
        <v>12822.199999999999</v>
      </c>
      <c r="H81" s="130">
        <f>533+880.8</f>
        <v>1413.8</v>
      </c>
      <c r="I81" s="130">
        <f t="shared" si="6"/>
        <v>29875.999999999996</v>
      </c>
    </row>
    <row r="82" spans="1:9" hidden="1">
      <c r="A82" s="113" t="s">
        <v>50</v>
      </c>
      <c r="B82" s="130">
        <f>56.6+836.5</f>
        <v>893.1</v>
      </c>
      <c r="C82" s="508" t="s">
        <v>88</v>
      </c>
      <c r="D82" s="130">
        <f>234.2+1844.2</f>
        <v>2078.4</v>
      </c>
      <c r="E82" s="130">
        <f>2006.6+183.9</f>
        <v>2190.5</v>
      </c>
      <c r="F82" s="130">
        <f>402.4+8658.3</f>
        <v>9060.6999999999989</v>
      </c>
      <c r="G82" s="508">
        <f>4482.5+479.6+7393.6+511.1</f>
        <v>12866.800000000001</v>
      </c>
      <c r="H82" s="130">
        <f>667.9+902.1</f>
        <v>1570</v>
      </c>
      <c r="I82" s="130">
        <f t="shared" si="6"/>
        <v>28659.5</v>
      </c>
    </row>
    <row r="83" spans="1:9" hidden="1">
      <c r="A83" s="113"/>
      <c r="B83" s="130"/>
      <c r="C83" s="508"/>
      <c r="D83" s="130"/>
      <c r="E83" s="130"/>
      <c r="F83" s="130"/>
      <c r="G83" s="508"/>
      <c r="H83" s="130"/>
      <c r="I83" s="130"/>
    </row>
    <row r="84" spans="1:9" hidden="1">
      <c r="A84" s="113" t="s">
        <v>332</v>
      </c>
      <c r="B84" s="130">
        <f>3.4+1823</f>
        <v>1826.4</v>
      </c>
      <c r="C84" s="508" t="s">
        <v>88</v>
      </c>
      <c r="D84" s="130">
        <f>70+2278.6</f>
        <v>2348.6</v>
      </c>
      <c r="E84" s="130">
        <f>2101.7+185.1</f>
        <v>2286.7999999999997</v>
      </c>
      <c r="F84" s="130">
        <f>560.4+4546.6</f>
        <v>5107</v>
      </c>
      <c r="G84" s="508">
        <f>4497.3+496.9+7397.3+570.4</f>
        <v>12961.9</v>
      </c>
      <c r="H84" s="130">
        <f>687.7+859.7</f>
        <v>1547.4</v>
      </c>
      <c r="I84" s="130">
        <f t="shared" ref="I84:I89" si="7">SUM(B84:H84)</f>
        <v>26078.1</v>
      </c>
    </row>
    <row r="85" spans="1:9" hidden="1">
      <c r="A85" s="113" t="s">
        <v>40</v>
      </c>
      <c r="B85" s="130">
        <f>475.1</f>
        <v>475.1</v>
      </c>
      <c r="C85" s="508" t="s">
        <v>88</v>
      </c>
      <c r="D85" s="130">
        <f>70+2347.6</f>
        <v>2417.6</v>
      </c>
      <c r="E85" s="130">
        <f>2106.8+185.4</f>
        <v>2292.2000000000003</v>
      </c>
      <c r="F85" s="130">
        <f>560.4+4546.6</f>
        <v>5107</v>
      </c>
      <c r="G85" s="508">
        <f>4514+526.2+7309.3+690.9</f>
        <v>13040.4</v>
      </c>
      <c r="H85" s="130">
        <f>689.9+848.1</f>
        <v>1538</v>
      </c>
      <c r="I85" s="130">
        <f t="shared" si="7"/>
        <v>24870.3</v>
      </c>
    </row>
    <row r="86" spans="1:9" hidden="1">
      <c r="A86" s="113" t="s">
        <v>41</v>
      </c>
      <c r="B86" s="130">
        <f>0.4+0.3</f>
        <v>0.7</v>
      </c>
      <c r="C86" s="508">
        <v>0</v>
      </c>
      <c r="D86" s="130">
        <f>70+2365.7</f>
        <v>2435.6999999999998</v>
      </c>
      <c r="E86" s="130">
        <f>2228.1+196.3</f>
        <v>2424.4</v>
      </c>
      <c r="F86" s="130">
        <f>560.4+4482</f>
        <v>5042.3999999999996</v>
      </c>
      <c r="G86" s="508">
        <f>4723.8+132+7831.1+208.9</f>
        <v>12895.800000000001</v>
      </c>
      <c r="H86" s="130">
        <f>856.8+854.4</f>
        <v>1711.1999999999998</v>
      </c>
      <c r="I86" s="130">
        <f t="shared" si="7"/>
        <v>24510.2</v>
      </c>
    </row>
    <row r="87" spans="1:9" hidden="1">
      <c r="A87" s="113" t="s">
        <v>42</v>
      </c>
      <c r="B87" s="130">
        <v>0</v>
      </c>
      <c r="C87" s="508">
        <v>0</v>
      </c>
      <c r="D87" s="130">
        <f>70+2350.4</f>
        <v>2420.4</v>
      </c>
      <c r="E87" s="130">
        <f>2219.3+198.8</f>
        <v>2418.1000000000004</v>
      </c>
      <c r="F87" s="130">
        <f>553.6+4482</f>
        <v>5035.6000000000004</v>
      </c>
      <c r="G87" s="508">
        <f>4721.1+178.4+7826.3+149.4</f>
        <v>12875.199999999999</v>
      </c>
      <c r="H87" s="130">
        <f>606.9+1859.8</f>
        <v>2466.6999999999998</v>
      </c>
      <c r="I87" s="130">
        <f t="shared" si="7"/>
        <v>25216</v>
      </c>
    </row>
    <row r="88" spans="1:9" hidden="1">
      <c r="A88" s="113" t="s">
        <v>43</v>
      </c>
      <c r="B88" s="130">
        <f>0.4+0.3</f>
        <v>0.7</v>
      </c>
      <c r="C88" s="508">
        <v>0</v>
      </c>
      <c r="D88" s="130">
        <f>70+2365.7</f>
        <v>2435.6999999999998</v>
      </c>
      <c r="E88" s="130">
        <f>2228.1+196.3</f>
        <v>2424.4</v>
      </c>
      <c r="F88" s="130">
        <f>560.4+4482</f>
        <v>5042.3999999999996</v>
      </c>
      <c r="G88" s="508">
        <f>4723.8+132+7831.1+208.9</f>
        <v>12895.800000000001</v>
      </c>
      <c r="H88" s="130">
        <f>856.8+854.4</f>
        <v>1711.1999999999998</v>
      </c>
      <c r="I88" s="130">
        <f>SUM(B88:H88)</f>
        <v>24510.2</v>
      </c>
    </row>
    <row r="89" spans="1:9" hidden="1">
      <c r="A89" s="113" t="s">
        <v>44</v>
      </c>
      <c r="B89" s="130" t="s">
        <v>88</v>
      </c>
      <c r="C89" s="130" t="s">
        <v>88</v>
      </c>
      <c r="D89" s="130">
        <f>170+2818.5</f>
        <v>2988.5</v>
      </c>
      <c r="E89" s="130">
        <f>1979.4+196.4</f>
        <v>2175.8000000000002</v>
      </c>
      <c r="F89" s="130">
        <f>553.6+2448</f>
        <v>3001.6</v>
      </c>
      <c r="G89" s="508">
        <f>4672.5+333.1+7442.6+463.6</f>
        <v>12911.800000000001</v>
      </c>
      <c r="H89" s="130">
        <f>590.2+694.8</f>
        <v>1285</v>
      </c>
      <c r="I89" s="130">
        <f t="shared" si="7"/>
        <v>22362.7</v>
      </c>
    </row>
    <row r="90" spans="1:9" hidden="1">
      <c r="A90" s="113" t="s">
        <v>45</v>
      </c>
      <c r="B90" s="130" t="s">
        <v>88</v>
      </c>
      <c r="C90" s="130" t="s">
        <v>88</v>
      </c>
      <c r="D90" s="130">
        <f>328+2859.9</f>
        <v>3187.9</v>
      </c>
      <c r="E90" s="130">
        <f>1665.3+196.2</f>
        <v>1861.5</v>
      </c>
      <c r="F90" s="130">
        <f>395.6+2448</f>
        <v>2843.6</v>
      </c>
      <c r="G90" s="508">
        <f>4690.3+391+7398.5+534.8</f>
        <v>13014.599999999999</v>
      </c>
      <c r="H90" s="130">
        <f>709.2+1126.4</f>
        <v>1835.6000000000001</v>
      </c>
      <c r="I90" s="130">
        <f t="shared" ref="I90:I95" si="8">SUM(B90:H90)</f>
        <v>22743.199999999997</v>
      </c>
    </row>
    <row r="91" spans="1:9" hidden="1">
      <c r="A91" s="113" t="s">
        <v>46</v>
      </c>
      <c r="B91" s="130" t="s">
        <v>88</v>
      </c>
      <c r="C91" s="130" t="s">
        <v>88</v>
      </c>
      <c r="D91" s="130">
        <f>428+2774.2</f>
        <v>3202.2</v>
      </c>
      <c r="E91" s="130">
        <f>1638.6+196.2</f>
        <v>1834.8</v>
      </c>
      <c r="F91" s="130">
        <f>395.6+2448</f>
        <v>2843.6</v>
      </c>
      <c r="G91" s="508">
        <f>4690.9+426.3+7401+616.2</f>
        <v>13134.400000000001</v>
      </c>
      <c r="H91" s="130">
        <f>808.4+1143.3</f>
        <v>1951.6999999999998</v>
      </c>
      <c r="I91" s="130">
        <f t="shared" si="8"/>
        <v>22966.7</v>
      </c>
    </row>
    <row r="92" spans="1:9" hidden="1">
      <c r="A92" s="113" t="s">
        <v>47</v>
      </c>
      <c r="B92" s="130" t="s">
        <v>88</v>
      </c>
      <c r="C92" s="130" t="s">
        <v>88</v>
      </c>
      <c r="D92" s="130">
        <f>428+2694.7</f>
        <v>3122.7</v>
      </c>
      <c r="E92" s="130">
        <f>1654+196.6</f>
        <v>1850.6</v>
      </c>
      <c r="F92" s="130">
        <f>395.6+2745.4</f>
        <v>3141</v>
      </c>
      <c r="G92" s="508">
        <f>4669.8+499.4+7363.9+714.3</f>
        <v>13247.399999999998</v>
      </c>
      <c r="H92" s="130">
        <f>802.6+785.1</f>
        <v>1587.7</v>
      </c>
      <c r="I92" s="130">
        <f t="shared" si="8"/>
        <v>22949.399999999998</v>
      </c>
    </row>
    <row r="93" spans="1:9" hidden="1">
      <c r="A93" s="113" t="s">
        <v>48</v>
      </c>
      <c r="B93" s="130" t="s">
        <v>88</v>
      </c>
      <c r="C93" s="130" t="s">
        <v>88</v>
      </c>
      <c r="D93" s="130">
        <f>433.9+2583.5</f>
        <v>3017.4</v>
      </c>
      <c r="E93" s="130">
        <f>1705+196.2</f>
        <v>1901.2</v>
      </c>
      <c r="F93" s="130">
        <f>395.6+2745.4</f>
        <v>3141</v>
      </c>
      <c r="G93" s="508">
        <f>4669.5+543.5+7476.8+757.6</f>
        <v>13447.4</v>
      </c>
      <c r="H93" s="130">
        <f>787.5+933.2</f>
        <v>1720.7</v>
      </c>
      <c r="I93" s="130">
        <f t="shared" si="8"/>
        <v>23227.7</v>
      </c>
    </row>
    <row r="94" spans="1:9" hidden="1">
      <c r="A94" s="113" t="s">
        <v>49</v>
      </c>
      <c r="B94" s="130" t="s">
        <v>88</v>
      </c>
      <c r="C94" s="130" t="s">
        <v>88</v>
      </c>
      <c r="D94" s="130">
        <f>434.9+2609</f>
        <v>3043.9</v>
      </c>
      <c r="E94" s="130">
        <f>1780.1+195.9</f>
        <v>1976</v>
      </c>
      <c r="F94" s="130">
        <f>395.6+2459.9</f>
        <v>2855.5</v>
      </c>
      <c r="G94" s="508">
        <f>4683.6+589.1+7461.5+809.3</f>
        <v>13543.5</v>
      </c>
      <c r="H94" s="130">
        <f>837.6+1584.8</f>
        <v>2422.4</v>
      </c>
      <c r="I94" s="130">
        <f t="shared" si="8"/>
        <v>23841.300000000003</v>
      </c>
    </row>
    <row r="95" spans="1:9" hidden="1">
      <c r="A95" s="113" t="s">
        <v>50</v>
      </c>
      <c r="B95" s="130" t="s">
        <v>88</v>
      </c>
      <c r="C95" s="130" t="s">
        <v>88</v>
      </c>
      <c r="D95" s="130">
        <f>757.1+2626.8</f>
        <v>3383.9</v>
      </c>
      <c r="E95" s="130">
        <f>1512.5+255</f>
        <v>1767.5</v>
      </c>
      <c r="F95" s="130">
        <f>395.6+2358.9</f>
        <v>2754.5</v>
      </c>
      <c r="G95" s="508">
        <f>4680.3+577.4+7462.3+780.7</f>
        <v>13500.7</v>
      </c>
      <c r="H95" s="130">
        <f>740.8+1156.7</f>
        <v>1897.5</v>
      </c>
      <c r="I95" s="130">
        <f t="shared" si="8"/>
        <v>23304.1</v>
      </c>
    </row>
    <row r="96" spans="1:9" hidden="1">
      <c r="A96" s="113"/>
      <c r="B96" s="130"/>
      <c r="C96" s="130"/>
      <c r="D96" s="130"/>
      <c r="E96" s="130"/>
      <c r="F96" s="130"/>
      <c r="G96" s="508"/>
      <c r="H96" s="130"/>
      <c r="I96" s="130"/>
    </row>
    <row r="97" spans="1:9" hidden="1">
      <c r="A97" s="113" t="s">
        <v>331</v>
      </c>
      <c r="B97" s="130" t="s">
        <v>88</v>
      </c>
      <c r="C97" s="130" t="s">
        <v>88</v>
      </c>
      <c r="D97" s="130">
        <f>407.1+2648.5</f>
        <v>3055.6</v>
      </c>
      <c r="E97" s="130">
        <f>1554.1+707.5</f>
        <v>2261.6</v>
      </c>
      <c r="F97" s="130">
        <f>395.6+2358.9</f>
        <v>2754.5</v>
      </c>
      <c r="G97" s="508">
        <f>4715+562.4+7012.2+818.4</f>
        <v>13107.999999999998</v>
      </c>
      <c r="H97" s="130">
        <f>790.9+925.5</f>
        <v>1716.4</v>
      </c>
      <c r="I97" s="130">
        <f t="shared" ref="I97:I102" si="9">SUM(B97:H97)</f>
        <v>22896.1</v>
      </c>
    </row>
    <row r="98" spans="1:9" hidden="1">
      <c r="A98" s="113" t="s">
        <v>40</v>
      </c>
      <c r="B98" s="130" t="s">
        <v>88</v>
      </c>
      <c r="C98" s="130" t="s">
        <v>88</v>
      </c>
      <c r="D98" s="130">
        <f>907.1+2674.4</f>
        <v>3581.5</v>
      </c>
      <c r="E98" s="130">
        <f>1574+704.5</f>
        <v>2278.5</v>
      </c>
      <c r="F98" s="130">
        <f>395.6+2358.9</f>
        <v>2754.5</v>
      </c>
      <c r="G98" s="508">
        <f>4757.4+598.5+7009.1+863.5</f>
        <v>13228.5</v>
      </c>
      <c r="H98" s="130">
        <f>773.4+882.7</f>
        <v>1656.1</v>
      </c>
      <c r="I98" s="130">
        <f t="shared" si="9"/>
        <v>23499.1</v>
      </c>
    </row>
    <row r="99" spans="1:9" hidden="1">
      <c r="A99" s="113" t="s">
        <v>41</v>
      </c>
      <c r="B99" s="130" t="s">
        <v>88</v>
      </c>
      <c r="C99" s="130" t="s">
        <v>88</v>
      </c>
      <c r="D99" s="130">
        <f>907.1+2700</f>
        <v>3607.1</v>
      </c>
      <c r="E99" s="130">
        <f>1589.1+704.7</f>
        <v>2293.8000000000002</v>
      </c>
      <c r="F99" s="130">
        <f>395.6+2437.8</f>
        <v>2833.4</v>
      </c>
      <c r="G99" s="508">
        <f>5025.3+100.3+7014.1+916.1</f>
        <v>13055.800000000001</v>
      </c>
      <c r="H99" s="130">
        <f>950.7+983.4</f>
        <v>1934.1</v>
      </c>
      <c r="I99" s="130">
        <f t="shared" si="9"/>
        <v>23724.199999999997</v>
      </c>
    </row>
    <row r="100" spans="1:9" hidden="1">
      <c r="A100" s="113" t="s">
        <v>42</v>
      </c>
      <c r="B100" s="130" t="s">
        <v>88</v>
      </c>
      <c r="C100" s="130" t="s">
        <v>88</v>
      </c>
      <c r="D100" s="130">
        <f>907.2+2678.2</f>
        <v>3585.3999999999996</v>
      </c>
      <c r="E100" s="130">
        <f>1668.1+704.6</f>
        <v>2372.6999999999998</v>
      </c>
      <c r="F100" s="130">
        <f>395.6+2437.8</f>
        <v>2833.4</v>
      </c>
      <c r="G100" s="508">
        <f>5060.7+159.8+7803+80.4</f>
        <v>13103.9</v>
      </c>
      <c r="H100" s="130">
        <f>921.4+1000.4</f>
        <v>1921.8</v>
      </c>
      <c r="I100" s="130">
        <f t="shared" si="9"/>
        <v>23817.200000000001</v>
      </c>
    </row>
    <row r="101" spans="1:9" hidden="1">
      <c r="A101" s="113" t="s">
        <v>43</v>
      </c>
      <c r="B101" s="130">
        <v>300</v>
      </c>
      <c r="C101" s="130" t="s">
        <v>88</v>
      </c>
      <c r="D101" s="130">
        <f>707.2+2691.2</f>
        <v>3398.3999999999996</v>
      </c>
      <c r="E101" s="130">
        <f>1692.9+703.8</f>
        <v>2396.6999999999998</v>
      </c>
      <c r="F101" s="130">
        <f>395.6+2507.4</f>
        <v>2903</v>
      </c>
      <c r="G101" s="508">
        <f>5051.4+212.7+7832.6+91.8</f>
        <v>13188.5</v>
      </c>
      <c r="H101" s="130">
        <f>830.4+1024</f>
        <v>1854.4</v>
      </c>
      <c r="I101" s="130">
        <f t="shared" si="9"/>
        <v>24041</v>
      </c>
    </row>
    <row r="102" spans="1:9" hidden="1">
      <c r="A102" s="113" t="s">
        <v>44</v>
      </c>
      <c r="B102" s="130" t="s">
        <v>88</v>
      </c>
      <c r="C102" s="130" t="s">
        <v>88</v>
      </c>
      <c r="D102" s="130">
        <f>1207.2+2747.8</f>
        <v>3955</v>
      </c>
      <c r="E102" s="130">
        <f>1808.1+703.9</f>
        <v>2512</v>
      </c>
      <c r="F102" s="130">
        <f>395.6+2507.4</f>
        <v>2903</v>
      </c>
      <c r="G102" s="508">
        <f>5064.2+220+7863.2+128.8</f>
        <v>13276.199999999999</v>
      </c>
      <c r="H102" s="130">
        <f>888+1113</f>
        <v>2001</v>
      </c>
      <c r="I102" s="130">
        <f t="shared" si="9"/>
        <v>24647.199999999997</v>
      </c>
    </row>
    <row r="103" spans="1:9" hidden="1">
      <c r="A103" s="113" t="s">
        <v>45</v>
      </c>
      <c r="B103" s="130" t="s">
        <v>88</v>
      </c>
      <c r="C103" s="130" t="s">
        <v>88</v>
      </c>
      <c r="D103" s="130">
        <f>1307.2+2785.7</f>
        <v>4092.8999999999996</v>
      </c>
      <c r="E103" s="130">
        <f>1949.4+705.4</f>
        <v>2654.8</v>
      </c>
      <c r="F103" s="130">
        <f>395.6+2507.4</f>
        <v>2903</v>
      </c>
      <c r="G103" s="508">
        <f>5086+245.3+7873+195.3</f>
        <v>13399.599999999999</v>
      </c>
      <c r="H103" s="130">
        <f>926.3+1379.9</f>
        <v>2306.1999999999998</v>
      </c>
      <c r="I103" s="130">
        <f t="shared" ref="I103:I108" si="10">SUM(B103:H103)</f>
        <v>25356.5</v>
      </c>
    </row>
    <row r="104" spans="1:9" hidden="1">
      <c r="A104" s="113" t="s">
        <v>46</v>
      </c>
      <c r="B104" s="130" t="s">
        <v>88</v>
      </c>
      <c r="C104" s="130" t="s">
        <v>88</v>
      </c>
      <c r="D104" s="130">
        <f>1007.2+2798.8</f>
        <v>3806</v>
      </c>
      <c r="E104" s="130">
        <f>1963.9+703.2</f>
        <v>2667.1000000000004</v>
      </c>
      <c r="F104" s="130">
        <f>395.6+2507.4</f>
        <v>2903</v>
      </c>
      <c r="G104" s="508">
        <f>5082.8+280.6+7939.7+217</f>
        <v>13520.1</v>
      </c>
      <c r="H104" s="130">
        <f>942.8+1302.5</f>
        <v>2245.3000000000002</v>
      </c>
      <c r="I104" s="130">
        <f t="shared" si="10"/>
        <v>25141.5</v>
      </c>
    </row>
    <row r="105" spans="1:9" hidden="1">
      <c r="A105" s="113" t="s">
        <v>47</v>
      </c>
      <c r="B105" s="130" t="s">
        <v>88</v>
      </c>
      <c r="C105" s="130" t="s">
        <v>88</v>
      </c>
      <c r="D105" s="130">
        <f>982.2+2840.8</f>
        <v>3823</v>
      </c>
      <c r="E105" s="130">
        <f>2587.1+703.8</f>
        <v>3290.8999999999996</v>
      </c>
      <c r="F105" s="130">
        <f>395.6+2600.2</f>
        <v>2995.7999999999997</v>
      </c>
      <c r="G105" s="508">
        <f>5090.4+334.5+7929.4+289.4</f>
        <v>13643.699999999999</v>
      </c>
      <c r="H105" s="130">
        <f>924.7+1179.3</f>
        <v>2104</v>
      </c>
      <c r="I105" s="130">
        <f t="shared" si="10"/>
        <v>25857.399999999998</v>
      </c>
    </row>
    <row r="106" spans="1:9" hidden="1">
      <c r="A106" s="113" t="s">
        <v>48</v>
      </c>
      <c r="B106" s="130" t="s">
        <v>88</v>
      </c>
      <c r="C106" s="130" t="s">
        <v>88</v>
      </c>
      <c r="D106" s="130">
        <f>1282.2+2892.5</f>
        <v>4174.7</v>
      </c>
      <c r="E106" s="130">
        <f>2470.2+703.4</f>
        <v>3173.6</v>
      </c>
      <c r="F106" s="130">
        <f>395.6+2600.2</f>
        <v>2995.7999999999997</v>
      </c>
      <c r="G106" s="508">
        <f>5086.6+396.7+7922.7+381.9</f>
        <v>13787.9</v>
      </c>
      <c r="H106" s="130">
        <f>918.7+1164.1</f>
        <v>2082.8000000000002</v>
      </c>
      <c r="I106" s="130">
        <f t="shared" si="10"/>
        <v>26214.799999999999</v>
      </c>
    </row>
    <row r="107" spans="1:9" hidden="1">
      <c r="A107" s="113" t="s">
        <v>49</v>
      </c>
      <c r="B107" s="130" t="s">
        <v>88</v>
      </c>
      <c r="C107" s="130" t="s">
        <v>88</v>
      </c>
      <c r="D107" s="130">
        <f>1532.2+2950</f>
        <v>4482.2</v>
      </c>
      <c r="E107" s="130">
        <f>2715.4+703.7</f>
        <v>3419.1000000000004</v>
      </c>
      <c r="F107" s="130">
        <f>395.6+2600.2</f>
        <v>2995.7999999999997</v>
      </c>
      <c r="G107" s="508">
        <f>4991.9+553.6+7890.1+484.1</f>
        <v>13919.7</v>
      </c>
      <c r="H107" s="130">
        <f>1046.7+1115.3</f>
        <v>2162</v>
      </c>
      <c r="I107" s="130">
        <f t="shared" si="10"/>
        <v>26978.800000000003</v>
      </c>
    </row>
    <row r="108" spans="1:9" hidden="1">
      <c r="A108" s="113" t="s">
        <v>50</v>
      </c>
      <c r="B108" s="130" t="s">
        <v>88</v>
      </c>
      <c r="C108" s="130" t="s">
        <v>88</v>
      </c>
      <c r="D108" s="130">
        <f>1347.8+2926.4</f>
        <v>4274.2</v>
      </c>
      <c r="E108" s="130">
        <f>2772.5+727.6</f>
        <v>3500.1</v>
      </c>
      <c r="F108" s="130">
        <f>388.7+2667.3</f>
        <v>3056</v>
      </c>
      <c r="G108" s="508">
        <f>4950.3+566.4+7951.2+352</f>
        <v>13819.9</v>
      </c>
      <c r="H108" s="130">
        <f>994.2+1271</f>
        <v>2265.1999999999998</v>
      </c>
      <c r="I108" s="130">
        <f t="shared" si="10"/>
        <v>26915.399999999998</v>
      </c>
    </row>
    <row r="109" spans="1:9" hidden="1">
      <c r="A109" s="113"/>
      <c r="B109" s="130"/>
      <c r="C109" s="130"/>
      <c r="D109" s="130"/>
      <c r="E109" s="130"/>
      <c r="F109" s="130"/>
      <c r="G109" s="508"/>
      <c r="H109" s="130"/>
      <c r="I109" s="130"/>
    </row>
    <row r="110" spans="1:9" hidden="1">
      <c r="A110" s="113" t="s">
        <v>330</v>
      </c>
      <c r="B110" s="130">
        <v>350</v>
      </c>
      <c r="C110" s="130" t="s">
        <v>88</v>
      </c>
      <c r="D110" s="130">
        <v>4368.1000000000004</v>
      </c>
      <c r="E110" s="130">
        <v>3958.4</v>
      </c>
      <c r="F110" s="130">
        <f>388.7+2667.3</f>
        <v>3056</v>
      </c>
      <c r="G110" s="508">
        <v>13923.2</v>
      </c>
      <c r="H110" s="130">
        <v>2022.1</v>
      </c>
      <c r="I110" s="130">
        <f t="shared" ref="I110:I115" si="11">SUM(B110:H110)</f>
        <v>27677.8</v>
      </c>
    </row>
    <row r="111" spans="1:9" hidden="1">
      <c r="A111" s="113" t="s">
        <v>40</v>
      </c>
      <c r="B111" s="130">
        <v>1350</v>
      </c>
      <c r="C111" s="130" t="s">
        <v>88</v>
      </c>
      <c r="D111" s="130">
        <f>1118.1+3467.6</f>
        <v>4585.7</v>
      </c>
      <c r="E111" s="130">
        <f>2996.1+727.2</f>
        <v>3723.3</v>
      </c>
      <c r="F111" s="130">
        <f>388.7+2667.3</f>
        <v>3056</v>
      </c>
      <c r="G111" s="508">
        <f>5003.7+618.3+7954.3+450.8</f>
        <v>14027.099999999999</v>
      </c>
      <c r="H111" s="130">
        <f>878.9+1348.8</f>
        <v>2227.6999999999998</v>
      </c>
      <c r="I111" s="130">
        <f t="shared" si="11"/>
        <v>28969.8</v>
      </c>
    </row>
    <row r="112" spans="1:9" hidden="1">
      <c r="A112" s="113" t="s">
        <v>41</v>
      </c>
      <c r="B112" s="130">
        <v>400</v>
      </c>
      <c r="C112" s="130" t="s">
        <v>88</v>
      </c>
      <c r="D112" s="130">
        <f>1118.1+4318.6</f>
        <v>5436.7000000000007</v>
      </c>
      <c r="E112" s="130">
        <f>3291+1027.1</f>
        <v>4318.1000000000004</v>
      </c>
      <c r="F112" s="130">
        <f>388.7+2807.8</f>
        <v>3196.5</v>
      </c>
      <c r="G112" s="508">
        <f>5419.5+160.4+7932.3+543.1</f>
        <v>14055.300000000001</v>
      </c>
      <c r="H112" s="130">
        <f>721+1188.5</f>
        <v>1909.5</v>
      </c>
      <c r="I112" s="130">
        <f t="shared" si="11"/>
        <v>29316.100000000002</v>
      </c>
    </row>
    <row r="113" spans="1:9" hidden="1">
      <c r="A113" s="113" t="s">
        <v>42</v>
      </c>
      <c r="B113" s="130">
        <v>300</v>
      </c>
      <c r="C113" s="130" t="s">
        <v>88</v>
      </c>
      <c r="D113" s="130">
        <f>1118.1+4453.4</f>
        <v>5571.5</v>
      </c>
      <c r="E113" s="130">
        <f>3224.4+1026.6</f>
        <v>4251</v>
      </c>
      <c r="F113" s="130">
        <f>388.7+2807.8</f>
        <v>3196.5</v>
      </c>
      <c r="G113" s="508">
        <f>5434.9+209.1+8371.4+199.4</f>
        <v>14214.8</v>
      </c>
      <c r="H113" s="130">
        <f>796.7+1189.8</f>
        <v>1986.5</v>
      </c>
      <c r="I113" s="130">
        <f t="shared" si="11"/>
        <v>29520.3</v>
      </c>
    </row>
    <row r="114" spans="1:9" hidden="1">
      <c r="A114" s="113" t="s">
        <v>43</v>
      </c>
      <c r="B114" s="130" t="s">
        <v>88</v>
      </c>
      <c r="C114" s="130" t="s">
        <v>88</v>
      </c>
      <c r="D114" s="130">
        <v>6010</v>
      </c>
      <c r="E114" s="130">
        <v>4512</v>
      </c>
      <c r="F114" s="130">
        <f>388.7+2807.8</f>
        <v>3196.5</v>
      </c>
      <c r="G114" s="508">
        <v>14281.8</v>
      </c>
      <c r="H114" s="130">
        <v>2297.3000000000002</v>
      </c>
      <c r="I114" s="130">
        <f t="shared" si="11"/>
        <v>30297.599999999999</v>
      </c>
    </row>
    <row r="115" spans="1:9" hidden="1">
      <c r="A115" s="113" t="s">
        <v>44</v>
      </c>
      <c r="B115" s="130">
        <v>400</v>
      </c>
      <c r="C115" s="130" t="s">
        <v>88</v>
      </c>
      <c r="D115" s="130">
        <f>842.1+5118.9</f>
        <v>5961</v>
      </c>
      <c r="E115" s="130">
        <f>3550.9+1146.3</f>
        <v>4697.2</v>
      </c>
      <c r="F115" s="130">
        <f>388.7+2960.6</f>
        <v>3349.2999999999997</v>
      </c>
      <c r="G115" s="508">
        <f>5478.4+292.7+8477.5+228</f>
        <v>14476.599999999999</v>
      </c>
      <c r="H115" s="130">
        <f>839.4+1421.7</f>
        <v>2261.1</v>
      </c>
      <c r="I115" s="130">
        <f t="shared" si="11"/>
        <v>31145.199999999997</v>
      </c>
    </row>
    <row r="116" spans="1:9" hidden="1">
      <c r="A116" s="113" t="s">
        <v>45</v>
      </c>
      <c r="B116" s="130">
        <v>0</v>
      </c>
      <c r="C116" s="130" t="s">
        <v>88</v>
      </c>
      <c r="D116" s="130">
        <f>842.2+5784.4</f>
        <v>6626.5999999999995</v>
      </c>
      <c r="E116" s="130">
        <f>3658.7+1149.1</f>
        <v>4807.7999999999993</v>
      </c>
      <c r="F116" s="130">
        <f>388.7+2960.6</f>
        <v>3349.2999999999997</v>
      </c>
      <c r="G116" s="508">
        <f>5494.9+333.5+8498.4+286.1</f>
        <v>14612.9</v>
      </c>
      <c r="H116" s="130">
        <f>844.8+1301.5</f>
        <v>2146.3000000000002</v>
      </c>
      <c r="I116" s="130">
        <f t="shared" ref="I116:I121" si="12">SUM(B116:H116)</f>
        <v>31542.899999999998</v>
      </c>
    </row>
    <row r="117" spans="1:9" hidden="1">
      <c r="A117" s="113" t="s">
        <v>46</v>
      </c>
      <c r="B117" s="130">
        <v>0</v>
      </c>
      <c r="C117" s="130" t="s">
        <v>88</v>
      </c>
      <c r="D117" s="130">
        <f>842.2+6219.8</f>
        <v>7062</v>
      </c>
      <c r="E117" s="130">
        <f>3707.3+1172</f>
        <v>4879.3</v>
      </c>
      <c r="F117" s="130">
        <f>388.7+2960.6</f>
        <v>3349.2999999999997</v>
      </c>
      <c r="G117" s="508">
        <f>5494.9+393.9+8537.5+313.3</f>
        <v>14739.599999999999</v>
      </c>
      <c r="H117" s="130">
        <f>917+1441.1</f>
        <v>2358.1</v>
      </c>
      <c r="I117" s="130">
        <f t="shared" si="12"/>
        <v>32388.299999999996</v>
      </c>
    </row>
    <row r="118" spans="1:9" hidden="1">
      <c r="A118" s="113" t="s">
        <v>47</v>
      </c>
      <c r="B118" s="130">
        <v>50.6</v>
      </c>
      <c r="C118" s="130" t="s">
        <v>88</v>
      </c>
      <c r="D118" s="130">
        <f>841.4+6252.6</f>
        <v>7094</v>
      </c>
      <c r="E118" s="130">
        <f>3816+1150.2</f>
        <v>4966.2</v>
      </c>
      <c r="F118" s="130">
        <f>388.7+3180</f>
        <v>3568.7</v>
      </c>
      <c r="G118" s="508">
        <f>5487.3+456.5+8498.2+410.1</f>
        <v>14852.1</v>
      </c>
      <c r="H118" s="130">
        <f>903+1374.2</f>
        <v>2277.1999999999998</v>
      </c>
      <c r="I118" s="130">
        <f t="shared" si="12"/>
        <v>32808.799999999996</v>
      </c>
    </row>
    <row r="119" spans="1:9" hidden="1">
      <c r="A119" s="113" t="s">
        <v>48</v>
      </c>
      <c r="B119" s="130" t="s">
        <v>88</v>
      </c>
      <c r="C119" s="130" t="s">
        <v>88</v>
      </c>
      <c r="D119" s="130">
        <f>861.8+6389.1</f>
        <v>7250.9000000000005</v>
      </c>
      <c r="E119" s="130">
        <f>3887+1149.1</f>
        <v>5036.1000000000004</v>
      </c>
      <c r="F119" s="130">
        <f>388.7+3180</f>
        <v>3568.7</v>
      </c>
      <c r="G119" s="508">
        <f>5413.9+537.1+8498+459.8</f>
        <v>14908.8</v>
      </c>
      <c r="H119" s="130">
        <f>960+1338.9</f>
        <v>2298.9</v>
      </c>
      <c r="I119" s="130">
        <f t="shared" si="12"/>
        <v>33063.4</v>
      </c>
    </row>
    <row r="120" spans="1:9" hidden="1">
      <c r="A120" s="113" t="s">
        <v>49</v>
      </c>
      <c r="B120" s="130" t="s">
        <v>88</v>
      </c>
      <c r="C120" s="130" t="s">
        <v>88</v>
      </c>
      <c r="D120" s="130">
        <f>861.8+5995.4</f>
        <v>6857.2</v>
      </c>
      <c r="E120" s="130">
        <f>4428.8+1150.1</f>
        <v>5578.9</v>
      </c>
      <c r="F120" s="130">
        <f>388.7+3180</f>
        <v>3568.7</v>
      </c>
      <c r="G120" s="508">
        <f>5420.9+592.8+8512.8+514</f>
        <v>15040.5</v>
      </c>
      <c r="H120" s="130">
        <f>1018.9+1354.1</f>
        <v>2373</v>
      </c>
      <c r="I120" s="130">
        <f t="shared" si="12"/>
        <v>33418.300000000003</v>
      </c>
    </row>
    <row r="121" spans="1:9" hidden="1">
      <c r="A121" s="113" t="s">
        <v>50</v>
      </c>
      <c r="B121" s="130" t="s">
        <v>88</v>
      </c>
      <c r="C121" s="130" t="s">
        <v>88</v>
      </c>
      <c r="D121" s="130">
        <f>861.8+6099.7</f>
        <v>6961.5</v>
      </c>
      <c r="E121" s="130">
        <f>4451.8+608.3</f>
        <v>5060.1000000000004</v>
      </c>
      <c r="F121" s="130">
        <f>381.8+3378</f>
        <v>3759.8</v>
      </c>
      <c r="G121" s="508">
        <v>13044.2</v>
      </c>
      <c r="H121" s="130">
        <v>4329.1000000000004</v>
      </c>
      <c r="I121" s="130">
        <f t="shared" si="12"/>
        <v>33154.700000000004</v>
      </c>
    </row>
    <row r="122" spans="1:9" hidden="1">
      <c r="B122" s="130"/>
      <c r="C122" s="129"/>
      <c r="D122" s="130"/>
      <c r="E122" s="130"/>
      <c r="F122" s="130"/>
      <c r="G122" s="508"/>
      <c r="H122" s="130"/>
      <c r="I122" s="130"/>
    </row>
    <row r="123" spans="1:9" hidden="1">
      <c r="A123" s="113" t="s">
        <v>60</v>
      </c>
      <c r="B123" s="130" t="s">
        <v>88</v>
      </c>
      <c r="C123" s="130" t="s">
        <v>88</v>
      </c>
      <c r="D123" s="130">
        <f>877.5+6007.1</f>
        <v>6884.6</v>
      </c>
      <c r="E123" s="130">
        <f>4747.9+605.4</f>
        <v>5353.2999999999993</v>
      </c>
      <c r="F123" s="130">
        <f>381.8+3378</f>
        <v>3759.8</v>
      </c>
      <c r="G123" s="508">
        <f>5438.9+714.8+8366.7+592.8</f>
        <v>15113.2</v>
      </c>
      <c r="H123" s="130">
        <f>947.4+1185.7</f>
        <v>2133.1</v>
      </c>
      <c r="I123" s="130">
        <f t="shared" ref="I123:I128" si="13">SUM(B123:H123)</f>
        <v>33244</v>
      </c>
    </row>
    <row r="124" spans="1:9" hidden="1">
      <c r="A124" s="113" t="s">
        <v>40</v>
      </c>
      <c r="B124" s="130" t="s">
        <v>88</v>
      </c>
      <c r="C124" s="130" t="s">
        <v>88</v>
      </c>
      <c r="D124" s="130">
        <f>1012.8+6053.8</f>
        <v>7066.6</v>
      </c>
      <c r="E124" s="130">
        <f>4828.9+1321.5</f>
        <v>6150.4</v>
      </c>
      <c r="F124" s="130">
        <f>381.8+3378</f>
        <v>3759.8</v>
      </c>
      <c r="G124" s="508">
        <f>5450.1+755.4+8358+699</f>
        <v>15262.5</v>
      </c>
      <c r="H124" s="130">
        <f>1142.7+1132.5</f>
        <v>2275.1999999999998</v>
      </c>
      <c r="I124" s="130">
        <f t="shared" si="13"/>
        <v>34514.5</v>
      </c>
    </row>
    <row r="125" spans="1:9" hidden="1">
      <c r="A125" s="113" t="s">
        <v>41</v>
      </c>
      <c r="B125" s="130" t="s">
        <v>88</v>
      </c>
      <c r="C125" s="130" t="s">
        <v>88</v>
      </c>
      <c r="D125" s="130">
        <f>903.4+6066.8</f>
        <v>6970.2</v>
      </c>
      <c r="E125" s="130">
        <f>5039.7+1470.8</f>
        <v>6510.5</v>
      </c>
      <c r="F125" s="130">
        <f>381.8+2175.6</f>
        <v>2557.4</v>
      </c>
      <c r="G125" s="508">
        <f>5965.1+208.7+8505.4+625.2</f>
        <v>15304.400000000001</v>
      </c>
      <c r="H125" s="130">
        <f>1004.6+1299.4</f>
        <v>2304</v>
      </c>
      <c r="I125" s="130">
        <f t="shared" si="13"/>
        <v>33646.5</v>
      </c>
    </row>
    <row r="126" spans="1:9" hidden="1">
      <c r="A126" s="113" t="s">
        <v>42</v>
      </c>
      <c r="B126" s="130" t="s">
        <v>88</v>
      </c>
      <c r="C126" s="130" t="s">
        <v>88</v>
      </c>
      <c r="D126" s="130">
        <f>1049.8+6458.1</f>
        <v>7507.9000000000005</v>
      </c>
      <c r="E126" s="130">
        <f>5112.2+1142.7</f>
        <v>6254.9</v>
      </c>
      <c r="F126" s="130">
        <f>381.8+2175.6</f>
        <v>2557.4</v>
      </c>
      <c r="G126" s="508">
        <f>5939+265.2+9020.2+60.2</f>
        <v>15284.600000000002</v>
      </c>
      <c r="H126" s="130">
        <f>1036.6+1278.7</f>
        <v>2315.3000000000002</v>
      </c>
      <c r="I126" s="130">
        <f t="shared" si="13"/>
        <v>33920.100000000006</v>
      </c>
    </row>
    <row r="127" spans="1:9" hidden="1">
      <c r="A127" s="113" t="s">
        <v>43</v>
      </c>
      <c r="B127" s="130" t="s">
        <v>88</v>
      </c>
      <c r="C127" s="130" t="s">
        <v>88</v>
      </c>
      <c r="D127" s="130">
        <f>1053.9+6468.5</f>
        <v>7522.4</v>
      </c>
      <c r="E127" s="130">
        <f>5126.6+1112.7</f>
        <v>6239.3</v>
      </c>
      <c r="F127" s="130">
        <f>381.8+2175.6</f>
        <v>2557.4</v>
      </c>
      <c r="G127" s="508">
        <f>5978.3+330.5+9051.7+63.4</f>
        <v>15423.9</v>
      </c>
      <c r="H127" s="130">
        <f>1079.5+1285.9</f>
        <v>2365.4</v>
      </c>
      <c r="I127" s="130">
        <f t="shared" si="13"/>
        <v>34108.400000000001</v>
      </c>
    </row>
    <row r="128" spans="1:9" hidden="1">
      <c r="A128" s="113" t="s">
        <v>44</v>
      </c>
      <c r="B128" s="130" t="s">
        <v>88</v>
      </c>
      <c r="C128" s="130" t="s">
        <v>88</v>
      </c>
      <c r="D128" s="130">
        <v>7739.8</v>
      </c>
      <c r="E128" s="130">
        <v>6537.9</v>
      </c>
      <c r="F128" s="130">
        <v>2576.5</v>
      </c>
      <c r="G128" s="508">
        <v>15817</v>
      </c>
      <c r="H128" s="130">
        <v>2630.6</v>
      </c>
      <c r="I128" s="130">
        <f t="shared" si="13"/>
        <v>35301.800000000003</v>
      </c>
    </row>
    <row r="129" spans="1:9" hidden="1">
      <c r="A129" s="113" t="s">
        <v>45</v>
      </c>
      <c r="B129" s="130" t="s">
        <v>88</v>
      </c>
      <c r="C129" s="130" t="s">
        <v>88</v>
      </c>
      <c r="D129" s="130">
        <f>1154.2+6860.5</f>
        <v>8014.7</v>
      </c>
      <c r="E129" s="130">
        <f>5678.8+1050.6</f>
        <v>6729.4</v>
      </c>
      <c r="F129" s="130">
        <f>381.8+2194.7</f>
        <v>2576.5</v>
      </c>
      <c r="G129" s="508">
        <f>6193.2+472+8853.6+545.1</f>
        <v>16063.9</v>
      </c>
      <c r="H129" s="130">
        <f>1286.4+1265.5</f>
        <v>2551.9</v>
      </c>
      <c r="I129" s="130">
        <f t="shared" ref="I129:I134" si="14">SUM(B129:H129)</f>
        <v>35936.400000000001</v>
      </c>
    </row>
    <row r="130" spans="1:9" hidden="1">
      <c r="A130" s="113" t="s">
        <v>46</v>
      </c>
      <c r="B130" s="130" t="s">
        <v>88</v>
      </c>
      <c r="C130" s="130" t="s">
        <v>88</v>
      </c>
      <c r="D130" s="130">
        <f>1148.4+6956.4</f>
        <v>8104.7999999999993</v>
      </c>
      <c r="E130" s="130">
        <f>5796.2+1048.9</f>
        <v>6845.1</v>
      </c>
      <c r="F130" s="130">
        <f>381.8+2194.7</f>
        <v>2576.5</v>
      </c>
      <c r="G130" s="508">
        <f>6249.4+522.8+8903.2+596.7</f>
        <v>16272.100000000002</v>
      </c>
      <c r="H130" s="130">
        <f>1235+1472.6</f>
        <v>2707.6</v>
      </c>
      <c r="I130" s="130">
        <f t="shared" si="14"/>
        <v>36506.1</v>
      </c>
    </row>
    <row r="131" spans="1:9" hidden="1">
      <c r="A131" s="113" t="s">
        <v>47</v>
      </c>
      <c r="B131" s="130" t="s">
        <v>88</v>
      </c>
      <c r="C131" s="130" t="s">
        <v>88</v>
      </c>
      <c r="D131" s="130">
        <f>1082.5+7012.3</f>
        <v>8094.8</v>
      </c>
      <c r="E131" s="130">
        <f>5915.5+996.9</f>
        <v>6912.4</v>
      </c>
      <c r="F131" s="130">
        <f>381.8+2000.5</f>
        <v>2382.3000000000002</v>
      </c>
      <c r="G131" s="508">
        <f>6352.4+593.3+8920.8+699.2</f>
        <v>16565.7</v>
      </c>
      <c r="H131" s="130">
        <f>1285.3+1532.7</f>
        <v>2818</v>
      </c>
      <c r="I131" s="130">
        <f t="shared" si="14"/>
        <v>36773.199999999997</v>
      </c>
    </row>
    <row r="132" spans="1:9" hidden="1">
      <c r="A132" s="113" t="s">
        <v>48</v>
      </c>
      <c r="B132" s="130" t="s">
        <v>88</v>
      </c>
      <c r="C132" s="130" t="s">
        <v>88</v>
      </c>
      <c r="D132" s="130">
        <f>1182.5+7024.7</f>
        <v>8207.2000000000007</v>
      </c>
      <c r="E132" s="130">
        <f>5912.7+984.5</f>
        <v>6897.2</v>
      </c>
      <c r="F132" s="130">
        <f>381.8+1808.2</f>
        <v>2190</v>
      </c>
      <c r="G132" s="508">
        <f>6350.8+686.3+8975+720.3</f>
        <v>16732.400000000001</v>
      </c>
      <c r="H132" s="130">
        <f>1274.3+1567.7</f>
        <v>2842</v>
      </c>
      <c r="I132" s="130">
        <f t="shared" si="14"/>
        <v>36868.800000000003</v>
      </c>
    </row>
    <row r="133" spans="1:9" hidden="1">
      <c r="A133" s="113" t="s">
        <v>49</v>
      </c>
      <c r="B133" s="130" t="s">
        <v>88</v>
      </c>
      <c r="C133" s="130" t="s">
        <v>88</v>
      </c>
      <c r="D133" s="130">
        <f>1179.2+7068.5</f>
        <v>8247.7000000000007</v>
      </c>
      <c r="E133" s="130">
        <f>5873.6+984.4</f>
        <v>6858</v>
      </c>
      <c r="F133" s="130">
        <f>381.8+1518.2</f>
        <v>1900</v>
      </c>
      <c r="G133" s="508">
        <f>6330.7+784.1+8973.9+802.3</f>
        <v>16891</v>
      </c>
      <c r="H133" s="130">
        <f>1290+1399</f>
        <v>2689</v>
      </c>
      <c r="I133" s="130">
        <f t="shared" si="14"/>
        <v>36585.699999999997</v>
      </c>
    </row>
    <row r="134" spans="1:9" hidden="1">
      <c r="A134" s="113" t="s">
        <v>50</v>
      </c>
      <c r="B134" s="130" t="s">
        <v>88</v>
      </c>
      <c r="C134" s="130" t="s">
        <v>88</v>
      </c>
      <c r="D134" s="130">
        <f>1178.8+7166.2</f>
        <v>8345</v>
      </c>
      <c r="E134" s="130">
        <f>6019.6+1179.9</f>
        <v>7199.5</v>
      </c>
      <c r="F134" s="130">
        <f>374.8+1699</f>
        <v>2073.8000000000002</v>
      </c>
      <c r="G134" s="508">
        <f>6306.3+765+8934.3+787</f>
        <v>16792.599999999999</v>
      </c>
      <c r="H134" s="130">
        <f>1429.9+1336.7</f>
        <v>2766.6000000000004</v>
      </c>
      <c r="I134" s="130">
        <f t="shared" si="14"/>
        <v>37177.499999999993</v>
      </c>
    </row>
    <row r="135" spans="1:9" hidden="1">
      <c r="A135" s="142"/>
      <c r="B135" s="130"/>
      <c r="C135" s="129"/>
      <c r="D135" s="130"/>
      <c r="E135" s="130"/>
      <c r="F135" s="130"/>
      <c r="G135" s="508"/>
      <c r="H135" s="130"/>
      <c r="I135" s="130"/>
    </row>
    <row r="136" spans="1:9" hidden="1">
      <c r="A136" s="113" t="s">
        <v>59</v>
      </c>
      <c r="B136" s="130" t="s">
        <v>88</v>
      </c>
      <c r="C136" s="130" t="s">
        <v>88</v>
      </c>
      <c r="D136" s="130">
        <f>1194.9+7185.1</f>
        <v>8380</v>
      </c>
      <c r="E136" s="130">
        <f>6367.3+1181.3</f>
        <v>7548.6</v>
      </c>
      <c r="F136" s="130">
        <f>374.8+1699</f>
        <v>2073.8000000000002</v>
      </c>
      <c r="G136" s="508">
        <f>6325.4+807.5+8948.4+825</f>
        <v>16906.3</v>
      </c>
      <c r="H136" s="130">
        <f>1156.3+1275.9</f>
        <v>2432.1999999999998</v>
      </c>
      <c r="I136" s="130">
        <f t="shared" ref="I136:I141" si="15">SUM(B136:H136)</f>
        <v>37340.899999999994</v>
      </c>
    </row>
    <row r="137" spans="1:9" hidden="1">
      <c r="A137" s="113" t="s">
        <v>40</v>
      </c>
      <c r="B137" s="130" t="s">
        <v>88</v>
      </c>
      <c r="C137" s="130" t="s">
        <v>88</v>
      </c>
      <c r="D137" s="130">
        <f>1193.9+7211.1</f>
        <v>8405</v>
      </c>
      <c r="E137" s="130">
        <f>6748.4+1180.4</f>
        <v>7928.7999999999993</v>
      </c>
      <c r="F137" s="130">
        <f>374.8+1699</f>
        <v>2073.8000000000002</v>
      </c>
      <c r="G137" s="508">
        <f>6373.2+878.5+8960+865.4</f>
        <v>17077.100000000002</v>
      </c>
      <c r="H137" s="130">
        <f>1116.6+1263.6</f>
        <v>2380.1999999999998</v>
      </c>
      <c r="I137" s="130">
        <f t="shared" si="15"/>
        <v>37864.899999999994</v>
      </c>
    </row>
    <row r="138" spans="1:9" hidden="1">
      <c r="A138" s="113" t="s">
        <v>41</v>
      </c>
      <c r="B138" s="130" t="s">
        <v>88</v>
      </c>
      <c r="C138" s="130" t="s">
        <v>88</v>
      </c>
      <c r="D138" s="130">
        <f>1673.9+7225.5</f>
        <v>8899.4</v>
      </c>
      <c r="E138" s="130">
        <f>6489.9+1174</f>
        <v>7663.9</v>
      </c>
      <c r="F138" s="130">
        <f>374.8+1596.4</f>
        <v>1971.2</v>
      </c>
      <c r="G138" s="508">
        <f>6965.1+225.2+9010.5+877.8</f>
        <v>17078.599999999999</v>
      </c>
      <c r="H138" s="130">
        <f>1131.1+1307.8</f>
        <v>2438.8999999999996</v>
      </c>
      <c r="I138" s="130">
        <f t="shared" si="15"/>
        <v>38052</v>
      </c>
    </row>
    <row r="139" spans="1:9" hidden="1">
      <c r="A139" s="113" t="s">
        <v>42</v>
      </c>
      <c r="B139" s="130" t="s">
        <v>88</v>
      </c>
      <c r="C139" s="130" t="s">
        <v>88</v>
      </c>
      <c r="D139" s="130">
        <f>1761.6+7244.5</f>
        <v>9006.1</v>
      </c>
      <c r="E139" s="130">
        <f>6639.5+1174.9</f>
        <v>7814.4</v>
      </c>
      <c r="F139" s="130">
        <f>374.8+1596.4</f>
        <v>1971.2</v>
      </c>
      <c r="G139" s="508">
        <f>6978.8+286.6+9609.1+116.7</f>
        <v>16991.2</v>
      </c>
      <c r="H139" s="130">
        <f>1123.1+1369.6</f>
        <v>2492.6999999999998</v>
      </c>
      <c r="I139" s="130">
        <f t="shared" si="15"/>
        <v>38275.599999999999</v>
      </c>
    </row>
    <row r="140" spans="1:9" hidden="1">
      <c r="A140" s="113" t="s">
        <v>43</v>
      </c>
      <c r="B140" s="130" t="s">
        <v>88</v>
      </c>
      <c r="C140" s="130" t="s">
        <v>88</v>
      </c>
      <c r="D140" s="130">
        <f>1760+7210.7</f>
        <v>8970.7000000000007</v>
      </c>
      <c r="E140" s="130">
        <f>6937.3+1205.6</f>
        <v>8142.9</v>
      </c>
      <c r="F140" s="130">
        <f>374.8+1596.4</f>
        <v>1971.2</v>
      </c>
      <c r="G140" s="508">
        <f>6981+386.5+9619.1+155.8</f>
        <v>17142.399999999998</v>
      </c>
      <c r="H140" s="130">
        <f>1318.3+1467.3</f>
        <v>2785.6</v>
      </c>
      <c r="I140" s="130">
        <f t="shared" si="15"/>
        <v>39012.799999999996</v>
      </c>
    </row>
    <row r="141" spans="1:9" hidden="1">
      <c r="A141" s="113" t="s">
        <v>44</v>
      </c>
      <c r="B141" s="130" t="s">
        <v>88</v>
      </c>
      <c r="C141" s="130" t="s">
        <v>88</v>
      </c>
      <c r="D141" s="130">
        <f>1773.9+8336.5</f>
        <v>10110.4</v>
      </c>
      <c r="E141" s="130">
        <f>7021.9+1205.3</f>
        <v>8227.1999999999989</v>
      </c>
      <c r="F141" s="130">
        <f>374.8+1372</f>
        <v>1746.8</v>
      </c>
      <c r="G141" s="508">
        <f>6991.3+480.6+9650.7+225.7</f>
        <v>17348.300000000003</v>
      </c>
      <c r="H141" s="130">
        <f>1355.4+1378.2</f>
        <v>2733.6000000000004</v>
      </c>
      <c r="I141" s="130">
        <f t="shared" si="15"/>
        <v>40166.299999999996</v>
      </c>
    </row>
    <row r="142" spans="1:9" hidden="1">
      <c r="A142" s="113" t="s">
        <v>45</v>
      </c>
      <c r="B142" s="130" t="s">
        <v>88</v>
      </c>
      <c r="C142" s="130" t="s">
        <v>88</v>
      </c>
      <c r="D142" s="130">
        <f>1772.8+8410.2</f>
        <v>10183</v>
      </c>
      <c r="E142" s="130">
        <f>7019.8+1204.1</f>
        <v>8223.9</v>
      </c>
      <c r="F142" s="130">
        <f>374.8+1372</f>
        <v>1746.8</v>
      </c>
      <c r="G142" s="508">
        <f>6988.4+587.6+9351.3+358.5</f>
        <v>17285.8</v>
      </c>
      <c r="H142" s="130">
        <f>1476.2+1415</f>
        <v>2891.2</v>
      </c>
      <c r="I142" s="130">
        <f t="shared" ref="I142:I147" si="16">SUM(B142:H142)</f>
        <v>40330.699999999997</v>
      </c>
    </row>
    <row r="143" spans="1:9" hidden="1">
      <c r="A143" s="113" t="s">
        <v>46</v>
      </c>
      <c r="B143" s="130" t="s">
        <v>88</v>
      </c>
      <c r="C143" s="130" t="s">
        <v>88</v>
      </c>
      <c r="D143" s="130">
        <f>1772.8+9033.9</f>
        <v>10806.699999999999</v>
      </c>
      <c r="E143" s="130">
        <f>7080.5+1205.2</f>
        <v>8285.7000000000007</v>
      </c>
      <c r="F143" s="130">
        <f>374.8+1372</f>
        <v>1746.8</v>
      </c>
      <c r="G143" s="508">
        <f>7031.9+656.3+9386.2+395.1</f>
        <v>17469.5</v>
      </c>
      <c r="H143" s="130">
        <f>1504.2+1570.1</f>
        <v>3074.3</v>
      </c>
      <c r="I143" s="130">
        <f t="shared" si="16"/>
        <v>41383</v>
      </c>
    </row>
    <row r="144" spans="1:9" hidden="1">
      <c r="A144" s="113" t="s">
        <v>47</v>
      </c>
      <c r="B144" s="130" t="s">
        <v>88</v>
      </c>
      <c r="C144" s="130" t="s">
        <v>88</v>
      </c>
      <c r="D144" s="130">
        <f>1893.8+9148.7</f>
        <v>11042.5</v>
      </c>
      <c r="E144" s="130">
        <f>7108+1542.1</f>
        <v>8650.1</v>
      </c>
      <c r="F144" s="130">
        <f>374.8+1422.2</f>
        <v>1797</v>
      </c>
      <c r="G144" s="508">
        <f>7063.1+730.7+9387.6+604.6</f>
        <v>17786</v>
      </c>
      <c r="H144" s="130">
        <f>1633.2+1542.9</f>
        <v>3176.1000000000004</v>
      </c>
      <c r="I144" s="130">
        <f t="shared" si="16"/>
        <v>42451.7</v>
      </c>
    </row>
    <row r="145" spans="1:11" hidden="1">
      <c r="A145" s="113" t="s">
        <v>48</v>
      </c>
      <c r="B145" s="130" t="s">
        <v>88</v>
      </c>
      <c r="C145" s="130" t="s">
        <v>88</v>
      </c>
      <c r="D145" s="130">
        <f>2492.5+8571.4</f>
        <v>11063.9</v>
      </c>
      <c r="E145" s="130">
        <f>7199.1+1842.6</f>
        <v>9041.7000000000007</v>
      </c>
      <c r="F145" s="130">
        <f>374.8+1422.2</f>
        <v>1797</v>
      </c>
      <c r="G145" s="508">
        <f>7082.6+789.6+9397.8+645.2</f>
        <v>17915.2</v>
      </c>
      <c r="H145" s="130">
        <f>1655.6+1670.1</f>
        <v>3325.7</v>
      </c>
      <c r="I145" s="130">
        <f t="shared" si="16"/>
        <v>43143.5</v>
      </c>
    </row>
    <row r="146" spans="1:11" hidden="1">
      <c r="A146" s="113" t="s">
        <v>49</v>
      </c>
      <c r="B146" s="130" t="s">
        <v>88</v>
      </c>
      <c r="C146" s="130" t="s">
        <v>88</v>
      </c>
      <c r="D146" s="130">
        <f>2940.6+8726.2</f>
        <v>11666.800000000001</v>
      </c>
      <c r="E146" s="130">
        <f>7319.9+992.8</f>
        <v>8312.6999999999989</v>
      </c>
      <c r="F146" s="130">
        <f>374.8+1422.2</f>
        <v>1797</v>
      </c>
      <c r="G146" s="508">
        <f>7104.3+898.3+9408.2+746.3</f>
        <v>18157.100000000002</v>
      </c>
      <c r="H146" s="130">
        <f>1736.3+1641.8</f>
        <v>3378.1</v>
      </c>
      <c r="I146" s="130">
        <f t="shared" si="16"/>
        <v>43311.700000000004</v>
      </c>
    </row>
    <row r="147" spans="1:11" hidden="1">
      <c r="A147" s="113" t="s">
        <v>50</v>
      </c>
      <c r="B147" s="130" t="s">
        <v>88</v>
      </c>
      <c r="C147" s="130" t="s">
        <v>88</v>
      </c>
      <c r="D147" s="130">
        <f>2939+8844.1</f>
        <v>11783.1</v>
      </c>
      <c r="E147" s="130">
        <f>7340.3+1675.2</f>
        <v>9015.5</v>
      </c>
      <c r="F147" s="130">
        <f>367.7+1397.1</f>
        <v>1764.8</v>
      </c>
      <c r="G147" s="508">
        <f>7027.8+962.7+9408+723.8</f>
        <v>18122.3</v>
      </c>
      <c r="H147" s="130">
        <f>1319.7+1525.8</f>
        <v>2845.5</v>
      </c>
      <c r="I147" s="130">
        <f t="shared" si="16"/>
        <v>43531.199999999997</v>
      </c>
    </row>
    <row r="148" spans="1:11" hidden="1">
      <c r="A148" s="113"/>
      <c r="B148" s="130"/>
      <c r="C148" s="129"/>
      <c r="D148" s="130"/>
      <c r="E148" s="130"/>
      <c r="F148" s="130"/>
      <c r="G148" s="508"/>
      <c r="H148" s="130"/>
      <c r="I148" s="130"/>
    </row>
    <row r="149" spans="1:11" hidden="1">
      <c r="A149" s="113" t="s">
        <v>58</v>
      </c>
      <c r="B149" s="130">
        <v>118.6</v>
      </c>
      <c r="C149" s="130" t="s">
        <v>88</v>
      </c>
      <c r="D149" s="130">
        <f>2994.3+8844.1</f>
        <v>11838.400000000001</v>
      </c>
      <c r="E149" s="130">
        <f>8131.4+1677.1</f>
        <v>9808.5</v>
      </c>
      <c r="F149" s="130">
        <f>367.7+1397.1</f>
        <v>1764.8</v>
      </c>
      <c r="G149" s="508">
        <f>7144+901.1+9518.9+645.4</f>
        <v>18209.400000000001</v>
      </c>
      <c r="H149" s="130">
        <f>1265.6+1510.9</f>
        <v>2776.5</v>
      </c>
      <c r="I149" s="130">
        <f t="shared" ref="I149:I154" si="17">SUM(B149:H149)</f>
        <v>44516.2</v>
      </c>
    </row>
    <row r="150" spans="1:11" hidden="1">
      <c r="A150" s="113" t="s">
        <v>40</v>
      </c>
      <c r="B150" s="130">
        <v>118.6</v>
      </c>
      <c r="C150" s="130" t="s">
        <v>88</v>
      </c>
      <c r="D150" s="130">
        <f>2996.1+8912</f>
        <v>11908.1</v>
      </c>
      <c r="E150" s="130">
        <f>8387.7+1673</f>
        <v>10060.700000000001</v>
      </c>
      <c r="F150" s="130">
        <f>367.7+1397.1</f>
        <v>1764.8</v>
      </c>
      <c r="G150" s="508">
        <f>7140.2+1027.6+9403.2+826.8</f>
        <v>18397.8</v>
      </c>
      <c r="H150" s="130">
        <f>1268.3+1409.9</f>
        <v>2678.2</v>
      </c>
      <c r="I150" s="130">
        <f t="shared" si="17"/>
        <v>44928.2</v>
      </c>
    </row>
    <row r="151" spans="1:11" hidden="1">
      <c r="A151" s="113" t="s">
        <v>41</v>
      </c>
      <c r="B151" s="130">
        <v>114.3</v>
      </c>
      <c r="C151" s="130" t="s">
        <v>88</v>
      </c>
      <c r="D151" s="130">
        <f>2999.9+8843.5</f>
        <v>11843.4</v>
      </c>
      <c r="E151" s="130">
        <f>9018+777.9</f>
        <v>9795.9</v>
      </c>
      <c r="F151" s="130">
        <f>367.7+1302.9</f>
        <v>1670.6000000000001</v>
      </c>
      <c r="G151" s="508">
        <f>7903+194.2+10210.4-147.7</f>
        <v>18159.899999999998</v>
      </c>
      <c r="H151" s="130">
        <f>1395.5+1793.9</f>
        <v>3189.4</v>
      </c>
      <c r="I151" s="130">
        <f t="shared" si="17"/>
        <v>44773.499999999993</v>
      </c>
    </row>
    <row r="152" spans="1:11" hidden="1">
      <c r="A152" s="113" t="s">
        <v>42</v>
      </c>
      <c r="B152" s="130">
        <v>105.7</v>
      </c>
      <c r="C152" s="130" t="s">
        <v>88</v>
      </c>
      <c r="D152" s="130">
        <f>3050.8+8843.5</f>
        <v>11894.3</v>
      </c>
      <c r="E152" s="130">
        <f>9219.8+779.5</f>
        <v>9999.2999999999993</v>
      </c>
      <c r="F152" s="130">
        <f>367.7+995.3</f>
        <v>1363</v>
      </c>
      <c r="G152" s="508">
        <f>7916.7+280.6+10285.7-169.8</f>
        <v>18313.2</v>
      </c>
      <c r="H152" s="130">
        <f>1301.9+1569.7</f>
        <v>2871.6000000000004</v>
      </c>
      <c r="I152" s="130">
        <f t="shared" si="17"/>
        <v>44547.1</v>
      </c>
    </row>
    <row r="153" spans="1:11" hidden="1">
      <c r="A153" s="113" t="s">
        <v>43</v>
      </c>
      <c r="B153" s="130">
        <v>101.2</v>
      </c>
      <c r="C153" s="130" t="s">
        <v>88</v>
      </c>
      <c r="D153" s="130">
        <f>3051.8+8843.5</f>
        <v>11895.3</v>
      </c>
      <c r="E153" s="130">
        <f>9324.2+797.2</f>
        <v>10121.400000000001</v>
      </c>
      <c r="F153" s="130">
        <f>367.7+995.3</f>
        <v>1363</v>
      </c>
      <c r="G153" s="508">
        <f>7927.3+376.5+10610.7-437.3</f>
        <v>18477.2</v>
      </c>
      <c r="H153" s="130">
        <f>1335.7+1636.8</f>
        <v>2972.5</v>
      </c>
      <c r="I153" s="130">
        <f t="shared" si="17"/>
        <v>44930.600000000006</v>
      </c>
    </row>
    <row r="154" spans="1:11" hidden="1">
      <c r="A154" s="113" t="s">
        <v>44</v>
      </c>
      <c r="B154" s="130">
        <v>96.7</v>
      </c>
      <c r="C154" s="130" t="s">
        <v>88</v>
      </c>
      <c r="D154" s="130">
        <f>3054.9+8858.5</f>
        <v>11913.4</v>
      </c>
      <c r="E154" s="130">
        <f>9863.1+1332.5</f>
        <v>11195.6</v>
      </c>
      <c r="F154" s="130">
        <f>367.7+908.2</f>
        <v>1275.9000000000001</v>
      </c>
      <c r="G154" s="508">
        <f>7975.8+462.1+10614.5-325.6</f>
        <v>18726.800000000003</v>
      </c>
      <c r="H154" s="130">
        <f>1459+1781.1</f>
        <v>3240.1</v>
      </c>
      <c r="I154" s="130">
        <f t="shared" si="17"/>
        <v>46448.500000000007</v>
      </c>
    </row>
    <row r="155" spans="1:11" hidden="1">
      <c r="A155" s="113" t="s">
        <v>45</v>
      </c>
      <c r="B155" s="130">
        <v>96.7</v>
      </c>
      <c r="C155" s="130" t="s">
        <v>88</v>
      </c>
      <c r="D155" s="130">
        <f>3104.9+9479.5</f>
        <v>12584.4</v>
      </c>
      <c r="E155" s="130">
        <f>10298+1972.5</f>
        <v>12270.5</v>
      </c>
      <c r="F155" s="130">
        <f>367.7+908.2</f>
        <v>1275.9000000000001</v>
      </c>
      <c r="G155" s="508">
        <f>7960.8+565.8+10865.2-435.6</f>
        <v>18956.200000000004</v>
      </c>
      <c r="H155" s="130">
        <f>1584.7+2402.4</f>
        <v>3987.1000000000004</v>
      </c>
      <c r="I155" s="130">
        <f t="shared" ref="I155:I160" si="18">SUM(B155:H155)</f>
        <v>49170.8</v>
      </c>
    </row>
    <row r="156" spans="1:11" hidden="1">
      <c r="A156" s="113" t="s">
        <v>46</v>
      </c>
      <c r="B156" s="130">
        <f>92.2+100</f>
        <v>192.2</v>
      </c>
      <c r="C156" s="130" t="s">
        <v>88</v>
      </c>
      <c r="D156" s="130">
        <f>3106.8+10349.5</f>
        <v>13456.3</v>
      </c>
      <c r="E156" s="130">
        <f>10539.8+2973.5</f>
        <v>13513.3</v>
      </c>
      <c r="F156" s="130">
        <f>367.7+908.2</f>
        <v>1275.9000000000001</v>
      </c>
      <c r="G156" s="508">
        <f>8022.4+642.8+11650.8-1203.7</f>
        <v>19112.3</v>
      </c>
      <c r="H156" s="130">
        <f>1654.2+1856.5</f>
        <v>3510.7</v>
      </c>
      <c r="I156" s="130">
        <f t="shared" si="18"/>
        <v>51060.7</v>
      </c>
    </row>
    <row r="157" spans="1:11" hidden="1">
      <c r="A157" s="113" t="s">
        <v>47</v>
      </c>
      <c r="B157" s="130">
        <f>87.6</f>
        <v>87.6</v>
      </c>
      <c r="C157" s="130" t="s">
        <v>88</v>
      </c>
      <c r="D157" s="130">
        <f>3268.7+11633.7</f>
        <v>14902.400000000001</v>
      </c>
      <c r="E157" s="130">
        <f>10644.6+3022.2</f>
        <v>13666.8</v>
      </c>
      <c r="F157" s="130">
        <f>367.7+1008.8</f>
        <v>1376.5</v>
      </c>
      <c r="G157" s="508">
        <f>8058.4+750.4+11585.1-963.4</f>
        <v>19430.5</v>
      </c>
      <c r="H157" s="130">
        <f>1600.5+2947.2</f>
        <v>4547.7</v>
      </c>
      <c r="I157" s="130">
        <f t="shared" si="18"/>
        <v>54011.5</v>
      </c>
    </row>
    <row r="158" spans="1:11" hidden="1">
      <c r="A158" s="113" t="s">
        <v>48</v>
      </c>
      <c r="B158" s="130">
        <v>78.2</v>
      </c>
      <c r="C158" s="130" t="s">
        <v>88</v>
      </c>
      <c r="D158" s="130">
        <f>3270.6+13716.7</f>
        <v>16987.3</v>
      </c>
      <c r="E158" s="130">
        <f>10907.3+2841.7</f>
        <v>13749</v>
      </c>
      <c r="F158" s="130">
        <f>367.7+1008.8</f>
        <v>1376.5</v>
      </c>
      <c r="G158" s="508">
        <f>8081+872.5+11583.6-727.2</f>
        <v>19809.899999999998</v>
      </c>
      <c r="H158" s="130">
        <f>1732.6+3529.8</f>
        <v>5262.4</v>
      </c>
      <c r="I158" s="130">
        <f t="shared" si="18"/>
        <v>57263.299999999996</v>
      </c>
    </row>
    <row r="159" spans="1:11" hidden="1">
      <c r="A159" s="113" t="s">
        <v>49</v>
      </c>
      <c r="B159" s="130">
        <v>78.2</v>
      </c>
      <c r="C159" s="130" t="s">
        <v>88</v>
      </c>
      <c r="D159" s="130">
        <f>3222.5+15987.5</f>
        <v>19210</v>
      </c>
      <c r="E159" s="130">
        <f>11813.6+1341</f>
        <v>13154.6</v>
      </c>
      <c r="F159" s="130">
        <f>367.7+1008.8</f>
        <v>1376.5</v>
      </c>
      <c r="G159" s="508">
        <f>8081+1007.8+11649.2-645.3</f>
        <v>20092.7</v>
      </c>
      <c r="H159" s="130">
        <f>1801.8+2469.7</f>
        <v>4271.5</v>
      </c>
      <c r="I159" s="130">
        <f t="shared" si="18"/>
        <v>58183.5</v>
      </c>
    </row>
    <row r="160" spans="1:11" s="145" customFormat="1" hidden="1">
      <c r="A160" s="113" t="s">
        <v>50</v>
      </c>
      <c r="B160" s="140">
        <v>2179</v>
      </c>
      <c r="C160" s="261" t="s">
        <v>88</v>
      </c>
      <c r="D160" s="140">
        <v>17033.199999999997</v>
      </c>
      <c r="E160" s="140">
        <v>11788.7</v>
      </c>
      <c r="F160" s="140">
        <v>1350.2</v>
      </c>
      <c r="G160" s="509">
        <v>17033.400000000001</v>
      </c>
      <c r="H160" s="140">
        <v>6942.7</v>
      </c>
      <c r="I160" s="140">
        <f t="shared" si="18"/>
        <v>56327.199999999997</v>
      </c>
      <c r="K160" s="69"/>
    </row>
    <row r="161" spans="1:11" s="145" customFormat="1" hidden="1">
      <c r="A161" s="113"/>
      <c r="B161" s="140"/>
      <c r="C161" s="261" t="s">
        <v>88</v>
      </c>
      <c r="D161" s="140"/>
      <c r="E161" s="140"/>
      <c r="F161" s="140"/>
      <c r="G161" s="509"/>
      <c r="H161" s="140"/>
      <c r="I161" s="140"/>
      <c r="K161" s="69"/>
    </row>
    <row r="162" spans="1:11" hidden="1">
      <c r="A162" s="113" t="s">
        <v>57</v>
      </c>
      <c r="B162" s="130">
        <v>2583.8000000000002</v>
      </c>
      <c r="C162" s="261" t="s">
        <v>88</v>
      </c>
      <c r="D162" s="130">
        <v>14208</v>
      </c>
      <c r="E162" s="130">
        <v>13783.6</v>
      </c>
      <c r="F162" s="130">
        <v>1350.2</v>
      </c>
      <c r="G162" s="508">
        <v>17196.2</v>
      </c>
      <c r="H162" s="130">
        <v>7317.7</v>
      </c>
      <c r="I162" s="130">
        <f t="shared" ref="I162:I169" si="19">SUM(B162:H162)</f>
        <v>56439.5</v>
      </c>
    </row>
    <row r="163" spans="1:11" hidden="1">
      <c r="A163" s="113" t="s">
        <v>40</v>
      </c>
      <c r="B163" s="130">
        <v>3083.9</v>
      </c>
      <c r="C163" s="261" t="s">
        <v>88</v>
      </c>
      <c r="D163" s="130">
        <v>14277.099999999999</v>
      </c>
      <c r="E163" s="130">
        <v>14423.4</v>
      </c>
      <c r="F163" s="130">
        <v>1350.2</v>
      </c>
      <c r="G163" s="508">
        <v>17324.599999999999</v>
      </c>
      <c r="H163" s="130">
        <v>6975.0999999999995</v>
      </c>
      <c r="I163" s="130">
        <f t="shared" si="19"/>
        <v>57434.299999999996</v>
      </c>
    </row>
    <row r="164" spans="1:11" hidden="1">
      <c r="A164" s="113" t="s">
        <v>41</v>
      </c>
      <c r="B164" s="130">
        <v>3078.9</v>
      </c>
      <c r="C164" s="261" t="s">
        <v>88</v>
      </c>
      <c r="D164" s="130">
        <v>14949.599999999999</v>
      </c>
      <c r="E164" s="130">
        <v>14452.500000000002</v>
      </c>
      <c r="F164" s="130">
        <v>1417.5</v>
      </c>
      <c r="G164" s="508">
        <v>17533.900000000001</v>
      </c>
      <c r="H164" s="130">
        <v>6909.9</v>
      </c>
      <c r="I164" s="130">
        <f t="shared" si="19"/>
        <v>58342.3</v>
      </c>
    </row>
    <row r="165" spans="1:11" hidden="1">
      <c r="A165" s="113" t="s">
        <v>42</v>
      </c>
      <c r="B165" s="130">
        <v>3073.9</v>
      </c>
      <c r="C165" s="261" t="s">
        <v>88</v>
      </c>
      <c r="D165" s="130">
        <v>13584.3</v>
      </c>
      <c r="E165" s="130">
        <v>14980.099999999999</v>
      </c>
      <c r="F165" s="130">
        <v>1090.8</v>
      </c>
      <c r="G165" s="508">
        <v>19020.899999999998</v>
      </c>
      <c r="H165" s="130">
        <v>6631.1</v>
      </c>
      <c r="I165" s="130">
        <f t="shared" si="19"/>
        <v>58381.1</v>
      </c>
    </row>
    <row r="166" spans="1:11" hidden="1">
      <c r="A166" s="113" t="s">
        <v>43</v>
      </c>
      <c r="B166" s="130">
        <v>3068.9</v>
      </c>
      <c r="C166" s="261" t="s">
        <v>88</v>
      </c>
      <c r="D166" s="130">
        <v>13838.6</v>
      </c>
      <c r="E166" s="130">
        <v>15560.1</v>
      </c>
      <c r="F166" s="130">
        <v>1090.8</v>
      </c>
      <c r="G166" s="508">
        <v>19393.900000000005</v>
      </c>
      <c r="H166" s="130">
        <v>7085.2999999999993</v>
      </c>
      <c r="I166" s="130">
        <f t="shared" si="19"/>
        <v>60037.600000000006</v>
      </c>
    </row>
    <row r="167" spans="1:11" hidden="1">
      <c r="A167" s="113" t="s">
        <v>44</v>
      </c>
      <c r="B167" s="130">
        <v>3063.7</v>
      </c>
      <c r="C167" s="261" t="s">
        <v>88</v>
      </c>
      <c r="D167" s="130">
        <v>13847.699999999999</v>
      </c>
      <c r="E167" s="130">
        <v>16086.900000000001</v>
      </c>
      <c r="F167" s="130">
        <v>1112.3</v>
      </c>
      <c r="G167" s="508">
        <v>19729.100000000002</v>
      </c>
      <c r="H167" s="130">
        <v>7389.6</v>
      </c>
      <c r="I167" s="130">
        <f t="shared" si="19"/>
        <v>61229.30000000001</v>
      </c>
    </row>
    <row r="168" spans="1:11" hidden="1">
      <c r="A168" s="113" t="s">
        <v>45</v>
      </c>
      <c r="B168" s="130">
        <v>3206.7999999999997</v>
      </c>
      <c r="C168" s="261" t="s">
        <v>88</v>
      </c>
      <c r="D168" s="130">
        <v>13547.6</v>
      </c>
      <c r="E168" s="130">
        <v>16405.7</v>
      </c>
      <c r="F168" s="130">
        <v>1112.3</v>
      </c>
      <c r="G168" s="508">
        <v>19773.800000000003</v>
      </c>
      <c r="H168" s="130">
        <v>7601.5</v>
      </c>
      <c r="I168" s="130">
        <f t="shared" si="19"/>
        <v>61647.700000000012</v>
      </c>
    </row>
    <row r="169" spans="1:11" hidden="1">
      <c r="A169" s="113" t="s">
        <v>46</v>
      </c>
      <c r="B169" s="130">
        <v>3156.5</v>
      </c>
      <c r="C169" s="261" t="s">
        <v>88</v>
      </c>
      <c r="D169" s="130">
        <v>14047.6</v>
      </c>
      <c r="E169" s="130">
        <v>16709.2</v>
      </c>
      <c r="F169" s="130">
        <v>1112.3</v>
      </c>
      <c r="G169" s="508">
        <v>19988.600000000002</v>
      </c>
      <c r="H169" s="130">
        <v>7811.5</v>
      </c>
      <c r="I169" s="130">
        <f t="shared" si="19"/>
        <v>62825.700000000012</v>
      </c>
    </row>
    <row r="170" spans="1:11" hidden="1">
      <c r="A170" s="113" t="s">
        <v>47</v>
      </c>
      <c r="B170" s="130">
        <v>2988.7</v>
      </c>
      <c r="C170" s="261" t="s">
        <v>88</v>
      </c>
      <c r="D170" s="130">
        <v>14047.6</v>
      </c>
      <c r="E170" s="130">
        <v>16990.099999999999</v>
      </c>
      <c r="F170" s="130">
        <v>1082.5</v>
      </c>
      <c r="G170" s="508">
        <v>20413.199999999997</v>
      </c>
      <c r="H170" s="130">
        <v>7568.1</v>
      </c>
      <c r="I170" s="130">
        <f>SUM(B170:H170)</f>
        <v>63090.19999999999</v>
      </c>
    </row>
    <row r="171" spans="1:11" hidden="1">
      <c r="A171" s="113" t="s">
        <v>48</v>
      </c>
      <c r="B171" s="130">
        <v>3083.3999999999996</v>
      </c>
      <c r="C171" s="261" t="s">
        <v>88</v>
      </c>
      <c r="D171" s="130">
        <v>14546.2</v>
      </c>
      <c r="E171" s="130">
        <v>16990.899999999998</v>
      </c>
      <c r="F171" s="130">
        <v>1082.5</v>
      </c>
      <c r="G171" s="508">
        <v>20822.8</v>
      </c>
      <c r="H171" s="130">
        <v>7882.7</v>
      </c>
      <c r="I171" s="130">
        <f>SUM(B171:H171)</f>
        <v>64408.5</v>
      </c>
    </row>
    <row r="172" spans="1:11" hidden="1">
      <c r="A172" s="113" t="s">
        <v>49</v>
      </c>
      <c r="B172" s="130">
        <v>2677.7999999999997</v>
      </c>
      <c r="C172" s="261" t="s">
        <v>88</v>
      </c>
      <c r="D172" s="130">
        <v>14546.2</v>
      </c>
      <c r="E172" s="130">
        <v>17018.2</v>
      </c>
      <c r="F172" s="130">
        <v>1082.5</v>
      </c>
      <c r="G172" s="508">
        <v>21035.100000000002</v>
      </c>
      <c r="H172" s="130">
        <v>8134.2999999999993</v>
      </c>
      <c r="I172" s="130">
        <f>SUM(B172:H172)</f>
        <v>64494.100000000006</v>
      </c>
    </row>
    <row r="173" spans="1:11" hidden="1">
      <c r="A173" s="113" t="s">
        <v>50</v>
      </c>
      <c r="B173" s="130">
        <v>2690.1</v>
      </c>
      <c r="C173" s="261" t="s">
        <v>88</v>
      </c>
      <c r="D173" s="130">
        <v>15478.699999999999</v>
      </c>
      <c r="E173" s="130">
        <v>16713.399999999998</v>
      </c>
      <c r="F173" s="130">
        <v>1087.9000000000001</v>
      </c>
      <c r="G173" s="508">
        <v>21153.000000000004</v>
      </c>
      <c r="H173" s="130">
        <v>7706.5999999999995</v>
      </c>
      <c r="I173" s="130">
        <f>SUM(B173:H173)</f>
        <v>64829.700000000004</v>
      </c>
    </row>
    <row r="174" spans="1:11" hidden="1">
      <c r="A174" s="113"/>
      <c r="B174" s="130"/>
      <c r="C174" s="261" t="s">
        <v>88</v>
      </c>
      <c r="D174" s="130"/>
      <c r="E174" s="130"/>
      <c r="F174" s="130"/>
      <c r="G174" s="508"/>
      <c r="H174" s="130"/>
      <c r="I174" s="130"/>
    </row>
    <row r="175" spans="1:11" hidden="1">
      <c r="A175" s="113" t="s">
        <v>56</v>
      </c>
      <c r="B175" s="130">
        <v>2700.7000000000003</v>
      </c>
      <c r="C175" s="261" t="s">
        <v>88</v>
      </c>
      <c r="D175" s="130">
        <v>15552.8</v>
      </c>
      <c r="E175" s="130">
        <v>17896.5</v>
      </c>
      <c r="F175" s="130">
        <v>1087.9000000000001</v>
      </c>
      <c r="G175" s="508">
        <v>21264</v>
      </c>
      <c r="H175" s="130">
        <v>6685.9</v>
      </c>
      <c r="I175" s="130">
        <f t="shared" ref="I175:I186" si="20">SUM(B175:H175)</f>
        <v>65187.8</v>
      </c>
    </row>
    <row r="176" spans="1:11" hidden="1">
      <c r="A176" s="113" t="s">
        <v>40</v>
      </c>
      <c r="B176" s="130">
        <v>2695</v>
      </c>
      <c r="C176" s="261" t="s">
        <v>88</v>
      </c>
      <c r="D176" s="130">
        <v>15552.8</v>
      </c>
      <c r="E176" s="130">
        <v>17924.7</v>
      </c>
      <c r="F176" s="130">
        <v>1087.9000000000001</v>
      </c>
      <c r="G176" s="508">
        <v>21523.800000000003</v>
      </c>
      <c r="H176" s="130">
        <v>6722.8</v>
      </c>
      <c r="I176" s="130">
        <f t="shared" si="20"/>
        <v>65507.000000000007</v>
      </c>
    </row>
    <row r="177" spans="1:9" hidden="1">
      <c r="A177" s="113" t="s">
        <v>41</v>
      </c>
      <c r="B177" s="130">
        <v>2695</v>
      </c>
      <c r="C177" s="261" t="s">
        <v>88</v>
      </c>
      <c r="D177" s="130">
        <v>15152.7</v>
      </c>
      <c r="E177" s="130">
        <v>18414.5</v>
      </c>
      <c r="F177" s="130">
        <v>1126.9000000000001</v>
      </c>
      <c r="G177" s="508">
        <v>21200.700000000004</v>
      </c>
      <c r="H177" s="130">
        <v>7559.7999999999993</v>
      </c>
      <c r="I177" s="130">
        <f t="shared" si="20"/>
        <v>66149.600000000006</v>
      </c>
    </row>
    <row r="178" spans="1:9" hidden="1">
      <c r="A178" s="113" t="s">
        <v>42</v>
      </c>
      <c r="B178" s="130">
        <v>2695</v>
      </c>
      <c r="C178" s="261" t="s">
        <v>88</v>
      </c>
      <c r="D178" s="130">
        <v>16152.8</v>
      </c>
      <c r="E178" s="130">
        <v>18411.899999999998</v>
      </c>
      <c r="F178" s="130">
        <v>780.90000000000009</v>
      </c>
      <c r="G178" s="508">
        <v>21499.3</v>
      </c>
      <c r="H178" s="130">
        <v>7168.8</v>
      </c>
      <c r="I178" s="130">
        <f t="shared" si="20"/>
        <v>66708.7</v>
      </c>
    </row>
    <row r="179" spans="1:9" hidden="1">
      <c r="A179" s="113" t="s">
        <v>43</v>
      </c>
      <c r="B179" s="130">
        <v>2695</v>
      </c>
      <c r="C179" s="261" t="s">
        <v>88</v>
      </c>
      <c r="D179" s="130">
        <v>16152.8</v>
      </c>
      <c r="E179" s="130">
        <v>18900</v>
      </c>
      <c r="F179" s="130">
        <v>780.90000000000009</v>
      </c>
      <c r="G179" s="508">
        <v>21698.400000000001</v>
      </c>
      <c r="H179" s="130">
        <v>7649.4999999999991</v>
      </c>
      <c r="I179" s="130">
        <f t="shared" si="20"/>
        <v>67876.600000000006</v>
      </c>
    </row>
    <row r="180" spans="1:9" hidden="1">
      <c r="A180" s="113" t="s">
        <v>44</v>
      </c>
      <c r="B180" s="130">
        <v>2375.1000000000004</v>
      </c>
      <c r="C180" s="261" t="s">
        <v>88</v>
      </c>
      <c r="D180" s="130">
        <v>16658.5</v>
      </c>
      <c r="E180" s="130">
        <v>18869.799999999996</v>
      </c>
      <c r="F180" s="130">
        <v>767.6</v>
      </c>
      <c r="G180" s="508">
        <v>21803.300000000003</v>
      </c>
      <c r="H180" s="130">
        <v>7763.4999999999991</v>
      </c>
      <c r="I180" s="130">
        <f t="shared" si="20"/>
        <v>68237.799999999988</v>
      </c>
    </row>
    <row r="181" spans="1:9" hidden="1">
      <c r="A181" s="113" t="s">
        <v>45</v>
      </c>
      <c r="B181" s="130">
        <v>2375</v>
      </c>
      <c r="C181" s="261" t="s">
        <v>88</v>
      </c>
      <c r="D181" s="130">
        <v>16658.5</v>
      </c>
      <c r="E181" s="130">
        <v>19038.900000000001</v>
      </c>
      <c r="F181" s="130">
        <v>767.6</v>
      </c>
      <c r="G181" s="508">
        <v>21976.400000000001</v>
      </c>
      <c r="H181" s="130">
        <v>8356</v>
      </c>
      <c r="I181" s="130">
        <f t="shared" si="20"/>
        <v>69172.399999999994</v>
      </c>
    </row>
    <row r="182" spans="1:9" hidden="1">
      <c r="A182" s="113" t="s">
        <v>46</v>
      </c>
      <c r="B182" s="130">
        <v>2405</v>
      </c>
      <c r="C182" s="261" t="s">
        <v>88</v>
      </c>
      <c r="D182" s="130">
        <v>16658.5</v>
      </c>
      <c r="E182" s="130">
        <v>18396</v>
      </c>
      <c r="F182" s="130">
        <v>767.6</v>
      </c>
      <c r="G182" s="508">
        <v>22836.799999999999</v>
      </c>
      <c r="H182" s="130">
        <v>8450.2999999999993</v>
      </c>
      <c r="I182" s="130">
        <f t="shared" si="20"/>
        <v>69514.2</v>
      </c>
    </row>
    <row r="183" spans="1:9" hidden="1">
      <c r="A183" s="113" t="s">
        <v>47</v>
      </c>
      <c r="B183" s="130">
        <v>2405</v>
      </c>
      <c r="C183" s="261" t="s">
        <v>88</v>
      </c>
      <c r="D183" s="130">
        <v>16658.5</v>
      </c>
      <c r="E183" s="130">
        <v>18518.100000000002</v>
      </c>
      <c r="F183" s="130">
        <v>767.6</v>
      </c>
      <c r="G183" s="508">
        <v>22876</v>
      </c>
      <c r="H183" s="130">
        <v>8995.0999999999985</v>
      </c>
      <c r="I183" s="130">
        <f t="shared" si="20"/>
        <v>70220.3</v>
      </c>
    </row>
    <row r="184" spans="1:9" hidden="1">
      <c r="A184" s="113" t="s">
        <v>48</v>
      </c>
      <c r="B184" s="130">
        <v>2495</v>
      </c>
      <c r="C184" s="261" t="s">
        <v>88</v>
      </c>
      <c r="D184" s="130">
        <v>16658.5</v>
      </c>
      <c r="E184" s="130">
        <v>18679.999999999996</v>
      </c>
      <c r="F184" s="130">
        <v>767.6</v>
      </c>
      <c r="G184" s="508">
        <v>23134.899999999998</v>
      </c>
      <c r="H184" s="130">
        <v>9587.2000000000007</v>
      </c>
      <c r="I184" s="130">
        <f t="shared" si="20"/>
        <v>71323.199999999997</v>
      </c>
    </row>
    <row r="185" spans="1:9" hidden="1">
      <c r="A185" s="113" t="s">
        <v>49</v>
      </c>
      <c r="B185" s="130">
        <v>2514</v>
      </c>
      <c r="C185" s="261" t="s">
        <v>88</v>
      </c>
      <c r="D185" s="130">
        <v>17058.5</v>
      </c>
      <c r="E185" s="130">
        <v>18910.399999999998</v>
      </c>
      <c r="F185" s="130">
        <v>767.6</v>
      </c>
      <c r="G185" s="508">
        <v>23357.399999999998</v>
      </c>
      <c r="H185" s="130">
        <v>9697.8000000000011</v>
      </c>
      <c r="I185" s="130">
        <f t="shared" si="20"/>
        <v>72305.7</v>
      </c>
    </row>
    <row r="186" spans="1:9" hidden="1">
      <c r="A186" s="113" t="s">
        <v>50</v>
      </c>
      <c r="B186" s="130">
        <v>2568.4</v>
      </c>
      <c r="C186" s="261" t="s">
        <v>88</v>
      </c>
      <c r="D186" s="130">
        <v>17471.5</v>
      </c>
      <c r="E186" s="130">
        <v>18859.3</v>
      </c>
      <c r="F186" s="130">
        <v>812.8</v>
      </c>
      <c r="G186" s="508">
        <v>23483</v>
      </c>
      <c r="H186" s="130">
        <v>9037.4000000000015</v>
      </c>
      <c r="I186" s="130">
        <f t="shared" si="20"/>
        <v>72232.399999999994</v>
      </c>
    </row>
    <row r="187" spans="1:9" hidden="1">
      <c r="A187" s="113"/>
      <c r="B187" s="130"/>
      <c r="C187" s="261" t="s">
        <v>88</v>
      </c>
      <c r="D187" s="130"/>
      <c r="E187" s="130"/>
      <c r="F187" s="130"/>
      <c r="G187" s="508"/>
      <c r="H187" s="130"/>
      <c r="I187" s="130"/>
    </row>
    <row r="188" spans="1:9" hidden="1">
      <c r="A188" s="113" t="s">
        <v>55</v>
      </c>
      <c r="B188" s="130">
        <v>2595.6</v>
      </c>
      <c r="C188" s="261" t="s">
        <v>88</v>
      </c>
      <c r="D188" s="130">
        <v>17058.899999999998</v>
      </c>
      <c r="E188" s="130">
        <v>19920.8</v>
      </c>
      <c r="F188" s="130">
        <v>812.8</v>
      </c>
      <c r="G188" s="508">
        <v>23506.1</v>
      </c>
      <c r="H188" s="130">
        <v>7901.1</v>
      </c>
      <c r="I188" s="130">
        <f t="shared" ref="I188:I212" si="21">SUM(B188:H188)</f>
        <v>71795.3</v>
      </c>
    </row>
    <row r="189" spans="1:9" hidden="1">
      <c r="A189" s="113" t="s">
        <v>40</v>
      </c>
      <c r="B189" s="130">
        <v>2596.3000000000002</v>
      </c>
      <c r="C189" s="261" t="s">
        <v>88</v>
      </c>
      <c r="D189" s="130">
        <v>16658.899999999998</v>
      </c>
      <c r="E189" s="130">
        <v>19932.8</v>
      </c>
      <c r="F189" s="130">
        <v>812.8</v>
      </c>
      <c r="G189" s="508">
        <v>23200.6</v>
      </c>
      <c r="H189" s="130">
        <v>8672.7000000000007</v>
      </c>
      <c r="I189" s="130">
        <f t="shared" si="21"/>
        <v>71874.100000000006</v>
      </c>
    </row>
    <row r="190" spans="1:9" hidden="1">
      <c r="A190" s="113" t="s">
        <v>41</v>
      </c>
      <c r="B190" s="130">
        <v>2624.3</v>
      </c>
      <c r="C190" s="261" t="s">
        <v>88</v>
      </c>
      <c r="D190" s="130">
        <v>16658.899999999998</v>
      </c>
      <c r="E190" s="130">
        <v>20350.3</v>
      </c>
      <c r="F190" s="130">
        <v>806.9</v>
      </c>
      <c r="G190" s="508">
        <v>22994.399999999998</v>
      </c>
      <c r="H190" s="130">
        <v>9537.7999999999993</v>
      </c>
      <c r="I190" s="130">
        <f t="shared" si="21"/>
        <v>72972.600000000006</v>
      </c>
    </row>
    <row r="191" spans="1:9" hidden="1">
      <c r="A191" s="113" t="s">
        <v>42</v>
      </c>
      <c r="B191" s="130">
        <v>2804.3</v>
      </c>
      <c r="C191" s="261" t="s">
        <v>88</v>
      </c>
      <c r="D191" s="130">
        <v>16658.899999999998</v>
      </c>
      <c r="E191" s="130">
        <v>20782.3</v>
      </c>
      <c r="F191" s="130">
        <v>806.9</v>
      </c>
      <c r="G191" s="508">
        <v>23167.1</v>
      </c>
      <c r="H191" s="130">
        <v>9276.5</v>
      </c>
      <c r="I191" s="130">
        <f t="shared" si="21"/>
        <v>73496</v>
      </c>
    </row>
    <row r="192" spans="1:9" hidden="1">
      <c r="A192" s="113" t="s">
        <v>43</v>
      </c>
      <c r="B192" s="130">
        <v>2804.3</v>
      </c>
      <c r="C192" s="261" t="s">
        <v>88</v>
      </c>
      <c r="D192" s="130">
        <v>16658.899999999998</v>
      </c>
      <c r="E192" s="130">
        <v>21149</v>
      </c>
      <c r="F192" s="130">
        <v>806.9</v>
      </c>
      <c r="G192" s="508">
        <v>23537.599999999999</v>
      </c>
      <c r="H192" s="130">
        <v>9566.9</v>
      </c>
      <c r="I192" s="130">
        <f t="shared" si="21"/>
        <v>74523.599999999991</v>
      </c>
    </row>
    <row r="193" spans="1:9" hidden="1">
      <c r="A193" s="113" t="s">
        <v>44</v>
      </c>
      <c r="B193" s="130">
        <v>2604.3000000000002</v>
      </c>
      <c r="C193" s="261" t="s">
        <v>88</v>
      </c>
      <c r="D193" s="130">
        <v>16658.899999999998</v>
      </c>
      <c r="E193" s="130">
        <v>21458.3</v>
      </c>
      <c r="F193" s="130">
        <v>805.1</v>
      </c>
      <c r="G193" s="508">
        <v>23630</v>
      </c>
      <c r="H193" s="130">
        <v>10010.799999999999</v>
      </c>
      <c r="I193" s="130">
        <f t="shared" si="21"/>
        <v>75167.399999999994</v>
      </c>
    </row>
    <row r="194" spans="1:9" hidden="1">
      <c r="A194" s="113" t="s">
        <v>45</v>
      </c>
      <c r="B194" s="130">
        <v>2404.2999999999997</v>
      </c>
      <c r="C194" s="261" t="s">
        <v>88</v>
      </c>
      <c r="D194" s="130">
        <v>16658.899999999998</v>
      </c>
      <c r="E194" s="130">
        <v>22068.499999999996</v>
      </c>
      <c r="F194" s="130">
        <v>805.1</v>
      </c>
      <c r="G194" s="508">
        <v>24293.8</v>
      </c>
      <c r="H194" s="130">
        <v>10805.099999999999</v>
      </c>
      <c r="I194" s="130">
        <f t="shared" si="21"/>
        <v>77035.699999999983</v>
      </c>
    </row>
    <row r="195" spans="1:9" hidden="1">
      <c r="A195" s="113" t="s">
        <v>46</v>
      </c>
      <c r="B195" s="130">
        <v>2404.2999999999997</v>
      </c>
      <c r="C195" s="261" t="s">
        <v>88</v>
      </c>
      <c r="D195" s="130">
        <v>16658.899999999998</v>
      </c>
      <c r="E195" s="130">
        <v>22433.200000000001</v>
      </c>
      <c r="F195" s="130">
        <v>805.1</v>
      </c>
      <c r="G195" s="508">
        <v>24022.099999999995</v>
      </c>
      <c r="H195" s="130">
        <v>11647</v>
      </c>
      <c r="I195" s="130">
        <f t="shared" si="21"/>
        <v>77970.599999999991</v>
      </c>
    </row>
    <row r="196" spans="1:9" hidden="1">
      <c r="A196" s="113" t="s">
        <v>47</v>
      </c>
      <c r="B196" s="130">
        <v>2404.2999999999997</v>
      </c>
      <c r="C196" s="261" t="s">
        <v>88</v>
      </c>
      <c r="D196" s="130">
        <v>16711.8</v>
      </c>
      <c r="E196" s="130">
        <v>22735.200000000001</v>
      </c>
      <c r="F196" s="130">
        <v>346</v>
      </c>
      <c r="G196" s="508">
        <v>24563.899999999998</v>
      </c>
      <c r="H196" s="130">
        <v>11954.400000000001</v>
      </c>
      <c r="I196" s="130">
        <f t="shared" si="21"/>
        <v>78715.600000000006</v>
      </c>
    </row>
    <row r="197" spans="1:9" hidden="1">
      <c r="A197" s="113" t="s">
        <v>48</v>
      </c>
      <c r="B197" s="130">
        <v>2353.2999999999997</v>
      </c>
      <c r="C197" s="261" t="s">
        <v>88</v>
      </c>
      <c r="D197" s="130">
        <v>16711.8</v>
      </c>
      <c r="E197" s="130">
        <v>23883.599999999999</v>
      </c>
      <c r="F197" s="130">
        <v>346</v>
      </c>
      <c r="G197" s="508">
        <v>25064.899999999994</v>
      </c>
      <c r="H197" s="130">
        <v>13081</v>
      </c>
      <c r="I197" s="130">
        <f t="shared" si="21"/>
        <v>81440.599999999991</v>
      </c>
    </row>
    <row r="198" spans="1:9" hidden="1">
      <c r="A198" s="113" t="s">
        <v>49</v>
      </c>
      <c r="B198" s="130">
        <v>2371.7999999999997</v>
      </c>
      <c r="C198" s="261" t="s">
        <v>88</v>
      </c>
      <c r="D198" s="130">
        <v>16737.599999999999</v>
      </c>
      <c r="E198" s="130">
        <v>24442.6</v>
      </c>
      <c r="F198" s="130">
        <v>346</v>
      </c>
      <c r="G198" s="508">
        <v>25356.1</v>
      </c>
      <c r="H198" s="130">
        <v>13123.199999999999</v>
      </c>
      <c r="I198" s="130">
        <f t="shared" si="21"/>
        <v>82377.3</v>
      </c>
    </row>
    <row r="199" spans="1:9" hidden="1">
      <c r="A199" s="113" t="s">
        <v>50</v>
      </c>
      <c r="B199" s="130">
        <v>2430.7999999999997</v>
      </c>
      <c r="C199" s="261" t="s">
        <v>88</v>
      </c>
      <c r="D199" s="130">
        <v>17595.400000000001</v>
      </c>
      <c r="E199" s="130">
        <v>24760.100000000002</v>
      </c>
      <c r="F199" s="130">
        <v>331.2</v>
      </c>
      <c r="G199" s="508">
        <v>26593.3</v>
      </c>
      <c r="H199" s="130">
        <v>11397.8</v>
      </c>
      <c r="I199" s="130">
        <f t="shared" si="21"/>
        <v>83108.600000000006</v>
      </c>
    </row>
    <row r="200" spans="1:9" hidden="1">
      <c r="A200" s="142"/>
      <c r="B200" s="130"/>
      <c r="C200" s="261" t="s">
        <v>88</v>
      </c>
      <c r="D200" s="130"/>
      <c r="E200" s="130"/>
      <c r="F200" s="130"/>
      <c r="G200" s="508"/>
      <c r="H200" s="130"/>
      <c r="I200" s="130"/>
    </row>
    <row r="201" spans="1:9" hidden="1">
      <c r="A201" s="113" t="s">
        <v>54</v>
      </c>
      <c r="B201" s="130">
        <v>2458.5</v>
      </c>
      <c r="C201" s="261" t="s">
        <v>88</v>
      </c>
      <c r="D201" s="130">
        <v>17682.2</v>
      </c>
      <c r="E201" s="130">
        <v>25983.300000000003</v>
      </c>
      <c r="F201" s="130">
        <v>331.2</v>
      </c>
      <c r="G201" s="508">
        <v>26288.899999999998</v>
      </c>
      <c r="H201" s="130">
        <v>10969.900000000001</v>
      </c>
      <c r="I201" s="130">
        <f t="shared" si="21"/>
        <v>83714</v>
      </c>
    </row>
    <row r="202" spans="1:9" hidden="1">
      <c r="A202" s="113" t="s">
        <v>40</v>
      </c>
      <c r="B202" s="130">
        <v>4553.8</v>
      </c>
      <c r="C202" s="261" t="s">
        <v>88</v>
      </c>
      <c r="D202" s="130">
        <v>17678.7</v>
      </c>
      <c r="E202" s="130">
        <v>25707</v>
      </c>
      <c r="F202" s="130">
        <v>331.2</v>
      </c>
      <c r="G202" s="496">
        <v>26390.799999999999</v>
      </c>
      <c r="H202" s="130">
        <v>10917</v>
      </c>
      <c r="I202" s="130">
        <f t="shared" si="21"/>
        <v>85578.5</v>
      </c>
    </row>
    <row r="203" spans="1:9" hidden="1">
      <c r="A203" s="113" t="s">
        <v>41</v>
      </c>
      <c r="B203" s="130">
        <v>4553.8</v>
      </c>
      <c r="C203" s="261" t="s">
        <v>88</v>
      </c>
      <c r="D203" s="130">
        <v>17678.7</v>
      </c>
      <c r="E203" s="130">
        <v>25576.400000000005</v>
      </c>
      <c r="F203" s="130">
        <v>331.2</v>
      </c>
      <c r="G203" s="496">
        <v>25720</v>
      </c>
      <c r="H203" s="130">
        <v>11895</v>
      </c>
      <c r="I203" s="130">
        <f t="shared" si="21"/>
        <v>85755.1</v>
      </c>
    </row>
    <row r="204" spans="1:9" hidden="1">
      <c r="A204" s="113" t="s">
        <v>42</v>
      </c>
      <c r="B204" s="130">
        <v>4551.8</v>
      </c>
      <c r="C204" s="69">
        <v>300</v>
      </c>
      <c r="D204" s="130">
        <v>18344.8</v>
      </c>
      <c r="E204" s="130">
        <v>26136.7</v>
      </c>
      <c r="F204" s="130">
        <v>331.2</v>
      </c>
      <c r="G204" s="496">
        <v>25975.5</v>
      </c>
      <c r="H204" s="130">
        <v>12061.2</v>
      </c>
      <c r="I204" s="130">
        <f t="shared" si="21"/>
        <v>87701.2</v>
      </c>
    </row>
    <row r="205" spans="1:9" hidden="1">
      <c r="A205" s="113" t="s">
        <v>43</v>
      </c>
      <c r="B205" s="130">
        <v>4562.2000000000007</v>
      </c>
      <c r="C205" s="261" t="s">
        <v>88</v>
      </c>
      <c r="D205" s="130">
        <v>18351.599999999999</v>
      </c>
      <c r="E205" s="130">
        <v>27293.599999999999</v>
      </c>
      <c r="F205" s="130">
        <v>331.2</v>
      </c>
      <c r="G205" s="496">
        <v>25903.799999999996</v>
      </c>
      <c r="H205" s="130">
        <v>12387.2</v>
      </c>
      <c r="I205" s="130">
        <f t="shared" si="21"/>
        <v>88829.599999999991</v>
      </c>
    </row>
    <row r="206" spans="1:9" hidden="1">
      <c r="A206" s="113" t="s">
        <v>44</v>
      </c>
      <c r="B206" s="130">
        <v>4562.2000000000007</v>
      </c>
      <c r="C206" s="261" t="s">
        <v>88</v>
      </c>
      <c r="D206" s="130">
        <v>18384.599999999999</v>
      </c>
      <c r="E206" s="130">
        <v>28649.899999999998</v>
      </c>
      <c r="F206" s="130">
        <v>331.2</v>
      </c>
      <c r="G206" s="496">
        <v>25639.1</v>
      </c>
      <c r="H206" s="130">
        <v>13489.4</v>
      </c>
      <c r="I206" s="130">
        <f t="shared" si="21"/>
        <v>91056.4</v>
      </c>
    </row>
    <row r="207" spans="1:9" hidden="1">
      <c r="A207" s="113" t="s">
        <v>45</v>
      </c>
      <c r="B207" s="130">
        <v>4559.6000000000004</v>
      </c>
      <c r="C207" s="261" t="s">
        <v>88</v>
      </c>
      <c r="D207" s="130">
        <v>18358.3</v>
      </c>
      <c r="E207" s="130">
        <v>29303.399999999998</v>
      </c>
      <c r="F207" s="130">
        <v>331.2</v>
      </c>
      <c r="G207" s="496">
        <v>25568.400000000001</v>
      </c>
      <c r="H207" s="130">
        <v>14373.099999999999</v>
      </c>
      <c r="I207" s="130">
        <f t="shared" si="21"/>
        <v>92494</v>
      </c>
    </row>
    <row r="208" spans="1:9" hidden="1">
      <c r="A208" s="113" t="s">
        <v>46</v>
      </c>
      <c r="B208" s="130">
        <v>4444.8</v>
      </c>
      <c r="C208" s="261" t="s">
        <v>88</v>
      </c>
      <c r="D208" s="130">
        <v>18358.3</v>
      </c>
      <c r="E208" s="130">
        <v>30183.400000000009</v>
      </c>
      <c r="F208" s="130">
        <v>331.2</v>
      </c>
      <c r="G208" s="496">
        <v>25595.199999999997</v>
      </c>
      <c r="H208" s="130">
        <v>15126.9</v>
      </c>
      <c r="I208" s="130">
        <f t="shared" si="21"/>
        <v>94039.799999999988</v>
      </c>
    </row>
    <row r="209" spans="1:9" hidden="1">
      <c r="A209" s="113" t="s">
        <v>47</v>
      </c>
      <c r="B209" s="130">
        <v>4444.8</v>
      </c>
      <c r="C209" s="261" t="s">
        <v>88</v>
      </c>
      <c r="D209" s="130">
        <v>18608.3</v>
      </c>
      <c r="E209" s="130">
        <v>31166.500000000004</v>
      </c>
      <c r="F209" s="130">
        <v>331.2</v>
      </c>
      <c r="G209" s="496">
        <v>25635.800000000003</v>
      </c>
      <c r="H209" s="130">
        <v>15759.9</v>
      </c>
      <c r="I209" s="130">
        <f t="shared" si="21"/>
        <v>95946.5</v>
      </c>
    </row>
    <row r="210" spans="1:9" hidden="1">
      <c r="A210" s="113" t="s">
        <v>48</v>
      </c>
      <c r="B210" s="130">
        <v>5344.8</v>
      </c>
      <c r="C210" s="69">
        <v>500</v>
      </c>
      <c r="D210" s="130">
        <v>18459.599999999999</v>
      </c>
      <c r="E210" s="130">
        <v>30961.5</v>
      </c>
      <c r="F210" s="130">
        <v>331.2</v>
      </c>
      <c r="G210" s="496">
        <v>26213.600000000002</v>
      </c>
      <c r="H210" s="130">
        <v>15856.800000000001</v>
      </c>
      <c r="I210" s="130">
        <f t="shared" si="21"/>
        <v>97667.5</v>
      </c>
    </row>
    <row r="211" spans="1:9" hidden="1">
      <c r="A211" s="113" t="s">
        <v>49</v>
      </c>
      <c r="B211" s="130">
        <v>5710.8</v>
      </c>
      <c r="C211" s="69">
        <v>1000</v>
      </c>
      <c r="D211" s="130">
        <v>18309.599999999999</v>
      </c>
      <c r="E211" s="130">
        <v>31654.800000000003</v>
      </c>
      <c r="F211" s="130">
        <v>331.2</v>
      </c>
      <c r="G211" s="496">
        <v>26644.799999999996</v>
      </c>
      <c r="H211" s="130">
        <v>16352.2</v>
      </c>
      <c r="I211" s="130">
        <f t="shared" si="21"/>
        <v>100003.39999999998</v>
      </c>
    </row>
    <row r="212" spans="1:9" hidden="1">
      <c r="A212" s="113" t="s">
        <v>50</v>
      </c>
      <c r="B212" s="130">
        <v>5732.2000000000007</v>
      </c>
      <c r="C212" s="69">
        <v>500</v>
      </c>
      <c r="D212" s="130">
        <v>18489.400000000001</v>
      </c>
      <c r="E212" s="130">
        <v>32440.199999999997</v>
      </c>
      <c r="F212" s="130">
        <v>331.2</v>
      </c>
      <c r="G212" s="496">
        <v>28003.899999999998</v>
      </c>
      <c r="H212" s="130">
        <v>16436.099999999999</v>
      </c>
      <c r="I212" s="130">
        <f t="shared" si="21"/>
        <v>101933</v>
      </c>
    </row>
    <row r="213" spans="1:9" hidden="1">
      <c r="A213" s="113"/>
      <c r="B213" s="130"/>
      <c r="C213" s="69"/>
      <c r="D213" s="130"/>
      <c r="E213" s="130"/>
      <c r="F213" s="130"/>
      <c r="H213" s="130"/>
      <c r="I213" s="130"/>
    </row>
    <row r="214" spans="1:9" hidden="1">
      <c r="A214" s="113" t="s">
        <v>51</v>
      </c>
      <c r="B214" s="130">
        <v>5802</v>
      </c>
      <c r="C214" s="69">
        <v>500</v>
      </c>
      <c r="D214" s="130">
        <v>18416.3</v>
      </c>
      <c r="E214" s="130">
        <v>33815</v>
      </c>
      <c r="F214" s="130">
        <v>331.2</v>
      </c>
      <c r="G214" s="496">
        <v>28046.499999999996</v>
      </c>
      <c r="H214" s="130">
        <v>15590</v>
      </c>
      <c r="I214" s="130">
        <f t="shared" ref="I214:I225" si="22">SUM(B214:H214)</f>
        <v>102501</v>
      </c>
    </row>
    <row r="215" spans="1:9" hidden="1">
      <c r="A215" s="113" t="s">
        <v>52</v>
      </c>
      <c r="B215" s="130">
        <v>5802</v>
      </c>
      <c r="C215" s="69">
        <v>500</v>
      </c>
      <c r="D215" s="130">
        <v>18266.3</v>
      </c>
      <c r="E215" s="130">
        <v>33115.199999999997</v>
      </c>
      <c r="F215" s="130">
        <v>331.2</v>
      </c>
      <c r="G215" s="496">
        <v>28091.600000000002</v>
      </c>
      <c r="H215" s="130">
        <v>16003.2</v>
      </c>
      <c r="I215" s="130">
        <f t="shared" si="22"/>
        <v>102109.5</v>
      </c>
    </row>
    <row r="216" spans="1:9" hidden="1">
      <c r="A216" s="113" t="s">
        <v>53</v>
      </c>
      <c r="B216" s="130">
        <v>5302</v>
      </c>
      <c r="C216" s="69">
        <v>500</v>
      </c>
      <c r="D216" s="130">
        <v>18108.099999999999</v>
      </c>
      <c r="E216" s="130">
        <v>33868.5</v>
      </c>
      <c r="F216" s="130">
        <v>331.2</v>
      </c>
      <c r="G216" s="496">
        <v>27023.299999999996</v>
      </c>
      <c r="H216" s="130">
        <v>17755.800000000003</v>
      </c>
      <c r="I216" s="130">
        <f t="shared" si="22"/>
        <v>102888.9</v>
      </c>
    </row>
    <row r="217" spans="1:9" hidden="1">
      <c r="A217" s="113" t="s">
        <v>603</v>
      </c>
      <c r="B217" s="130">
        <v>5446.4</v>
      </c>
      <c r="C217" s="261" t="s">
        <v>88</v>
      </c>
      <c r="D217" s="130">
        <v>16173.099999999999</v>
      </c>
      <c r="E217" s="130">
        <v>36719.1</v>
      </c>
      <c r="F217" s="130">
        <v>331.2</v>
      </c>
      <c r="G217" s="496">
        <v>28692.199999999993</v>
      </c>
      <c r="H217" s="130">
        <v>18316.7</v>
      </c>
      <c r="I217" s="130">
        <f t="shared" si="22"/>
        <v>105678.69999999998</v>
      </c>
    </row>
    <row r="218" spans="1:9" hidden="1">
      <c r="A218" s="113" t="s">
        <v>609</v>
      </c>
      <c r="B218" s="130">
        <v>5528.1</v>
      </c>
      <c r="C218" s="261" t="s">
        <v>88</v>
      </c>
      <c r="D218" s="130">
        <v>16023.099999999999</v>
      </c>
      <c r="E218" s="130">
        <v>36777.299999999996</v>
      </c>
      <c r="F218" s="130">
        <v>331.2</v>
      </c>
      <c r="G218" s="496">
        <v>28536.299999999992</v>
      </c>
      <c r="H218" s="130">
        <v>19325.099999999999</v>
      </c>
      <c r="I218" s="130">
        <f t="shared" si="22"/>
        <v>106521.09999999998</v>
      </c>
    </row>
    <row r="219" spans="1:9" hidden="1">
      <c r="A219" s="113" t="s">
        <v>44</v>
      </c>
      <c r="B219" s="130">
        <v>5446.4</v>
      </c>
      <c r="C219" s="261" t="s">
        <v>88</v>
      </c>
      <c r="D219" s="130">
        <v>15873.099999999999</v>
      </c>
      <c r="E219" s="130">
        <v>36962.1</v>
      </c>
      <c r="F219" s="130">
        <v>331.2</v>
      </c>
      <c r="G219" s="496">
        <v>29002.6</v>
      </c>
      <c r="H219" s="130">
        <v>19640.900000000001</v>
      </c>
      <c r="I219" s="130">
        <f t="shared" si="22"/>
        <v>107256.29999999999</v>
      </c>
    </row>
    <row r="220" spans="1:9" hidden="1">
      <c r="A220" s="113" t="s">
        <v>617</v>
      </c>
      <c r="B220" s="130">
        <v>5446.4</v>
      </c>
      <c r="C220" s="261" t="s">
        <v>88</v>
      </c>
      <c r="D220" s="130">
        <v>15873.099999999999</v>
      </c>
      <c r="E220" s="130">
        <v>37468.500000000007</v>
      </c>
      <c r="F220" s="130">
        <v>331.2</v>
      </c>
      <c r="G220" s="496">
        <v>29234.800000000003</v>
      </c>
      <c r="H220" s="130">
        <v>20515.300000000003</v>
      </c>
      <c r="I220" s="130">
        <f t="shared" si="22"/>
        <v>108869.3</v>
      </c>
    </row>
    <row r="221" spans="1:9" hidden="1">
      <c r="A221" s="113" t="s">
        <v>621</v>
      </c>
      <c r="B221" s="130">
        <v>5446.4</v>
      </c>
      <c r="C221" s="261" t="s">
        <v>88</v>
      </c>
      <c r="D221" s="130">
        <v>16073.099999999999</v>
      </c>
      <c r="E221" s="130">
        <v>37971.700000000004</v>
      </c>
      <c r="F221" s="130">
        <v>331.2</v>
      </c>
      <c r="G221" s="496">
        <v>30647.400000000005</v>
      </c>
      <c r="H221" s="130">
        <v>21099.300000000003</v>
      </c>
      <c r="I221" s="130">
        <f t="shared" si="22"/>
        <v>111569.1</v>
      </c>
    </row>
    <row r="222" spans="1:9" hidden="1">
      <c r="A222" s="113" t="s">
        <v>47</v>
      </c>
      <c r="B222" s="130">
        <v>5446.4</v>
      </c>
      <c r="C222" s="261" t="s">
        <v>88</v>
      </c>
      <c r="D222" s="130">
        <v>16259.899999999998</v>
      </c>
      <c r="E222" s="130">
        <v>37483.800000000003</v>
      </c>
      <c r="F222" s="130">
        <v>331.2</v>
      </c>
      <c r="G222" s="496">
        <v>31475.4</v>
      </c>
      <c r="H222" s="130">
        <v>21552.400000000001</v>
      </c>
      <c r="I222" s="130">
        <f t="shared" si="22"/>
        <v>112549.1</v>
      </c>
    </row>
    <row r="223" spans="1:9" hidden="1">
      <c r="A223" s="113" t="s">
        <v>631</v>
      </c>
      <c r="B223" s="130">
        <v>5446.4</v>
      </c>
      <c r="C223" s="261" t="s">
        <v>88</v>
      </c>
      <c r="D223" s="130">
        <v>16035.599999999999</v>
      </c>
      <c r="E223" s="130">
        <v>37400.80000000001</v>
      </c>
      <c r="F223" s="130">
        <v>331.2</v>
      </c>
      <c r="G223" s="496">
        <v>31767.3</v>
      </c>
      <c r="H223" s="130">
        <v>22510</v>
      </c>
      <c r="I223" s="130">
        <f t="shared" si="22"/>
        <v>113491.3</v>
      </c>
    </row>
    <row r="224" spans="1:9" hidden="1">
      <c r="A224" s="113" t="s">
        <v>654</v>
      </c>
      <c r="B224" s="130">
        <v>4651.6000000000004</v>
      </c>
      <c r="C224" s="261" t="s">
        <v>88</v>
      </c>
      <c r="D224" s="130">
        <v>7910.3</v>
      </c>
      <c r="E224" s="130">
        <v>50423.7</v>
      </c>
      <c r="F224" s="130">
        <v>331.2</v>
      </c>
      <c r="G224" s="496">
        <v>35668.400000000001</v>
      </c>
      <c r="H224" s="130">
        <v>18347.2</v>
      </c>
      <c r="I224" s="130">
        <f t="shared" si="22"/>
        <v>117332.4</v>
      </c>
    </row>
    <row r="225" spans="1:9" hidden="1">
      <c r="A225" s="113" t="s">
        <v>666</v>
      </c>
      <c r="B225" s="130">
        <v>4680.2</v>
      </c>
      <c r="C225" s="261" t="s">
        <v>88</v>
      </c>
      <c r="D225" s="130">
        <v>12527.599999999999</v>
      </c>
      <c r="E225" s="130">
        <v>48125.500000000015</v>
      </c>
      <c r="F225" s="130">
        <v>331.2</v>
      </c>
      <c r="G225" s="496">
        <v>36204.5</v>
      </c>
      <c r="H225" s="130">
        <v>17593</v>
      </c>
      <c r="I225" s="130">
        <f t="shared" si="22"/>
        <v>119462.00000000001</v>
      </c>
    </row>
    <row r="226" spans="1:9" hidden="1">
      <c r="A226" s="113"/>
      <c r="B226" s="130"/>
      <c r="C226" s="69"/>
      <c r="D226" s="130"/>
      <c r="E226" s="130"/>
      <c r="F226" s="130"/>
      <c r="H226" s="130"/>
      <c r="I226" s="130"/>
    </row>
    <row r="227" spans="1:9" hidden="1">
      <c r="A227" s="113" t="s">
        <v>39</v>
      </c>
      <c r="B227" s="130">
        <v>4212.5999999999995</v>
      </c>
      <c r="C227" s="261" t="s">
        <v>88</v>
      </c>
      <c r="D227" s="130">
        <v>12555</v>
      </c>
      <c r="E227" s="130">
        <v>47784.800000000003</v>
      </c>
      <c r="F227" s="130">
        <v>331.2</v>
      </c>
      <c r="G227" s="496">
        <v>35837.300000000003</v>
      </c>
      <c r="H227" s="130">
        <v>19364.599999999999</v>
      </c>
      <c r="I227" s="130">
        <f>SUM(B227:H227)</f>
        <v>120085.5</v>
      </c>
    </row>
    <row r="228" spans="1:9" hidden="1">
      <c r="A228" s="113" t="s">
        <v>677</v>
      </c>
      <c r="B228" s="130">
        <v>4178.6000000000004</v>
      </c>
      <c r="C228" s="261" t="s">
        <v>88</v>
      </c>
      <c r="D228" s="130">
        <v>12619.5</v>
      </c>
      <c r="E228" s="130">
        <v>49361.100000000006</v>
      </c>
      <c r="F228" s="130">
        <v>331.2</v>
      </c>
      <c r="G228" s="496">
        <v>35978.5</v>
      </c>
      <c r="H228" s="130">
        <v>21074.100000000002</v>
      </c>
      <c r="I228" s="130">
        <f>SUM(B228:H228)</f>
        <v>123543.00000000001</v>
      </c>
    </row>
    <row r="229" spans="1:9" hidden="1">
      <c r="A229" s="113" t="s">
        <v>65</v>
      </c>
      <c r="B229" s="130">
        <v>4205.0999999999995</v>
      </c>
      <c r="C229" s="261" t="s">
        <v>88</v>
      </c>
      <c r="D229" s="130">
        <v>12645.4</v>
      </c>
      <c r="E229" s="130">
        <v>51896.3</v>
      </c>
      <c r="F229" s="130">
        <v>331.2</v>
      </c>
      <c r="G229" s="496">
        <v>35358.9</v>
      </c>
      <c r="H229" s="130">
        <v>22434.2</v>
      </c>
      <c r="I229" s="130">
        <f t="shared" ref="I229:I238" si="23">SUM(B229:H229)</f>
        <v>126871.09999999999</v>
      </c>
    </row>
    <row r="230" spans="1:9" hidden="1">
      <c r="A230" s="113" t="s">
        <v>691</v>
      </c>
      <c r="B230" s="130">
        <v>4230.9000000000005</v>
      </c>
      <c r="C230" s="261" t="s">
        <v>88</v>
      </c>
      <c r="D230" s="130">
        <v>12694.8</v>
      </c>
      <c r="E230" s="130">
        <v>51979.80000000001</v>
      </c>
      <c r="F230" s="130">
        <v>331.2</v>
      </c>
      <c r="G230" s="496">
        <v>35621</v>
      </c>
      <c r="H230" s="130">
        <v>22714.3</v>
      </c>
      <c r="I230" s="130">
        <f t="shared" si="23"/>
        <v>127572.00000000001</v>
      </c>
    </row>
    <row r="231" spans="1:9" hidden="1">
      <c r="A231" s="113" t="s">
        <v>707</v>
      </c>
      <c r="B231" s="130">
        <v>3803.8</v>
      </c>
      <c r="C231" s="261" t="s">
        <v>88</v>
      </c>
      <c r="D231" s="130">
        <v>12057.2</v>
      </c>
      <c r="E231" s="130">
        <v>52759.6</v>
      </c>
      <c r="F231" s="130">
        <v>331.2</v>
      </c>
      <c r="G231" s="496">
        <v>36654.399999999994</v>
      </c>
      <c r="H231" s="130">
        <v>22679.899999999998</v>
      </c>
      <c r="I231" s="130">
        <f t="shared" si="23"/>
        <v>128286.09999999999</v>
      </c>
    </row>
    <row r="232" spans="1:9" hidden="1">
      <c r="A232" s="113" t="s">
        <v>713</v>
      </c>
      <c r="B232" s="130">
        <v>3879.1</v>
      </c>
      <c r="C232" s="69">
        <v>301.60000000000014</v>
      </c>
      <c r="D232" s="130">
        <v>11194.099999999999</v>
      </c>
      <c r="E232" s="130">
        <v>52988.900000000009</v>
      </c>
      <c r="F232" s="130">
        <v>331.2</v>
      </c>
      <c r="G232" s="496">
        <v>36951.699999999997</v>
      </c>
      <c r="H232" s="130">
        <v>21983.199999999997</v>
      </c>
      <c r="I232" s="130">
        <f t="shared" si="23"/>
        <v>127629.8</v>
      </c>
    </row>
    <row r="233" spans="1:9">
      <c r="A233" s="113" t="s">
        <v>730</v>
      </c>
      <c r="B233" s="130">
        <v>3905.7999999999997</v>
      </c>
      <c r="C233" s="69">
        <v>304.19999999999982</v>
      </c>
      <c r="D233" s="130">
        <v>26244.699999999997</v>
      </c>
      <c r="E233" s="130">
        <v>40024.800000000003</v>
      </c>
      <c r="F233" s="130">
        <v>331.2</v>
      </c>
      <c r="G233" s="496">
        <v>37628</v>
      </c>
      <c r="H233" s="130">
        <v>22040.899999999998</v>
      </c>
      <c r="I233" s="130">
        <f t="shared" si="23"/>
        <v>130479.59999999999</v>
      </c>
    </row>
    <row r="234" spans="1:9">
      <c r="A234" s="113" t="s">
        <v>46</v>
      </c>
      <c r="B234" s="130">
        <v>3884.5</v>
      </c>
      <c r="C234" s="69">
        <v>306.79999999999995</v>
      </c>
      <c r="D234" s="130">
        <v>26275.300000000003</v>
      </c>
      <c r="E234" s="130">
        <v>40470.6</v>
      </c>
      <c r="F234" s="130">
        <v>331.2</v>
      </c>
      <c r="G234" s="496">
        <v>37497.699999999997</v>
      </c>
      <c r="H234" s="130">
        <v>24071.100000000002</v>
      </c>
      <c r="I234" s="130">
        <f t="shared" si="23"/>
        <v>132837.19999999998</v>
      </c>
    </row>
    <row r="235" spans="1:9">
      <c r="A235" s="113" t="s">
        <v>47</v>
      </c>
      <c r="B235" s="130">
        <v>3910.7</v>
      </c>
      <c r="C235" s="69">
        <v>301.60000000000014</v>
      </c>
      <c r="D235" s="130">
        <v>27794.5</v>
      </c>
      <c r="E235" s="130">
        <v>31767.499999999996</v>
      </c>
      <c r="F235" s="130">
        <v>331.2</v>
      </c>
      <c r="G235" s="496">
        <v>38060</v>
      </c>
      <c r="H235" s="130">
        <v>32098.2</v>
      </c>
      <c r="I235" s="130">
        <f t="shared" si="23"/>
        <v>134263.70000000001</v>
      </c>
    </row>
    <row r="236" spans="1:9">
      <c r="A236" s="113" t="s">
        <v>48</v>
      </c>
      <c r="B236" s="130">
        <v>5166.7</v>
      </c>
      <c r="C236" s="69">
        <v>304.20000000000005</v>
      </c>
      <c r="D236" s="130">
        <v>14372.3</v>
      </c>
      <c r="E236" s="130">
        <v>44808.5</v>
      </c>
      <c r="F236" s="130">
        <v>331.2</v>
      </c>
      <c r="G236" s="496">
        <v>38644.799999999996</v>
      </c>
      <c r="H236" s="130">
        <v>32220.2</v>
      </c>
      <c r="I236" s="130">
        <f t="shared" si="23"/>
        <v>135847.9</v>
      </c>
    </row>
    <row r="237" spans="1:9">
      <c r="A237" s="113" t="s">
        <v>49</v>
      </c>
      <c r="B237" s="130">
        <v>5143.1000000000004</v>
      </c>
      <c r="C237" s="69">
        <v>306.69999999999982</v>
      </c>
      <c r="D237" s="130">
        <v>14442.300000000001</v>
      </c>
      <c r="E237" s="130">
        <v>45407.5</v>
      </c>
      <c r="F237" s="130">
        <v>331.2</v>
      </c>
      <c r="G237" s="496">
        <v>38751.300000000003</v>
      </c>
      <c r="H237" s="130">
        <v>32872.1</v>
      </c>
      <c r="I237" s="130">
        <f t="shared" si="23"/>
        <v>137254.20000000001</v>
      </c>
    </row>
    <row r="238" spans="1:9">
      <c r="A238" s="113" t="s">
        <v>50</v>
      </c>
      <c r="B238" s="130">
        <v>5477.9</v>
      </c>
      <c r="C238" s="69">
        <v>301.79999999999995</v>
      </c>
      <c r="D238" s="130">
        <v>13744.4</v>
      </c>
      <c r="E238" s="130">
        <v>45799.7</v>
      </c>
      <c r="F238" s="130">
        <v>331.2</v>
      </c>
      <c r="G238" s="496">
        <v>38358</v>
      </c>
      <c r="H238" s="130">
        <v>34192.799999999996</v>
      </c>
      <c r="I238" s="130">
        <f t="shared" si="23"/>
        <v>138205.79999999999</v>
      </c>
    </row>
    <row r="239" spans="1:9">
      <c r="A239" s="113"/>
      <c r="B239" s="130"/>
      <c r="C239" s="69"/>
      <c r="D239" s="130"/>
      <c r="E239" s="130"/>
      <c r="F239" s="130"/>
      <c r="H239" s="130"/>
      <c r="I239" s="130"/>
    </row>
    <row r="240" spans="1:9">
      <c r="A240" s="113" t="s">
        <v>36</v>
      </c>
      <c r="B240" s="130">
        <v>4223.5</v>
      </c>
      <c r="C240" s="69">
        <v>304.29999999999995</v>
      </c>
      <c r="D240" s="130">
        <v>15068.3</v>
      </c>
      <c r="E240" s="130">
        <v>46123.8</v>
      </c>
      <c r="F240" s="130">
        <v>331.2</v>
      </c>
      <c r="G240" s="496">
        <v>38240.600000000006</v>
      </c>
      <c r="H240" s="130">
        <v>34309.699999999997</v>
      </c>
      <c r="I240" s="130">
        <f>SUM(B240:H240)</f>
        <v>138601.4</v>
      </c>
    </row>
    <row r="241" spans="1:9">
      <c r="A241" s="113" t="s">
        <v>37</v>
      </c>
      <c r="B241" s="130">
        <v>4201.3</v>
      </c>
      <c r="C241" s="69">
        <v>306.5</v>
      </c>
      <c r="D241" s="130">
        <v>14114.900000000001</v>
      </c>
      <c r="E241" s="130">
        <v>47038.099999999991</v>
      </c>
      <c r="F241" s="130">
        <v>331.2</v>
      </c>
      <c r="G241" s="496">
        <v>38310.9</v>
      </c>
      <c r="H241" s="130">
        <v>32295</v>
      </c>
      <c r="I241" s="130">
        <f>SUM(B241:H241)</f>
        <v>136597.9</v>
      </c>
    </row>
    <row r="242" spans="1:9">
      <c r="A242" s="113" t="s">
        <v>38</v>
      </c>
      <c r="B242" s="130">
        <v>4213.8</v>
      </c>
      <c r="C242" s="69">
        <v>301.7</v>
      </c>
      <c r="D242" s="130">
        <v>14102.3</v>
      </c>
      <c r="E242" s="130">
        <v>48881.9</v>
      </c>
      <c r="F242" s="130">
        <v>331.2</v>
      </c>
      <c r="G242" s="496">
        <v>37732.800000000003</v>
      </c>
      <c r="H242" s="130">
        <v>33037.9</v>
      </c>
      <c r="I242" s="130">
        <f>SUM(B242:H242)</f>
        <v>138601.60000000001</v>
      </c>
    </row>
    <row r="243" spans="1:9">
      <c r="A243" s="113" t="s">
        <v>42</v>
      </c>
      <c r="B243" s="130">
        <v>4231.1000000000004</v>
      </c>
      <c r="C243" s="69">
        <v>304.2</v>
      </c>
      <c r="D243" s="130">
        <v>14818.8</v>
      </c>
      <c r="E243" s="130">
        <v>49891.4</v>
      </c>
      <c r="F243" s="130">
        <v>331.2</v>
      </c>
      <c r="G243" s="496">
        <v>37829.499999999993</v>
      </c>
      <c r="H243" s="130">
        <v>32372.999999999996</v>
      </c>
      <c r="I243" s="130">
        <v>139779.20000000001</v>
      </c>
    </row>
    <row r="244" spans="1:9">
      <c r="A244" s="113" t="s">
        <v>43</v>
      </c>
      <c r="B244" s="130">
        <v>4380.3999999999996</v>
      </c>
      <c r="C244" s="69">
        <v>306.7</v>
      </c>
      <c r="D244" s="130">
        <v>14877.5</v>
      </c>
      <c r="E244" s="130">
        <v>50922.400000000001</v>
      </c>
      <c r="F244" s="130">
        <v>1711.1000000000001</v>
      </c>
      <c r="G244" s="496">
        <v>37386.899999999994</v>
      </c>
      <c r="H244" s="130">
        <v>33423.300000000003</v>
      </c>
      <c r="I244" s="130">
        <v>143008.29999999999</v>
      </c>
    </row>
    <row r="245" spans="1:9">
      <c r="A245" s="113" t="s">
        <v>44</v>
      </c>
      <c r="B245" s="130">
        <v>4482.1000000000004</v>
      </c>
      <c r="C245" s="69">
        <v>1003</v>
      </c>
      <c r="D245" s="130">
        <v>13350.1</v>
      </c>
      <c r="E245" s="130">
        <v>51836.6</v>
      </c>
      <c r="F245" s="130">
        <v>2141.1999999999998</v>
      </c>
      <c r="G245" s="496">
        <v>37753</v>
      </c>
      <c r="H245" s="130">
        <v>33892.9</v>
      </c>
      <c r="I245" s="130">
        <v>144458.9</v>
      </c>
    </row>
    <row r="246" spans="1:9">
      <c r="A246" s="113" t="s">
        <v>619</v>
      </c>
      <c r="B246" s="130">
        <f>2114.3+2471.7</f>
        <v>4586</v>
      </c>
      <c r="C246" s="69">
        <v>1011.5</v>
      </c>
      <c r="D246" s="130">
        <f>10147.4+3270.4</f>
        <v>13417.8</v>
      </c>
      <c r="E246" s="130">
        <f>51100.1+1869.3</f>
        <v>52969.4</v>
      </c>
      <c r="F246" s="130">
        <f>331.2+1822.1</f>
        <v>2153.2999999999997</v>
      </c>
      <c r="G246" s="496">
        <f>25418.2-8063.3+156.9+19611.6+973.5</f>
        <v>38096.9</v>
      </c>
      <c r="H246" s="130">
        <f>8063.3+11547.9+12581.1+1752.3</f>
        <v>33944.600000000006</v>
      </c>
      <c r="I246" s="130">
        <f>SUM(B246:H246)</f>
        <v>146179.5</v>
      </c>
    </row>
    <row r="247" spans="1:9">
      <c r="A247" s="113" t="s">
        <v>46</v>
      </c>
      <c r="B247" s="130">
        <f>1471.3+2116.8</f>
        <v>3588.1000000000004</v>
      </c>
      <c r="C247" s="69">
        <v>1020</v>
      </c>
      <c r="D247" s="130">
        <f>10183.4+3301.7</f>
        <v>13485.099999999999</v>
      </c>
      <c r="E247" s="130">
        <f>51477.4+1862.8</f>
        <v>53340.200000000004</v>
      </c>
      <c r="F247" s="130">
        <f>1842.8+331.2</f>
        <v>2174</v>
      </c>
      <c r="G247" s="496">
        <f>19611.5+1309.2+25457.6-7892.6+523.5</f>
        <v>39009.200000000004</v>
      </c>
      <c r="H247" s="130">
        <f>7892.6+11826.7+1606.3+12949.1</f>
        <v>34274.700000000004</v>
      </c>
      <c r="I247" s="130">
        <f t="shared" ref="I247" si="24">SUM(B247:H247)</f>
        <v>146891.30000000002</v>
      </c>
    </row>
    <row r="248" spans="1:9">
      <c r="A248" s="113" t="s">
        <v>47</v>
      </c>
      <c r="B248" s="130">
        <f>2084.8+1482.5</f>
        <v>3567.3</v>
      </c>
      <c r="C248" s="69">
        <v>1002.5</v>
      </c>
      <c r="D248" s="130">
        <f>9140.7+3361</f>
        <v>12501.7</v>
      </c>
      <c r="E248" s="130">
        <f>52448.6+1857.5</f>
        <v>54306.1</v>
      </c>
      <c r="F248" s="130">
        <f>1916.4+331.2</f>
        <v>2247.6</v>
      </c>
      <c r="G248" s="496">
        <f>19611.5+1513.4+540.6+25792.3-8224.8</f>
        <v>39233</v>
      </c>
      <c r="H248" s="130">
        <f>1569.4+13181.4+11826+8224.8</f>
        <v>34801.599999999999</v>
      </c>
      <c r="I248" s="130">
        <f t="shared" ref="I248:I251" si="25">SUM(B248:H248)</f>
        <v>147659.80000000002</v>
      </c>
    </row>
    <row r="249" spans="1:9">
      <c r="A249" s="113" t="s">
        <v>48</v>
      </c>
      <c r="B249" s="130">
        <f>1495.1+2086</f>
        <v>3581.1</v>
      </c>
      <c r="C249" s="69">
        <v>1011.4</v>
      </c>
      <c r="D249" s="130">
        <f>8663.8+4204</f>
        <v>12867.8</v>
      </c>
      <c r="E249" s="130">
        <f>52275.7+1824.1</f>
        <v>54099.799999999996</v>
      </c>
      <c r="F249" s="130">
        <f>2181.4+331.2</f>
        <v>2512.6</v>
      </c>
      <c r="G249" s="496">
        <f>19611.5+1970.8+25991.9-8420.9+674.5</f>
        <v>39827.799999999996</v>
      </c>
      <c r="H249" s="130">
        <f>8420.9+12091.6+13230.8+1830.7</f>
        <v>35574</v>
      </c>
      <c r="I249" s="130">
        <f t="shared" si="25"/>
        <v>149474.5</v>
      </c>
    </row>
    <row r="250" spans="1:9">
      <c r="A250" s="113" t="s">
        <v>49</v>
      </c>
      <c r="B250" s="130">
        <f>1502.3+2095.5</f>
        <v>3597.8</v>
      </c>
      <c r="C250" s="69">
        <v>1019.2</v>
      </c>
      <c r="D250" s="130">
        <f>8686+4239.6</f>
        <v>12925.6</v>
      </c>
      <c r="E250" s="130">
        <f>52707.6+1823.3</f>
        <v>54530.9</v>
      </c>
      <c r="F250" s="130">
        <f>2116.3+331.2</f>
        <v>2447.5</v>
      </c>
      <c r="G250" s="496">
        <f>19611.5+2518.5+203.4+27035.2-9451</f>
        <v>39917.600000000006</v>
      </c>
      <c r="H250" s="130">
        <f>13223.2+1412.6+9451+11855.2</f>
        <v>35942</v>
      </c>
      <c r="I250" s="130">
        <f t="shared" si="25"/>
        <v>150380.6</v>
      </c>
    </row>
    <row r="251" spans="1:9">
      <c r="A251" s="113" t="s">
        <v>50</v>
      </c>
      <c r="B251" s="130">
        <f>1515.3+2094.8</f>
        <v>3610.1000000000004</v>
      </c>
      <c r="C251" s="69">
        <v>1003.3</v>
      </c>
      <c r="D251" s="130">
        <f>3491+8531.2</f>
        <v>12022.2</v>
      </c>
      <c r="E251" s="130">
        <f>1516.4+54425.8</f>
        <v>55942.200000000004</v>
      </c>
      <c r="F251" s="130">
        <f>331.2+2153.3</f>
        <v>2484.5</v>
      </c>
      <c r="G251" s="496">
        <f>766.2+26248.9-8703.4+19611.6+2965.7</f>
        <v>40889</v>
      </c>
      <c r="H251" s="130">
        <f>13325.1+8703.4+12286.9+935.2</f>
        <v>35250.6</v>
      </c>
      <c r="I251" s="130">
        <f t="shared" si="25"/>
        <v>151201.9</v>
      </c>
    </row>
    <row r="252" spans="1:9">
      <c r="A252" s="113"/>
      <c r="B252" s="130"/>
      <c r="C252" s="69"/>
      <c r="D252" s="130"/>
      <c r="E252" s="130"/>
      <c r="F252" s="130"/>
      <c r="H252" s="130"/>
      <c r="I252" s="130"/>
    </row>
    <row r="253" spans="1:9">
      <c r="A253" s="113" t="s">
        <v>719</v>
      </c>
      <c r="B253" s="130">
        <f>1526.2+2095.9</f>
        <v>3622.1000000000004</v>
      </c>
      <c r="C253" s="69">
        <v>1011.8</v>
      </c>
      <c r="D253" s="130">
        <f>8632.7+3487.1</f>
        <v>12119.800000000001</v>
      </c>
      <c r="E253" s="130">
        <f>54761.2+1529.1</f>
        <v>56290.299999999996</v>
      </c>
      <c r="F253" s="130">
        <f>2141+331.2</f>
        <v>2472.1999999999998</v>
      </c>
      <c r="G253" s="496">
        <f>897.7+26392.3-8815.6+20061.6+2887.4</f>
        <v>41423.4</v>
      </c>
      <c r="H253" s="130">
        <f>12242.4+8815.6+983.7+13660.7</f>
        <v>35702.400000000001</v>
      </c>
      <c r="I253" s="130">
        <f t="shared" ref="I253" si="26">SUM(B253:H253)</f>
        <v>152642</v>
      </c>
    </row>
    <row r="254" spans="1:9">
      <c r="A254" s="113" t="s">
        <v>676</v>
      </c>
      <c r="B254" s="130">
        <f>1536+2106.2</f>
        <v>3642.2</v>
      </c>
      <c r="C254" s="69">
        <v>0</v>
      </c>
      <c r="D254" s="130">
        <f>8653.1+3495.7</f>
        <v>12148.8</v>
      </c>
      <c r="E254" s="130">
        <f>56063.1+1318.8</f>
        <v>57381.9</v>
      </c>
      <c r="F254" s="130">
        <f>3606.5+331.2</f>
        <v>3937.7</v>
      </c>
      <c r="G254" s="496">
        <f>-1264.7+29345.3-11824.7+20061.6+3052.7</f>
        <v>39370.199999999997</v>
      </c>
      <c r="H254" s="130">
        <f>11866.3+11824.7+1070.6+13915.8</f>
        <v>38677.399999999994</v>
      </c>
      <c r="I254" s="130">
        <f t="shared" ref="I254:I255" si="27">SUM(B254:H254)</f>
        <v>155158.19999999998</v>
      </c>
    </row>
    <row r="255" spans="1:9">
      <c r="A255" s="113" t="s">
        <v>683</v>
      </c>
      <c r="B255" s="130">
        <f>1440.8+2121.5</f>
        <v>3562.3</v>
      </c>
      <c r="C255" s="69">
        <v>0</v>
      </c>
      <c r="D255" s="130">
        <f>7677.1+3607.8</f>
        <v>11284.900000000001</v>
      </c>
      <c r="E255" s="130">
        <f>57342.6+1299.5</f>
        <v>58642.1</v>
      </c>
      <c r="F255" s="130">
        <f>3641+331.2</f>
        <v>3972.2</v>
      </c>
      <c r="G255" s="496">
        <f>508.2+27819.1-11880.4+21194.5+613.3</f>
        <v>38254.700000000004</v>
      </c>
      <c r="H255" s="130">
        <f>11819.8+11880.4+1843.3+14028.1</f>
        <v>39571.599999999999</v>
      </c>
      <c r="I255" s="130">
        <f t="shared" si="27"/>
        <v>155287.80000000002</v>
      </c>
    </row>
    <row r="256" spans="1:9">
      <c r="A256" s="113" t="s">
        <v>693</v>
      </c>
      <c r="B256" s="130">
        <v>3577.2000000000003</v>
      </c>
      <c r="C256" s="69">
        <v>0</v>
      </c>
      <c r="D256" s="130">
        <v>11352.5</v>
      </c>
      <c r="E256" s="130">
        <v>59949.1</v>
      </c>
      <c r="F256" s="130">
        <v>3994.8999999999996</v>
      </c>
      <c r="G256" s="496">
        <v>38976.1</v>
      </c>
      <c r="H256" s="130">
        <v>38791.300000000003</v>
      </c>
      <c r="I256" s="130">
        <v>156641.09999999998</v>
      </c>
    </row>
    <row r="257" spans="1:9">
      <c r="A257" s="113" t="s">
        <v>607</v>
      </c>
      <c r="B257" s="130">
        <f>1460.4+2128</f>
        <v>3588.4</v>
      </c>
      <c r="C257" s="69">
        <v>0</v>
      </c>
      <c r="D257" s="130">
        <f>7722.5+3735</f>
        <v>11457.5</v>
      </c>
      <c r="E257" s="130">
        <f>59828.2+1314.3</f>
        <v>61142.5</v>
      </c>
      <c r="F257" s="130">
        <f>3417.4+331.2</f>
        <v>3748.6</v>
      </c>
      <c r="G257" s="496">
        <f>760.9+27968.1-12003.6+21194.5+1239.3</f>
        <v>39159.200000000004</v>
      </c>
      <c r="H257" s="130">
        <f>12078+12003.6+1162.7+14289.8</f>
        <v>39534.1</v>
      </c>
      <c r="I257" s="130">
        <f t="shared" ref="I257" si="28">SUM(B257:H257)</f>
        <v>158630.30000000002</v>
      </c>
    </row>
    <row r="258" spans="1:9" s="1051" customFormat="1">
      <c r="A258" s="1059" t="s">
        <v>629</v>
      </c>
      <c r="B258" s="130">
        <f>1470.1+2136.3</f>
        <v>3606.4</v>
      </c>
      <c r="C258" s="1051">
        <v>0</v>
      </c>
      <c r="D258" s="130">
        <f>7745+3684.7</f>
        <v>11429.7</v>
      </c>
      <c r="E258" s="130">
        <f>60992.3+1315.2</f>
        <v>62307.5</v>
      </c>
      <c r="F258" s="130">
        <f>3450.7+331.2</f>
        <v>3781.8999999999996</v>
      </c>
      <c r="G258" s="496">
        <f>924.3+28017.8-12050.9+21194.5+1623.7</f>
        <v>39709.399999999994</v>
      </c>
      <c r="H258" s="130">
        <f>11954+12050.9+1121.9+14269.2</f>
        <v>39396</v>
      </c>
      <c r="I258" s="130">
        <f t="shared" ref="I258" si="29">SUM(B258:H258)</f>
        <v>160230.9</v>
      </c>
    </row>
    <row r="259" spans="1:9" s="1051" customFormat="1">
      <c r="A259" s="1059" t="s">
        <v>733</v>
      </c>
      <c r="B259" s="130">
        <f>1480+2144.7</f>
        <v>3624.7</v>
      </c>
      <c r="C259" s="1051">
        <v>0</v>
      </c>
      <c r="D259" s="130">
        <f>3881.5+7768.5</f>
        <v>11650</v>
      </c>
      <c r="E259" s="130">
        <f>1318.4+61943.7</f>
        <v>63262.1</v>
      </c>
      <c r="F259" s="130">
        <f>331.2+3472.8</f>
        <v>3804</v>
      </c>
      <c r="G259" s="496">
        <f>1064.6+28060-12090.3+21194.6+1892</f>
        <v>40120.899999999994</v>
      </c>
      <c r="H259" s="130">
        <f>12444.9+12090.3+1505.2+14451.5</f>
        <v>40491.899999999994</v>
      </c>
      <c r="I259" s="130">
        <f t="shared" ref="I259" si="30">SUM(B259:H259)</f>
        <v>162953.59999999998</v>
      </c>
    </row>
    <row r="260" spans="1:9">
      <c r="A260" s="113"/>
      <c r="B260" s="130"/>
      <c r="C260" s="69"/>
      <c r="D260" s="130"/>
      <c r="E260" s="130"/>
      <c r="F260" s="130"/>
      <c r="H260" s="130"/>
      <c r="I260" s="130"/>
    </row>
    <row r="261" spans="1:9">
      <c r="A261" s="64"/>
      <c r="B261" s="513"/>
      <c r="C261" s="513"/>
      <c r="D261" s="513"/>
      <c r="E261" s="513"/>
      <c r="F261" s="513"/>
      <c r="G261" s="513"/>
      <c r="H261" s="513"/>
      <c r="I261" s="514"/>
    </row>
    <row r="262" spans="1:9">
      <c r="A262" s="252" t="s">
        <v>638</v>
      </c>
      <c r="B262" s="260"/>
      <c r="C262" s="260"/>
      <c r="D262" s="260"/>
      <c r="E262" s="260"/>
      <c r="F262" s="260"/>
      <c r="G262" s="260"/>
      <c r="H262" s="260"/>
      <c r="I262" s="404"/>
    </row>
    <row r="263" spans="1:9">
      <c r="A263" s="75"/>
      <c r="B263" s="482"/>
      <c r="C263" s="482"/>
      <c r="D263" s="482"/>
      <c r="E263" s="482"/>
      <c r="F263" s="482"/>
      <c r="G263" s="482"/>
      <c r="H263" s="482"/>
      <c r="I263" s="146"/>
    </row>
    <row r="272" spans="1:9">
      <c r="I272" s="497" t="s">
        <v>233</v>
      </c>
    </row>
  </sheetData>
  <mergeCells count="2">
    <mergeCell ref="B2:H2"/>
    <mergeCell ref="B3:H3"/>
  </mergeCells>
  <pageMargins left="2.8740157480314963" right="0.70866141732283472" top="0.74803149606299213" bottom="0.74803149606299213" header="0.31496062992125984" footer="0.31496062992125984"/>
  <pageSetup paperSize="9" scale="57" orientation="landscape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03"/>
  <sheetViews>
    <sheetView showGridLines="0" tabSelected="1" view="pageBreakPreview" topLeftCell="A171" zoomScale="80" zoomScaleNormal="100" zoomScaleSheetLayoutView="80" workbookViewId="0">
      <selection activeCell="E36" sqref="E36"/>
    </sheetView>
  </sheetViews>
  <sheetFormatPr defaultColWidth="13.88671875" defaultRowHeight="12.75"/>
  <cols>
    <col min="1" max="1" width="21.109375" style="69" customWidth="1"/>
    <col min="2" max="2" width="8.44140625" style="69" bestFit="1" customWidth="1"/>
    <col min="3" max="3" width="9" style="69" bestFit="1" customWidth="1"/>
    <col min="4" max="4" width="9.21875" style="69" bestFit="1" customWidth="1"/>
    <col min="5" max="6" width="8.44140625" style="69" bestFit="1" customWidth="1"/>
    <col min="7" max="7" width="7.5546875" style="69" bestFit="1" customWidth="1"/>
    <col min="8" max="8" width="7.88671875" style="69" bestFit="1" customWidth="1"/>
    <col min="9" max="9" width="10.109375" style="69" bestFit="1" customWidth="1"/>
    <col min="10" max="10" width="11.77734375" style="69" bestFit="1" customWidth="1"/>
    <col min="11" max="11" width="9" style="69" bestFit="1" customWidth="1"/>
    <col min="12" max="12" width="11.77734375" style="69" bestFit="1" customWidth="1"/>
    <col min="13" max="13" width="9.88671875" style="69" bestFit="1" customWidth="1"/>
    <col min="14" max="14" width="9.33203125" style="69" bestFit="1" customWidth="1"/>
    <col min="15" max="15" width="9" style="145" bestFit="1" customWidth="1"/>
    <col min="16" max="16" width="9.33203125" style="69" bestFit="1" customWidth="1"/>
    <col min="17" max="17" width="9.77734375" style="69" bestFit="1" customWidth="1"/>
    <col min="18" max="18" width="9.33203125" style="69" bestFit="1" customWidth="1"/>
    <col min="19" max="19" width="9.77734375" style="69" customWidth="1"/>
    <col min="20" max="20" width="15.21875" style="69" customWidth="1"/>
    <col min="21" max="16384" width="13.88671875" style="69"/>
  </cols>
  <sheetData>
    <row r="1" spans="1:27">
      <c r="A1" s="64"/>
      <c r="B1" s="65"/>
      <c r="C1" s="65"/>
      <c r="D1" s="65"/>
      <c r="E1" s="65"/>
      <c r="F1" s="65"/>
      <c r="G1" s="65"/>
      <c r="H1" s="65"/>
      <c r="I1" s="65"/>
      <c r="J1" s="65"/>
      <c r="K1" s="516"/>
      <c r="L1" s="65"/>
      <c r="M1" s="65"/>
      <c r="N1" s="65"/>
      <c r="O1" s="66"/>
      <c r="P1" s="65"/>
      <c r="Q1" s="65"/>
      <c r="R1" s="68"/>
      <c r="V1" s="251"/>
      <c r="W1" s="251"/>
      <c r="X1" s="251"/>
      <c r="Y1" s="251"/>
      <c r="Z1" s="251"/>
      <c r="AA1" s="251"/>
    </row>
    <row r="2" spans="1:27" ht="15.75" customHeight="1">
      <c r="A2" s="70"/>
      <c r="B2" s="328" t="s">
        <v>33</v>
      </c>
      <c r="C2" s="1194" t="s">
        <v>373</v>
      </c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  <c r="Q2" s="517"/>
      <c r="R2" s="74" t="s">
        <v>345</v>
      </c>
      <c r="V2" s="251"/>
      <c r="W2" s="251"/>
      <c r="X2" s="251"/>
      <c r="Y2" s="251"/>
      <c r="Z2" s="251"/>
      <c r="AA2" s="251"/>
    </row>
    <row r="3" spans="1:27" ht="15.75" customHeight="1">
      <c r="A3" s="70"/>
      <c r="B3" s="517"/>
      <c r="C3" s="1194" t="s">
        <v>113</v>
      </c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194"/>
      <c r="R3" s="316"/>
      <c r="V3" s="251"/>
      <c r="W3" s="251"/>
      <c r="X3" s="251"/>
      <c r="Y3" s="251"/>
      <c r="Z3" s="251"/>
      <c r="AA3" s="251"/>
    </row>
    <row r="4" spans="1:27">
      <c r="A4" s="75"/>
      <c r="B4" s="76"/>
      <c r="C4" s="76"/>
      <c r="D4" s="76"/>
      <c r="E4" s="76"/>
      <c r="F4" s="76"/>
      <c r="G4" s="76"/>
      <c r="H4" s="76"/>
      <c r="I4" s="76"/>
      <c r="J4" s="76"/>
      <c r="K4" s="518"/>
      <c r="L4" s="76"/>
      <c r="M4" s="76"/>
      <c r="N4" s="76"/>
      <c r="O4" s="77"/>
      <c r="P4" s="76"/>
      <c r="Q4" s="76"/>
      <c r="R4" s="79"/>
      <c r="V4" s="251"/>
      <c r="W4" s="251"/>
      <c r="X4" s="251"/>
      <c r="Y4" s="251"/>
      <c r="Z4" s="251"/>
      <c r="AA4" s="251"/>
    </row>
    <row r="5" spans="1:27">
      <c r="A5" s="100"/>
      <c r="B5" s="95"/>
      <c r="C5" s="96"/>
      <c r="D5" s="98"/>
      <c r="E5" s="95"/>
      <c r="F5" s="96"/>
      <c r="G5" s="96"/>
      <c r="H5" s="96"/>
      <c r="I5" s="96"/>
      <c r="J5" s="96"/>
      <c r="K5" s="355"/>
      <c r="L5" s="96"/>
      <c r="M5" s="96"/>
      <c r="N5" s="96"/>
      <c r="O5" s="149"/>
      <c r="P5" s="96"/>
      <c r="Q5" s="98"/>
      <c r="R5" s="100"/>
    </row>
    <row r="6" spans="1:27">
      <c r="A6" s="84" t="s">
        <v>353</v>
      </c>
      <c r="B6" s="1190" t="s">
        <v>354</v>
      </c>
      <c r="C6" s="1191"/>
      <c r="D6" s="1192"/>
      <c r="E6" s="1233" t="s">
        <v>355</v>
      </c>
      <c r="F6" s="1234"/>
      <c r="G6" s="1234"/>
      <c r="H6" s="1234"/>
      <c r="I6" s="1234"/>
      <c r="J6" s="1234"/>
      <c r="K6" s="1234"/>
      <c r="L6" s="1234"/>
      <c r="M6" s="1234"/>
      <c r="N6" s="1234"/>
      <c r="O6" s="1234"/>
      <c r="P6" s="1234"/>
      <c r="Q6" s="1235"/>
      <c r="R6" s="520" t="s">
        <v>74</v>
      </c>
    </row>
    <row r="7" spans="1:27">
      <c r="A7" s="89"/>
      <c r="B7" s="354"/>
      <c r="C7" s="90"/>
      <c r="D7" s="92"/>
      <c r="E7" s="75"/>
      <c r="F7" s="76"/>
      <c r="G7" s="76"/>
      <c r="H7" s="76"/>
      <c r="I7" s="76"/>
      <c r="J7" s="76"/>
      <c r="K7" s="518"/>
      <c r="L7" s="76"/>
      <c r="M7" s="76"/>
      <c r="N7" s="76"/>
      <c r="O7" s="77"/>
      <c r="P7" s="76"/>
      <c r="Q7" s="79"/>
      <c r="R7" s="520" t="s">
        <v>33</v>
      </c>
    </row>
    <row r="8" spans="1:27" ht="15.75" customHeight="1">
      <c r="A8" s="94"/>
      <c r="B8" s="109" t="s">
        <v>92</v>
      </c>
      <c r="C8" s="109" t="s">
        <v>356</v>
      </c>
      <c r="D8" s="108" t="s">
        <v>357</v>
      </c>
      <c r="E8" s="521"/>
      <c r="F8" s="150"/>
      <c r="G8" s="150"/>
      <c r="H8" s="150"/>
      <c r="I8" s="150"/>
      <c r="J8" s="150"/>
      <c r="K8" s="522"/>
      <c r="L8" s="503"/>
      <c r="M8" s="95"/>
      <c r="N8" s="96"/>
      <c r="O8" s="149"/>
      <c r="P8" s="98"/>
      <c r="Q8" s="70"/>
      <c r="R8" s="80"/>
    </row>
    <row r="9" spans="1:27" ht="15.75" customHeight="1">
      <c r="A9" s="94"/>
      <c r="B9" s="115" t="s">
        <v>167</v>
      </c>
      <c r="C9" s="115" t="s">
        <v>202</v>
      </c>
      <c r="D9" s="106" t="s">
        <v>28</v>
      </c>
      <c r="E9" s="1223" t="s">
        <v>358</v>
      </c>
      <c r="F9" s="1224"/>
      <c r="G9" s="1224"/>
      <c r="H9" s="1224"/>
      <c r="I9" s="1224"/>
      <c r="J9" s="1224"/>
      <c r="K9" s="1224"/>
      <c r="L9" s="1224"/>
      <c r="M9" s="1223" t="s">
        <v>359</v>
      </c>
      <c r="N9" s="1224"/>
      <c r="O9" s="1224"/>
      <c r="P9" s="1225"/>
      <c r="Q9" s="87" t="s">
        <v>2</v>
      </c>
      <c r="R9" s="80"/>
    </row>
    <row r="10" spans="1:27">
      <c r="A10" s="94"/>
      <c r="B10" s="115" t="s">
        <v>28</v>
      </c>
      <c r="C10" s="80"/>
      <c r="D10" s="80"/>
      <c r="E10" s="327"/>
      <c r="F10" s="73"/>
      <c r="G10" s="73"/>
      <c r="H10" s="73"/>
      <c r="I10" s="73"/>
      <c r="J10" s="73"/>
      <c r="K10" s="250"/>
      <c r="L10" s="83"/>
      <c r="M10" s="70"/>
      <c r="N10" s="71"/>
      <c r="O10" s="81"/>
      <c r="P10" s="82"/>
      <c r="Q10" s="70"/>
      <c r="R10" s="80"/>
    </row>
    <row r="11" spans="1:27">
      <c r="A11" s="94"/>
      <c r="B11" s="80"/>
      <c r="C11" s="113"/>
      <c r="D11" s="80"/>
      <c r="E11" s="96"/>
      <c r="F11" s="100"/>
      <c r="G11" s="100"/>
      <c r="H11" s="100"/>
      <c r="I11" s="96"/>
      <c r="J11" s="100"/>
      <c r="K11" s="249"/>
      <c r="L11" s="249"/>
      <c r="M11" s="96"/>
      <c r="N11" s="100"/>
      <c r="O11" s="278"/>
      <c r="P11" s="96"/>
      <c r="Q11" s="70"/>
      <c r="R11" s="80"/>
    </row>
    <row r="12" spans="1:27">
      <c r="A12" s="94" t="s">
        <v>34</v>
      </c>
      <c r="B12" s="113"/>
      <c r="C12" s="113"/>
      <c r="D12" s="113" t="s">
        <v>0</v>
      </c>
      <c r="E12" s="107" t="s">
        <v>360</v>
      </c>
      <c r="F12" s="115" t="s">
        <v>361</v>
      </c>
      <c r="G12" s="115" t="s">
        <v>344</v>
      </c>
      <c r="H12" s="115" t="s">
        <v>362</v>
      </c>
      <c r="I12" s="107" t="s">
        <v>363</v>
      </c>
      <c r="J12" s="115" t="s">
        <v>364</v>
      </c>
      <c r="K12" s="485" t="s">
        <v>365</v>
      </c>
      <c r="L12" s="485" t="s">
        <v>364</v>
      </c>
      <c r="M12" s="107" t="s">
        <v>366</v>
      </c>
      <c r="N12" s="115" t="s">
        <v>367</v>
      </c>
      <c r="O12" s="115" t="s">
        <v>367</v>
      </c>
      <c r="P12" s="107" t="s">
        <v>0</v>
      </c>
      <c r="Q12" s="246" t="s">
        <v>0</v>
      </c>
      <c r="R12" s="80"/>
    </row>
    <row r="13" spans="1:27">
      <c r="A13" s="94"/>
      <c r="B13" s="113"/>
      <c r="C13" s="113"/>
      <c r="D13" s="80"/>
      <c r="E13" s="107" t="s">
        <v>368</v>
      </c>
      <c r="F13" s="115" t="s">
        <v>369</v>
      </c>
      <c r="G13" s="115" t="s">
        <v>100</v>
      </c>
      <c r="H13" s="115" t="s">
        <v>98</v>
      </c>
      <c r="I13" s="107" t="s">
        <v>100</v>
      </c>
      <c r="J13" s="115" t="s">
        <v>370</v>
      </c>
      <c r="K13" s="485" t="s">
        <v>143</v>
      </c>
      <c r="L13" s="485" t="s">
        <v>371</v>
      </c>
      <c r="M13" s="107" t="s">
        <v>260</v>
      </c>
      <c r="N13" s="115" t="s">
        <v>239</v>
      </c>
      <c r="O13" s="485" t="s">
        <v>316</v>
      </c>
      <c r="P13" s="107" t="s">
        <v>2</v>
      </c>
      <c r="Q13" s="70"/>
      <c r="R13" s="80"/>
    </row>
    <row r="14" spans="1:27">
      <c r="B14" s="80"/>
      <c r="C14" s="80"/>
      <c r="D14" s="80"/>
      <c r="E14" s="71"/>
      <c r="F14" s="115" t="s">
        <v>170</v>
      </c>
      <c r="G14" s="80"/>
      <c r="H14" s="80"/>
      <c r="I14" s="71"/>
      <c r="J14" s="115"/>
      <c r="K14" s="485" t="s">
        <v>372</v>
      </c>
      <c r="L14" s="485" t="s">
        <v>372</v>
      </c>
      <c r="M14" s="107" t="s">
        <v>110</v>
      </c>
      <c r="N14" s="115" t="s">
        <v>106</v>
      </c>
      <c r="O14" s="485" t="s">
        <v>143</v>
      </c>
      <c r="P14" s="71"/>
      <c r="Q14" s="70"/>
      <c r="R14" s="80"/>
    </row>
    <row r="15" spans="1:27">
      <c r="A15" s="70"/>
      <c r="B15" s="80"/>
      <c r="C15" s="80"/>
      <c r="D15" s="80"/>
      <c r="E15" s="71"/>
      <c r="F15" s="80"/>
      <c r="G15" s="80"/>
      <c r="H15" s="80"/>
      <c r="I15" s="71"/>
      <c r="J15" s="80"/>
      <c r="K15" s="485"/>
      <c r="L15" s="485"/>
      <c r="M15" s="107" t="s">
        <v>109</v>
      </c>
      <c r="N15" s="115"/>
      <c r="O15" s="283"/>
      <c r="P15" s="107" t="s">
        <v>0</v>
      </c>
      <c r="Q15" s="246" t="s">
        <v>0</v>
      </c>
      <c r="R15" s="115" t="s">
        <v>0</v>
      </c>
      <c r="S15" s="251"/>
    </row>
    <row r="16" spans="1:27">
      <c r="A16" s="354"/>
      <c r="B16" s="253"/>
      <c r="C16" s="253"/>
      <c r="D16" s="253"/>
      <c r="E16" s="76"/>
      <c r="F16" s="253"/>
      <c r="G16" s="253"/>
      <c r="H16" s="253"/>
      <c r="I16" s="76"/>
      <c r="J16" s="253"/>
      <c r="K16" s="518"/>
      <c r="L16" s="253"/>
      <c r="M16" s="76"/>
      <c r="N16" s="253"/>
      <c r="O16" s="287"/>
      <c r="P16" s="76"/>
      <c r="Q16" s="75"/>
      <c r="R16" s="253"/>
    </row>
    <row r="17" spans="1:27">
      <c r="A17" s="523"/>
      <c r="B17" s="524"/>
      <c r="C17" s="156"/>
      <c r="D17" s="524"/>
      <c r="E17" s="526"/>
      <c r="F17" s="524"/>
      <c r="G17" s="524"/>
      <c r="H17" s="524"/>
      <c r="I17" s="524"/>
      <c r="J17" s="524"/>
      <c r="K17" s="527"/>
      <c r="L17" s="524"/>
      <c r="M17" s="524"/>
      <c r="N17" s="524"/>
      <c r="O17" s="524"/>
      <c r="P17" s="524"/>
      <c r="Q17" s="524"/>
      <c r="R17" s="524"/>
    </row>
    <row r="18" spans="1:27" hidden="1">
      <c r="A18" s="405" t="s">
        <v>4</v>
      </c>
      <c r="B18" s="130">
        <v>460258.8000000001</v>
      </c>
      <c r="C18" s="129">
        <v>-207480.90000000002</v>
      </c>
      <c r="D18" s="130">
        <f t="shared" ref="D18:D19" si="0">SUM(B18:C18)</f>
        <v>252777.90000000008</v>
      </c>
      <c r="E18" s="129">
        <v>170798.9</v>
      </c>
      <c r="F18" s="130">
        <v>59394.8</v>
      </c>
      <c r="G18" s="130">
        <v>10160.4</v>
      </c>
      <c r="H18" s="346">
        <v>0</v>
      </c>
      <c r="I18" s="351">
        <v>0</v>
      </c>
      <c r="J18" s="213">
        <v>-125950.69999999998</v>
      </c>
      <c r="K18" s="129">
        <v>-11736.2</v>
      </c>
      <c r="L18" s="130">
        <f t="shared" ref="L18:L19" si="1">SUM( (E18:K18))</f>
        <v>102667.20000000003</v>
      </c>
      <c r="M18" s="129">
        <v>22280.7</v>
      </c>
      <c r="N18" s="130">
        <v>290913.59999999998</v>
      </c>
      <c r="O18" s="140">
        <v>120.8</v>
      </c>
      <c r="P18" s="129">
        <f t="shared" ref="P18:P19" si="2">SUM(M18:O18)</f>
        <v>313315.09999999998</v>
      </c>
      <c r="Q18" s="130">
        <f t="shared" ref="Q18:Q19" si="3">SUM(L18,P18)</f>
        <v>415982.3</v>
      </c>
      <c r="R18" s="130">
        <f t="shared" ref="R18:R19" si="4">SUM(D18,Q18)</f>
        <v>668760.20000000007</v>
      </c>
      <c r="V18" s="251"/>
      <c r="W18" s="251"/>
      <c r="X18" s="251"/>
      <c r="Y18" s="251"/>
      <c r="Z18" s="251"/>
      <c r="AA18" s="251"/>
    </row>
    <row r="19" spans="1:27" ht="11.25" hidden="1" customHeight="1">
      <c r="A19" s="405" t="s">
        <v>120</v>
      </c>
      <c r="B19" s="130">
        <v>556720.30000000005</v>
      </c>
      <c r="C19" s="129">
        <v>-293987.49999999994</v>
      </c>
      <c r="D19" s="130">
        <f t="shared" si="0"/>
        <v>262732.8000000001</v>
      </c>
      <c r="E19" s="129">
        <v>215622.30000000002</v>
      </c>
      <c r="F19" s="130">
        <v>100906.6</v>
      </c>
      <c r="G19" s="130">
        <v>11980.5</v>
      </c>
      <c r="H19" s="140" t="s">
        <v>88</v>
      </c>
      <c r="I19" s="133" t="s">
        <v>88</v>
      </c>
      <c r="J19" s="213">
        <v>-134063.79999999999</v>
      </c>
      <c r="K19" s="129">
        <v>-14842.5</v>
      </c>
      <c r="L19" s="130">
        <f t="shared" si="1"/>
        <v>179603.10000000003</v>
      </c>
      <c r="M19" s="129">
        <v>9204.2000000000025</v>
      </c>
      <c r="N19" s="130">
        <v>355047.5</v>
      </c>
      <c r="O19" s="140">
        <v>497.1</v>
      </c>
      <c r="P19" s="129">
        <f t="shared" si="2"/>
        <v>364748.79999999999</v>
      </c>
      <c r="Q19" s="130">
        <f t="shared" si="3"/>
        <v>544351.9</v>
      </c>
      <c r="R19" s="130">
        <f t="shared" si="4"/>
        <v>807084.70000000019</v>
      </c>
      <c r="V19" s="251"/>
      <c r="W19" s="251"/>
      <c r="X19" s="251"/>
      <c r="Y19" s="251"/>
      <c r="Z19" s="251"/>
      <c r="AA19" s="251"/>
    </row>
    <row r="20" spans="1:27" s="145" customFormat="1" ht="12" hidden="1" customHeight="1">
      <c r="A20" s="403" t="s">
        <v>89</v>
      </c>
      <c r="B20" s="140">
        <v>581195.19999999995</v>
      </c>
      <c r="C20" s="133">
        <v>-328494.40000000002</v>
      </c>
      <c r="D20" s="130">
        <v>252700.79999999993</v>
      </c>
      <c r="E20" s="133">
        <v>19134.2</v>
      </c>
      <c r="F20" s="140">
        <v>109938.3</v>
      </c>
      <c r="G20" s="140">
        <v>14177.3</v>
      </c>
      <c r="H20" s="348">
        <v>88925</v>
      </c>
      <c r="I20" s="140">
        <v>145130.9</v>
      </c>
      <c r="J20" s="211">
        <v>-154580.5</v>
      </c>
      <c r="K20" s="133">
        <v>-11562.5</v>
      </c>
      <c r="L20" s="130">
        <v>211162.69999999995</v>
      </c>
      <c r="M20" s="133">
        <v>9602.8000000000011</v>
      </c>
      <c r="N20" s="140">
        <v>505409.9</v>
      </c>
      <c r="O20" s="140">
        <v>599.4</v>
      </c>
      <c r="P20" s="129">
        <v>515612.10000000003</v>
      </c>
      <c r="Q20" s="130">
        <v>726774.8</v>
      </c>
      <c r="R20" s="140">
        <v>979475.6</v>
      </c>
      <c r="S20" s="69"/>
      <c r="T20" s="69"/>
      <c r="V20" s="528"/>
      <c r="W20" s="528"/>
      <c r="X20" s="528"/>
      <c r="Y20" s="528"/>
      <c r="Z20" s="528"/>
      <c r="AA20" s="528"/>
    </row>
    <row r="21" spans="1:27" ht="10.5" hidden="1" customHeight="1">
      <c r="A21" s="461" t="s">
        <v>346</v>
      </c>
      <c r="B21" s="130">
        <v>586011.4</v>
      </c>
      <c r="C21" s="129">
        <v>-381573.7</v>
      </c>
      <c r="D21" s="130">
        <v>204437.7</v>
      </c>
      <c r="E21" s="133">
        <v>86260.6</v>
      </c>
      <c r="F21" s="130">
        <v>85318.2</v>
      </c>
      <c r="G21" s="140">
        <v>14746.9</v>
      </c>
      <c r="H21" s="141">
        <v>94325</v>
      </c>
      <c r="I21" s="130">
        <v>141433.29999999999</v>
      </c>
      <c r="J21" s="213">
        <v>-175871.7</v>
      </c>
      <c r="K21" s="129">
        <v>-13875.9</v>
      </c>
      <c r="L21" s="130">
        <v>232336.39999999994</v>
      </c>
      <c r="M21" s="129">
        <v>4977.5</v>
      </c>
      <c r="N21" s="130">
        <v>663978.89999999991</v>
      </c>
      <c r="O21" s="140">
        <v>1021.9000000000001</v>
      </c>
      <c r="P21" s="129">
        <v>669978.29999999993</v>
      </c>
      <c r="Q21" s="130">
        <v>902314.69999999984</v>
      </c>
      <c r="R21" s="130">
        <v>1106752.3999999999</v>
      </c>
      <c r="V21" s="251"/>
      <c r="W21" s="251"/>
      <c r="X21" s="251"/>
      <c r="Y21" s="251"/>
      <c r="Z21" s="251"/>
      <c r="AA21" s="251"/>
    </row>
    <row r="22" spans="1:27" ht="12.75" hidden="1" customHeight="1">
      <c r="A22" s="461" t="s">
        <v>347</v>
      </c>
      <c r="B22" s="130">
        <v>677706</v>
      </c>
      <c r="C22" s="129">
        <v>-481881.1</v>
      </c>
      <c r="D22" s="130">
        <v>195824.90000000002</v>
      </c>
      <c r="E22" s="133">
        <v>155251.9</v>
      </c>
      <c r="F22" s="130">
        <v>49858.100000000006</v>
      </c>
      <c r="G22" s="140">
        <v>17982.599999999999</v>
      </c>
      <c r="H22" s="141">
        <v>117037.4</v>
      </c>
      <c r="I22" s="130">
        <v>137735.70000000001</v>
      </c>
      <c r="J22" s="213">
        <v>-183055</v>
      </c>
      <c r="K22" s="129">
        <v>-17599.900000000001</v>
      </c>
      <c r="L22" s="130">
        <v>277210.8</v>
      </c>
      <c r="M22" s="129">
        <v>24996.400000000001</v>
      </c>
      <c r="N22" s="130">
        <v>737918.9</v>
      </c>
      <c r="O22" s="140">
        <v>1057.9000000000001</v>
      </c>
      <c r="P22" s="129">
        <v>763973.20000000007</v>
      </c>
      <c r="Q22" s="130">
        <v>1041184</v>
      </c>
      <c r="R22" s="130">
        <v>1237008.8999999999</v>
      </c>
      <c r="V22" s="251"/>
      <c r="W22" s="251"/>
      <c r="X22" s="251"/>
      <c r="Y22" s="251"/>
      <c r="Z22" s="251"/>
      <c r="AA22" s="251"/>
    </row>
    <row r="23" spans="1:27" ht="12.75" customHeight="1">
      <c r="A23" s="461" t="s">
        <v>348</v>
      </c>
      <c r="B23" s="130">
        <v>702734.69999999984</v>
      </c>
      <c r="C23" s="129">
        <v>-473407</v>
      </c>
      <c r="D23" s="130">
        <v>229327.69999999984</v>
      </c>
      <c r="E23" s="133">
        <v>0</v>
      </c>
      <c r="F23" s="130">
        <v>109019.90000000001</v>
      </c>
      <c r="G23" s="140">
        <v>18506.300000000003</v>
      </c>
      <c r="H23" s="141">
        <v>107284.3</v>
      </c>
      <c r="I23" s="130">
        <v>289290</v>
      </c>
      <c r="J23" s="213">
        <v>-227281.60000000003</v>
      </c>
      <c r="K23" s="129">
        <v>-23180.3</v>
      </c>
      <c r="L23" s="130">
        <v>273638.59999999998</v>
      </c>
      <c r="M23" s="129">
        <v>36734.1</v>
      </c>
      <c r="N23" s="130">
        <v>811341.50000000023</v>
      </c>
      <c r="O23" s="140">
        <v>2469.1999999999998</v>
      </c>
      <c r="P23" s="129">
        <v>850544.80000000016</v>
      </c>
      <c r="Q23" s="130">
        <v>1124183.4000000001</v>
      </c>
      <c r="R23" s="130">
        <v>1353511.1</v>
      </c>
      <c r="V23" s="251"/>
      <c r="W23" s="251"/>
      <c r="X23" s="251"/>
      <c r="Y23" s="251"/>
      <c r="Z23" s="251"/>
      <c r="AA23" s="251"/>
    </row>
    <row r="24" spans="1:27" ht="12.75" customHeight="1">
      <c r="A24" s="461" t="s">
        <v>349</v>
      </c>
      <c r="B24" s="130">
        <v>700883.1</v>
      </c>
      <c r="C24" s="129">
        <v>-520670.4</v>
      </c>
      <c r="D24" s="130">
        <v>180212.69999999995</v>
      </c>
      <c r="E24" s="133">
        <v>55186.9</v>
      </c>
      <c r="F24" s="130">
        <v>147702.70000000001</v>
      </c>
      <c r="G24" s="140">
        <v>49269.8</v>
      </c>
      <c r="H24" s="141">
        <v>106976.2</v>
      </c>
      <c r="I24" s="130">
        <v>285900.5</v>
      </c>
      <c r="J24" s="213">
        <v>-239702.39999999997</v>
      </c>
      <c r="K24" s="129">
        <v>-23004.400000000001</v>
      </c>
      <c r="L24" s="130">
        <v>382329.3000000001</v>
      </c>
      <c r="M24" s="129">
        <v>41416.400000000001</v>
      </c>
      <c r="N24" s="130">
        <v>893296.39999999991</v>
      </c>
      <c r="O24" s="140">
        <v>3449.2999999999997</v>
      </c>
      <c r="P24" s="129">
        <v>938162.1</v>
      </c>
      <c r="Q24" s="130">
        <v>1320491.4000000001</v>
      </c>
      <c r="R24" s="130">
        <v>1500704.1</v>
      </c>
      <c r="V24" s="251"/>
      <c r="W24" s="251"/>
      <c r="X24" s="251"/>
      <c r="Y24" s="251"/>
      <c r="Z24" s="251"/>
      <c r="AA24" s="251"/>
    </row>
    <row r="25" spans="1:27" ht="12.75" customHeight="1">
      <c r="A25" s="461" t="s">
        <v>350</v>
      </c>
      <c r="B25" s="130">
        <v>428918.6</v>
      </c>
      <c r="C25" s="129">
        <v>-505119.9</v>
      </c>
      <c r="D25" s="130">
        <v>-76201.300000000047</v>
      </c>
      <c r="E25" s="133">
        <v>273246</v>
      </c>
      <c r="F25" s="130">
        <v>254809.2</v>
      </c>
      <c r="G25" s="140">
        <v>50054.3</v>
      </c>
      <c r="H25" s="141">
        <v>90564.7</v>
      </c>
      <c r="I25" s="130">
        <v>277913.90000000002</v>
      </c>
      <c r="J25" s="213">
        <v>-234475</v>
      </c>
      <c r="K25" s="129">
        <v>-26252.799999999996</v>
      </c>
      <c r="L25" s="130">
        <v>685860.29999999993</v>
      </c>
      <c r="M25" s="129">
        <v>7061.0999999999995</v>
      </c>
      <c r="N25" s="130">
        <v>894521.4</v>
      </c>
      <c r="O25" s="140">
        <v>27.1</v>
      </c>
      <c r="P25" s="129">
        <v>901609.6</v>
      </c>
      <c r="Q25" s="130">
        <v>1587469.9</v>
      </c>
      <c r="R25" s="130">
        <v>1511268.5999999999</v>
      </c>
      <c r="V25" s="251"/>
      <c r="W25" s="251"/>
      <c r="X25" s="251"/>
      <c r="Y25" s="251"/>
      <c r="Z25" s="251"/>
      <c r="AA25" s="251"/>
    </row>
    <row r="26" spans="1:27">
      <c r="A26" s="406">
        <v>2016</v>
      </c>
      <c r="B26" s="130">
        <v>291920.8</v>
      </c>
      <c r="C26" s="129">
        <v>-468775.10000000003</v>
      </c>
      <c r="D26" s="130">
        <v>-176854.30000000005</v>
      </c>
      <c r="E26" s="133">
        <v>134973.1</v>
      </c>
      <c r="F26" s="130">
        <v>438079.6</v>
      </c>
      <c r="G26" s="140">
        <v>37133.1</v>
      </c>
      <c r="H26" s="141">
        <v>73845.100000000006</v>
      </c>
      <c r="I26" s="130">
        <v>543481.59999999998</v>
      </c>
      <c r="J26" s="213">
        <v>-292795.7</v>
      </c>
      <c r="K26" s="129">
        <v>-30343.700000000004</v>
      </c>
      <c r="L26" s="130">
        <v>904373.10000000009</v>
      </c>
      <c r="M26" s="129">
        <v>7680.5</v>
      </c>
      <c r="N26" s="130">
        <v>952257.90000000014</v>
      </c>
      <c r="O26" s="140">
        <v>57.6</v>
      </c>
      <c r="P26" s="129">
        <v>959996.00000000012</v>
      </c>
      <c r="Q26" s="130">
        <v>1864369.1</v>
      </c>
      <c r="R26" s="130">
        <v>1687514.8</v>
      </c>
      <c r="V26" s="251"/>
      <c r="W26" s="251"/>
      <c r="X26" s="251"/>
      <c r="Y26" s="251"/>
      <c r="Z26" s="251"/>
      <c r="AA26" s="251"/>
    </row>
    <row r="27" spans="1:27" ht="11.25" customHeight="1">
      <c r="A27" s="406">
        <v>2017</v>
      </c>
      <c r="B27" s="130">
        <v>340133.20000000007</v>
      </c>
      <c r="C27" s="129">
        <v>-497017.7</v>
      </c>
      <c r="D27" s="130">
        <f>SUM(B27:C27)</f>
        <v>-156884.49999999994</v>
      </c>
      <c r="E27" s="133">
        <v>194279.4</v>
      </c>
      <c r="F27" s="130">
        <v>643490.6</v>
      </c>
      <c r="G27" s="140">
        <v>30924.9</v>
      </c>
      <c r="H27" s="141">
        <v>57125.4</v>
      </c>
      <c r="I27" s="130">
        <v>535803.19999999995</v>
      </c>
      <c r="J27" s="213">
        <v>-301668.90000000008</v>
      </c>
      <c r="K27" s="129">
        <v>-49310.1</v>
      </c>
      <c r="L27" s="130">
        <f t="shared" ref="L27" si="5">SUM( (E27:K27))</f>
        <v>1110644.4999999998</v>
      </c>
      <c r="M27" s="129">
        <v>28762.899999999998</v>
      </c>
      <c r="N27" s="130">
        <v>966229.29999999993</v>
      </c>
      <c r="O27" s="140">
        <v>4937.3999999999996</v>
      </c>
      <c r="P27" s="129">
        <f t="shared" ref="P27" si="6">SUM(M27:O27)</f>
        <v>999929.6</v>
      </c>
      <c r="Q27" s="130">
        <f t="shared" ref="Q27" si="7">SUM(L27,P27)</f>
        <v>2110574.0999999996</v>
      </c>
      <c r="R27" s="130">
        <f t="shared" ref="R27" si="8">SUM(D27,Q27)</f>
        <v>1953689.5999999996</v>
      </c>
      <c r="V27" s="251"/>
      <c r="W27" s="251"/>
      <c r="X27" s="251"/>
      <c r="Y27" s="251"/>
      <c r="Z27" s="251"/>
      <c r="AA27" s="251"/>
    </row>
    <row r="28" spans="1:27" ht="11.25" customHeight="1">
      <c r="A28" s="461"/>
      <c r="B28" s="130"/>
      <c r="C28" s="129"/>
      <c r="D28" s="130"/>
      <c r="E28" s="133"/>
      <c r="F28" s="130"/>
      <c r="G28" s="140"/>
      <c r="H28" s="141"/>
      <c r="I28" s="130"/>
      <c r="J28" s="213"/>
      <c r="K28" s="129"/>
      <c r="L28" s="130"/>
      <c r="M28" s="129"/>
      <c r="N28" s="130"/>
      <c r="O28" s="140"/>
      <c r="P28" s="129"/>
      <c r="Q28" s="130"/>
      <c r="R28" s="130"/>
      <c r="V28" s="251"/>
      <c r="W28" s="251"/>
      <c r="X28" s="251"/>
      <c r="Y28" s="251"/>
      <c r="Z28" s="251"/>
      <c r="AA28" s="251"/>
    </row>
    <row r="29" spans="1:27" ht="12.75" hidden="1" customHeight="1">
      <c r="A29" s="87" t="s">
        <v>61</v>
      </c>
      <c r="B29" s="130">
        <v>708261.20000000007</v>
      </c>
      <c r="C29" s="129">
        <v>-497741.45</v>
      </c>
      <c r="D29" s="130">
        <v>210519.75000000006</v>
      </c>
      <c r="E29" s="133">
        <v>8513</v>
      </c>
      <c r="F29" s="130">
        <v>108771.9</v>
      </c>
      <c r="G29" s="140">
        <v>13380.9</v>
      </c>
      <c r="H29" s="141">
        <v>107284.3</v>
      </c>
      <c r="I29" s="130">
        <v>288673.7</v>
      </c>
      <c r="J29" s="213">
        <v>-226523.22500000001</v>
      </c>
      <c r="K29" s="129">
        <v>-17043.500000000004</v>
      </c>
      <c r="L29" s="130">
        <v>283057.07500000007</v>
      </c>
      <c r="M29" s="129">
        <v>36273.550000000003</v>
      </c>
      <c r="N29" s="130">
        <v>811382.82499999995</v>
      </c>
      <c r="O29" s="140">
        <v>3128.7000000000003</v>
      </c>
      <c r="P29" s="129">
        <v>850785.07499999995</v>
      </c>
      <c r="Q29" s="130">
        <v>1133842.1499999999</v>
      </c>
      <c r="R29" s="130">
        <v>1344361.9</v>
      </c>
      <c r="V29" s="251"/>
      <c r="W29" s="251"/>
      <c r="X29" s="251"/>
      <c r="Y29" s="251"/>
      <c r="Z29" s="251"/>
      <c r="AA29" s="251"/>
    </row>
    <row r="30" spans="1:27" ht="12.75" hidden="1" customHeight="1">
      <c r="A30" s="87" t="s">
        <v>62</v>
      </c>
      <c r="B30" s="130">
        <v>685013.10000000009</v>
      </c>
      <c r="C30" s="129">
        <v>-500668.59999999992</v>
      </c>
      <c r="D30" s="130">
        <v>184344.50000000017</v>
      </c>
      <c r="E30" s="133">
        <v>39309.599999999999</v>
      </c>
      <c r="F30" s="130">
        <v>134209.09999999998</v>
      </c>
      <c r="G30" s="140">
        <v>19161.199999999997</v>
      </c>
      <c r="H30" s="141">
        <v>107284.3</v>
      </c>
      <c r="I30" s="130">
        <v>287441.19999999995</v>
      </c>
      <c r="J30" s="213">
        <v>-210802.15000000002</v>
      </c>
      <c r="K30" s="129">
        <v>-16769.8</v>
      </c>
      <c r="L30" s="130">
        <v>359833.4499999999</v>
      </c>
      <c r="M30" s="129">
        <v>42581.5</v>
      </c>
      <c r="N30" s="130">
        <v>838680.45000000007</v>
      </c>
      <c r="O30" s="140">
        <v>3154.2</v>
      </c>
      <c r="P30" s="129">
        <v>884416.15</v>
      </c>
      <c r="Q30" s="130">
        <v>1244249.5999999999</v>
      </c>
      <c r="R30" s="130">
        <v>1428594.1</v>
      </c>
      <c r="V30" s="251"/>
      <c r="W30" s="251"/>
      <c r="X30" s="251"/>
      <c r="Y30" s="251"/>
      <c r="Z30" s="251"/>
      <c r="AA30" s="251"/>
    </row>
    <row r="31" spans="1:27" ht="12.75" hidden="1" customHeight="1">
      <c r="A31" s="87" t="s">
        <v>63</v>
      </c>
      <c r="B31" s="130">
        <v>718897</v>
      </c>
      <c r="C31" s="129">
        <v>-506375.05</v>
      </c>
      <c r="D31" s="130">
        <v>212521.95</v>
      </c>
      <c r="E31" s="133">
        <v>27300.1</v>
      </c>
      <c r="F31" s="130">
        <v>151516.40000000002</v>
      </c>
      <c r="G31" s="140">
        <v>22821.449999999997</v>
      </c>
      <c r="H31" s="141">
        <v>107284.3</v>
      </c>
      <c r="I31" s="130">
        <v>286825</v>
      </c>
      <c r="J31" s="213">
        <v>-278674.73611111112</v>
      </c>
      <c r="K31" s="129">
        <v>-24671.100000000002</v>
      </c>
      <c r="L31" s="130">
        <v>292401.4138888889</v>
      </c>
      <c r="M31" s="129">
        <v>44646.099999999991</v>
      </c>
      <c r="N31" s="130">
        <v>860469.68611111108</v>
      </c>
      <c r="O31" s="140">
        <v>3642.8999999999996</v>
      </c>
      <c r="P31" s="129">
        <v>908758.68611111108</v>
      </c>
      <c r="Q31" s="130">
        <v>1201160.1000000001</v>
      </c>
      <c r="R31" s="130">
        <v>1413682.05</v>
      </c>
      <c r="V31" s="251"/>
      <c r="W31" s="251"/>
      <c r="X31" s="251"/>
      <c r="Y31" s="251"/>
      <c r="Z31" s="251"/>
      <c r="AA31" s="251"/>
    </row>
    <row r="32" spans="1:27" ht="12.75" hidden="1" customHeight="1">
      <c r="A32" s="87" t="s">
        <v>64</v>
      </c>
      <c r="B32" s="130">
        <v>700883.1</v>
      </c>
      <c r="C32" s="129">
        <v>-520670.4</v>
      </c>
      <c r="D32" s="130">
        <v>180212.69999999995</v>
      </c>
      <c r="E32" s="133">
        <v>55186.9</v>
      </c>
      <c r="F32" s="130">
        <v>147702.70000000001</v>
      </c>
      <c r="G32" s="140">
        <v>49269.8</v>
      </c>
      <c r="H32" s="141">
        <v>106976.2</v>
      </c>
      <c r="I32" s="130">
        <v>285900.5</v>
      </c>
      <c r="J32" s="213">
        <v>-239702.39999999997</v>
      </c>
      <c r="K32" s="129">
        <v>-23004.400000000001</v>
      </c>
      <c r="L32" s="130">
        <v>382329.3000000001</v>
      </c>
      <c r="M32" s="129">
        <v>41416.400000000001</v>
      </c>
      <c r="N32" s="130">
        <v>893296.39999999991</v>
      </c>
      <c r="O32" s="140">
        <v>3449.2999999999997</v>
      </c>
      <c r="P32" s="129">
        <v>938162.1</v>
      </c>
      <c r="Q32" s="130">
        <v>1320491.4000000001</v>
      </c>
      <c r="R32" s="130">
        <v>1500704.1</v>
      </c>
      <c r="V32" s="251"/>
      <c r="W32" s="251"/>
      <c r="X32" s="251"/>
      <c r="Y32" s="251"/>
      <c r="Z32" s="251"/>
      <c r="AA32" s="251"/>
    </row>
    <row r="33" spans="1:27" s="1051" customFormat="1" ht="12.75" hidden="1" customHeight="1">
      <c r="A33" s="1021"/>
      <c r="B33" s="130"/>
      <c r="C33" s="129"/>
      <c r="D33" s="130"/>
      <c r="E33" s="133"/>
      <c r="F33" s="130"/>
      <c r="G33" s="140"/>
      <c r="H33" s="141"/>
      <c r="I33" s="128"/>
      <c r="J33" s="213"/>
      <c r="K33" s="129"/>
      <c r="L33" s="130"/>
      <c r="M33" s="129"/>
      <c r="N33" s="130"/>
      <c r="O33" s="140"/>
      <c r="P33" s="129"/>
      <c r="Q33" s="130"/>
      <c r="R33" s="130"/>
      <c r="V33" s="1061"/>
      <c r="W33" s="1061"/>
      <c r="X33" s="1061"/>
      <c r="Y33" s="1061"/>
      <c r="Z33" s="1061"/>
      <c r="AA33" s="1061"/>
    </row>
    <row r="34" spans="1:27" ht="12.75" customHeight="1">
      <c r="A34" s="87" t="s">
        <v>722</v>
      </c>
      <c r="B34" s="130">
        <v>664188.19999999995</v>
      </c>
      <c r="C34" s="129">
        <v>-503585.5</v>
      </c>
      <c r="D34" s="130">
        <v>160602.69999999995</v>
      </c>
      <c r="E34" s="133">
        <v>23590.1</v>
      </c>
      <c r="F34" s="130">
        <v>156652.5</v>
      </c>
      <c r="G34" s="140">
        <v>51794.399999999994</v>
      </c>
      <c r="H34" s="141">
        <v>104166</v>
      </c>
      <c r="I34" s="130">
        <v>284644.40000000002</v>
      </c>
      <c r="J34" s="213">
        <v>-248200.45</v>
      </c>
      <c r="K34" s="129">
        <v>-29000.600000000002</v>
      </c>
      <c r="L34" s="130">
        <v>343646.35000000003</v>
      </c>
      <c r="M34" s="129">
        <v>23479.7</v>
      </c>
      <c r="N34" s="130">
        <v>898249.20000000007</v>
      </c>
      <c r="O34" s="140">
        <v>3910.9</v>
      </c>
      <c r="P34" s="129">
        <v>925639.8</v>
      </c>
      <c r="Q34" s="130">
        <v>1269286.1500000001</v>
      </c>
      <c r="R34" s="130">
        <v>1429888.85</v>
      </c>
      <c r="V34" s="251"/>
      <c r="W34" s="251"/>
      <c r="X34" s="251"/>
      <c r="Y34" s="251"/>
      <c r="Z34" s="251"/>
      <c r="AA34" s="251"/>
    </row>
    <row r="35" spans="1:27" ht="12.75" customHeight="1">
      <c r="A35" s="87" t="s">
        <v>44</v>
      </c>
      <c r="B35" s="130">
        <v>566058</v>
      </c>
      <c r="C35" s="129">
        <v>-501183.4</v>
      </c>
      <c r="D35" s="130">
        <v>64874.599999999977</v>
      </c>
      <c r="E35" s="133">
        <v>121700.8</v>
      </c>
      <c r="F35" s="130">
        <v>166756.20000000001</v>
      </c>
      <c r="G35" s="140">
        <v>48976.1</v>
      </c>
      <c r="H35" s="141">
        <v>100317.8</v>
      </c>
      <c r="I35" s="130">
        <v>282393.09999999998</v>
      </c>
      <c r="J35" s="213">
        <v>-230317.10000000003</v>
      </c>
      <c r="K35" s="129">
        <v>-26258.899999999998</v>
      </c>
      <c r="L35" s="130">
        <v>463567.99999999994</v>
      </c>
      <c r="M35" s="129">
        <v>10226.1</v>
      </c>
      <c r="N35" s="130">
        <v>935340.19999999984</v>
      </c>
      <c r="O35" s="140">
        <v>3822.2</v>
      </c>
      <c r="P35" s="129">
        <v>949388.49999999977</v>
      </c>
      <c r="Q35" s="130">
        <v>1412956.4999999998</v>
      </c>
      <c r="R35" s="130">
        <v>1477831.0999999996</v>
      </c>
      <c r="V35" s="251"/>
      <c r="W35" s="251"/>
      <c r="X35" s="251"/>
      <c r="Y35" s="251"/>
      <c r="Z35" s="251"/>
      <c r="AA35" s="251"/>
    </row>
    <row r="36" spans="1:27" ht="12.75" customHeight="1">
      <c r="A36" s="87" t="s">
        <v>47</v>
      </c>
      <c r="B36" s="130">
        <v>453393.99999999994</v>
      </c>
      <c r="C36" s="129">
        <v>-486902.60000000003</v>
      </c>
      <c r="D36" s="130">
        <v>-33508.600000000093</v>
      </c>
      <c r="E36" s="133">
        <v>201450.1</v>
      </c>
      <c r="F36" s="130">
        <v>177101.60000000003</v>
      </c>
      <c r="G36" s="140">
        <v>50077.969444444447</v>
      </c>
      <c r="H36" s="141">
        <v>96137.9</v>
      </c>
      <c r="I36" s="130">
        <v>280473.5</v>
      </c>
      <c r="J36" s="213">
        <v>-209818.51944444445</v>
      </c>
      <c r="K36" s="129">
        <v>-29497.3</v>
      </c>
      <c r="L36" s="130">
        <v>565925.25</v>
      </c>
      <c r="M36" s="129">
        <v>15563.099999999997</v>
      </c>
      <c r="N36" s="130">
        <v>945919.48333333316</v>
      </c>
      <c r="O36" s="140">
        <v>3755.9</v>
      </c>
      <c r="P36" s="129">
        <v>965238.48333333316</v>
      </c>
      <c r="Q36" s="130">
        <v>1531163.7333333332</v>
      </c>
      <c r="R36" s="130">
        <v>1497655.1333333331</v>
      </c>
      <c r="V36" s="251"/>
      <c r="W36" s="251"/>
      <c r="X36" s="251"/>
      <c r="Y36" s="251"/>
      <c r="Z36" s="251"/>
      <c r="AA36" s="251"/>
    </row>
    <row r="37" spans="1:27" ht="12.75" customHeight="1">
      <c r="A37" s="87" t="s">
        <v>50</v>
      </c>
      <c r="B37" s="130">
        <v>428918.6</v>
      </c>
      <c r="C37" s="129">
        <v>-505119.9</v>
      </c>
      <c r="D37" s="130">
        <v>-76201.300000000047</v>
      </c>
      <c r="E37" s="133">
        <v>273246</v>
      </c>
      <c r="F37" s="130">
        <v>254809.2</v>
      </c>
      <c r="G37" s="140">
        <v>50054.3</v>
      </c>
      <c r="H37" s="141">
        <v>90564.7</v>
      </c>
      <c r="I37" s="130">
        <v>277913.90000000002</v>
      </c>
      <c r="J37" s="213">
        <v>-234475</v>
      </c>
      <c r="K37" s="129">
        <v>-26252.799999999996</v>
      </c>
      <c r="L37" s="130">
        <v>685860.29999999993</v>
      </c>
      <c r="M37" s="129">
        <v>7061.0999999999995</v>
      </c>
      <c r="N37" s="130">
        <v>894521.4</v>
      </c>
      <c r="O37" s="140">
        <v>27.1</v>
      </c>
      <c r="P37" s="129">
        <v>901609.6</v>
      </c>
      <c r="Q37" s="130">
        <v>1587469.9</v>
      </c>
      <c r="R37" s="130">
        <v>1511268.5999999999</v>
      </c>
      <c r="V37" s="251"/>
      <c r="W37" s="251"/>
      <c r="X37" s="251"/>
      <c r="Y37" s="251"/>
      <c r="Z37" s="251"/>
      <c r="AA37" s="251"/>
    </row>
    <row r="38" spans="1:27" ht="12.75" customHeight="1">
      <c r="A38" s="87"/>
      <c r="B38" s="130"/>
      <c r="C38" s="129"/>
      <c r="D38" s="130"/>
      <c r="E38" s="133"/>
      <c r="F38" s="130"/>
      <c r="G38" s="140"/>
      <c r="H38" s="141"/>
      <c r="I38" s="128"/>
      <c r="J38" s="213"/>
      <c r="K38" s="129"/>
      <c r="L38" s="130"/>
      <c r="M38" s="129"/>
      <c r="N38" s="130"/>
      <c r="O38" s="140"/>
      <c r="P38" s="129"/>
      <c r="Q38" s="130"/>
      <c r="R38" s="130"/>
      <c r="V38" s="251"/>
      <c r="W38" s="251"/>
      <c r="X38" s="251"/>
      <c r="Y38" s="251"/>
      <c r="Z38" s="251"/>
      <c r="AA38" s="251"/>
    </row>
    <row r="39" spans="1:27" ht="12.75" customHeight="1">
      <c r="A39" s="87" t="s">
        <v>723</v>
      </c>
      <c r="B39" s="130">
        <v>338029.49999999994</v>
      </c>
      <c r="C39" s="129">
        <v>-499384.50000000006</v>
      </c>
      <c r="D39" s="130">
        <v>-161355.00000000012</v>
      </c>
      <c r="E39" s="133">
        <v>273246</v>
      </c>
      <c r="F39" s="130">
        <v>296894.8</v>
      </c>
      <c r="G39" s="140">
        <v>49389.950000000004</v>
      </c>
      <c r="H39" s="141">
        <v>86384.8</v>
      </c>
      <c r="I39" s="130">
        <v>275994.3</v>
      </c>
      <c r="J39" s="213">
        <v>-233113.17500000002</v>
      </c>
      <c r="K39" s="129">
        <v>-25759.7</v>
      </c>
      <c r="L39" s="130">
        <v>723036.97500000009</v>
      </c>
      <c r="M39" s="129">
        <v>3295.7</v>
      </c>
      <c r="N39" s="130">
        <v>917934.52500000014</v>
      </c>
      <c r="O39" s="140">
        <v>22.2</v>
      </c>
      <c r="P39" s="129">
        <v>921252.42500000005</v>
      </c>
      <c r="Q39" s="130">
        <v>1644289.4000000001</v>
      </c>
      <c r="R39" s="130">
        <v>1482934.4</v>
      </c>
      <c r="V39" s="251"/>
      <c r="W39" s="251"/>
      <c r="X39" s="251"/>
      <c r="Y39" s="251"/>
      <c r="Z39" s="251"/>
      <c r="AA39" s="251"/>
    </row>
    <row r="40" spans="1:27" ht="12.75" customHeight="1">
      <c r="A40" s="87" t="s">
        <v>44</v>
      </c>
      <c r="B40" s="130">
        <v>329059.09999999998</v>
      </c>
      <c r="C40" s="129">
        <v>-495277</v>
      </c>
      <c r="D40" s="130">
        <v>-166217.90000000002</v>
      </c>
      <c r="E40" s="133">
        <v>19504.700000000012</v>
      </c>
      <c r="F40" s="130">
        <v>348742.9</v>
      </c>
      <c r="G40" s="140">
        <v>53066.8</v>
      </c>
      <c r="H40" s="141">
        <v>83598.2</v>
      </c>
      <c r="I40" s="130">
        <v>547320.69999999995</v>
      </c>
      <c r="J40" s="213">
        <v>-224057.05000000005</v>
      </c>
      <c r="K40" s="129">
        <v>-41438.5</v>
      </c>
      <c r="L40" s="130">
        <v>786737.75</v>
      </c>
      <c r="M40" s="129">
        <v>6934.1</v>
      </c>
      <c r="N40" s="130">
        <v>950320.35</v>
      </c>
      <c r="O40" s="140">
        <v>59.2</v>
      </c>
      <c r="P40" s="129">
        <v>957313.64999999991</v>
      </c>
      <c r="Q40" s="130">
        <v>1744051.4</v>
      </c>
      <c r="R40" s="130">
        <v>1577833.5</v>
      </c>
      <c r="V40" s="251"/>
      <c r="W40" s="251"/>
      <c r="X40" s="251"/>
      <c r="Y40" s="251"/>
      <c r="Z40" s="251"/>
      <c r="AA40" s="251"/>
    </row>
    <row r="41" spans="1:27" ht="12.75" customHeight="1">
      <c r="A41" s="800" t="s">
        <v>47</v>
      </c>
      <c r="B41" s="130">
        <v>286513.80000000005</v>
      </c>
      <c r="C41" s="129">
        <v>-479290.8</v>
      </c>
      <c r="D41" s="130">
        <v>-192776.99999999994</v>
      </c>
      <c r="E41" s="133">
        <v>18972.7</v>
      </c>
      <c r="F41" s="130">
        <v>390238.4</v>
      </c>
      <c r="G41" s="140">
        <v>46843.899999999994</v>
      </c>
      <c r="H41" s="141">
        <v>79418.3</v>
      </c>
      <c r="I41" s="130">
        <v>546041</v>
      </c>
      <c r="J41" s="213">
        <v>-221846.875</v>
      </c>
      <c r="K41" s="129">
        <v>-34558.300000000003</v>
      </c>
      <c r="L41" s="130">
        <v>825109.125</v>
      </c>
      <c r="M41" s="129">
        <v>11752.5</v>
      </c>
      <c r="N41" s="130">
        <v>966564.875</v>
      </c>
      <c r="O41" s="140">
        <v>15.5</v>
      </c>
      <c r="P41" s="129">
        <v>978332.875</v>
      </c>
      <c r="Q41" s="130">
        <v>1803442</v>
      </c>
      <c r="R41" s="130">
        <v>1610665</v>
      </c>
      <c r="V41" s="251"/>
      <c r="W41" s="251"/>
      <c r="X41" s="251"/>
      <c r="Y41" s="251"/>
      <c r="Z41" s="251"/>
      <c r="AA41" s="251"/>
    </row>
    <row r="42" spans="1:27" ht="12.75" customHeight="1">
      <c r="A42" s="800" t="s">
        <v>50</v>
      </c>
      <c r="B42" s="130">
        <v>291920.8</v>
      </c>
      <c r="C42" s="129">
        <v>-468775.10000000003</v>
      </c>
      <c r="D42" s="130">
        <v>-176854.30000000005</v>
      </c>
      <c r="E42" s="133">
        <v>134973.1</v>
      </c>
      <c r="F42" s="130">
        <v>438079.6</v>
      </c>
      <c r="G42" s="140">
        <v>37133.1</v>
      </c>
      <c r="H42" s="141">
        <v>73845.100000000006</v>
      </c>
      <c r="I42" s="130">
        <v>543481.59999999998</v>
      </c>
      <c r="J42" s="213">
        <v>-292795.7</v>
      </c>
      <c r="K42" s="129">
        <v>-30343.700000000004</v>
      </c>
      <c r="L42" s="130">
        <v>904373.10000000009</v>
      </c>
      <c r="M42" s="129">
        <v>7680.5</v>
      </c>
      <c r="N42" s="130">
        <v>952257.90000000014</v>
      </c>
      <c r="O42" s="140">
        <v>57.6</v>
      </c>
      <c r="P42" s="129">
        <v>959996.00000000012</v>
      </c>
      <c r="Q42" s="130">
        <v>1864369.1</v>
      </c>
      <c r="R42" s="130">
        <v>1687514.8</v>
      </c>
      <c r="V42" s="251"/>
      <c r="W42" s="251"/>
      <c r="X42" s="251"/>
      <c r="Y42" s="251"/>
      <c r="Z42" s="251"/>
      <c r="AA42" s="251"/>
    </row>
    <row r="43" spans="1:27" ht="12.75" customHeight="1">
      <c r="A43" s="87"/>
      <c r="B43" s="130"/>
      <c r="C43" s="129"/>
      <c r="D43" s="130"/>
      <c r="E43" s="133"/>
      <c r="F43" s="130"/>
      <c r="G43" s="140"/>
      <c r="H43" s="141"/>
      <c r="I43" s="130"/>
      <c r="J43" s="213"/>
      <c r="K43" s="129"/>
      <c r="L43" s="130"/>
      <c r="M43" s="129"/>
      <c r="N43" s="130"/>
      <c r="O43" s="140"/>
      <c r="P43" s="129"/>
      <c r="Q43" s="130"/>
      <c r="R43" s="130"/>
      <c r="V43" s="251"/>
      <c r="W43" s="251"/>
      <c r="X43" s="251"/>
      <c r="Y43" s="251"/>
      <c r="Z43" s="251"/>
      <c r="AA43" s="251"/>
    </row>
    <row r="44" spans="1:27" ht="12.75" customHeight="1">
      <c r="A44" s="800" t="s">
        <v>66</v>
      </c>
      <c r="B44" s="130">
        <v>313355.7</v>
      </c>
      <c r="C44" s="129">
        <v>-478317.10000000003</v>
      </c>
      <c r="D44" s="130">
        <v>-164961.40000000002</v>
      </c>
      <c r="E44" s="133">
        <v>130042.5</v>
      </c>
      <c r="F44" s="130">
        <v>474831.29999999993</v>
      </c>
      <c r="G44" s="140">
        <v>48614.55</v>
      </c>
      <c r="H44" s="141">
        <v>69665.100000000006</v>
      </c>
      <c r="I44" s="130">
        <v>541562</v>
      </c>
      <c r="J44" s="213">
        <v>-249119.95</v>
      </c>
      <c r="K44" s="129">
        <v>-31884.699999999997</v>
      </c>
      <c r="L44" s="130">
        <v>983710.8</v>
      </c>
      <c r="M44" s="129">
        <v>7259.8</v>
      </c>
      <c r="N44" s="130">
        <v>904768.59999999986</v>
      </c>
      <c r="O44" s="140">
        <v>58.6</v>
      </c>
      <c r="P44" s="129">
        <v>912086.99999999988</v>
      </c>
      <c r="Q44" s="130">
        <v>1895797.7999999998</v>
      </c>
      <c r="R44" s="130">
        <v>1730836.4</v>
      </c>
      <c r="V44" s="251"/>
      <c r="W44" s="251"/>
      <c r="X44" s="251"/>
      <c r="Y44" s="251"/>
      <c r="Z44" s="251"/>
      <c r="AA44" s="251"/>
    </row>
    <row r="45" spans="1:27" ht="12.75" customHeight="1">
      <c r="A45" s="800" t="s">
        <v>44</v>
      </c>
      <c r="B45" s="130">
        <v>354736.20000000007</v>
      </c>
      <c r="C45" s="129">
        <v>-509994.8</v>
      </c>
      <c r="D45" s="130">
        <v>-155258.59999999992</v>
      </c>
      <c r="E45" s="133">
        <v>141652.79999999999</v>
      </c>
      <c r="F45" s="130">
        <v>520961.5</v>
      </c>
      <c r="G45" s="140">
        <v>41050</v>
      </c>
      <c r="H45" s="141">
        <v>66878.5</v>
      </c>
      <c r="I45" s="130">
        <v>540282.30000000005</v>
      </c>
      <c r="J45" s="213">
        <v>-247594.50000000003</v>
      </c>
      <c r="K45" s="129">
        <v>-54181.8</v>
      </c>
      <c r="L45" s="130">
        <v>1009048.8</v>
      </c>
      <c r="M45" s="129">
        <v>13580.7</v>
      </c>
      <c r="N45" s="130">
        <v>960533.5</v>
      </c>
      <c r="O45" s="140">
        <v>33.299999999999997</v>
      </c>
      <c r="P45" s="129">
        <v>974147.5</v>
      </c>
      <c r="Q45" s="130">
        <v>1983196.3</v>
      </c>
      <c r="R45" s="130">
        <v>1827937.7000000002</v>
      </c>
      <c r="T45" s="529"/>
      <c r="U45" s="145"/>
      <c r="V45" s="251"/>
      <c r="W45" s="528"/>
      <c r="X45" s="251"/>
      <c r="Y45" s="251"/>
      <c r="Z45" s="251"/>
      <c r="AA45" s="251"/>
    </row>
    <row r="46" spans="1:27" ht="12.75" customHeight="1">
      <c r="A46" s="800" t="s">
        <v>47</v>
      </c>
      <c r="B46" s="130">
        <v>340498.39999999997</v>
      </c>
      <c r="C46" s="129">
        <v>-519125.50000000006</v>
      </c>
      <c r="D46" s="130">
        <v>-178627.10000000009</v>
      </c>
      <c r="E46" s="133">
        <v>112382.3</v>
      </c>
      <c r="F46" s="130">
        <v>550738.80000000005</v>
      </c>
      <c r="G46" s="140">
        <v>44013.45</v>
      </c>
      <c r="H46" s="141">
        <v>62698.6</v>
      </c>
      <c r="I46" s="130">
        <v>538362.6</v>
      </c>
      <c r="J46" s="213">
        <v>-236439.90000000002</v>
      </c>
      <c r="K46" s="129">
        <v>-36799.500000000007</v>
      </c>
      <c r="L46" s="130">
        <v>1034956.3500000001</v>
      </c>
      <c r="M46" s="129">
        <v>29039.9</v>
      </c>
      <c r="N46" s="130">
        <v>999986.39999999991</v>
      </c>
      <c r="O46" s="140">
        <v>56.1</v>
      </c>
      <c r="P46" s="129">
        <v>1029082.3999999999</v>
      </c>
      <c r="Q46" s="130">
        <v>2064038.75</v>
      </c>
      <c r="R46" s="130">
        <v>1885411.65</v>
      </c>
      <c r="T46" s="529"/>
      <c r="U46" s="145"/>
      <c r="V46" s="251"/>
      <c r="W46" s="528"/>
      <c r="X46" s="251"/>
      <c r="Y46" s="251"/>
      <c r="Z46" s="251"/>
      <c r="AA46" s="251"/>
    </row>
    <row r="47" spans="1:27" ht="12.75" customHeight="1">
      <c r="A47" s="800" t="s">
        <v>50</v>
      </c>
      <c r="B47" s="130">
        <v>340133.20000000007</v>
      </c>
      <c r="C47" s="129">
        <v>-497017.7</v>
      </c>
      <c r="D47" s="130">
        <f>SUM(B47:C47)</f>
        <v>-156884.49999999994</v>
      </c>
      <c r="E47" s="133">
        <v>194279.4</v>
      </c>
      <c r="F47" s="130">
        <v>643490.6</v>
      </c>
      <c r="G47" s="140">
        <v>30924.9</v>
      </c>
      <c r="H47" s="141">
        <v>57125.4</v>
      </c>
      <c r="I47" s="130">
        <v>535803.19999999995</v>
      </c>
      <c r="J47" s="213">
        <v>-301668.90000000008</v>
      </c>
      <c r="K47" s="129">
        <v>-49310.1</v>
      </c>
      <c r="L47" s="130">
        <f t="shared" ref="L47" si="9">SUM( (E47:K47))</f>
        <v>1110644.4999999998</v>
      </c>
      <c r="M47" s="129">
        <v>28762.899999999998</v>
      </c>
      <c r="N47" s="130">
        <v>966229.29999999993</v>
      </c>
      <c r="O47" s="140">
        <v>4937.3999999999996</v>
      </c>
      <c r="P47" s="129">
        <f t="shared" ref="P47" si="10">SUM(M47:O47)</f>
        <v>999929.6</v>
      </c>
      <c r="Q47" s="130">
        <f t="shared" ref="Q47" si="11">SUM(L47,P47)</f>
        <v>2110574.0999999996</v>
      </c>
      <c r="R47" s="130">
        <f t="shared" ref="R47" si="12">SUM(D47,Q47)</f>
        <v>1953689.5999999996</v>
      </c>
      <c r="T47" s="529"/>
      <c r="U47" s="145"/>
      <c r="V47" s="251"/>
      <c r="W47" s="528"/>
      <c r="X47" s="251"/>
      <c r="Y47" s="251"/>
      <c r="Z47" s="251"/>
      <c r="AA47" s="251"/>
    </row>
    <row r="48" spans="1:27" ht="12.75" customHeight="1">
      <c r="A48" s="800"/>
      <c r="B48" s="130"/>
      <c r="C48" s="129"/>
      <c r="D48" s="130"/>
      <c r="E48" s="133"/>
      <c r="F48" s="130"/>
      <c r="G48" s="140"/>
      <c r="H48" s="141"/>
      <c r="I48" s="130"/>
      <c r="J48" s="213"/>
      <c r="K48" s="129"/>
      <c r="L48" s="130"/>
      <c r="M48" s="129"/>
      <c r="N48" s="130"/>
      <c r="O48" s="140"/>
      <c r="P48" s="129"/>
      <c r="Q48" s="130"/>
      <c r="R48" s="130"/>
      <c r="T48" s="529"/>
      <c r="U48" s="145"/>
      <c r="V48" s="251"/>
      <c r="W48" s="528"/>
      <c r="X48" s="251"/>
      <c r="Y48" s="251"/>
      <c r="Z48" s="251"/>
      <c r="AA48" s="251"/>
    </row>
    <row r="49" spans="1:27" ht="12.75" customHeight="1">
      <c r="A49" s="800" t="s">
        <v>703</v>
      </c>
      <c r="B49" s="130">
        <v>323165.99999999994</v>
      </c>
      <c r="C49" s="129">
        <v>-496828.30000000005</v>
      </c>
      <c r="D49" s="130">
        <v>-173662.3000000001</v>
      </c>
      <c r="E49" s="133">
        <v>151279.20000000001</v>
      </c>
      <c r="F49" s="130">
        <v>718061.79999999993</v>
      </c>
      <c r="G49" s="140">
        <v>29375</v>
      </c>
      <c r="H49" s="141">
        <v>52945.5</v>
      </c>
      <c r="I49" s="130">
        <v>533314.30000000005</v>
      </c>
      <c r="J49" s="213">
        <v>-291409.40000000002</v>
      </c>
      <c r="K49" s="129">
        <v>-56551.900000000009</v>
      </c>
      <c r="L49" s="130">
        <v>1137014.5</v>
      </c>
      <c r="M49" s="129">
        <v>16032.599999999999</v>
      </c>
      <c r="N49" s="130">
        <v>998980.9</v>
      </c>
      <c r="O49" s="140">
        <v>5422.5</v>
      </c>
      <c r="P49" s="129">
        <v>1020436</v>
      </c>
      <c r="Q49" s="130">
        <v>2157450.5</v>
      </c>
      <c r="R49" s="130">
        <v>1983788.2</v>
      </c>
      <c r="T49" s="529"/>
      <c r="U49" s="145"/>
      <c r="V49" s="251"/>
      <c r="W49" s="528"/>
      <c r="X49" s="251"/>
      <c r="Y49" s="251"/>
      <c r="Z49" s="251"/>
      <c r="AA49" s="251"/>
    </row>
    <row r="50" spans="1:27" s="1051" customFormat="1" ht="12.75" customHeight="1">
      <c r="A50" s="800" t="s">
        <v>717</v>
      </c>
      <c r="B50" s="130">
        <v>325879.70000000007</v>
      </c>
      <c r="C50" s="129">
        <v>-530917.29999999993</v>
      </c>
      <c r="D50" s="130">
        <v>-205037.59999999986</v>
      </c>
      <c r="E50" s="133">
        <v>201181.6</v>
      </c>
      <c r="F50" s="130">
        <v>802617.9</v>
      </c>
      <c r="G50" s="140">
        <v>61961.200000000004</v>
      </c>
      <c r="H50" s="141">
        <v>50158.9</v>
      </c>
      <c r="I50" s="130">
        <v>529117.6</v>
      </c>
      <c r="J50" s="213">
        <v>-401185.60000000003</v>
      </c>
      <c r="K50" s="129">
        <v>-53505.3</v>
      </c>
      <c r="L50" s="130">
        <v>1190346.2999999996</v>
      </c>
      <c r="M50" s="129">
        <v>24405.8</v>
      </c>
      <c r="N50" s="130">
        <v>1044001.5999999999</v>
      </c>
      <c r="O50" s="140">
        <v>5533.2</v>
      </c>
      <c r="P50" s="129">
        <v>1073940.5999999999</v>
      </c>
      <c r="Q50" s="130">
        <v>2264286.8999999994</v>
      </c>
      <c r="R50" s="130">
        <v>2059249.2999999996</v>
      </c>
      <c r="T50" s="529"/>
      <c r="U50" s="145"/>
      <c r="V50" s="1061"/>
      <c r="W50" s="528"/>
      <c r="X50" s="1061"/>
      <c r="Y50" s="1061"/>
      <c r="Z50" s="1061"/>
      <c r="AA50" s="1061"/>
    </row>
    <row r="51" spans="1:27" ht="12.75" customHeight="1">
      <c r="A51" s="87"/>
      <c r="B51" s="130"/>
      <c r="C51" s="129"/>
      <c r="D51" s="130"/>
      <c r="E51" s="133"/>
      <c r="F51" s="130"/>
      <c r="G51" s="140"/>
      <c r="H51" s="141"/>
      <c r="I51" s="130"/>
      <c r="J51" s="213"/>
      <c r="K51" s="129"/>
      <c r="L51" s="130"/>
      <c r="M51" s="129"/>
      <c r="N51" s="130"/>
      <c r="O51" s="140"/>
      <c r="P51" s="129"/>
      <c r="Q51" s="130"/>
      <c r="R51" s="130"/>
      <c r="V51" s="251"/>
      <c r="W51" s="251"/>
      <c r="X51" s="251"/>
      <c r="Y51" s="251"/>
      <c r="Z51" s="251"/>
      <c r="AA51" s="251"/>
    </row>
    <row r="52" spans="1:27" ht="11.25" hidden="1" customHeight="1">
      <c r="A52" s="87" t="s">
        <v>60</v>
      </c>
      <c r="B52" s="130">
        <v>324199.19999999995</v>
      </c>
      <c r="C52" s="129">
        <v>-184434.09999999998</v>
      </c>
      <c r="D52" s="130">
        <f t="shared" ref="D52:D120" si="13">SUM(B52:C52)</f>
        <v>139765.09999999998</v>
      </c>
      <c r="E52" s="129">
        <v>158139.70000000001</v>
      </c>
      <c r="F52" s="130">
        <v>40422.300000000003</v>
      </c>
      <c r="G52" s="130">
        <v>5716.8</v>
      </c>
      <c r="H52" s="346" t="s">
        <v>88</v>
      </c>
      <c r="I52" s="351" t="s">
        <v>88</v>
      </c>
      <c r="J52" s="213">
        <v>-80650.5</v>
      </c>
      <c r="K52" s="129">
        <v>-9941.8999999999978</v>
      </c>
      <c r="L52" s="130">
        <f t="shared" ref="L52:L63" si="14">SUM( (E52:K52))</f>
        <v>113686.39999999999</v>
      </c>
      <c r="M52" s="129">
        <v>10299.700000000001</v>
      </c>
      <c r="N52" s="130">
        <v>244272</v>
      </c>
      <c r="O52" s="140">
        <v>78.7</v>
      </c>
      <c r="P52" s="129">
        <f t="shared" ref="P52:P120" si="15">SUM(M52:O52)</f>
        <v>254650.40000000002</v>
      </c>
      <c r="Q52" s="130">
        <f t="shared" ref="Q52:Q63" si="16">SUM(L52,P52)</f>
        <v>368336.80000000005</v>
      </c>
      <c r="R52" s="130">
        <f t="shared" ref="R52:R63" si="17">SUM(D52,Q52)</f>
        <v>508101.9</v>
      </c>
      <c r="V52" s="251"/>
      <c r="W52" s="251"/>
      <c r="X52" s="251"/>
      <c r="Y52" s="251"/>
      <c r="Z52" s="251"/>
      <c r="AA52" s="251"/>
    </row>
    <row r="53" spans="1:27" ht="11.25" hidden="1" customHeight="1">
      <c r="A53" s="87" t="s">
        <v>40</v>
      </c>
      <c r="B53" s="130">
        <v>325100</v>
      </c>
      <c r="C53" s="129">
        <v>-184585.59999999998</v>
      </c>
      <c r="D53" s="130">
        <f t="shared" si="13"/>
        <v>140514.40000000002</v>
      </c>
      <c r="E53" s="129">
        <v>163802</v>
      </c>
      <c r="F53" s="130">
        <v>45903.700000000004</v>
      </c>
      <c r="G53" s="130">
        <v>6455.1</v>
      </c>
      <c r="H53" s="346" t="s">
        <v>88</v>
      </c>
      <c r="I53" s="351" t="s">
        <v>88</v>
      </c>
      <c r="J53" s="213">
        <v>-76162.8</v>
      </c>
      <c r="K53" s="129">
        <v>-9334.5</v>
      </c>
      <c r="L53" s="130">
        <f t="shared" si="14"/>
        <v>130663.5</v>
      </c>
      <c r="M53" s="129">
        <v>9839.8000000000011</v>
      </c>
      <c r="N53" s="130">
        <v>242229.19999999995</v>
      </c>
      <c r="O53" s="140">
        <v>106.1</v>
      </c>
      <c r="P53" s="129">
        <f t="shared" si="15"/>
        <v>252175.09999999995</v>
      </c>
      <c r="Q53" s="130">
        <f t="shared" si="16"/>
        <v>382838.6</v>
      </c>
      <c r="R53" s="130">
        <f t="shared" si="17"/>
        <v>523353</v>
      </c>
      <c r="V53" s="251"/>
      <c r="W53" s="251"/>
      <c r="X53" s="251"/>
      <c r="Y53" s="251"/>
      <c r="Z53" s="251"/>
      <c r="AA53" s="251"/>
    </row>
    <row r="54" spans="1:27" ht="11.25" hidden="1" customHeight="1">
      <c r="A54" s="87" t="s">
        <v>41</v>
      </c>
      <c r="B54" s="130">
        <v>344697.19999999995</v>
      </c>
      <c r="C54" s="129">
        <v>-198670.19999999998</v>
      </c>
      <c r="D54" s="130">
        <f t="shared" si="13"/>
        <v>146026.99999999997</v>
      </c>
      <c r="E54" s="129">
        <v>173616.9</v>
      </c>
      <c r="F54" s="130">
        <v>45833.200000000004</v>
      </c>
      <c r="G54" s="130">
        <v>6355.2999999999993</v>
      </c>
      <c r="H54" s="346" t="s">
        <v>88</v>
      </c>
      <c r="I54" s="351" t="s">
        <v>88</v>
      </c>
      <c r="J54" s="213">
        <v>-80802.399999999994</v>
      </c>
      <c r="K54" s="129">
        <v>-11101.600000000002</v>
      </c>
      <c r="L54" s="130">
        <f t="shared" si="14"/>
        <v>133901.4</v>
      </c>
      <c r="M54" s="129">
        <v>10314.500000000002</v>
      </c>
      <c r="N54" s="130">
        <v>247195.5</v>
      </c>
      <c r="O54" s="140">
        <v>105.1</v>
      </c>
      <c r="P54" s="129">
        <f t="shared" si="15"/>
        <v>257615.1</v>
      </c>
      <c r="Q54" s="130">
        <f t="shared" si="16"/>
        <v>391516.5</v>
      </c>
      <c r="R54" s="130">
        <f t="shared" si="17"/>
        <v>537543.5</v>
      </c>
      <c r="V54" s="251"/>
      <c r="W54" s="251"/>
      <c r="X54" s="251"/>
      <c r="Y54" s="251"/>
      <c r="Z54" s="251"/>
      <c r="AA54" s="251"/>
    </row>
    <row r="55" spans="1:27" ht="11.25" hidden="1" customHeight="1">
      <c r="A55" s="87" t="s">
        <v>42</v>
      </c>
      <c r="B55" s="130">
        <v>339070.19999999995</v>
      </c>
      <c r="C55" s="129">
        <v>-191290.6</v>
      </c>
      <c r="D55" s="130">
        <f t="shared" si="13"/>
        <v>147779.59999999995</v>
      </c>
      <c r="E55" s="129">
        <v>179672.1</v>
      </c>
      <c r="F55" s="130">
        <v>45133.200000000004</v>
      </c>
      <c r="G55" s="130">
        <v>8615.6999999999989</v>
      </c>
      <c r="H55" s="346" t="s">
        <v>88</v>
      </c>
      <c r="I55" s="351" t="s">
        <v>88</v>
      </c>
      <c r="J55" s="213">
        <v>-91461.199999999983</v>
      </c>
      <c r="K55" s="129">
        <v>-11534.699999999999</v>
      </c>
      <c r="L55" s="130">
        <f t="shared" si="14"/>
        <v>130425.10000000005</v>
      </c>
      <c r="M55" s="129">
        <v>9919.4</v>
      </c>
      <c r="N55" s="130">
        <v>249729.59999999998</v>
      </c>
      <c r="O55" s="140">
        <v>104.3</v>
      </c>
      <c r="P55" s="129">
        <f t="shared" si="15"/>
        <v>259753.29999999996</v>
      </c>
      <c r="Q55" s="130">
        <f t="shared" si="16"/>
        <v>390178.4</v>
      </c>
      <c r="R55" s="130">
        <f t="shared" si="17"/>
        <v>537958</v>
      </c>
      <c r="V55" s="251"/>
      <c r="W55" s="251"/>
      <c r="X55" s="251"/>
      <c r="Y55" s="251"/>
      <c r="Z55" s="251"/>
      <c r="AA55" s="251"/>
    </row>
    <row r="56" spans="1:27" ht="11.25" hidden="1" customHeight="1">
      <c r="A56" s="87" t="s">
        <v>43</v>
      </c>
      <c r="B56" s="130">
        <v>328346.80000000005</v>
      </c>
      <c r="C56" s="129">
        <v>-190117.7</v>
      </c>
      <c r="D56" s="130">
        <f t="shared" si="13"/>
        <v>138229.10000000003</v>
      </c>
      <c r="E56" s="129">
        <v>182582.3</v>
      </c>
      <c r="F56" s="130">
        <v>41329.000000000007</v>
      </c>
      <c r="G56" s="130">
        <v>5455.2</v>
      </c>
      <c r="H56" s="346" t="s">
        <v>88</v>
      </c>
      <c r="I56" s="351" t="s">
        <v>88</v>
      </c>
      <c r="J56" s="213">
        <v>-89225.523000000016</v>
      </c>
      <c r="K56" s="129">
        <v>-10026.699999999999</v>
      </c>
      <c r="L56" s="130">
        <f t="shared" si="14"/>
        <v>130114.27699999999</v>
      </c>
      <c r="M56" s="129">
        <v>10294.299999999999</v>
      </c>
      <c r="N56" s="130">
        <v>252206.8</v>
      </c>
      <c r="O56" s="140">
        <v>104.4</v>
      </c>
      <c r="P56" s="129">
        <f t="shared" si="15"/>
        <v>262605.5</v>
      </c>
      <c r="Q56" s="130">
        <f t="shared" si="16"/>
        <v>392719.777</v>
      </c>
      <c r="R56" s="130">
        <f t="shared" si="17"/>
        <v>530948.87700000009</v>
      </c>
      <c r="V56" s="251"/>
      <c r="W56" s="251"/>
      <c r="X56" s="251"/>
      <c r="Y56" s="251"/>
      <c r="Z56" s="251"/>
      <c r="AA56" s="251"/>
    </row>
    <row r="57" spans="1:27" ht="11.25" hidden="1" customHeight="1">
      <c r="A57" s="87" t="s">
        <v>44</v>
      </c>
      <c r="B57" s="130">
        <v>334435.8</v>
      </c>
      <c r="C57" s="129">
        <v>-198066.4</v>
      </c>
      <c r="D57" s="130">
        <f t="shared" si="13"/>
        <v>136369.4</v>
      </c>
      <c r="E57" s="129">
        <v>185113.8</v>
      </c>
      <c r="F57" s="130">
        <v>41529.000000000007</v>
      </c>
      <c r="G57" s="130">
        <v>8094.9999999999991</v>
      </c>
      <c r="H57" s="346" t="s">
        <v>88</v>
      </c>
      <c r="I57" s="351" t="s">
        <v>88</v>
      </c>
      <c r="J57" s="213">
        <v>-82143.100000000006</v>
      </c>
      <c r="K57" s="129">
        <v>-10096.199999999999</v>
      </c>
      <c r="L57" s="130">
        <f t="shared" si="14"/>
        <v>142498.49999999997</v>
      </c>
      <c r="M57" s="129">
        <v>13453.2</v>
      </c>
      <c r="N57" s="130">
        <v>264577.7</v>
      </c>
      <c r="O57" s="140">
        <v>101.8</v>
      </c>
      <c r="P57" s="129">
        <f t="shared" si="15"/>
        <v>278132.7</v>
      </c>
      <c r="Q57" s="130">
        <f t="shared" si="16"/>
        <v>420631.19999999995</v>
      </c>
      <c r="R57" s="130">
        <f t="shared" si="17"/>
        <v>557000.6</v>
      </c>
      <c r="V57" s="251"/>
      <c r="W57" s="251"/>
      <c r="X57" s="251"/>
      <c r="Y57" s="251"/>
      <c r="Z57" s="251"/>
      <c r="AA57" s="251"/>
    </row>
    <row r="58" spans="1:27" ht="11.25" hidden="1" customHeight="1">
      <c r="A58" s="87" t="s">
        <v>45</v>
      </c>
      <c r="B58" s="130">
        <v>350965.29999999993</v>
      </c>
      <c r="C58" s="129">
        <v>-208838.80000000002</v>
      </c>
      <c r="D58" s="130">
        <f t="shared" si="13"/>
        <v>142126.49999999991</v>
      </c>
      <c r="E58" s="129">
        <v>177924.3</v>
      </c>
      <c r="F58" s="130">
        <v>36988.600000000006</v>
      </c>
      <c r="G58" s="130">
        <v>7141.4999999999991</v>
      </c>
      <c r="H58" s="346" t="s">
        <v>88</v>
      </c>
      <c r="I58" s="351" t="s">
        <v>88</v>
      </c>
      <c r="J58" s="213">
        <v>-79103.600000000006</v>
      </c>
      <c r="K58" s="129">
        <v>-9264.6999999999989</v>
      </c>
      <c r="L58" s="130">
        <f t="shared" si="14"/>
        <v>133686.09999999998</v>
      </c>
      <c r="M58" s="129">
        <v>24453.9</v>
      </c>
      <c r="N58" s="130">
        <v>272442</v>
      </c>
      <c r="O58" s="140">
        <v>102.39999999999999</v>
      </c>
      <c r="P58" s="129">
        <f t="shared" si="15"/>
        <v>296998.30000000005</v>
      </c>
      <c r="Q58" s="130">
        <f t="shared" si="16"/>
        <v>430684.4</v>
      </c>
      <c r="R58" s="130">
        <f t="shared" si="17"/>
        <v>572810.89999999991</v>
      </c>
      <c r="V58" s="251"/>
      <c r="W58" s="251"/>
      <c r="X58" s="251"/>
      <c r="Y58" s="251"/>
      <c r="Z58" s="251"/>
      <c r="AA58" s="251"/>
    </row>
    <row r="59" spans="1:27" ht="11.25" hidden="1" customHeight="1">
      <c r="A59" s="87" t="s">
        <v>46</v>
      </c>
      <c r="B59" s="130">
        <v>363720.5</v>
      </c>
      <c r="C59" s="129">
        <v>-200580.1</v>
      </c>
      <c r="D59" s="130">
        <f t="shared" si="13"/>
        <v>163140.4</v>
      </c>
      <c r="E59" s="129">
        <v>181494.5</v>
      </c>
      <c r="F59" s="130">
        <v>36785.300000000003</v>
      </c>
      <c r="G59" s="130">
        <v>6802.3</v>
      </c>
      <c r="H59" s="346" t="s">
        <v>88</v>
      </c>
      <c r="I59" s="351" t="s">
        <v>88</v>
      </c>
      <c r="J59" s="213">
        <v>-100291.5</v>
      </c>
      <c r="K59" s="129">
        <v>-9613.6999999999989</v>
      </c>
      <c r="L59" s="130">
        <f t="shared" si="14"/>
        <v>115176.89999999998</v>
      </c>
      <c r="M59" s="129">
        <v>30871.9</v>
      </c>
      <c r="N59" s="130">
        <v>276545.29999999993</v>
      </c>
      <c r="O59" s="140">
        <v>90.899999999999991</v>
      </c>
      <c r="P59" s="129">
        <f t="shared" si="15"/>
        <v>307508.09999999998</v>
      </c>
      <c r="Q59" s="130">
        <f t="shared" si="16"/>
        <v>422684.99999999994</v>
      </c>
      <c r="R59" s="130">
        <f t="shared" si="17"/>
        <v>585825.39999999991</v>
      </c>
      <c r="V59" s="251"/>
      <c r="W59" s="251"/>
      <c r="X59" s="251"/>
      <c r="Y59" s="251"/>
      <c r="Z59" s="251"/>
      <c r="AA59" s="251"/>
    </row>
    <row r="60" spans="1:27" hidden="1">
      <c r="A60" s="87" t="s">
        <v>47</v>
      </c>
      <c r="B60" s="130">
        <v>382424</v>
      </c>
      <c r="C60" s="129">
        <v>-202379.49999999997</v>
      </c>
      <c r="D60" s="130">
        <f t="shared" si="13"/>
        <v>180044.50000000003</v>
      </c>
      <c r="E60" s="129">
        <v>167686.39999999999</v>
      </c>
      <c r="F60" s="130">
        <v>44894.8</v>
      </c>
      <c r="G60" s="130">
        <v>8461.1999999999989</v>
      </c>
      <c r="H60" s="346" t="s">
        <v>88</v>
      </c>
      <c r="I60" s="351" t="s">
        <v>88</v>
      </c>
      <c r="J60" s="213">
        <v>-100084</v>
      </c>
      <c r="K60" s="129">
        <v>-9456.2000000000007</v>
      </c>
      <c r="L60" s="130">
        <f t="shared" si="14"/>
        <v>111502.20000000003</v>
      </c>
      <c r="M60" s="129">
        <v>32137.000000000004</v>
      </c>
      <c r="N60" s="130">
        <v>281855.79999999993</v>
      </c>
      <c r="O60" s="140">
        <v>93</v>
      </c>
      <c r="P60" s="129">
        <f t="shared" si="15"/>
        <v>314085.79999999993</v>
      </c>
      <c r="Q60" s="130">
        <f t="shared" si="16"/>
        <v>425587.99999999994</v>
      </c>
      <c r="R60" s="130">
        <f t="shared" si="17"/>
        <v>605632.5</v>
      </c>
      <c r="V60" s="251"/>
      <c r="W60" s="251"/>
      <c r="X60" s="251"/>
      <c r="Y60" s="251"/>
      <c r="Z60" s="251"/>
      <c r="AA60" s="251"/>
    </row>
    <row r="61" spans="1:27" hidden="1">
      <c r="A61" s="87" t="s">
        <v>48</v>
      </c>
      <c r="B61" s="130">
        <v>387016.3</v>
      </c>
      <c r="C61" s="129">
        <v>-197402.9</v>
      </c>
      <c r="D61" s="130">
        <f t="shared" si="13"/>
        <v>189613.4</v>
      </c>
      <c r="E61" s="129">
        <v>161646.39999999999</v>
      </c>
      <c r="F61" s="130">
        <v>43894.8</v>
      </c>
      <c r="G61" s="130">
        <v>8187.4000000000005</v>
      </c>
      <c r="H61" s="346" t="s">
        <v>88</v>
      </c>
      <c r="I61" s="351" t="s">
        <v>88</v>
      </c>
      <c r="J61" s="213">
        <v>-101960.4</v>
      </c>
      <c r="K61" s="129">
        <v>-11011.5</v>
      </c>
      <c r="L61" s="130">
        <f t="shared" si="14"/>
        <v>100756.70000000001</v>
      </c>
      <c r="M61" s="129">
        <v>28078.799999999999</v>
      </c>
      <c r="N61" s="130">
        <v>296734.5</v>
      </c>
      <c r="O61" s="140">
        <v>129.9</v>
      </c>
      <c r="P61" s="129">
        <f t="shared" si="15"/>
        <v>324943.2</v>
      </c>
      <c r="Q61" s="130">
        <f t="shared" si="16"/>
        <v>425699.9</v>
      </c>
      <c r="R61" s="130">
        <f t="shared" si="17"/>
        <v>615313.30000000005</v>
      </c>
      <c r="V61" s="251"/>
      <c r="W61" s="251"/>
      <c r="X61" s="251"/>
      <c r="Y61" s="251"/>
      <c r="Z61" s="251"/>
      <c r="AA61" s="251"/>
    </row>
    <row r="62" spans="1:27" ht="11.25" hidden="1" customHeight="1">
      <c r="A62" s="87" t="s">
        <v>49</v>
      </c>
      <c r="B62" s="130">
        <v>406233.19999999995</v>
      </c>
      <c r="C62" s="129">
        <v>-201049.40000000002</v>
      </c>
      <c r="D62" s="130">
        <f t="shared" si="13"/>
        <v>205183.79999999993</v>
      </c>
      <c r="E62" s="129">
        <v>146839.90000000002</v>
      </c>
      <c r="F62" s="130">
        <v>50394.8</v>
      </c>
      <c r="G62" s="130">
        <v>8038.0999999999995</v>
      </c>
      <c r="H62" s="346" t="s">
        <v>88</v>
      </c>
      <c r="I62" s="351" t="s">
        <v>88</v>
      </c>
      <c r="J62" s="213">
        <v>-100347.6</v>
      </c>
      <c r="K62" s="129">
        <v>-9960.7000000000007</v>
      </c>
      <c r="L62" s="130">
        <f t="shared" si="14"/>
        <v>94964.500000000015</v>
      </c>
      <c r="M62" s="129">
        <v>25182.399999999998</v>
      </c>
      <c r="N62" s="130">
        <v>296224.40000000002</v>
      </c>
      <c r="O62" s="140">
        <v>126.60000000000001</v>
      </c>
      <c r="P62" s="129">
        <f t="shared" si="15"/>
        <v>321533.40000000002</v>
      </c>
      <c r="Q62" s="130">
        <f t="shared" si="16"/>
        <v>416497.9</v>
      </c>
      <c r="R62" s="130">
        <f t="shared" si="17"/>
        <v>621681.69999999995</v>
      </c>
      <c r="V62" s="251"/>
      <c r="W62" s="251"/>
      <c r="X62" s="251"/>
      <c r="Y62" s="251"/>
      <c r="Z62" s="251"/>
      <c r="AA62" s="251"/>
    </row>
    <row r="63" spans="1:27" hidden="1">
      <c r="A63" s="87" t="s">
        <v>50</v>
      </c>
      <c r="B63" s="130">
        <v>460258.8000000001</v>
      </c>
      <c r="C63" s="129">
        <v>-207480.90000000002</v>
      </c>
      <c r="D63" s="130">
        <f t="shared" si="13"/>
        <v>252777.90000000008</v>
      </c>
      <c r="E63" s="129">
        <v>170798.9</v>
      </c>
      <c r="F63" s="130">
        <v>59394.8</v>
      </c>
      <c r="G63" s="130">
        <v>10160.4</v>
      </c>
      <c r="H63" s="346" t="s">
        <v>88</v>
      </c>
      <c r="I63" s="351" t="s">
        <v>88</v>
      </c>
      <c r="J63" s="213">
        <v>-125950.69999999998</v>
      </c>
      <c r="K63" s="129">
        <v>-11736.2</v>
      </c>
      <c r="L63" s="130">
        <f t="shared" si="14"/>
        <v>102667.20000000003</v>
      </c>
      <c r="M63" s="129">
        <v>22280.7</v>
      </c>
      <c r="N63" s="130">
        <v>290913.59999999998</v>
      </c>
      <c r="O63" s="140">
        <v>120.8</v>
      </c>
      <c r="P63" s="129">
        <f t="shared" si="15"/>
        <v>313315.09999999998</v>
      </c>
      <c r="Q63" s="130">
        <f t="shared" si="16"/>
        <v>415982.3</v>
      </c>
      <c r="R63" s="130">
        <f t="shared" si="17"/>
        <v>668760.20000000007</v>
      </c>
      <c r="V63" s="251"/>
      <c r="W63" s="251"/>
      <c r="X63" s="251"/>
      <c r="Y63" s="251"/>
      <c r="Z63" s="251"/>
      <c r="AA63" s="251"/>
    </row>
    <row r="64" spans="1:27" hidden="1">
      <c r="A64" s="222"/>
      <c r="B64" s="130"/>
      <c r="C64" s="129"/>
      <c r="D64" s="130"/>
      <c r="E64" s="129"/>
      <c r="F64" s="130"/>
      <c r="G64" s="130"/>
      <c r="H64" s="346"/>
      <c r="I64" s="351"/>
      <c r="J64" s="213"/>
      <c r="K64" s="129"/>
      <c r="L64" s="130"/>
      <c r="M64" s="129"/>
      <c r="N64" s="130"/>
      <c r="O64" s="140"/>
      <c r="P64" s="129"/>
      <c r="Q64" s="130"/>
      <c r="R64" s="130"/>
      <c r="V64" s="251"/>
      <c r="W64" s="251"/>
      <c r="X64" s="251"/>
      <c r="Y64" s="251"/>
      <c r="Z64" s="251"/>
      <c r="AA64" s="251"/>
    </row>
    <row r="65" spans="1:27" hidden="1">
      <c r="A65" s="87" t="s">
        <v>59</v>
      </c>
      <c r="B65" s="130">
        <v>428193.8</v>
      </c>
      <c r="C65" s="129">
        <v>-200419.9</v>
      </c>
      <c r="D65" s="130">
        <f t="shared" si="13"/>
        <v>227773.9</v>
      </c>
      <c r="E65" s="129">
        <v>148190.5</v>
      </c>
      <c r="F65" s="130">
        <v>55894.8</v>
      </c>
      <c r="G65" s="130">
        <v>7509.5999999999995</v>
      </c>
      <c r="H65" s="346" t="s">
        <v>88</v>
      </c>
      <c r="I65" s="351" t="s">
        <v>88</v>
      </c>
      <c r="J65" s="213">
        <v>-107306.6</v>
      </c>
      <c r="K65" s="129">
        <v>-11146.4</v>
      </c>
      <c r="L65" s="130">
        <f t="shared" ref="L65:L76" si="18">SUM( (E65:K65))</f>
        <v>93141.9</v>
      </c>
      <c r="M65" s="129">
        <v>20046.699999999997</v>
      </c>
      <c r="N65" s="130">
        <v>292259</v>
      </c>
      <c r="O65" s="140">
        <v>116.7</v>
      </c>
      <c r="P65" s="129">
        <f t="shared" si="15"/>
        <v>312422.40000000002</v>
      </c>
      <c r="Q65" s="130">
        <f t="shared" ref="Q65:Q76" si="19">SUM(L65,P65)</f>
        <v>405564.30000000005</v>
      </c>
      <c r="R65" s="130">
        <f t="shared" ref="R65:R76" si="20">SUM(D65,Q65)</f>
        <v>633338.20000000007</v>
      </c>
      <c r="V65" s="251"/>
      <c r="W65" s="251"/>
      <c r="X65" s="251"/>
      <c r="Y65" s="251"/>
      <c r="Z65" s="251"/>
      <c r="AA65" s="251"/>
    </row>
    <row r="66" spans="1:27" hidden="1">
      <c r="A66" s="87" t="s">
        <v>40</v>
      </c>
      <c r="B66" s="130">
        <v>421469.4</v>
      </c>
      <c r="C66" s="129">
        <v>-208329.19999999998</v>
      </c>
      <c r="D66" s="130">
        <f t="shared" si="13"/>
        <v>213140.20000000004</v>
      </c>
      <c r="E66" s="129">
        <v>154147.90000000002</v>
      </c>
      <c r="F66" s="130">
        <v>62894.8</v>
      </c>
      <c r="G66" s="130">
        <v>7195.5</v>
      </c>
      <c r="H66" s="346" t="s">
        <v>88</v>
      </c>
      <c r="I66" s="351" t="s">
        <v>88</v>
      </c>
      <c r="J66" s="213">
        <v>-104535.93200000002</v>
      </c>
      <c r="K66" s="129">
        <v>-13227.599999999999</v>
      </c>
      <c r="L66" s="130">
        <f t="shared" si="18"/>
        <v>106474.66800000001</v>
      </c>
      <c r="M66" s="129">
        <v>16247</v>
      </c>
      <c r="N66" s="130">
        <v>295757.5</v>
      </c>
      <c r="O66" s="140">
        <v>130.70000000000002</v>
      </c>
      <c r="P66" s="129">
        <f t="shared" si="15"/>
        <v>312135.2</v>
      </c>
      <c r="Q66" s="130">
        <f t="shared" si="19"/>
        <v>418609.86800000002</v>
      </c>
      <c r="R66" s="130">
        <f t="shared" si="20"/>
        <v>631750.06800000009</v>
      </c>
      <c r="V66" s="251"/>
      <c r="W66" s="251"/>
      <c r="X66" s="251"/>
      <c r="Y66" s="251"/>
      <c r="Z66" s="251"/>
      <c r="AA66" s="251"/>
    </row>
    <row r="67" spans="1:27" ht="13.5" hidden="1" customHeight="1">
      <c r="A67" s="87" t="s">
        <v>41</v>
      </c>
      <c r="B67" s="130">
        <v>407089.9</v>
      </c>
      <c r="C67" s="129">
        <v>-210947.69999999998</v>
      </c>
      <c r="D67" s="130">
        <f t="shared" si="13"/>
        <v>196142.20000000004</v>
      </c>
      <c r="E67" s="129">
        <v>157525.1</v>
      </c>
      <c r="F67" s="130">
        <v>67087.5</v>
      </c>
      <c r="G67" s="130">
        <v>7001.2</v>
      </c>
      <c r="H67" s="346" t="s">
        <v>88</v>
      </c>
      <c r="I67" s="351" t="s">
        <v>88</v>
      </c>
      <c r="J67" s="213">
        <v>-101821.9</v>
      </c>
      <c r="K67" s="129">
        <v>-10745.9</v>
      </c>
      <c r="L67" s="130">
        <f t="shared" si="18"/>
        <v>119046.00000000003</v>
      </c>
      <c r="M67" s="129">
        <v>12984.5</v>
      </c>
      <c r="N67" s="130">
        <v>303954.20000000007</v>
      </c>
      <c r="O67" s="140">
        <v>126.7</v>
      </c>
      <c r="P67" s="129">
        <f t="shared" si="15"/>
        <v>317065.40000000008</v>
      </c>
      <c r="Q67" s="130">
        <f t="shared" si="19"/>
        <v>436111.40000000014</v>
      </c>
      <c r="R67" s="130">
        <f t="shared" si="20"/>
        <v>632253.60000000021</v>
      </c>
      <c r="V67" s="251"/>
      <c r="W67" s="251"/>
      <c r="X67" s="251"/>
      <c r="Y67" s="251"/>
      <c r="Z67" s="251"/>
      <c r="AA67" s="251"/>
    </row>
    <row r="68" spans="1:27" ht="11.25" hidden="1" customHeight="1">
      <c r="A68" s="87" t="s">
        <v>42</v>
      </c>
      <c r="B68" s="130">
        <v>397929.4</v>
      </c>
      <c r="C68" s="129">
        <v>-219245.69999999998</v>
      </c>
      <c r="D68" s="130">
        <f t="shared" si="13"/>
        <v>178683.70000000004</v>
      </c>
      <c r="E68" s="129">
        <v>163693.70000000001</v>
      </c>
      <c r="F68" s="130">
        <v>67187.5</v>
      </c>
      <c r="G68" s="130">
        <v>9057.5</v>
      </c>
      <c r="H68" s="346" t="s">
        <v>88</v>
      </c>
      <c r="I68" s="351" t="s">
        <v>88</v>
      </c>
      <c r="J68" s="213">
        <v>-93936.799999999988</v>
      </c>
      <c r="K68" s="129">
        <v>-11639.400000000003</v>
      </c>
      <c r="L68" s="130">
        <f t="shared" si="18"/>
        <v>134362.50000000003</v>
      </c>
      <c r="M68" s="129">
        <v>11658.1</v>
      </c>
      <c r="N68" s="130">
        <v>307197.7</v>
      </c>
      <c r="O68" s="140">
        <v>152.1</v>
      </c>
      <c r="P68" s="129">
        <f t="shared" si="15"/>
        <v>319007.89999999997</v>
      </c>
      <c r="Q68" s="130">
        <f t="shared" si="19"/>
        <v>453370.4</v>
      </c>
      <c r="R68" s="130">
        <f t="shared" si="20"/>
        <v>632054.10000000009</v>
      </c>
      <c r="V68" s="251"/>
      <c r="W68" s="251"/>
      <c r="X68" s="251"/>
      <c r="Y68" s="251"/>
      <c r="Z68" s="251"/>
      <c r="AA68" s="251"/>
    </row>
    <row r="69" spans="1:27" ht="11.25" hidden="1" customHeight="1">
      <c r="A69" s="87" t="s">
        <v>43</v>
      </c>
      <c r="B69" s="130">
        <v>404191.00000000006</v>
      </c>
      <c r="C69" s="129">
        <v>-162760.49999999997</v>
      </c>
      <c r="D69" s="130">
        <f t="shared" si="13"/>
        <v>241430.50000000009</v>
      </c>
      <c r="E69" s="129">
        <v>131037.20000000001</v>
      </c>
      <c r="F69" s="130">
        <v>104028.7</v>
      </c>
      <c r="G69" s="130">
        <v>6744.9</v>
      </c>
      <c r="H69" s="346" t="s">
        <v>88</v>
      </c>
      <c r="I69" s="351" t="s">
        <v>88</v>
      </c>
      <c r="J69" s="213">
        <v>-127228.60000000002</v>
      </c>
      <c r="K69" s="129">
        <v>-10597.9</v>
      </c>
      <c r="L69" s="130">
        <f t="shared" si="18"/>
        <v>103984.3</v>
      </c>
      <c r="M69" s="129">
        <v>10241.200000000001</v>
      </c>
      <c r="N69" s="130">
        <v>312434.30000000005</v>
      </c>
      <c r="O69" s="140">
        <v>146.30000000000001</v>
      </c>
      <c r="P69" s="129">
        <f t="shared" si="15"/>
        <v>322821.80000000005</v>
      </c>
      <c r="Q69" s="130">
        <f t="shared" si="19"/>
        <v>426806.10000000003</v>
      </c>
      <c r="R69" s="130">
        <f t="shared" si="20"/>
        <v>668236.60000000009</v>
      </c>
      <c r="V69" s="251"/>
      <c r="W69" s="251"/>
      <c r="X69" s="251"/>
      <c r="Y69" s="251"/>
      <c r="Z69" s="251"/>
      <c r="AA69" s="251"/>
    </row>
    <row r="70" spans="1:27" ht="11.25" hidden="1" customHeight="1">
      <c r="A70" s="87" t="s">
        <v>44</v>
      </c>
      <c r="B70" s="130">
        <v>401678.1</v>
      </c>
      <c r="C70" s="129">
        <v>-166458.5</v>
      </c>
      <c r="D70" s="130">
        <f t="shared" si="13"/>
        <v>235219.59999999998</v>
      </c>
      <c r="E70" s="129">
        <v>153145.30000000002</v>
      </c>
      <c r="F70" s="130">
        <v>101503.8</v>
      </c>
      <c r="G70" s="130">
        <v>9746.6</v>
      </c>
      <c r="H70" s="346" t="s">
        <v>88</v>
      </c>
      <c r="I70" s="351" t="s">
        <v>88</v>
      </c>
      <c r="J70" s="213">
        <v>-125064.5</v>
      </c>
      <c r="K70" s="129">
        <v>-13685.099999999999</v>
      </c>
      <c r="L70" s="130">
        <f t="shared" si="18"/>
        <v>125646.1</v>
      </c>
      <c r="M70" s="129">
        <v>11230.6</v>
      </c>
      <c r="N70" s="130">
        <v>317811.99999999994</v>
      </c>
      <c r="O70" s="140">
        <v>142.10000000000002</v>
      </c>
      <c r="P70" s="129">
        <f t="shared" si="15"/>
        <v>329184.6999999999</v>
      </c>
      <c r="Q70" s="130">
        <f t="shared" si="19"/>
        <v>454830.79999999993</v>
      </c>
      <c r="R70" s="130">
        <f t="shared" si="20"/>
        <v>690050.39999999991</v>
      </c>
      <c r="V70" s="251"/>
      <c r="W70" s="251"/>
      <c r="X70" s="251"/>
      <c r="Y70" s="251"/>
      <c r="Z70" s="251"/>
      <c r="AA70" s="251"/>
    </row>
    <row r="71" spans="1:27" ht="11.25" hidden="1" customHeight="1">
      <c r="A71" s="87" t="s">
        <v>45</v>
      </c>
      <c r="B71" s="130">
        <v>391542.30000000005</v>
      </c>
      <c r="C71" s="129">
        <v>-173624</v>
      </c>
      <c r="D71" s="130">
        <f t="shared" si="13"/>
        <v>217918.30000000005</v>
      </c>
      <c r="E71" s="129">
        <v>147058</v>
      </c>
      <c r="F71" s="130">
        <v>106836</v>
      </c>
      <c r="G71" s="130">
        <v>7339.3</v>
      </c>
      <c r="H71" s="346" t="s">
        <v>88</v>
      </c>
      <c r="I71" s="351" t="s">
        <v>88</v>
      </c>
      <c r="J71" s="213">
        <v>-115672.20000000001</v>
      </c>
      <c r="K71" s="129">
        <v>-12756.2</v>
      </c>
      <c r="L71" s="130">
        <f t="shared" si="18"/>
        <v>132804.89999999997</v>
      </c>
      <c r="M71" s="129">
        <v>15357.499999999998</v>
      </c>
      <c r="N71" s="130">
        <v>321973.89999999997</v>
      </c>
      <c r="O71" s="140">
        <v>429.20000000000005</v>
      </c>
      <c r="P71" s="129">
        <f t="shared" si="15"/>
        <v>337760.6</v>
      </c>
      <c r="Q71" s="130">
        <f t="shared" si="19"/>
        <v>470565.49999999994</v>
      </c>
      <c r="R71" s="130">
        <f t="shared" si="20"/>
        <v>688483.8</v>
      </c>
      <c r="V71" s="251"/>
      <c r="W71" s="251"/>
      <c r="X71" s="251"/>
      <c r="Y71" s="251"/>
      <c r="Z71" s="251"/>
      <c r="AA71" s="251"/>
    </row>
    <row r="72" spans="1:27" ht="11.25" hidden="1" customHeight="1">
      <c r="A72" s="87" t="s">
        <v>46</v>
      </c>
      <c r="B72" s="130">
        <v>493609.5</v>
      </c>
      <c r="C72" s="129">
        <v>-287573.09999999998</v>
      </c>
      <c r="D72" s="130">
        <f t="shared" si="13"/>
        <v>206036.40000000002</v>
      </c>
      <c r="E72" s="129">
        <v>156341.6</v>
      </c>
      <c r="F72" s="130">
        <v>106418.7</v>
      </c>
      <c r="G72" s="130">
        <v>7169.7000000000007</v>
      </c>
      <c r="H72" s="346" t="s">
        <v>88</v>
      </c>
      <c r="I72" s="351" t="s">
        <v>88</v>
      </c>
      <c r="J72" s="213">
        <v>-110405.90000000001</v>
      </c>
      <c r="K72" s="129">
        <v>-11905</v>
      </c>
      <c r="L72" s="130">
        <f t="shared" si="18"/>
        <v>147619.09999999998</v>
      </c>
      <c r="M72" s="129">
        <v>17017.199999999997</v>
      </c>
      <c r="N72" s="130">
        <v>323142.69999999995</v>
      </c>
      <c r="O72" s="140">
        <v>405.20000000000005</v>
      </c>
      <c r="P72" s="129">
        <f t="shared" si="15"/>
        <v>340565.1</v>
      </c>
      <c r="Q72" s="130">
        <f t="shared" si="19"/>
        <v>488184.19999999995</v>
      </c>
      <c r="R72" s="130">
        <f t="shared" si="20"/>
        <v>694220.6</v>
      </c>
      <c r="V72" s="251"/>
      <c r="W72" s="251"/>
      <c r="X72" s="251"/>
      <c r="Y72" s="251"/>
      <c r="Z72" s="251"/>
      <c r="AA72" s="251"/>
    </row>
    <row r="73" spans="1:27" ht="11.25" hidden="1" customHeight="1">
      <c r="A73" s="87" t="s">
        <v>47</v>
      </c>
      <c r="B73" s="130">
        <v>518794.80000000005</v>
      </c>
      <c r="C73" s="129">
        <v>-298425.7</v>
      </c>
      <c r="D73" s="130">
        <f t="shared" si="13"/>
        <v>220369.10000000003</v>
      </c>
      <c r="E73" s="129">
        <v>138074.1</v>
      </c>
      <c r="F73" s="130">
        <v>112536.70000000001</v>
      </c>
      <c r="G73" s="130">
        <v>7131.5</v>
      </c>
      <c r="H73" s="346" t="s">
        <v>88</v>
      </c>
      <c r="I73" s="351" t="s">
        <v>88</v>
      </c>
      <c r="J73" s="213">
        <v>-103970.1</v>
      </c>
      <c r="K73" s="129">
        <v>-13697.7</v>
      </c>
      <c r="L73" s="130">
        <f t="shared" si="18"/>
        <v>140074.5</v>
      </c>
      <c r="M73" s="129">
        <v>14512.600000000002</v>
      </c>
      <c r="N73" s="130">
        <v>335427.80000000005</v>
      </c>
      <c r="O73" s="140">
        <v>396.70000000000005</v>
      </c>
      <c r="P73" s="129">
        <f t="shared" si="15"/>
        <v>350337.10000000003</v>
      </c>
      <c r="Q73" s="130">
        <f t="shared" si="19"/>
        <v>490411.60000000003</v>
      </c>
      <c r="R73" s="130">
        <f t="shared" si="20"/>
        <v>710780.70000000007</v>
      </c>
      <c r="V73" s="251"/>
      <c r="W73" s="251"/>
      <c r="X73" s="251"/>
      <c r="Y73" s="251"/>
      <c r="Z73" s="251"/>
      <c r="AA73" s="251"/>
    </row>
    <row r="74" spans="1:27" ht="11.25" hidden="1" customHeight="1">
      <c r="A74" s="87" t="s">
        <v>48</v>
      </c>
      <c r="B74" s="130">
        <v>514095.8</v>
      </c>
      <c r="C74" s="129">
        <v>-299875.8</v>
      </c>
      <c r="D74" s="130">
        <f t="shared" si="13"/>
        <v>214220</v>
      </c>
      <c r="E74" s="129">
        <v>148531</v>
      </c>
      <c r="F74" s="130">
        <v>114194.3</v>
      </c>
      <c r="G74" s="130">
        <v>7362.5999999999995</v>
      </c>
      <c r="H74" s="346" t="s">
        <v>88</v>
      </c>
      <c r="I74" s="351" t="s">
        <v>88</v>
      </c>
      <c r="J74" s="213">
        <v>-104100.2</v>
      </c>
      <c r="K74" s="129">
        <v>-15167.399999999998</v>
      </c>
      <c r="L74" s="130">
        <f t="shared" si="18"/>
        <v>150820.29999999996</v>
      </c>
      <c r="M74" s="129">
        <v>12979.600000000002</v>
      </c>
      <c r="N74" s="130">
        <v>344554.30000000005</v>
      </c>
      <c r="O74" s="140">
        <v>295.3</v>
      </c>
      <c r="P74" s="129">
        <f t="shared" si="15"/>
        <v>357829.2</v>
      </c>
      <c r="Q74" s="130">
        <f t="shared" si="19"/>
        <v>508649.5</v>
      </c>
      <c r="R74" s="130">
        <f t="shared" si="20"/>
        <v>722869.5</v>
      </c>
      <c r="V74" s="251"/>
      <c r="W74" s="251"/>
      <c r="X74" s="251"/>
      <c r="Y74" s="251"/>
      <c r="Z74" s="251"/>
      <c r="AA74" s="251"/>
    </row>
    <row r="75" spans="1:27" ht="11.25" hidden="1" customHeight="1">
      <c r="A75" s="87" t="s">
        <v>49</v>
      </c>
      <c r="B75" s="130">
        <v>514269.20000000007</v>
      </c>
      <c r="C75" s="129">
        <v>-303065.40000000002</v>
      </c>
      <c r="D75" s="130">
        <f t="shared" si="13"/>
        <v>211203.80000000005</v>
      </c>
      <c r="E75" s="129">
        <v>174575.8</v>
      </c>
      <c r="F75" s="130">
        <v>102484.1</v>
      </c>
      <c r="G75" s="130">
        <v>7249.3</v>
      </c>
      <c r="H75" s="346" t="s">
        <v>88</v>
      </c>
      <c r="I75" s="351" t="s">
        <v>88</v>
      </c>
      <c r="J75" s="213">
        <v>-123884.8</v>
      </c>
      <c r="K75" s="129">
        <v>-15123.200000000003</v>
      </c>
      <c r="L75" s="130">
        <f t="shared" si="18"/>
        <v>145301.20000000001</v>
      </c>
      <c r="M75" s="129">
        <v>10562.000000000002</v>
      </c>
      <c r="N75" s="130">
        <v>356903.9</v>
      </c>
      <c r="O75" s="140">
        <v>277</v>
      </c>
      <c r="P75" s="129">
        <f t="shared" si="15"/>
        <v>367742.9</v>
      </c>
      <c r="Q75" s="130">
        <f t="shared" si="19"/>
        <v>513044.10000000003</v>
      </c>
      <c r="R75" s="130">
        <f t="shared" si="20"/>
        <v>724247.90000000014</v>
      </c>
      <c r="V75" s="251"/>
      <c r="W75" s="251"/>
      <c r="X75" s="251"/>
      <c r="Y75" s="251"/>
      <c r="Z75" s="251"/>
      <c r="AA75" s="251"/>
    </row>
    <row r="76" spans="1:27" ht="11.25" hidden="1" customHeight="1">
      <c r="A76" s="87" t="s">
        <v>50</v>
      </c>
      <c r="B76" s="130">
        <v>556720.30000000005</v>
      </c>
      <c r="C76" s="129">
        <v>-293987.49999999994</v>
      </c>
      <c r="D76" s="130">
        <f t="shared" si="13"/>
        <v>262732.8000000001</v>
      </c>
      <c r="E76" s="129">
        <v>215622.30000000002</v>
      </c>
      <c r="F76" s="130">
        <v>100906.6</v>
      </c>
      <c r="G76" s="130">
        <v>11980.5</v>
      </c>
      <c r="H76" s="346" t="s">
        <v>88</v>
      </c>
      <c r="I76" s="351" t="s">
        <v>88</v>
      </c>
      <c r="J76" s="213">
        <v>-134063.79999999999</v>
      </c>
      <c r="K76" s="129">
        <v>-14842.5</v>
      </c>
      <c r="L76" s="130">
        <f t="shared" si="18"/>
        <v>179603.10000000003</v>
      </c>
      <c r="M76" s="129">
        <v>9204.2000000000025</v>
      </c>
      <c r="N76" s="130">
        <v>355047.5</v>
      </c>
      <c r="O76" s="140">
        <v>497.1</v>
      </c>
      <c r="P76" s="129">
        <f t="shared" si="15"/>
        <v>364748.79999999999</v>
      </c>
      <c r="Q76" s="130">
        <f t="shared" si="19"/>
        <v>544351.9</v>
      </c>
      <c r="R76" s="130">
        <f t="shared" si="20"/>
        <v>807084.70000000019</v>
      </c>
      <c r="V76" s="251"/>
      <c r="W76" s="251"/>
      <c r="X76" s="251"/>
      <c r="Y76" s="251"/>
      <c r="Z76" s="251"/>
      <c r="AA76" s="251"/>
    </row>
    <row r="77" spans="1:27" ht="11.25" hidden="1" customHeight="1">
      <c r="A77" s="87"/>
      <c r="B77" s="130"/>
      <c r="C77" s="129"/>
      <c r="D77" s="130"/>
      <c r="E77" s="129"/>
      <c r="F77" s="130"/>
      <c r="G77" s="130"/>
      <c r="H77" s="346"/>
      <c r="I77" s="351"/>
      <c r="J77" s="213"/>
      <c r="K77" s="129"/>
      <c r="L77" s="130"/>
      <c r="M77" s="129"/>
      <c r="N77" s="130"/>
      <c r="O77" s="140"/>
      <c r="P77" s="129"/>
      <c r="Q77" s="130"/>
      <c r="R77" s="130"/>
      <c r="V77" s="251"/>
      <c r="W77" s="251"/>
      <c r="X77" s="251"/>
      <c r="Y77" s="251"/>
      <c r="Z77" s="251"/>
      <c r="AA77" s="251"/>
    </row>
    <row r="78" spans="1:27" ht="11.25" hidden="1" customHeight="1">
      <c r="A78" s="87" t="s">
        <v>58</v>
      </c>
      <c r="B78" s="130">
        <v>561525.70000000007</v>
      </c>
      <c r="C78" s="129">
        <v>-292443.90000000002</v>
      </c>
      <c r="D78" s="130">
        <f t="shared" si="13"/>
        <v>269081.80000000005</v>
      </c>
      <c r="E78" s="129">
        <v>161824.1</v>
      </c>
      <c r="F78" s="130">
        <v>99957.6</v>
      </c>
      <c r="G78" s="130">
        <v>10079.199999999999</v>
      </c>
      <c r="H78" s="130">
        <v>6525</v>
      </c>
      <c r="I78" s="351" t="s">
        <v>88</v>
      </c>
      <c r="J78" s="213">
        <v>-135142.20000000001</v>
      </c>
      <c r="K78" s="129">
        <v>-12646.6</v>
      </c>
      <c r="L78" s="130">
        <f t="shared" ref="L78:L89" si="21">SUM( (E78:K78))</f>
        <v>130597.1</v>
      </c>
      <c r="M78" s="129">
        <v>8021.1</v>
      </c>
      <c r="N78" s="130">
        <v>357380.6</v>
      </c>
      <c r="O78" s="140">
        <v>363.6</v>
      </c>
      <c r="P78" s="129">
        <f t="shared" si="15"/>
        <v>365765.29999999993</v>
      </c>
      <c r="Q78" s="130">
        <f t="shared" ref="Q78:Q89" si="22">SUM(L78,P78)</f>
        <v>496362.39999999991</v>
      </c>
      <c r="R78" s="130">
        <f t="shared" ref="R78:R89" si="23">SUM(D78,Q78)</f>
        <v>765444.2</v>
      </c>
      <c r="V78" s="251"/>
      <c r="W78" s="251"/>
      <c r="X78" s="251"/>
      <c r="Y78" s="251"/>
      <c r="Z78" s="251"/>
      <c r="AA78" s="251"/>
    </row>
    <row r="79" spans="1:27" ht="11.25" hidden="1" customHeight="1">
      <c r="A79" s="87" t="s">
        <v>40</v>
      </c>
      <c r="B79" s="130">
        <v>569698</v>
      </c>
      <c r="C79" s="129">
        <v>-299200.8</v>
      </c>
      <c r="D79" s="130">
        <f t="shared" si="13"/>
        <v>270497.2</v>
      </c>
      <c r="E79" s="129">
        <v>171434.6</v>
      </c>
      <c r="F79" s="130">
        <v>100184.4</v>
      </c>
      <c r="G79" s="130">
        <v>9814</v>
      </c>
      <c r="H79" s="130">
        <v>6525</v>
      </c>
      <c r="I79" s="351" t="s">
        <v>88</v>
      </c>
      <c r="J79" s="213">
        <v>-145574.20000000001</v>
      </c>
      <c r="K79" s="129">
        <v>-14153.599999999999</v>
      </c>
      <c r="L79" s="130">
        <f t="shared" si="21"/>
        <v>128230.19999999998</v>
      </c>
      <c r="M79" s="129">
        <v>7189</v>
      </c>
      <c r="N79" s="130">
        <v>368619.1</v>
      </c>
      <c r="O79" s="140">
        <v>457.29999999999995</v>
      </c>
      <c r="P79" s="129">
        <f t="shared" si="15"/>
        <v>376265.39999999997</v>
      </c>
      <c r="Q79" s="130">
        <f t="shared" si="22"/>
        <v>504495.6</v>
      </c>
      <c r="R79" s="130">
        <f t="shared" si="23"/>
        <v>774992.8</v>
      </c>
      <c r="V79" s="251"/>
      <c r="W79" s="251"/>
      <c r="X79" s="251"/>
      <c r="Y79" s="251"/>
      <c r="Z79" s="251"/>
      <c r="AA79" s="251"/>
    </row>
    <row r="80" spans="1:27" ht="11.25" hidden="1" customHeight="1">
      <c r="A80" s="87" t="s">
        <v>41</v>
      </c>
      <c r="B80" s="130">
        <v>552267.30000000005</v>
      </c>
      <c r="C80" s="129">
        <v>-295548.10000000003</v>
      </c>
      <c r="D80" s="130">
        <f t="shared" si="13"/>
        <v>256719.2</v>
      </c>
      <c r="E80" s="129">
        <v>154941.59999999998</v>
      </c>
      <c r="F80" s="130">
        <v>115655.2</v>
      </c>
      <c r="G80" s="130">
        <v>9282.0000000000018</v>
      </c>
      <c r="H80" s="130">
        <v>18525</v>
      </c>
      <c r="I80" s="351" t="s">
        <v>88</v>
      </c>
      <c r="J80" s="213">
        <v>-137226.5</v>
      </c>
      <c r="K80" s="129">
        <v>-15411</v>
      </c>
      <c r="L80" s="130">
        <f t="shared" si="21"/>
        <v>145766.29999999999</v>
      </c>
      <c r="M80" s="129">
        <v>7059.8000000000011</v>
      </c>
      <c r="N80" s="130">
        <v>377237.60000000009</v>
      </c>
      <c r="O80" s="140">
        <v>462.8</v>
      </c>
      <c r="P80" s="129">
        <f t="shared" si="15"/>
        <v>384760.20000000007</v>
      </c>
      <c r="Q80" s="130">
        <f t="shared" si="22"/>
        <v>530526.5</v>
      </c>
      <c r="R80" s="130">
        <f t="shared" si="23"/>
        <v>787245.7</v>
      </c>
      <c r="V80" s="251"/>
      <c r="W80" s="251"/>
      <c r="X80" s="251"/>
      <c r="Y80" s="251"/>
      <c r="Z80" s="251"/>
      <c r="AA80" s="251"/>
    </row>
    <row r="81" spans="1:27" ht="11.25" hidden="1" customHeight="1">
      <c r="A81" s="87" t="s">
        <v>42</v>
      </c>
      <c r="B81" s="130">
        <v>531491.50000000012</v>
      </c>
      <c r="C81" s="129">
        <v>-299073.90000000002</v>
      </c>
      <c r="D81" s="130">
        <f t="shared" si="13"/>
        <v>232417.60000000009</v>
      </c>
      <c r="E81" s="129">
        <v>45521.4</v>
      </c>
      <c r="F81" s="130">
        <v>73986.7</v>
      </c>
      <c r="G81" s="130">
        <v>9385.4</v>
      </c>
      <c r="H81" s="130">
        <v>18525</v>
      </c>
      <c r="I81" s="128">
        <v>147596</v>
      </c>
      <c r="J81" s="213">
        <v>-121266.80000000002</v>
      </c>
      <c r="K81" s="129">
        <v>-15187.500000000004</v>
      </c>
      <c r="L81" s="130">
        <f t="shared" si="21"/>
        <v>158560.19999999998</v>
      </c>
      <c r="M81" s="129">
        <v>6983.4000000000005</v>
      </c>
      <c r="N81" s="130">
        <v>384575.9</v>
      </c>
      <c r="O81" s="140">
        <v>429.1</v>
      </c>
      <c r="P81" s="129">
        <f t="shared" si="15"/>
        <v>391988.4</v>
      </c>
      <c r="Q81" s="130">
        <f t="shared" si="22"/>
        <v>550548.6</v>
      </c>
      <c r="R81" s="130">
        <f t="shared" si="23"/>
        <v>782966.20000000007</v>
      </c>
      <c r="V81" s="251"/>
      <c r="W81" s="251"/>
      <c r="X81" s="251"/>
      <c r="Y81" s="251"/>
      <c r="Z81" s="251"/>
      <c r="AA81" s="251"/>
    </row>
    <row r="82" spans="1:27" ht="11.25" hidden="1" customHeight="1">
      <c r="A82" s="87" t="s">
        <v>43</v>
      </c>
      <c r="B82" s="130">
        <v>498996.80000000005</v>
      </c>
      <c r="C82" s="129">
        <v>-289210</v>
      </c>
      <c r="D82" s="130">
        <f t="shared" si="13"/>
        <v>209786.80000000005</v>
      </c>
      <c r="E82" s="129">
        <v>24665.8</v>
      </c>
      <c r="F82" s="130">
        <v>87492.3</v>
      </c>
      <c r="G82" s="130">
        <v>8601.4</v>
      </c>
      <c r="H82" s="130">
        <v>18525</v>
      </c>
      <c r="I82" s="128">
        <v>147287.9</v>
      </c>
      <c r="J82" s="213">
        <v>-109494.59999999999</v>
      </c>
      <c r="K82" s="129">
        <v>-14048.7</v>
      </c>
      <c r="L82" s="130">
        <f t="shared" si="21"/>
        <v>163029.10000000003</v>
      </c>
      <c r="M82" s="129">
        <v>8973.7000000000007</v>
      </c>
      <c r="N82" s="130">
        <v>389881.09999999992</v>
      </c>
      <c r="O82" s="140">
        <v>595.79999999999995</v>
      </c>
      <c r="P82" s="129">
        <f t="shared" si="15"/>
        <v>399450.59999999992</v>
      </c>
      <c r="Q82" s="130">
        <f t="shared" si="22"/>
        <v>562479.69999999995</v>
      </c>
      <c r="R82" s="130">
        <f t="shared" si="23"/>
        <v>772266.5</v>
      </c>
      <c r="V82" s="251"/>
      <c r="W82" s="251"/>
      <c r="X82" s="251"/>
      <c r="Y82" s="251"/>
      <c r="Z82" s="251"/>
      <c r="AA82" s="251"/>
    </row>
    <row r="83" spans="1:27" ht="11.25" hidden="1" customHeight="1">
      <c r="A83" s="87" t="s">
        <v>44</v>
      </c>
      <c r="B83" s="130">
        <v>485502.69999999995</v>
      </c>
      <c r="C83" s="129">
        <v>-290429.60000000003</v>
      </c>
      <c r="D83" s="130">
        <f t="shared" si="13"/>
        <v>195073.09999999992</v>
      </c>
      <c r="E83" s="129">
        <v>33331.199999999997</v>
      </c>
      <c r="F83" s="130">
        <v>79835.3</v>
      </c>
      <c r="G83" s="130">
        <v>10424.999999999998</v>
      </c>
      <c r="H83" s="130">
        <v>40525</v>
      </c>
      <c r="I83" s="128">
        <v>146979.70000000001</v>
      </c>
      <c r="J83" s="213">
        <v>-114309.09999999999</v>
      </c>
      <c r="K83" s="129">
        <v>-15094.000000000002</v>
      </c>
      <c r="L83" s="130">
        <f t="shared" si="21"/>
        <v>181693.10000000003</v>
      </c>
      <c r="M83" s="129">
        <v>10498.300000000001</v>
      </c>
      <c r="N83" s="130">
        <v>415908.50000000006</v>
      </c>
      <c r="O83" s="140">
        <v>512.09999999999991</v>
      </c>
      <c r="P83" s="129">
        <f t="shared" si="15"/>
        <v>426918.9</v>
      </c>
      <c r="Q83" s="130">
        <f t="shared" si="22"/>
        <v>608612</v>
      </c>
      <c r="R83" s="130">
        <f t="shared" si="23"/>
        <v>803685.09999999986</v>
      </c>
      <c r="V83" s="251"/>
      <c r="W83" s="251"/>
      <c r="X83" s="251"/>
      <c r="Y83" s="251"/>
      <c r="Z83" s="251"/>
      <c r="AA83" s="251"/>
    </row>
    <row r="84" spans="1:27" ht="11.25" hidden="1" customHeight="1">
      <c r="A84" s="87" t="s">
        <v>45</v>
      </c>
      <c r="B84" s="130">
        <v>500593.7</v>
      </c>
      <c r="C84" s="129">
        <v>-300633.80000000005</v>
      </c>
      <c r="D84" s="130">
        <f t="shared" si="13"/>
        <v>199959.89999999997</v>
      </c>
      <c r="E84" s="129">
        <v>30261.7</v>
      </c>
      <c r="F84" s="130">
        <v>77712.3</v>
      </c>
      <c r="G84" s="130">
        <v>11291.300000000001</v>
      </c>
      <c r="H84" s="130">
        <v>50525</v>
      </c>
      <c r="I84" s="128">
        <v>146671.6</v>
      </c>
      <c r="J84" s="213">
        <v>-104343</v>
      </c>
      <c r="K84" s="129">
        <v>-17832.2</v>
      </c>
      <c r="L84" s="130">
        <f t="shared" si="21"/>
        <v>194286.7</v>
      </c>
      <c r="M84" s="129">
        <v>24947</v>
      </c>
      <c r="N84" s="130">
        <v>420878.3</v>
      </c>
      <c r="O84" s="140">
        <v>677.2</v>
      </c>
      <c r="P84" s="129">
        <f t="shared" si="15"/>
        <v>446502.5</v>
      </c>
      <c r="Q84" s="130">
        <f t="shared" si="22"/>
        <v>640789.19999999995</v>
      </c>
      <c r="R84" s="130">
        <f t="shared" si="23"/>
        <v>840749.09999999986</v>
      </c>
      <c r="V84" s="251"/>
      <c r="W84" s="251"/>
      <c r="X84" s="251"/>
      <c r="Y84" s="251"/>
      <c r="Z84" s="251"/>
      <c r="AA84" s="251"/>
    </row>
    <row r="85" spans="1:27" ht="12" hidden="1" customHeight="1">
      <c r="A85" s="87" t="s">
        <v>46</v>
      </c>
      <c r="B85" s="130">
        <v>492033.1</v>
      </c>
      <c r="C85" s="129">
        <v>-308182.3</v>
      </c>
      <c r="D85" s="130">
        <f t="shared" si="13"/>
        <v>183850.8</v>
      </c>
      <c r="E85" s="129">
        <v>37841.9</v>
      </c>
      <c r="F85" s="130">
        <v>88076.800000000003</v>
      </c>
      <c r="G85" s="130">
        <v>10998.499999999998</v>
      </c>
      <c r="H85" s="130">
        <v>50525</v>
      </c>
      <c r="I85" s="128">
        <v>146363.5</v>
      </c>
      <c r="J85" s="213">
        <v>-116379.92</v>
      </c>
      <c r="K85" s="129">
        <v>-14284.900000000001</v>
      </c>
      <c r="L85" s="130">
        <f t="shared" si="21"/>
        <v>203140.88000000003</v>
      </c>
      <c r="M85" s="129">
        <v>24907.299999999996</v>
      </c>
      <c r="N85" s="130">
        <v>434372.69999999995</v>
      </c>
      <c r="O85" s="140">
        <v>678.59999999999991</v>
      </c>
      <c r="P85" s="129">
        <f t="shared" si="15"/>
        <v>459958.59999999992</v>
      </c>
      <c r="Q85" s="130">
        <f t="shared" si="22"/>
        <v>663099.48</v>
      </c>
      <c r="R85" s="130">
        <f t="shared" si="23"/>
        <v>846950.28</v>
      </c>
      <c r="V85" s="251"/>
      <c r="W85" s="251"/>
      <c r="X85" s="251"/>
      <c r="Y85" s="251"/>
      <c r="Z85" s="251"/>
      <c r="AA85" s="251"/>
    </row>
    <row r="86" spans="1:27" ht="12" hidden="1" customHeight="1">
      <c r="A86" s="87" t="s">
        <v>47</v>
      </c>
      <c r="B86" s="130">
        <v>484285.80000000005</v>
      </c>
      <c r="C86" s="129">
        <v>-317965.89999999997</v>
      </c>
      <c r="D86" s="130">
        <f t="shared" si="13"/>
        <v>166319.90000000008</v>
      </c>
      <c r="E86" s="129">
        <v>37014.199999999997</v>
      </c>
      <c r="F86" s="130">
        <v>98442.900000000009</v>
      </c>
      <c r="G86" s="130">
        <v>10299.9</v>
      </c>
      <c r="H86" s="130">
        <v>50525</v>
      </c>
      <c r="I86" s="128">
        <v>146055.29999999999</v>
      </c>
      <c r="J86" s="213">
        <v>-109029</v>
      </c>
      <c r="K86" s="129">
        <v>-13247.7</v>
      </c>
      <c r="L86" s="130">
        <f t="shared" si="21"/>
        <v>220060.59999999998</v>
      </c>
      <c r="M86" s="129">
        <v>21888.899999999998</v>
      </c>
      <c r="N86" s="130">
        <v>445162.19999999995</v>
      </c>
      <c r="O86" s="140">
        <v>647.79999999999995</v>
      </c>
      <c r="P86" s="129">
        <f t="shared" si="15"/>
        <v>467698.89999999997</v>
      </c>
      <c r="Q86" s="130">
        <f t="shared" si="22"/>
        <v>687759.5</v>
      </c>
      <c r="R86" s="130">
        <f t="shared" si="23"/>
        <v>854079.40000000014</v>
      </c>
      <c r="V86" s="251"/>
      <c r="W86" s="251"/>
      <c r="X86" s="251"/>
      <c r="Y86" s="251"/>
      <c r="Z86" s="251"/>
      <c r="AA86" s="251"/>
    </row>
    <row r="87" spans="1:27" ht="12" hidden="1" customHeight="1">
      <c r="A87" s="87" t="s">
        <v>48</v>
      </c>
      <c r="B87" s="130">
        <v>496202.5</v>
      </c>
      <c r="C87" s="129">
        <v>-323025.3</v>
      </c>
      <c r="D87" s="130">
        <f t="shared" si="13"/>
        <v>173177.2</v>
      </c>
      <c r="E87" s="129">
        <v>25932</v>
      </c>
      <c r="F87" s="130">
        <v>109099</v>
      </c>
      <c r="G87" s="130">
        <v>9878.7000000000007</v>
      </c>
      <c r="H87" s="130">
        <v>50525</v>
      </c>
      <c r="I87" s="128">
        <v>145747.20000000001</v>
      </c>
      <c r="J87" s="213">
        <v>-122987.3</v>
      </c>
      <c r="K87" s="129">
        <v>-12589.2</v>
      </c>
      <c r="L87" s="130">
        <f t="shared" si="21"/>
        <v>205605.40000000002</v>
      </c>
      <c r="M87" s="129">
        <v>17879.599999999999</v>
      </c>
      <c r="N87" s="130">
        <v>456119.30000000005</v>
      </c>
      <c r="O87" s="140">
        <v>656.2</v>
      </c>
      <c r="P87" s="129">
        <f t="shared" si="15"/>
        <v>474655.10000000003</v>
      </c>
      <c r="Q87" s="130">
        <f t="shared" si="22"/>
        <v>680260.5</v>
      </c>
      <c r="R87" s="130">
        <f t="shared" si="23"/>
        <v>853437.7</v>
      </c>
      <c r="V87" s="251"/>
      <c r="W87" s="251"/>
      <c r="X87" s="251"/>
      <c r="Y87" s="251"/>
      <c r="Z87" s="251"/>
      <c r="AA87" s="251"/>
    </row>
    <row r="88" spans="1:27" ht="12" hidden="1" customHeight="1">
      <c r="A88" s="87" t="s">
        <v>49</v>
      </c>
      <c r="B88" s="130">
        <v>499271.9</v>
      </c>
      <c r="C88" s="129">
        <v>-322651.59999999998</v>
      </c>
      <c r="D88" s="130">
        <f t="shared" si="13"/>
        <v>176620.30000000005</v>
      </c>
      <c r="E88" s="129">
        <v>35424.1</v>
      </c>
      <c r="F88" s="130">
        <v>107991</v>
      </c>
      <c r="G88" s="130">
        <v>10963.8</v>
      </c>
      <c r="H88" s="141">
        <v>50525</v>
      </c>
      <c r="I88" s="130">
        <v>145439.1</v>
      </c>
      <c r="J88" s="213">
        <v>-112981.90000000001</v>
      </c>
      <c r="K88" s="129">
        <v>-12494.599999999999</v>
      </c>
      <c r="L88" s="130">
        <f t="shared" si="21"/>
        <v>224866.49999999997</v>
      </c>
      <c r="M88" s="129">
        <v>13520.699999999999</v>
      </c>
      <c r="N88" s="130">
        <v>458351.50000000006</v>
      </c>
      <c r="O88" s="140">
        <v>620.79999999999995</v>
      </c>
      <c r="P88" s="129">
        <f t="shared" si="15"/>
        <v>472493.00000000006</v>
      </c>
      <c r="Q88" s="130">
        <f t="shared" si="22"/>
        <v>697359.5</v>
      </c>
      <c r="R88" s="130">
        <f t="shared" si="23"/>
        <v>873979.8</v>
      </c>
      <c r="V88" s="251"/>
      <c r="W88" s="251"/>
      <c r="X88" s="251"/>
      <c r="Y88" s="251"/>
      <c r="Z88" s="251"/>
      <c r="AA88" s="251"/>
    </row>
    <row r="89" spans="1:27" s="145" customFormat="1" ht="12" hidden="1" customHeight="1">
      <c r="A89" s="783" t="s">
        <v>50</v>
      </c>
      <c r="B89" s="140">
        <v>581195.19999999995</v>
      </c>
      <c r="C89" s="133">
        <v>-328494.40000000002</v>
      </c>
      <c r="D89" s="130">
        <f t="shared" si="13"/>
        <v>252700.79999999993</v>
      </c>
      <c r="E89" s="133">
        <v>19134.2</v>
      </c>
      <c r="F89" s="140">
        <v>109938.3</v>
      </c>
      <c r="G89" s="140">
        <v>14177.3</v>
      </c>
      <c r="H89" s="348">
        <v>88925</v>
      </c>
      <c r="I89" s="140">
        <v>145130.9</v>
      </c>
      <c r="J89" s="211">
        <v>-154580.5</v>
      </c>
      <c r="K89" s="133">
        <v>-11562.5</v>
      </c>
      <c r="L89" s="130">
        <f t="shared" si="21"/>
        <v>211162.69999999995</v>
      </c>
      <c r="M89" s="133">
        <v>9602.8000000000011</v>
      </c>
      <c r="N89" s="140">
        <v>505409.9</v>
      </c>
      <c r="O89" s="140">
        <v>599.4</v>
      </c>
      <c r="P89" s="129">
        <f>SUM(M89:O89)</f>
        <v>515612.10000000003</v>
      </c>
      <c r="Q89" s="130">
        <f t="shared" si="22"/>
        <v>726774.8</v>
      </c>
      <c r="R89" s="140">
        <f t="shared" si="23"/>
        <v>979475.6</v>
      </c>
      <c r="S89" s="69"/>
      <c r="T89" s="529"/>
      <c r="V89" s="528"/>
      <c r="W89" s="528"/>
      <c r="X89" s="528"/>
      <c r="Y89" s="528"/>
      <c r="Z89" s="528"/>
      <c r="AA89" s="528"/>
    </row>
    <row r="90" spans="1:27" s="145" customFormat="1" ht="12" hidden="1" customHeight="1">
      <c r="A90" s="783"/>
      <c r="B90" s="140"/>
      <c r="C90" s="133"/>
      <c r="D90" s="130"/>
      <c r="E90" s="133"/>
      <c r="F90" s="140"/>
      <c r="G90" s="140"/>
      <c r="H90" s="348"/>
      <c r="I90" s="140"/>
      <c r="J90" s="211"/>
      <c r="K90" s="133"/>
      <c r="L90" s="130"/>
      <c r="M90" s="133"/>
      <c r="N90" s="140"/>
      <c r="O90" s="140"/>
      <c r="P90" s="129"/>
      <c r="Q90" s="130"/>
      <c r="R90" s="140"/>
      <c r="S90" s="69"/>
      <c r="T90" s="529"/>
      <c r="V90" s="528"/>
      <c r="W90" s="528"/>
      <c r="X90" s="528"/>
      <c r="Y90" s="528"/>
      <c r="Z90" s="528"/>
      <c r="AA90" s="528"/>
    </row>
    <row r="91" spans="1:27" s="145" customFormat="1" ht="12" hidden="1" customHeight="1">
      <c r="A91" s="87" t="s">
        <v>57</v>
      </c>
      <c r="B91" s="140">
        <v>565680</v>
      </c>
      <c r="C91" s="133">
        <v>-327551.8</v>
      </c>
      <c r="D91" s="130">
        <f t="shared" si="13"/>
        <v>238128.2</v>
      </c>
      <c r="E91" s="351">
        <v>0</v>
      </c>
      <c r="F91" s="140">
        <v>120955.8</v>
      </c>
      <c r="G91" s="140">
        <v>11301.6</v>
      </c>
      <c r="H91" s="348">
        <v>88925</v>
      </c>
      <c r="I91" s="140">
        <v>144822.79999999999</v>
      </c>
      <c r="J91" s="211">
        <v>-178256.98333333334</v>
      </c>
      <c r="K91" s="133">
        <v>-8516.3000000000011</v>
      </c>
      <c r="L91" s="130">
        <f t="shared" ref="L91:L102" si="24">SUM( (E91:K91))</f>
        <v>179231.91666666663</v>
      </c>
      <c r="M91" s="133">
        <v>8484.1000000000022</v>
      </c>
      <c r="N91" s="140">
        <v>512014.98333333334</v>
      </c>
      <c r="O91" s="140">
        <v>588.79999999999995</v>
      </c>
      <c r="P91" s="129">
        <f t="shared" si="15"/>
        <v>521087.8833333333</v>
      </c>
      <c r="Q91" s="130">
        <f t="shared" ref="Q91:Q102" si="25">SUM(L91,P91)</f>
        <v>700319.79999999993</v>
      </c>
      <c r="R91" s="140">
        <f t="shared" ref="R91:R102" si="26">SUM(D91,Q91)</f>
        <v>938448</v>
      </c>
      <c r="S91" s="69"/>
      <c r="T91" s="529"/>
      <c r="V91" s="528"/>
      <c r="W91" s="528"/>
      <c r="X91" s="528"/>
      <c r="Y91" s="528"/>
      <c r="Z91" s="528"/>
      <c r="AA91" s="528"/>
    </row>
    <row r="92" spans="1:27" s="145" customFormat="1" ht="12" hidden="1" customHeight="1">
      <c r="A92" s="87" t="s">
        <v>40</v>
      </c>
      <c r="B92" s="140">
        <v>587925.60000000009</v>
      </c>
      <c r="C92" s="133">
        <v>-332437.80000000005</v>
      </c>
      <c r="D92" s="130">
        <f t="shared" si="13"/>
        <v>255487.80000000005</v>
      </c>
      <c r="E92" s="351">
        <v>0</v>
      </c>
      <c r="F92" s="140">
        <v>130860.5</v>
      </c>
      <c r="G92" s="140">
        <v>10764.699999999999</v>
      </c>
      <c r="H92" s="348">
        <v>88925</v>
      </c>
      <c r="I92" s="140">
        <v>144514.70000000001</v>
      </c>
      <c r="J92" s="211">
        <v>-211635.06666666665</v>
      </c>
      <c r="K92" s="133">
        <v>-11109.9</v>
      </c>
      <c r="L92" s="130">
        <f t="shared" si="24"/>
        <v>152319.93333333338</v>
      </c>
      <c r="M92" s="133">
        <v>8080.3000000000011</v>
      </c>
      <c r="N92" s="140">
        <v>529069.56666666653</v>
      </c>
      <c r="O92" s="140">
        <v>508.4</v>
      </c>
      <c r="P92" s="129">
        <f t="shared" si="15"/>
        <v>537658.2666666666</v>
      </c>
      <c r="Q92" s="130">
        <f t="shared" si="25"/>
        <v>689978.2</v>
      </c>
      <c r="R92" s="140">
        <f t="shared" si="26"/>
        <v>945466</v>
      </c>
      <c r="S92" s="69"/>
      <c r="T92" s="529"/>
      <c r="V92" s="528"/>
      <c r="W92" s="528"/>
      <c r="X92" s="528"/>
      <c r="Y92" s="528"/>
      <c r="Z92" s="528"/>
      <c r="AA92" s="528"/>
    </row>
    <row r="93" spans="1:27" s="145" customFormat="1" ht="12" hidden="1" customHeight="1">
      <c r="A93" s="87" t="s">
        <v>41</v>
      </c>
      <c r="B93" s="140">
        <v>570114.29999999993</v>
      </c>
      <c r="C93" s="133">
        <v>-323709.5</v>
      </c>
      <c r="D93" s="130">
        <f t="shared" si="13"/>
        <v>246404.79999999993</v>
      </c>
      <c r="E93" s="133">
        <v>2480.5</v>
      </c>
      <c r="F93" s="140">
        <v>120400.09999999999</v>
      </c>
      <c r="G93" s="140">
        <v>12695.1</v>
      </c>
      <c r="H93" s="348">
        <v>74325</v>
      </c>
      <c r="I93" s="140">
        <v>144206.6</v>
      </c>
      <c r="J93" s="211">
        <v>-168071.85</v>
      </c>
      <c r="K93" s="133">
        <v>-8872.6999999999989</v>
      </c>
      <c r="L93" s="130">
        <f t="shared" si="24"/>
        <v>177162.74999999997</v>
      </c>
      <c r="M93" s="133">
        <v>7087.5</v>
      </c>
      <c r="N93" s="140">
        <v>539212.34999999986</v>
      </c>
      <c r="O93" s="140">
        <v>599</v>
      </c>
      <c r="P93" s="129">
        <f t="shared" si="15"/>
        <v>546898.84999999986</v>
      </c>
      <c r="Q93" s="130">
        <f t="shared" si="25"/>
        <v>724061.59999999986</v>
      </c>
      <c r="R93" s="140">
        <f t="shared" si="26"/>
        <v>970466.39999999979</v>
      </c>
      <c r="S93" s="69"/>
      <c r="T93" s="529"/>
      <c r="V93" s="528"/>
      <c r="W93" s="528"/>
      <c r="X93" s="528"/>
      <c r="Y93" s="528"/>
      <c r="Z93" s="528"/>
      <c r="AA93" s="528"/>
    </row>
    <row r="94" spans="1:27" ht="12" hidden="1" customHeight="1">
      <c r="A94" s="87" t="s">
        <v>42</v>
      </c>
      <c r="B94" s="130">
        <v>597757.1</v>
      </c>
      <c r="C94" s="129">
        <v>-348763.9</v>
      </c>
      <c r="D94" s="130">
        <f t="shared" si="13"/>
        <v>248993.19999999995</v>
      </c>
      <c r="E94" s="351">
        <v>0</v>
      </c>
      <c r="F94" s="130">
        <v>122799.90000000001</v>
      </c>
      <c r="G94" s="130">
        <v>15459.300000000001</v>
      </c>
      <c r="H94" s="141">
        <v>74325</v>
      </c>
      <c r="I94" s="130">
        <v>143898.4</v>
      </c>
      <c r="J94" s="213">
        <v>-173242.33333333331</v>
      </c>
      <c r="K94" s="129">
        <v>-10713.999999999998</v>
      </c>
      <c r="L94" s="130">
        <f t="shared" si="24"/>
        <v>172526.26666666666</v>
      </c>
      <c r="M94" s="129">
        <v>5676.3000000000011</v>
      </c>
      <c r="N94" s="130">
        <v>547806.93333333335</v>
      </c>
      <c r="O94" s="140">
        <v>583.6</v>
      </c>
      <c r="P94" s="129">
        <f t="shared" si="15"/>
        <v>554066.83333333337</v>
      </c>
      <c r="Q94" s="130">
        <f t="shared" si="25"/>
        <v>726593.10000000009</v>
      </c>
      <c r="R94" s="130">
        <f t="shared" si="26"/>
        <v>975586.3</v>
      </c>
      <c r="T94" s="529"/>
      <c r="U94" s="145"/>
      <c r="V94" s="251"/>
      <c r="W94" s="528"/>
      <c r="X94" s="251"/>
      <c r="Y94" s="251"/>
      <c r="Z94" s="251"/>
      <c r="AA94" s="251"/>
    </row>
    <row r="95" spans="1:27" ht="12" hidden="1" customHeight="1">
      <c r="A95" s="87" t="s">
        <v>43</v>
      </c>
      <c r="B95" s="130">
        <v>581040.80000000005</v>
      </c>
      <c r="C95" s="129">
        <v>-341861.2</v>
      </c>
      <c r="D95" s="130">
        <f t="shared" si="13"/>
        <v>239179.60000000003</v>
      </c>
      <c r="E95" s="129">
        <v>12986.3</v>
      </c>
      <c r="F95" s="130">
        <v>125073.99999999999</v>
      </c>
      <c r="G95" s="130">
        <v>19313.400000000001</v>
      </c>
      <c r="H95" s="141">
        <v>74325</v>
      </c>
      <c r="I95" s="130">
        <v>143590.29999999999</v>
      </c>
      <c r="J95" s="213">
        <v>-191152.81666666665</v>
      </c>
      <c r="K95" s="129">
        <v>-9917.9</v>
      </c>
      <c r="L95" s="130">
        <f t="shared" si="24"/>
        <v>174218.28333333335</v>
      </c>
      <c r="M95" s="129">
        <v>5589.6000000000013</v>
      </c>
      <c r="N95" s="130">
        <v>568887.31666666677</v>
      </c>
      <c r="O95" s="140">
        <v>631.5</v>
      </c>
      <c r="P95" s="129">
        <f t="shared" si="15"/>
        <v>575108.41666666674</v>
      </c>
      <c r="Q95" s="130">
        <f t="shared" si="25"/>
        <v>749326.70000000007</v>
      </c>
      <c r="R95" s="130">
        <f t="shared" si="26"/>
        <v>988506.3</v>
      </c>
      <c r="T95" s="529"/>
      <c r="U95" s="145"/>
      <c r="V95" s="251"/>
      <c r="W95" s="528"/>
      <c r="X95" s="251"/>
      <c r="Y95" s="251"/>
      <c r="Z95" s="251"/>
      <c r="AA95" s="251"/>
    </row>
    <row r="96" spans="1:27" ht="12" hidden="1" customHeight="1">
      <c r="A96" s="87" t="s">
        <v>44</v>
      </c>
      <c r="B96" s="130">
        <v>563954.20000000007</v>
      </c>
      <c r="C96" s="129">
        <v>-341027.60000000003</v>
      </c>
      <c r="D96" s="130">
        <f t="shared" si="13"/>
        <v>222926.60000000003</v>
      </c>
      <c r="E96" s="129">
        <v>24462.799999999999</v>
      </c>
      <c r="F96" s="130">
        <v>118274.7</v>
      </c>
      <c r="G96" s="130">
        <v>17897.8</v>
      </c>
      <c r="H96" s="141">
        <v>74325</v>
      </c>
      <c r="I96" s="130">
        <v>143282.1</v>
      </c>
      <c r="J96" s="213">
        <v>-178609.6</v>
      </c>
      <c r="K96" s="129">
        <v>-12446.6</v>
      </c>
      <c r="L96" s="130">
        <f t="shared" si="24"/>
        <v>187186.2</v>
      </c>
      <c r="M96" s="129">
        <v>5763.1</v>
      </c>
      <c r="N96" s="130">
        <v>600344.9</v>
      </c>
      <c r="O96" s="140">
        <v>597.5</v>
      </c>
      <c r="P96" s="129">
        <f t="shared" si="15"/>
        <v>606705.5</v>
      </c>
      <c r="Q96" s="130">
        <f t="shared" si="25"/>
        <v>793891.7</v>
      </c>
      <c r="R96" s="130">
        <f t="shared" si="26"/>
        <v>1016818.3</v>
      </c>
      <c r="T96" s="529"/>
      <c r="U96" s="145"/>
      <c r="V96" s="251"/>
      <c r="W96" s="528"/>
      <c r="X96" s="251"/>
      <c r="Y96" s="251"/>
      <c r="Z96" s="251"/>
      <c r="AA96" s="251"/>
    </row>
    <row r="97" spans="1:27" ht="12" hidden="1" customHeight="1">
      <c r="A97" s="87" t="s">
        <v>45</v>
      </c>
      <c r="B97" s="130">
        <v>573632</v>
      </c>
      <c r="C97" s="129">
        <v>-360504.3</v>
      </c>
      <c r="D97" s="130">
        <f t="shared" si="13"/>
        <v>213127.7</v>
      </c>
      <c r="E97" s="129">
        <v>31447.8</v>
      </c>
      <c r="F97" s="130">
        <v>120374.7</v>
      </c>
      <c r="G97" s="130">
        <v>16240.1</v>
      </c>
      <c r="H97" s="141">
        <v>74325</v>
      </c>
      <c r="I97" s="130">
        <v>142974</v>
      </c>
      <c r="J97" s="213">
        <v>-159708.54999999999</v>
      </c>
      <c r="K97" s="129">
        <v>-11666.5</v>
      </c>
      <c r="L97" s="130">
        <f t="shared" si="24"/>
        <v>213986.55</v>
      </c>
      <c r="M97" s="129">
        <v>9179</v>
      </c>
      <c r="N97" s="130">
        <v>616449.89999999991</v>
      </c>
      <c r="O97" s="140">
        <v>600</v>
      </c>
      <c r="P97" s="129">
        <f t="shared" si="15"/>
        <v>626228.89999999991</v>
      </c>
      <c r="Q97" s="130">
        <f t="shared" si="25"/>
        <v>840215.45</v>
      </c>
      <c r="R97" s="130">
        <f t="shared" si="26"/>
        <v>1053343.1499999999</v>
      </c>
      <c r="T97" s="529"/>
      <c r="U97" s="145"/>
      <c r="V97" s="251"/>
      <c r="W97" s="528"/>
      <c r="X97" s="251"/>
      <c r="Y97" s="251"/>
      <c r="Z97" s="251"/>
      <c r="AA97" s="251"/>
    </row>
    <row r="98" spans="1:27" ht="12" hidden="1" customHeight="1">
      <c r="A98" s="87" t="s">
        <v>46</v>
      </c>
      <c r="B98" s="130">
        <v>557494.4</v>
      </c>
      <c r="C98" s="129">
        <v>-361869.7</v>
      </c>
      <c r="D98" s="130">
        <f t="shared" si="13"/>
        <v>195624.7</v>
      </c>
      <c r="E98" s="129">
        <v>35035.800000000003</v>
      </c>
      <c r="F98" s="130">
        <v>105018.2</v>
      </c>
      <c r="G98" s="130">
        <v>13778.1</v>
      </c>
      <c r="H98" s="141">
        <v>74325</v>
      </c>
      <c r="I98" s="130">
        <v>142665.9</v>
      </c>
      <c r="J98" s="213">
        <v>-157664.40000000002</v>
      </c>
      <c r="K98" s="129">
        <v>-13382.5</v>
      </c>
      <c r="L98" s="130">
        <f t="shared" si="24"/>
        <v>199776.09999999998</v>
      </c>
      <c r="M98" s="129">
        <v>11463.899999999998</v>
      </c>
      <c r="N98" s="130">
        <v>633856.6</v>
      </c>
      <c r="O98" s="140">
        <v>573.40000000000009</v>
      </c>
      <c r="P98" s="129">
        <f t="shared" si="15"/>
        <v>645893.9</v>
      </c>
      <c r="Q98" s="130">
        <f t="shared" si="25"/>
        <v>845670</v>
      </c>
      <c r="R98" s="130">
        <f t="shared" si="26"/>
        <v>1041294.7</v>
      </c>
      <c r="T98" s="529"/>
      <c r="U98" s="145"/>
      <c r="V98" s="251"/>
      <c r="W98" s="528"/>
      <c r="X98" s="251"/>
      <c r="Y98" s="251"/>
      <c r="Z98" s="251"/>
      <c r="AA98" s="251"/>
    </row>
    <row r="99" spans="1:27" ht="12" hidden="1" customHeight="1">
      <c r="A99" s="87" t="s">
        <v>47</v>
      </c>
      <c r="B99" s="130">
        <v>524576.60000000009</v>
      </c>
      <c r="C99" s="129">
        <v>-356183.30000000005</v>
      </c>
      <c r="D99" s="130">
        <f t="shared" si="13"/>
        <v>168393.30000000005</v>
      </c>
      <c r="E99" s="129">
        <v>29256.3</v>
      </c>
      <c r="F99" s="130">
        <v>107818.2</v>
      </c>
      <c r="G99" s="130">
        <v>12911.2</v>
      </c>
      <c r="H99" s="141">
        <v>74325</v>
      </c>
      <c r="I99" s="130">
        <v>142357.70000000001</v>
      </c>
      <c r="J99" s="213">
        <v>-153334.25</v>
      </c>
      <c r="K99" s="129">
        <v>-13059.699999999999</v>
      </c>
      <c r="L99" s="130">
        <f t="shared" si="24"/>
        <v>200274.45</v>
      </c>
      <c r="M99" s="129">
        <v>9478.6999999999989</v>
      </c>
      <c r="N99" s="130">
        <v>642828.30000000016</v>
      </c>
      <c r="O99" s="140">
        <v>1019.5999999999999</v>
      </c>
      <c r="P99" s="129">
        <f t="shared" si="15"/>
        <v>653326.60000000009</v>
      </c>
      <c r="Q99" s="130">
        <f t="shared" si="25"/>
        <v>853601.05</v>
      </c>
      <c r="R99" s="130">
        <f t="shared" si="26"/>
        <v>1021994.3500000001</v>
      </c>
      <c r="T99" s="529"/>
      <c r="U99" s="145"/>
      <c r="V99" s="251"/>
      <c r="W99" s="528"/>
      <c r="X99" s="251"/>
      <c r="Y99" s="251"/>
      <c r="Z99" s="251"/>
      <c r="AA99" s="251"/>
    </row>
    <row r="100" spans="1:27" ht="12" hidden="1" customHeight="1">
      <c r="A100" s="87" t="s">
        <v>48</v>
      </c>
      <c r="B100" s="130">
        <v>527113.60000000009</v>
      </c>
      <c r="C100" s="129">
        <v>-374605.9</v>
      </c>
      <c r="D100" s="130">
        <f t="shared" si="13"/>
        <v>152507.70000000007</v>
      </c>
      <c r="E100" s="133">
        <v>29858.9</v>
      </c>
      <c r="F100" s="130">
        <v>106218.2</v>
      </c>
      <c r="G100" s="140">
        <v>13872.2</v>
      </c>
      <c r="H100" s="141">
        <v>94325</v>
      </c>
      <c r="I100" s="130">
        <v>142049.60000000001</v>
      </c>
      <c r="J100" s="213">
        <v>-161733.70000000001</v>
      </c>
      <c r="K100" s="129">
        <v>-13639.7</v>
      </c>
      <c r="L100" s="130">
        <f t="shared" si="24"/>
        <v>210950.5</v>
      </c>
      <c r="M100" s="129">
        <v>5962.6</v>
      </c>
      <c r="N100" s="130">
        <v>663628.49999999988</v>
      </c>
      <c r="O100" s="140">
        <v>994.09999999999991</v>
      </c>
      <c r="P100" s="129">
        <f t="shared" si="15"/>
        <v>670585.19999999984</v>
      </c>
      <c r="Q100" s="130">
        <f t="shared" si="25"/>
        <v>881535.69999999984</v>
      </c>
      <c r="R100" s="130">
        <f t="shared" si="26"/>
        <v>1034043.3999999999</v>
      </c>
      <c r="T100" s="529"/>
      <c r="U100" s="145"/>
      <c r="V100" s="251"/>
      <c r="W100" s="528"/>
      <c r="X100" s="251"/>
      <c r="Y100" s="251"/>
      <c r="Z100" s="251"/>
      <c r="AA100" s="251"/>
    </row>
    <row r="101" spans="1:27" ht="11.25" hidden="1" customHeight="1">
      <c r="A101" s="87" t="s">
        <v>49</v>
      </c>
      <c r="B101" s="130">
        <v>544404.5</v>
      </c>
      <c r="C101" s="129">
        <v>-384298.7</v>
      </c>
      <c r="D101" s="130">
        <f t="shared" si="13"/>
        <v>160105.79999999999</v>
      </c>
      <c r="E101" s="133">
        <v>13631.5</v>
      </c>
      <c r="F101" s="130">
        <v>95718.2</v>
      </c>
      <c r="G101" s="140">
        <v>14068.5</v>
      </c>
      <c r="H101" s="141">
        <v>94325</v>
      </c>
      <c r="I101" s="130">
        <v>142049.60000000001</v>
      </c>
      <c r="J101" s="213">
        <v>-164714.94999999998</v>
      </c>
      <c r="K101" s="129">
        <v>-14515.500000000002</v>
      </c>
      <c r="L101" s="130">
        <f t="shared" si="24"/>
        <v>180562.35000000006</v>
      </c>
      <c r="M101" s="129">
        <v>7901.4000000000015</v>
      </c>
      <c r="N101" s="130">
        <v>671762.90000000014</v>
      </c>
      <c r="O101" s="140">
        <v>1003.0999999999999</v>
      </c>
      <c r="P101" s="129">
        <f t="shared" si="15"/>
        <v>680667.40000000014</v>
      </c>
      <c r="Q101" s="130">
        <f t="shared" si="25"/>
        <v>861229.75000000023</v>
      </c>
      <c r="R101" s="130">
        <f t="shared" si="26"/>
        <v>1021335.5500000003</v>
      </c>
      <c r="T101" s="529"/>
      <c r="U101" s="145"/>
      <c r="V101" s="251"/>
      <c r="W101" s="528"/>
      <c r="X101" s="251"/>
      <c r="Y101" s="251"/>
      <c r="Z101" s="251"/>
      <c r="AA101" s="251"/>
    </row>
    <row r="102" spans="1:27" ht="10.5" hidden="1" customHeight="1">
      <c r="A102" s="87" t="s">
        <v>50</v>
      </c>
      <c r="B102" s="130">
        <v>586011.4</v>
      </c>
      <c r="C102" s="129">
        <v>-381573.7</v>
      </c>
      <c r="D102" s="130">
        <f t="shared" si="13"/>
        <v>204437.7</v>
      </c>
      <c r="E102" s="133">
        <v>86260.6</v>
      </c>
      <c r="F102" s="130">
        <v>85318.2</v>
      </c>
      <c r="G102" s="140">
        <v>14746.9</v>
      </c>
      <c r="H102" s="141">
        <v>94325</v>
      </c>
      <c r="I102" s="130">
        <v>141433.29999999999</v>
      </c>
      <c r="J102" s="213">
        <v>-175871.7</v>
      </c>
      <c r="K102" s="129">
        <v>-13875.9</v>
      </c>
      <c r="L102" s="130">
        <f t="shared" si="24"/>
        <v>232336.39999999994</v>
      </c>
      <c r="M102" s="129">
        <v>4977.5</v>
      </c>
      <c r="N102" s="130">
        <v>663978.89999999991</v>
      </c>
      <c r="O102" s="140">
        <v>1021.9000000000001</v>
      </c>
      <c r="P102" s="129">
        <f t="shared" si="15"/>
        <v>669978.29999999993</v>
      </c>
      <c r="Q102" s="130">
        <f t="shared" si="25"/>
        <v>902314.69999999984</v>
      </c>
      <c r="R102" s="130">
        <f t="shared" si="26"/>
        <v>1106752.3999999999</v>
      </c>
      <c r="T102" s="529"/>
      <c r="U102" s="145"/>
      <c r="V102" s="251"/>
      <c r="W102" s="528"/>
      <c r="X102" s="251"/>
      <c r="Y102" s="251"/>
      <c r="Z102" s="251"/>
      <c r="AA102" s="251"/>
    </row>
    <row r="103" spans="1:27" ht="10.5" hidden="1" customHeight="1">
      <c r="A103" s="87"/>
      <c r="B103" s="130"/>
      <c r="C103" s="129"/>
      <c r="D103" s="130"/>
      <c r="E103" s="133"/>
      <c r="F103" s="130"/>
      <c r="G103" s="140"/>
      <c r="H103" s="141"/>
      <c r="I103" s="130"/>
      <c r="J103" s="213"/>
      <c r="K103" s="129"/>
      <c r="L103" s="130"/>
      <c r="M103" s="129"/>
      <c r="N103" s="130"/>
      <c r="O103" s="140"/>
      <c r="P103" s="129"/>
      <c r="Q103" s="130"/>
      <c r="R103" s="130"/>
      <c r="T103" s="529"/>
      <c r="U103" s="145"/>
      <c r="V103" s="251"/>
      <c r="W103" s="528"/>
      <c r="X103" s="251"/>
      <c r="Y103" s="251"/>
      <c r="Z103" s="251"/>
      <c r="AA103" s="251"/>
    </row>
    <row r="104" spans="1:27" ht="15" hidden="1" customHeight="1">
      <c r="A104" s="87" t="s">
        <v>56</v>
      </c>
      <c r="B104" s="130">
        <v>639494.00000000012</v>
      </c>
      <c r="C104" s="129">
        <v>-402181.59999999992</v>
      </c>
      <c r="D104" s="130">
        <f t="shared" si="13"/>
        <v>237312.4000000002</v>
      </c>
      <c r="E104" s="133">
        <v>23225.200000000001</v>
      </c>
      <c r="F104" s="130">
        <v>86241.2</v>
      </c>
      <c r="G104" s="140">
        <v>15311.9</v>
      </c>
      <c r="H104" s="141">
        <v>94325</v>
      </c>
      <c r="I104" s="130">
        <v>141125.20000000001</v>
      </c>
      <c r="J104" s="213">
        <v>-187739.15000000002</v>
      </c>
      <c r="K104" s="129">
        <v>-16045.300000000001</v>
      </c>
      <c r="L104" s="130">
        <f t="shared" ref="L104:L115" si="27">SUM( (E104:K104))</f>
        <v>156444.04999999999</v>
      </c>
      <c r="M104" s="129">
        <v>6270</v>
      </c>
      <c r="N104" s="130">
        <v>667102.94166666665</v>
      </c>
      <c r="O104" s="140">
        <v>1011.8</v>
      </c>
      <c r="P104" s="129">
        <f t="shared" si="15"/>
        <v>674384.7416666667</v>
      </c>
      <c r="Q104" s="130">
        <f t="shared" ref="Q104:Q115" si="28">SUM(L104,P104)</f>
        <v>830828.79166666674</v>
      </c>
      <c r="R104" s="130">
        <f t="shared" ref="R104:R115" si="29">SUM(D104,Q104)</f>
        <v>1068141.1916666669</v>
      </c>
      <c r="T104" s="529"/>
      <c r="U104" s="145"/>
      <c r="V104" s="251"/>
      <c r="W104" s="528"/>
      <c r="X104" s="251"/>
      <c r="Y104" s="251"/>
      <c r="Z104" s="251"/>
      <c r="AA104" s="251"/>
    </row>
    <row r="105" spans="1:27" ht="15" hidden="1" customHeight="1">
      <c r="A105" s="87" t="s">
        <v>40</v>
      </c>
      <c r="B105" s="130">
        <v>633150.6</v>
      </c>
      <c r="C105" s="129">
        <v>-412745.69999999995</v>
      </c>
      <c r="D105" s="130">
        <f t="shared" si="13"/>
        <v>220404.90000000002</v>
      </c>
      <c r="E105" s="133">
        <v>19733.599999999999</v>
      </c>
      <c r="F105" s="130">
        <v>82384.899999999994</v>
      </c>
      <c r="G105" s="140">
        <v>15168.9</v>
      </c>
      <c r="H105" s="141">
        <v>94325</v>
      </c>
      <c r="I105" s="130">
        <v>140817.1</v>
      </c>
      <c r="J105" s="213">
        <v>-173624.5</v>
      </c>
      <c r="K105" s="129">
        <v>-16914.7</v>
      </c>
      <c r="L105" s="130">
        <f t="shared" si="27"/>
        <v>161890.29999999999</v>
      </c>
      <c r="M105" s="129">
        <v>11942</v>
      </c>
      <c r="N105" s="130">
        <v>667560.18333333335</v>
      </c>
      <c r="O105" s="140">
        <v>953.59999999999991</v>
      </c>
      <c r="P105" s="129">
        <f t="shared" si="15"/>
        <v>680455.78333333333</v>
      </c>
      <c r="Q105" s="130">
        <f t="shared" si="28"/>
        <v>842346.08333333326</v>
      </c>
      <c r="R105" s="130">
        <f t="shared" si="29"/>
        <v>1062750.9833333334</v>
      </c>
      <c r="T105" s="529"/>
      <c r="U105" s="145"/>
      <c r="V105" s="251"/>
      <c r="W105" s="528"/>
      <c r="X105" s="251"/>
      <c r="Y105" s="251"/>
      <c r="Z105" s="251"/>
      <c r="AA105" s="251"/>
    </row>
    <row r="106" spans="1:27" ht="15" hidden="1" customHeight="1">
      <c r="A106" s="87" t="s">
        <v>41</v>
      </c>
      <c r="B106" s="130">
        <v>599927.90000000014</v>
      </c>
      <c r="C106" s="129">
        <v>-414833.89999999997</v>
      </c>
      <c r="D106" s="130">
        <f t="shared" si="13"/>
        <v>185094.00000000017</v>
      </c>
      <c r="E106" s="133">
        <v>41361.199999999997</v>
      </c>
      <c r="F106" s="130">
        <v>73584.899999999994</v>
      </c>
      <c r="G106" s="140">
        <v>16271.5</v>
      </c>
      <c r="H106" s="141">
        <v>94325</v>
      </c>
      <c r="I106" s="130">
        <v>140508.9</v>
      </c>
      <c r="J106" s="213">
        <v>-190087.25</v>
      </c>
      <c r="K106" s="129">
        <v>-16212.5</v>
      </c>
      <c r="L106" s="130">
        <f t="shared" si="27"/>
        <v>159751.75</v>
      </c>
      <c r="M106" s="129">
        <v>12343.800000000001</v>
      </c>
      <c r="N106" s="130">
        <v>676651.625</v>
      </c>
      <c r="O106" s="140">
        <v>943.4</v>
      </c>
      <c r="P106" s="129">
        <f t="shared" si="15"/>
        <v>689938.82500000007</v>
      </c>
      <c r="Q106" s="130">
        <f t="shared" si="28"/>
        <v>849690.57500000007</v>
      </c>
      <c r="R106" s="130">
        <f t="shared" si="29"/>
        <v>1034784.5750000002</v>
      </c>
      <c r="T106" s="529"/>
      <c r="U106" s="145"/>
      <c r="V106" s="251"/>
      <c r="W106" s="528"/>
      <c r="X106" s="251"/>
      <c r="Y106" s="251"/>
      <c r="Z106" s="251"/>
      <c r="AA106" s="251"/>
    </row>
    <row r="107" spans="1:27" ht="15" hidden="1" customHeight="1">
      <c r="A107" s="87" t="s">
        <v>42</v>
      </c>
      <c r="B107" s="130">
        <v>586713.40000000014</v>
      </c>
      <c r="C107" s="129">
        <v>-423602.8</v>
      </c>
      <c r="D107" s="130">
        <f t="shared" si="13"/>
        <v>163110.60000000015</v>
      </c>
      <c r="E107" s="133">
        <v>51796.5</v>
      </c>
      <c r="F107" s="130">
        <v>69078.7</v>
      </c>
      <c r="G107" s="140">
        <v>17528.8</v>
      </c>
      <c r="H107" s="141">
        <v>94325</v>
      </c>
      <c r="I107" s="130">
        <v>140200.79999999999</v>
      </c>
      <c r="J107" s="213">
        <v>-168084.69999999998</v>
      </c>
      <c r="K107" s="129">
        <v>-18885.299999999996</v>
      </c>
      <c r="L107" s="130">
        <f t="shared" si="27"/>
        <v>185959.80000000002</v>
      </c>
      <c r="M107" s="129">
        <v>14321.8</v>
      </c>
      <c r="N107" s="130">
        <v>681619.7666666666</v>
      </c>
      <c r="O107" s="140">
        <v>916.8</v>
      </c>
      <c r="P107" s="129">
        <f t="shared" si="15"/>
        <v>696858.3666666667</v>
      </c>
      <c r="Q107" s="130">
        <f t="shared" si="28"/>
        <v>882818.16666666674</v>
      </c>
      <c r="R107" s="130">
        <f t="shared" si="29"/>
        <v>1045928.7666666668</v>
      </c>
      <c r="T107" s="529"/>
      <c r="U107" s="145"/>
      <c r="V107" s="251"/>
      <c r="W107" s="528"/>
      <c r="X107" s="251"/>
      <c r="Y107" s="251"/>
      <c r="Z107" s="251"/>
      <c r="AA107" s="251"/>
    </row>
    <row r="108" spans="1:27" ht="15" hidden="1" customHeight="1">
      <c r="A108" s="87" t="s">
        <v>43</v>
      </c>
      <c r="B108" s="130">
        <v>558824.70000000007</v>
      </c>
      <c r="C108" s="129">
        <v>-415704.19999999995</v>
      </c>
      <c r="D108" s="130">
        <f t="shared" si="13"/>
        <v>143120.50000000012</v>
      </c>
      <c r="E108" s="133">
        <v>32561.9</v>
      </c>
      <c r="F108" s="130">
        <v>67634.900000000009</v>
      </c>
      <c r="G108" s="140">
        <v>15899.2</v>
      </c>
      <c r="H108" s="141">
        <v>94325</v>
      </c>
      <c r="I108" s="130">
        <v>140200.79999999999</v>
      </c>
      <c r="J108" s="213">
        <v>-153089.25</v>
      </c>
      <c r="K108" s="129">
        <v>-12371.800000000001</v>
      </c>
      <c r="L108" s="130">
        <f t="shared" si="27"/>
        <v>185160.75</v>
      </c>
      <c r="M108" s="129">
        <v>15482.8</v>
      </c>
      <c r="N108" s="130">
        <v>710975.70833333326</v>
      </c>
      <c r="O108" s="140">
        <v>992.09999999999991</v>
      </c>
      <c r="P108" s="129">
        <f t="shared" si="15"/>
        <v>727450.60833333328</v>
      </c>
      <c r="Q108" s="130">
        <f t="shared" si="28"/>
        <v>912611.35833333328</v>
      </c>
      <c r="R108" s="130">
        <f t="shared" si="29"/>
        <v>1055731.8583333334</v>
      </c>
      <c r="T108" s="529"/>
      <c r="U108" s="145"/>
      <c r="V108" s="251"/>
      <c r="W108" s="528"/>
      <c r="X108" s="251"/>
      <c r="Y108" s="251"/>
      <c r="Z108" s="251"/>
      <c r="AA108" s="251"/>
    </row>
    <row r="109" spans="1:27" ht="15" hidden="1" customHeight="1">
      <c r="A109" s="87" t="s">
        <v>44</v>
      </c>
      <c r="B109" s="130">
        <v>558986.9</v>
      </c>
      <c r="C109" s="129">
        <v>-431889.6</v>
      </c>
      <c r="D109" s="130">
        <f t="shared" si="13"/>
        <v>127097.30000000005</v>
      </c>
      <c r="E109" s="133">
        <v>49375</v>
      </c>
      <c r="F109" s="130">
        <v>63934.9</v>
      </c>
      <c r="G109" s="140">
        <v>18502.399999999998</v>
      </c>
      <c r="H109" s="141">
        <v>94325</v>
      </c>
      <c r="I109" s="130">
        <v>139584.5</v>
      </c>
      <c r="J109" s="213">
        <v>-147162.30000000002</v>
      </c>
      <c r="K109" s="129">
        <v>-12679.5</v>
      </c>
      <c r="L109" s="130">
        <f t="shared" si="27"/>
        <v>205879.99999999997</v>
      </c>
      <c r="M109" s="129">
        <v>17147.8</v>
      </c>
      <c r="N109" s="130">
        <v>733514.95000000007</v>
      </c>
      <c r="O109" s="140">
        <v>1005.8</v>
      </c>
      <c r="P109" s="129">
        <f t="shared" si="15"/>
        <v>751668.55000000016</v>
      </c>
      <c r="Q109" s="130">
        <f t="shared" si="28"/>
        <v>957548.55000000016</v>
      </c>
      <c r="R109" s="130">
        <f t="shared" si="29"/>
        <v>1084645.8500000001</v>
      </c>
      <c r="T109" s="529"/>
      <c r="U109" s="145"/>
      <c r="V109" s="251"/>
      <c r="W109" s="528"/>
      <c r="X109" s="251"/>
      <c r="Y109" s="251"/>
      <c r="Z109" s="251"/>
      <c r="AA109" s="251"/>
    </row>
    <row r="110" spans="1:27" ht="15" hidden="1" customHeight="1">
      <c r="A110" s="87" t="s">
        <v>45</v>
      </c>
      <c r="B110" s="130">
        <v>573186.20000000007</v>
      </c>
      <c r="C110" s="129">
        <v>-428944.1</v>
      </c>
      <c r="D110" s="130">
        <f t="shared" si="13"/>
        <v>144242.10000000009</v>
      </c>
      <c r="E110" s="133">
        <v>53695.7</v>
      </c>
      <c r="F110" s="130">
        <v>53318.200000000004</v>
      </c>
      <c r="G110" s="140">
        <v>16648.166666666668</v>
      </c>
      <c r="H110" s="141">
        <v>108925</v>
      </c>
      <c r="I110" s="130">
        <v>139276.4</v>
      </c>
      <c r="J110" s="213">
        <v>-144118.81666666665</v>
      </c>
      <c r="K110" s="129">
        <v>-15576.399999999998</v>
      </c>
      <c r="L110" s="130">
        <f t="shared" si="27"/>
        <v>212168.25000000003</v>
      </c>
      <c r="M110" s="129">
        <v>18646.699999999997</v>
      </c>
      <c r="N110" s="130">
        <v>736291.27499999991</v>
      </c>
      <c r="O110" s="140">
        <v>993.4</v>
      </c>
      <c r="P110" s="129">
        <f t="shared" si="15"/>
        <v>755931.37499999988</v>
      </c>
      <c r="Q110" s="130">
        <f t="shared" si="28"/>
        <v>968099.62499999988</v>
      </c>
      <c r="R110" s="130">
        <f t="shared" si="29"/>
        <v>1112341.7250000001</v>
      </c>
      <c r="T110" s="529"/>
      <c r="U110" s="145"/>
      <c r="V110" s="251"/>
      <c r="W110" s="528"/>
      <c r="X110" s="251"/>
      <c r="Y110" s="251"/>
      <c r="Z110" s="251"/>
      <c r="AA110" s="251"/>
    </row>
    <row r="111" spans="1:27" ht="15" hidden="1" customHeight="1">
      <c r="A111" s="87" t="s">
        <v>46</v>
      </c>
      <c r="B111" s="130">
        <v>586489.30000000005</v>
      </c>
      <c r="C111" s="129">
        <v>-445579.3</v>
      </c>
      <c r="D111" s="130">
        <f t="shared" si="13"/>
        <v>140910.00000000006</v>
      </c>
      <c r="E111" s="133">
        <v>65092</v>
      </c>
      <c r="F111" s="130">
        <v>45569</v>
      </c>
      <c r="G111" s="140">
        <v>14110.133333333333</v>
      </c>
      <c r="H111" s="141">
        <v>108925</v>
      </c>
      <c r="I111" s="130">
        <v>138968.29999999999</v>
      </c>
      <c r="J111" s="213">
        <v>-131777.33333333334</v>
      </c>
      <c r="K111" s="129">
        <v>-18596.800000000003</v>
      </c>
      <c r="L111" s="130">
        <f t="shared" si="27"/>
        <v>222290.3</v>
      </c>
      <c r="M111" s="129">
        <v>27216.3</v>
      </c>
      <c r="N111" s="130">
        <v>746732.9</v>
      </c>
      <c r="O111" s="140">
        <v>1013</v>
      </c>
      <c r="P111" s="129">
        <f t="shared" si="15"/>
        <v>774962.20000000007</v>
      </c>
      <c r="Q111" s="130">
        <f t="shared" si="28"/>
        <v>997252.5</v>
      </c>
      <c r="R111" s="130">
        <f t="shared" si="29"/>
        <v>1138162.5</v>
      </c>
      <c r="T111" s="529"/>
      <c r="U111" s="145"/>
      <c r="V111" s="251"/>
      <c r="W111" s="528"/>
      <c r="X111" s="251"/>
      <c r="Y111" s="251"/>
      <c r="Z111" s="251"/>
      <c r="AA111" s="251"/>
    </row>
    <row r="112" spans="1:27" ht="12.75" hidden="1" customHeight="1">
      <c r="A112" s="87" t="s">
        <v>47</v>
      </c>
      <c r="B112" s="130">
        <v>598924.30000000005</v>
      </c>
      <c r="C112" s="129">
        <v>-438681.60000000003</v>
      </c>
      <c r="D112" s="130">
        <f t="shared" si="13"/>
        <v>160242.70000000001</v>
      </c>
      <c r="E112" s="133">
        <v>51763.199999999997</v>
      </c>
      <c r="F112" s="130">
        <v>39000.600000000006</v>
      </c>
      <c r="G112" s="140">
        <v>13870.5</v>
      </c>
      <c r="H112" s="141">
        <v>108925</v>
      </c>
      <c r="I112" s="130">
        <v>138968.29999999999</v>
      </c>
      <c r="J112" s="213">
        <v>-134374.44999999998</v>
      </c>
      <c r="K112" s="129">
        <v>-14473</v>
      </c>
      <c r="L112" s="130">
        <f t="shared" si="27"/>
        <v>203680.15</v>
      </c>
      <c r="M112" s="129">
        <v>25828.799999999999</v>
      </c>
      <c r="N112" s="130">
        <v>740661.22499999998</v>
      </c>
      <c r="O112" s="140">
        <v>1059.5</v>
      </c>
      <c r="P112" s="129">
        <f t="shared" si="15"/>
        <v>767549.52500000002</v>
      </c>
      <c r="Q112" s="130">
        <f t="shared" si="28"/>
        <v>971229.67500000005</v>
      </c>
      <c r="R112" s="130">
        <f t="shared" si="29"/>
        <v>1131472.375</v>
      </c>
      <c r="T112" s="529"/>
      <c r="U112" s="145"/>
      <c r="V112" s="251"/>
      <c r="W112" s="528"/>
      <c r="X112" s="251"/>
      <c r="Y112" s="251"/>
      <c r="Z112" s="251"/>
      <c r="AA112" s="251"/>
    </row>
    <row r="113" spans="1:27" ht="12.75" hidden="1" customHeight="1">
      <c r="A113" s="87" t="s">
        <v>48</v>
      </c>
      <c r="B113" s="130">
        <v>587833.70000000007</v>
      </c>
      <c r="C113" s="129">
        <v>-438345.3</v>
      </c>
      <c r="D113" s="130">
        <f t="shared" si="13"/>
        <v>149488.40000000008</v>
      </c>
      <c r="E113" s="133">
        <v>78836.5</v>
      </c>
      <c r="F113" s="130">
        <v>35069</v>
      </c>
      <c r="G113" s="140">
        <v>14080.166666666668</v>
      </c>
      <c r="H113" s="141">
        <v>108925</v>
      </c>
      <c r="I113" s="130">
        <v>138352</v>
      </c>
      <c r="J113" s="213">
        <v>-153184.06666666665</v>
      </c>
      <c r="K113" s="129">
        <v>-13782.8</v>
      </c>
      <c r="L113" s="130">
        <f t="shared" si="27"/>
        <v>208295.80000000005</v>
      </c>
      <c r="M113" s="129">
        <v>24031.899999999998</v>
      </c>
      <c r="N113" s="130">
        <v>751588.14999999991</v>
      </c>
      <c r="O113" s="140">
        <v>1087.2</v>
      </c>
      <c r="P113" s="129">
        <f t="shared" si="15"/>
        <v>776707.24999999988</v>
      </c>
      <c r="Q113" s="130">
        <f t="shared" si="28"/>
        <v>985003.04999999993</v>
      </c>
      <c r="R113" s="130">
        <f t="shared" si="29"/>
        <v>1134491.45</v>
      </c>
      <c r="T113" s="529"/>
      <c r="U113" s="145"/>
      <c r="V113" s="251"/>
      <c r="W113" s="528"/>
      <c r="X113" s="251"/>
      <c r="Y113" s="251"/>
      <c r="Z113" s="251"/>
      <c r="AA113" s="251"/>
    </row>
    <row r="114" spans="1:27" ht="12.75" hidden="1" customHeight="1">
      <c r="A114" s="87" t="s">
        <v>49</v>
      </c>
      <c r="B114" s="130">
        <v>605088.30000000005</v>
      </c>
      <c r="C114" s="129">
        <v>-448421.69999999995</v>
      </c>
      <c r="D114" s="130">
        <f t="shared" si="13"/>
        <v>156666.60000000009</v>
      </c>
      <c r="E114" s="133">
        <v>104206.5</v>
      </c>
      <c r="F114" s="130">
        <v>36698.700000000004</v>
      </c>
      <c r="G114" s="140">
        <v>16169.233333333334</v>
      </c>
      <c r="H114" s="141">
        <v>108925</v>
      </c>
      <c r="I114" s="130">
        <v>138043.9</v>
      </c>
      <c r="J114" s="213">
        <v>-154733.68333333335</v>
      </c>
      <c r="K114" s="129">
        <v>-17404.7</v>
      </c>
      <c r="L114" s="130">
        <f t="shared" si="27"/>
        <v>231904.95</v>
      </c>
      <c r="M114" s="129">
        <v>24256.100000000002</v>
      </c>
      <c r="N114" s="130">
        <v>755042.57500000007</v>
      </c>
      <c r="O114" s="140">
        <v>1050.5999999999999</v>
      </c>
      <c r="P114" s="129">
        <f t="shared" si="15"/>
        <v>780349.27500000002</v>
      </c>
      <c r="Q114" s="130">
        <f t="shared" si="28"/>
        <v>1012254.2250000001</v>
      </c>
      <c r="R114" s="130">
        <f t="shared" si="29"/>
        <v>1168920.8250000002</v>
      </c>
      <c r="T114" s="529"/>
      <c r="U114" s="145"/>
      <c r="V114" s="251"/>
      <c r="W114" s="528"/>
      <c r="X114" s="251"/>
      <c r="Y114" s="251"/>
      <c r="Z114" s="251"/>
      <c r="AA114" s="251"/>
    </row>
    <row r="115" spans="1:27" ht="12.75" hidden="1" customHeight="1">
      <c r="A115" s="87" t="s">
        <v>50</v>
      </c>
      <c r="B115" s="130">
        <v>677706</v>
      </c>
      <c r="C115" s="129">
        <v>-481881.1</v>
      </c>
      <c r="D115" s="130">
        <f t="shared" si="13"/>
        <v>195824.90000000002</v>
      </c>
      <c r="E115" s="133">
        <v>155251.9</v>
      </c>
      <c r="F115" s="130">
        <v>49858.100000000006</v>
      </c>
      <c r="G115" s="140">
        <v>17982.599999999999</v>
      </c>
      <c r="H115" s="141">
        <v>117037.4</v>
      </c>
      <c r="I115" s="130">
        <v>137735.70000000001</v>
      </c>
      <c r="J115" s="213">
        <v>-183055</v>
      </c>
      <c r="K115" s="129">
        <v>-17599.900000000001</v>
      </c>
      <c r="L115" s="130">
        <f t="shared" si="27"/>
        <v>277210.8</v>
      </c>
      <c r="M115" s="129">
        <v>24996.400000000001</v>
      </c>
      <c r="N115" s="130">
        <v>737918.9</v>
      </c>
      <c r="O115" s="140">
        <v>1057.9000000000001</v>
      </c>
      <c r="P115" s="129">
        <f t="shared" si="15"/>
        <v>763973.20000000007</v>
      </c>
      <c r="Q115" s="130">
        <f t="shared" si="28"/>
        <v>1041184</v>
      </c>
      <c r="R115" s="130">
        <f t="shared" si="29"/>
        <v>1237008.8999999999</v>
      </c>
      <c r="T115" s="529"/>
      <c r="U115" s="145"/>
      <c r="V115" s="251"/>
      <c r="W115" s="528"/>
      <c r="X115" s="251"/>
      <c r="Y115" s="251"/>
      <c r="Z115" s="251"/>
      <c r="AA115" s="251"/>
    </row>
    <row r="116" spans="1:27" ht="12.75" hidden="1" customHeight="1">
      <c r="A116" s="87"/>
      <c r="B116" s="130"/>
      <c r="C116" s="129"/>
      <c r="D116" s="130"/>
      <c r="E116" s="133"/>
      <c r="F116" s="130"/>
      <c r="G116" s="140"/>
      <c r="H116" s="141"/>
      <c r="I116" s="130"/>
      <c r="J116" s="213"/>
      <c r="K116" s="129"/>
      <c r="L116" s="130"/>
      <c r="M116" s="129"/>
      <c r="N116" s="130"/>
      <c r="O116" s="140"/>
      <c r="P116" s="129"/>
      <c r="Q116" s="130"/>
      <c r="R116" s="130"/>
      <c r="T116" s="529"/>
      <c r="U116" s="145"/>
      <c r="V116" s="251"/>
      <c r="W116" s="528"/>
      <c r="X116" s="251"/>
      <c r="Y116" s="251"/>
      <c r="Z116" s="251"/>
      <c r="AA116" s="251"/>
    </row>
    <row r="117" spans="1:27" ht="12.75" hidden="1" customHeight="1">
      <c r="A117" s="87" t="s">
        <v>55</v>
      </c>
      <c r="B117" s="130">
        <v>693972.8</v>
      </c>
      <c r="C117" s="129">
        <v>-498535.6</v>
      </c>
      <c r="D117" s="130">
        <f t="shared" si="13"/>
        <v>195437.20000000007</v>
      </c>
      <c r="E117" s="133">
        <v>0</v>
      </c>
      <c r="F117" s="130">
        <v>53829.600000000006</v>
      </c>
      <c r="G117" s="140">
        <v>14555.216666666667</v>
      </c>
      <c r="H117" s="141">
        <v>115644.1</v>
      </c>
      <c r="I117" s="130">
        <v>292679.5</v>
      </c>
      <c r="J117" s="213">
        <v>-220942.58333333334</v>
      </c>
      <c r="K117" s="129">
        <v>-20862.8</v>
      </c>
      <c r="L117" s="130">
        <f t="shared" ref="L117:L128" si="30">SUM( (E117:K117))</f>
        <v>234903.03333333335</v>
      </c>
      <c r="M117" s="129">
        <v>25352.000000000004</v>
      </c>
      <c r="N117" s="130">
        <v>762883.62499999988</v>
      </c>
      <c r="O117" s="140">
        <v>1099.5999999999999</v>
      </c>
      <c r="P117" s="129">
        <f t="shared" si="15"/>
        <v>789335.22499999986</v>
      </c>
      <c r="Q117" s="130">
        <f t="shared" ref="Q117:Q128" si="31">SUM(L117,P117)</f>
        <v>1024238.2583333332</v>
      </c>
      <c r="R117" s="130">
        <f t="shared" ref="R117:R128" si="32">SUM(D117,Q117)</f>
        <v>1219675.4583333333</v>
      </c>
      <c r="T117" s="529"/>
      <c r="U117" s="145"/>
      <c r="V117" s="251"/>
      <c r="W117" s="528"/>
      <c r="X117" s="251"/>
      <c r="Y117" s="251"/>
      <c r="Z117" s="251"/>
      <c r="AA117" s="251"/>
    </row>
    <row r="118" spans="1:27" ht="12.75" hidden="1" customHeight="1">
      <c r="A118" s="87" t="s">
        <v>40</v>
      </c>
      <c r="B118" s="130">
        <v>776858.79999999993</v>
      </c>
      <c r="C118" s="129">
        <v>-521916.7</v>
      </c>
      <c r="D118" s="130">
        <f t="shared" si="13"/>
        <v>254942.09999999992</v>
      </c>
      <c r="E118" s="133">
        <v>0</v>
      </c>
      <c r="F118" s="130">
        <v>51191</v>
      </c>
      <c r="G118" s="140">
        <v>16132.033333333333</v>
      </c>
      <c r="H118" s="141">
        <v>114250.8</v>
      </c>
      <c r="I118" s="130">
        <v>292371.40000000002</v>
      </c>
      <c r="J118" s="213">
        <v>-242098.86666666667</v>
      </c>
      <c r="K118" s="129">
        <v>-22235.5</v>
      </c>
      <c r="L118" s="130">
        <f t="shared" si="30"/>
        <v>209610.86666666667</v>
      </c>
      <c r="M118" s="129">
        <v>26159.300000000003</v>
      </c>
      <c r="N118" s="130">
        <v>766986.05000000016</v>
      </c>
      <c r="O118" s="140">
        <v>1413.7</v>
      </c>
      <c r="P118" s="129">
        <f t="shared" si="15"/>
        <v>794559.05000000016</v>
      </c>
      <c r="Q118" s="130">
        <f t="shared" si="31"/>
        <v>1004169.9166666669</v>
      </c>
      <c r="R118" s="130">
        <f t="shared" si="32"/>
        <v>1259112.0166666668</v>
      </c>
      <c r="T118" s="529"/>
      <c r="U118" s="145"/>
      <c r="V118" s="251"/>
      <c r="W118" s="528"/>
      <c r="X118" s="251"/>
      <c r="Y118" s="251"/>
      <c r="Z118" s="251"/>
      <c r="AA118" s="251"/>
    </row>
    <row r="119" spans="1:27" ht="12.75" hidden="1" customHeight="1">
      <c r="A119" s="87" t="s">
        <v>41</v>
      </c>
      <c r="B119" s="130">
        <v>669812.40000000014</v>
      </c>
      <c r="C119" s="129">
        <v>-472789.7</v>
      </c>
      <c r="D119" s="130">
        <f t="shared" si="13"/>
        <v>197022.70000000013</v>
      </c>
      <c r="E119" s="133">
        <v>0</v>
      </c>
      <c r="F119" s="130">
        <v>47661.399999999994</v>
      </c>
      <c r="G119" s="140">
        <v>18914.650000000001</v>
      </c>
      <c r="H119" s="141">
        <v>112857.5</v>
      </c>
      <c r="I119" s="130">
        <v>292063.09999999998</v>
      </c>
      <c r="J119" s="213">
        <v>-207125.34999999998</v>
      </c>
      <c r="K119" s="129">
        <v>-22460.600000000002</v>
      </c>
      <c r="L119" s="130">
        <f t="shared" si="30"/>
        <v>241910.69999999998</v>
      </c>
      <c r="M119" s="129">
        <v>27832.199999999997</v>
      </c>
      <c r="N119" s="130">
        <v>777030.375</v>
      </c>
      <c r="O119" s="140">
        <v>1398.1999999999998</v>
      </c>
      <c r="P119" s="129">
        <f t="shared" si="15"/>
        <v>806260.77499999991</v>
      </c>
      <c r="Q119" s="130">
        <f t="shared" si="31"/>
        <v>1048171.4749999999</v>
      </c>
      <c r="R119" s="130">
        <f t="shared" si="32"/>
        <v>1245194.175</v>
      </c>
      <c r="T119" s="529"/>
      <c r="U119" s="145"/>
      <c r="V119" s="251"/>
      <c r="W119" s="528"/>
      <c r="X119" s="251"/>
      <c r="Y119" s="251"/>
      <c r="Z119" s="251"/>
      <c r="AA119" s="251"/>
    </row>
    <row r="120" spans="1:27" ht="12.75" hidden="1" customHeight="1">
      <c r="A120" s="87" t="s">
        <v>42</v>
      </c>
      <c r="B120" s="130">
        <v>659785.19999999995</v>
      </c>
      <c r="C120" s="129">
        <v>-463974.00000000006</v>
      </c>
      <c r="D120" s="130">
        <f t="shared" si="13"/>
        <v>195811.1999999999</v>
      </c>
      <c r="E120" s="133">
        <v>11186</v>
      </c>
      <c r="F120" s="130">
        <v>42885.399999999994</v>
      </c>
      <c r="G120" s="140">
        <v>20646.366666666665</v>
      </c>
      <c r="H120" s="141">
        <v>111464.2</v>
      </c>
      <c r="I120" s="130">
        <v>291755.09999999998</v>
      </c>
      <c r="J120" s="213">
        <v>-182386.83333333334</v>
      </c>
      <c r="K120" s="129">
        <v>-20254.099999999999</v>
      </c>
      <c r="L120" s="130">
        <f t="shared" si="30"/>
        <v>275296.1333333333</v>
      </c>
      <c r="M120" s="129">
        <v>28402.899999999998</v>
      </c>
      <c r="N120" s="130">
        <v>775556.89999999991</v>
      </c>
      <c r="O120" s="140">
        <v>1390.8</v>
      </c>
      <c r="P120" s="129">
        <f t="shared" si="15"/>
        <v>805350.6</v>
      </c>
      <c r="Q120" s="130">
        <f t="shared" si="31"/>
        <v>1080646.7333333334</v>
      </c>
      <c r="R120" s="130">
        <f t="shared" si="32"/>
        <v>1276457.9333333333</v>
      </c>
      <c r="T120" s="529"/>
      <c r="U120" s="145"/>
      <c r="V120" s="251"/>
      <c r="W120" s="528"/>
      <c r="X120" s="251"/>
      <c r="Y120" s="251"/>
      <c r="Z120" s="251"/>
      <c r="AA120" s="251"/>
    </row>
    <row r="121" spans="1:27" ht="12.75" hidden="1" customHeight="1">
      <c r="A121" s="87" t="s">
        <v>43</v>
      </c>
      <c r="B121" s="130">
        <v>648813.6</v>
      </c>
      <c r="C121" s="129">
        <v>-463299.89999999997</v>
      </c>
      <c r="D121" s="130">
        <f t="shared" ref="D121:D131" si="33">SUM(B121:C121)</f>
        <v>185513.7</v>
      </c>
      <c r="E121" s="133">
        <v>0</v>
      </c>
      <c r="F121" s="130">
        <v>68669</v>
      </c>
      <c r="G121" s="140">
        <v>16971.283333333333</v>
      </c>
      <c r="H121" s="141">
        <v>110070.9</v>
      </c>
      <c r="I121" s="130">
        <v>291446.90000000002</v>
      </c>
      <c r="J121" s="213">
        <v>-199261.81666666665</v>
      </c>
      <c r="K121" s="129">
        <v>-18243.000000000004</v>
      </c>
      <c r="L121" s="130">
        <f t="shared" si="30"/>
        <v>269653.26666666672</v>
      </c>
      <c r="M121" s="129">
        <v>29755.7</v>
      </c>
      <c r="N121" s="130">
        <v>780973.32499999995</v>
      </c>
      <c r="O121" s="140">
        <v>1390.6999999999998</v>
      </c>
      <c r="P121" s="129">
        <f t="shared" ref="P121:P141" si="34">SUM(M121:O121)</f>
        <v>812119.72499999986</v>
      </c>
      <c r="Q121" s="130">
        <f t="shared" si="31"/>
        <v>1081772.9916666667</v>
      </c>
      <c r="R121" s="130">
        <f t="shared" si="32"/>
        <v>1267286.6916666667</v>
      </c>
      <c r="T121" s="529"/>
      <c r="U121" s="145"/>
      <c r="V121" s="251"/>
      <c r="W121" s="528"/>
      <c r="X121" s="251"/>
      <c r="Y121" s="251"/>
      <c r="Z121" s="251"/>
      <c r="AA121" s="251"/>
    </row>
    <row r="122" spans="1:27" ht="12.75" hidden="1" customHeight="1">
      <c r="A122" s="87" t="s">
        <v>44</v>
      </c>
      <c r="B122" s="130">
        <v>593764.5</v>
      </c>
      <c r="C122" s="129">
        <v>-435724.39999999991</v>
      </c>
      <c r="D122" s="130">
        <f t="shared" si="33"/>
        <v>158040.10000000009</v>
      </c>
      <c r="E122" s="133">
        <v>0</v>
      </c>
      <c r="F122" s="130">
        <v>70934.600000000006</v>
      </c>
      <c r="G122" s="140">
        <v>18757.3</v>
      </c>
      <c r="H122" s="141">
        <v>108677.6</v>
      </c>
      <c r="I122" s="130">
        <v>291138.8</v>
      </c>
      <c r="J122" s="213">
        <v>-190628.9</v>
      </c>
      <c r="K122" s="129">
        <v>-14866.9</v>
      </c>
      <c r="L122" s="130">
        <f t="shared" si="30"/>
        <v>284012.5</v>
      </c>
      <c r="M122" s="129">
        <v>31198.5</v>
      </c>
      <c r="N122" s="130">
        <v>785219.95000000007</v>
      </c>
      <c r="O122" s="140">
        <v>1401.7</v>
      </c>
      <c r="P122" s="129">
        <f t="shared" si="34"/>
        <v>817820.15</v>
      </c>
      <c r="Q122" s="130">
        <f t="shared" si="31"/>
        <v>1101832.6499999999</v>
      </c>
      <c r="R122" s="130">
        <f t="shared" si="32"/>
        <v>1259872.75</v>
      </c>
      <c r="T122" s="529"/>
      <c r="U122" s="145"/>
      <c r="V122" s="251"/>
      <c r="W122" s="528"/>
      <c r="X122" s="251"/>
      <c r="Y122" s="251"/>
      <c r="Z122" s="251"/>
      <c r="AA122" s="251"/>
    </row>
    <row r="123" spans="1:27" ht="12.75" hidden="1" customHeight="1">
      <c r="A123" s="87" t="s">
        <v>45</v>
      </c>
      <c r="B123" s="130">
        <v>650217.9</v>
      </c>
      <c r="C123" s="129">
        <v>-465289.39999999997</v>
      </c>
      <c r="D123" s="130">
        <f t="shared" si="33"/>
        <v>184928.50000000006</v>
      </c>
      <c r="E123" s="133">
        <v>0</v>
      </c>
      <c r="F123" s="130">
        <v>100965.3</v>
      </c>
      <c r="G123" s="140">
        <v>17433.3</v>
      </c>
      <c r="H123" s="141">
        <v>107284.3</v>
      </c>
      <c r="I123" s="130">
        <v>290830.7</v>
      </c>
      <c r="J123" s="213">
        <v>-245678.7</v>
      </c>
      <c r="K123" s="129">
        <v>-17573.200000000004</v>
      </c>
      <c r="L123" s="130">
        <f t="shared" si="30"/>
        <v>253261.7</v>
      </c>
      <c r="M123" s="129">
        <v>30527.249999999996</v>
      </c>
      <c r="N123" s="130">
        <v>808598.15833333321</v>
      </c>
      <c r="O123" s="140">
        <v>1754.2</v>
      </c>
      <c r="P123" s="129">
        <f t="shared" si="34"/>
        <v>840879.60833333316</v>
      </c>
      <c r="Q123" s="130">
        <f t="shared" si="31"/>
        <v>1094141.3083333331</v>
      </c>
      <c r="R123" s="130">
        <f t="shared" si="32"/>
        <v>1279069.8083333331</v>
      </c>
      <c r="T123" s="529"/>
      <c r="U123" s="145"/>
      <c r="V123" s="251"/>
      <c r="W123" s="528"/>
      <c r="X123" s="251"/>
      <c r="Y123" s="251"/>
      <c r="Z123" s="251"/>
      <c r="AA123" s="251"/>
    </row>
    <row r="124" spans="1:27" ht="12.75" hidden="1" customHeight="1">
      <c r="A124" s="87" t="s">
        <v>46</v>
      </c>
      <c r="B124" s="130">
        <v>631344.9</v>
      </c>
      <c r="C124" s="129">
        <v>-464209.3</v>
      </c>
      <c r="D124" s="130">
        <f t="shared" si="33"/>
        <v>167135.60000000003</v>
      </c>
      <c r="E124" s="133">
        <v>0</v>
      </c>
      <c r="F124" s="130">
        <v>96477.700000000012</v>
      </c>
      <c r="G124" s="140">
        <v>24620.9</v>
      </c>
      <c r="H124" s="141">
        <v>107284.3</v>
      </c>
      <c r="I124" s="130">
        <v>290830.7</v>
      </c>
      <c r="J124" s="213">
        <v>-197547.4</v>
      </c>
      <c r="K124" s="129">
        <v>-18778.8</v>
      </c>
      <c r="L124" s="130">
        <f t="shared" si="30"/>
        <v>302887.40000000008</v>
      </c>
      <c r="M124" s="129">
        <v>32140.1</v>
      </c>
      <c r="N124" s="130">
        <v>812808.3666666667</v>
      </c>
      <c r="O124" s="140">
        <v>1758.2</v>
      </c>
      <c r="P124" s="129">
        <f t="shared" si="34"/>
        <v>846706.66666666663</v>
      </c>
      <c r="Q124" s="130">
        <f t="shared" si="31"/>
        <v>1149594.0666666667</v>
      </c>
      <c r="R124" s="130">
        <f t="shared" si="32"/>
        <v>1316729.6666666667</v>
      </c>
      <c r="T124" s="529"/>
      <c r="U124" s="145"/>
      <c r="V124" s="251"/>
      <c r="W124" s="528"/>
      <c r="X124" s="251"/>
      <c r="Y124" s="251"/>
      <c r="Z124" s="251"/>
      <c r="AA124" s="251"/>
    </row>
    <row r="125" spans="1:27" ht="12.75" hidden="1" customHeight="1">
      <c r="A125" s="87" t="s">
        <v>47</v>
      </c>
      <c r="B125" s="130">
        <v>642817.80000000005</v>
      </c>
      <c r="C125" s="129">
        <v>-478450.4</v>
      </c>
      <c r="D125" s="130">
        <f t="shared" si="33"/>
        <v>164367.40000000002</v>
      </c>
      <c r="E125" s="133">
        <v>0</v>
      </c>
      <c r="F125" s="130">
        <v>104499.4</v>
      </c>
      <c r="G125" s="140">
        <v>22464.7</v>
      </c>
      <c r="H125" s="141">
        <v>107284.3</v>
      </c>
      <c r="I125" s="130">
        <v>290214.40000000002</v>
      </c>
      <c r="J125" s="213">
        <v>-213388.5</v>
      </c>
      <c r="K125" s="129">
        <v>-20909.5</v>
      </c>
      <c r="L125" s="130">
        <f t="shared" si="30"/>
        <v>290164.80000000005</v>
      </c>
      <c r="M125" s="129">
        <v>36742.35</v>
      </c>
      <c r="N125" s="130">
        <v>823864.97499999986</v>
      </c>
      <c r="O125" s="140">
        <v>2197.5</v>
      </c>
      <c r="P125" s="129">
        <f t="shared" si="34"/>
        <v>862804.82499999984</v>
      </c>
      <c r="Q125" s="130">
        <f t="shared" si="31"/>
        <v>1152969.625</v>
      </c>
      <c r="R125" s="130">
        <f t="shared" si="32"/>
        <v>1317337.0249999999</v>
      </c>
      <c r="T125" s="529"/>
      <c r="U125" s="145"/>
      <c r="V125" s="251"/>
      <c r="W125" s="528"/>
      <c r="X125" s="251"/>
      <c r="Y125" s="251"/>
      <c r="Z125" s="251"/>
      <c r="AA125" s="251"/>
    </row>
    <row r="126" spans="1:27" ht="12.75" hidden="1" customHeight="1">
      <c r="A126" s="87" t="s">
        <v>48</v>
      </c>
      <c r="B126" s="130">
        <v>664756.60000000009</v>
      </c>
      <c r="C126" s="129">
        <v>-476422.3</v>
      </c>
      <c r="D126" s="130">
        <f t="shared" si="33"/>
        <v>188334.3000000001</v>
      </c>
      <c r="E126" s="351">
        <v>6525.5</v>
      </c>
      <c r="F126" s="130">
        <v>108413.2</v>
      </c>
      <c r="G126" s="140">
        <v>17531.800000000003</v>
      </c>
      <c r="H126" s="141">
        <v>107284.3</v>
      </c>
      <c r="I126" s="130">
        <v>289906.3</v>
      </c>
      <c r="J126" s="213">
        <v>-215654.7</v>
      </c>
      <c r="K126" s="129">
        <v>-20431.699999999997</v>
      </c>
      <c r="L126" s="130">
        <f t="shared" si="30"/>
        <v>293574.69999999995</v>
      </c>
      <c r="M126" s="129">
        <v>36481.799999999996</v>
      </c>
      <c r="N126" s="130">
        <v>819233.9833333334</v>
      </c>
      <c r="O126" s="140">
        <v>2357.1999999999998</v>
      </c>
      <c r="P126" s="129">
        <f t="shared" si="34"/>
        <v>858072.9833333334</v>
      </c>
      <c r="Q126" s="130">
        <f t="shared" si="31"/>
        <v>1151647.6833333333</v>
      </c>
      <c r="R126" s="130">
        <f t="shared" si="32"/>
        <v>1339981.9833333334</v>
      </c>
      <c r="T126" s="529"/>
      <c r="U126" s="145"/>
      <c r="V126" s="251"/>
      <c r="W126" s="528"/>
      <c r="X126" s="251"/>
      <c r="Y126" s="251"/>
      <c r="Z126" s="251"/>
      <c r="AA126" s="251"/>
    </row>
    <row r="127" spans="1:27" ht="12.75" hidden="1" customHeight="1">
      <c r="A127" s="87" t="s">
        <v>49</v>
      </c>
      <c r="B127" s="130">
        <v>651959.80000000005</v>
      </c>
      <c r="C127" s="129">
        <v>-475403.59999999992</v>
      </c>
      <c r="D127" s="130">
        <f t="shared" si="33"/>
        <v>176556.20000000013</v>
      </c>
      <c r="E127" s="351">
        <v>20947.400000000001</v>
      </c>
      <c r="F127" s="130">
        <v>107312.8</v>
      </c>
      <c r="G127" s="140">
        <v>22148</v>
      </c>
      <c r="H127" s="141">
        <v>107284.3</v>
      </c>
      <c r="I127" s="130">
        <v>289906.3</v>
      </c>
      <c r="J127" s="213">
        <v>-219168.7</v>
      </c>
      <c r="K127" s="129">
        <v>-24203.9</v>
      </c>
      <c r="L127" s="130">
        <f t="shared" si="30"/>
        <v>304226.2</v>
      </c>
      <c r="M127" s="129">
        <v>36576.049999999996</v>
      </c>
      <c r="N127" s="130">
        <v>816954.39166666672</v>
      </c>
      <c r="O127" s="140">
        <v>2366.6</v>
      </c>
      <c r="P127" s="129">
        <f t="shared" si="34"/>
        <v>855897.04166666674</v>
      </c>
      <c r="Q127" s="130">
        <f t="shared" si="31"/>
        <v>1160123.2416666667</v>
      </c>
      <c r="R127" s="130">
        <f t="shared" si="32"/>
        <v>1336679.4416666669</v>
      </c>
      <c r="T127" s="529"/>
      <c r="U127" s="145"/>
      <c r="V127" s="251"/>
      <c r="W127" s="528"/>
      <c r="X127" s="251"/>
      <c r="Y127" s="251"/>
      <c r="Z127" s="251"/>
      <c r="AA127" s="251"/>
    </row>
    <row r="128" spans="1:27" ht="12.75" hidden="1" customHeight="1">
      <c r="A128" s="87" t="s">
        <v>50</v>
      </c>
      <c r="B128" s="130">
        <v>702734.69999999984</v>
      </c>
      <c r="C128" s="129">
        <v>-473407</v>
      </c>
      <c r="D128" s="130">
        <f t="shared" si="33"/>
        <v>229327.69999999984</v>
      </c>
      <c r="E128" s="133">
        <v>0</v>
      </c>
      <c r="F128" s="130">
        <v>109019.90000000001</v>
      </c>
      <c r="G128" s="140">
        <v>18506.300000000003</v>
      </c>
      <c r="H128" s="141">
        <v>107284.3</v>
      </c>
      <c r="I128" s="130">
        <v>289290</v>
      </c>
      <c r="J128" s="213">
        <v>-227281.60000000003</v>
      </c>
      <c r="K128" s="129">
        <v>-23180.3</v>
      </c>
      <c r="L128" s="130">
        <f t="shared" si="30"/>
        <v>273638.59999999998</v>
      </c>
      <c r="M128" s="129">
        <v>36734.1</v>
      </c>
      <c r="N128" s="130">
        <v>811341.50000000023</v>
      </c>
      <c r="O128" s="140">
        <v>2469.1999999999998</v>
      </c>
      <c r="P128" s="129">
        <f t="shared" si="34"/>
        <v>850544.80000000016</v>
      </c>
      <c r="Q128" s="130">
        <f t="shared" si="31"/>
        <v>1124183.4000000001</v>
      </c>
      <c r="R128" s="130">
        <f t="shared" si="32"/>
        <v>1353511.1</v>
      </c>
      <c r="T128" s="529"/>
      <c r="U128" s="145"/>
      <c r="V128" s="251"/>
      <c r="W128" s="528"/>
      <c r="X128" s="251"/>
      <c r="Y128" s="251"/>
      <c r="Z128" s="251"/>
      <c r="AA128" s="251"/>
    </row>
    <row r="129" spans="1:27" ht="12.75" hidden="1" customHeight="1">
      <c r="A129" s="222"/>
      <c r="B129" s="130"/>
      <c r="C129" s="129"/>
      <c r="D129" s="130"/>
      <c r="E129" s="133"/>
      <c r="F129" s="130"/>
      <c r="G129" s="140"/>
      <c r="H129" s="141"/>
      <c r="I129" s="130"/>
      <c r="J129" s="213"/>
      <c r="K129" s="129"/>
      <c r="L129" s="130"/>
      <c r="M129" s="129"/>
      <c r="N129" s="130"/>
      <c r="O129" s="140"/>
      <c r="P129" s="129"/>
      <c r="Q129" s="130"/>
      <c r="R129" s="130"/>
      <c r="T129" s="529"/>
      <c r="U129" s="145"/>
      <c r="V129" s="251"/>
      <c r="W129" s="528"/>
      <c r="X129" s="251"/>
      <c r="Y129" s="251"/>
      <c r="Z129" s="251"/>
      <c r="AA129" s="251"/>
    </row>
    <row r="130" spans="1:27" ht="12.75" hidden="1" customHeight="1">
      <c r="A130" s="87" t="s">
        <v>54</v>
      </c>
      <c r="B130" s="130">
        <v>688899.10000000009</v>
      </c>
      <c r="C130" s="129">
        <v>-474417.48333333334</v>
      </c>
      <c r="D130" s="130">
        <f t="shared" si="33"/>
        <v>214481.61666666676</v>
      </c>
      <c r="E130" s="133">
        <v>0</v>
      </c>
      <c r="F130" s="130">
        <v>108779.50000000001</v>
      </c>
      <c r="G130" s="140">
        <v>15342.7</v>
      </c>
      <c r="H130" s="141">
        <v>107284.3</v>
      </c>
      <c r="I130" s="130">
        <v>289290</v>
      </c>
      <c r="J130" s="213">
        <v>-234545.17500000002</v>
      </c>
      <c r="K130" s="129">
        <v>-23177.800000000003</v>
      </c>
      <c r="L130" s="130">
        <f t="shared" ref="L130:L141" si="35">SUM( (E130:K130))</f>
        <v>262973.52499999997</v>
      </c>
      <c r="M130" s="129">
        <v>36692.683333333327</v>
      </c>
      <c r="N130" s="130">
        <v>819905.97499999998</v>
      </c>
      <c r="O130" s="140">
        <v>2774.6000000000004</v>
      </c>
      <c r="P130" s="129">
        <f t="shared" si="34"/>
        <v>859373.2583333333</v>
      </c>
      <c r="Q130" s="130">
        <f t="shared" ref="Q130:Q141" si="36">SUM(L130,P130)</f>
        <v>1122346.7833333332</v>
      </c>
      <c r="R130" s="130">
        <f t="shared" ref="R130:R141" si="37">SUM(D130,Q130)</f>
        <v>1336828.3999999999</v>
      </c>
      <c r="T130" s="529"/>
      <c r="U130" s="145"/>
      <c r="V130" s="251"/>
      <c r="W130" s="528"/>
      <c r="X130" s="251"/>
      <c r="Y130" s="251"/>
      <c r="Z130" s="251"/>
      <c r="AA130" s="251"/>
    </row>
    <row r="131" spans="1:27" ht="12.75" hidden="1" customHeight="1">
      <c r="A131" s="87" t="s">
        <v>40</v>
      </c>
      <c r="B131" s="130">
        <v>708135.20000000007</v>
      </c>
      <c r="C131" s="129">
        <v>-478682.76666666672</v>
      </c>
      <c r="D131" s="130">
        <f t="shared" si="33"/>
        <v>229452.43333333335</v>
      </c>
      <c r="E131" s="133">
        <v>0</v>
      </c>
      <c r="F131" s="130">
        <v>112164</v>
      </c>
      <c r="G131" s="140">
        <v>17035.8</v>
      </c>
      <c r="H131" s="141">
        <v>107284.3</v>
      </c>
      <c r="I131" s="130">
        <v>288673.7</v>
      </c>
      <c r="J131" s="213">
        <v>-242656.15</v>
      </c>
      <c r="K131" s="129">
        <v>-21725.7</v>
      </c>
      <c r="L131" s="130">
        <f t="shared" si="35"/>
        <v>260775.95</v>
      </c>
      <c r="M131" s="129">
        <v>36607.166666666664</v>
      </c>
      <c r="N131" s="130">
        <v>824014.45</v>
      </c>
      <c r="O131" s="140">
        <v>3027.3</v>
      </c>
      <c r="P131" s="129">
        <f t="shared" si="34"/>
        <v>863648.91666666663</v>
      </c>
      <c r="Q131" s="130">
        <f t="shared" si="36"/>
        <v>1124424.8666666667</v>
      </c>
      <c r="R131" s="130">
        <f t="shared" si="37"/>
        <v>1353877.3</v>
      </c>
      <c r="T131" s="529"/>
      <c r="U131" s="145"/>
      <c r="V131" s="251"/>
      <c r="W131" s="528"/>
      <c r="X131" s="251"/>
      <c r="Y131" s="251"/>
      <c r="Z131" s="251"/>
      <c r="AA131" s="251"/>
    </row>
    <row r="132" spans="1:27" ht="12.75" hidden="1" customHeight="1">
      <c r="A132" s="87" t="s">
        <v>41</v>
      </c>
      <c r="B132" s="130">
        <v>708261.20000000007</v>
      </c>
      <c r="C132" s="129">
        <v>-497741.45</v>
      </c>
      <c r="D132" s="130">
        <f t="shared" ref="D132:D141" si="38">SUM(B132:C132)</f>
        <v>210519.75000000006</v>
      </c>
      <c r="E132" s="133">
        <v>8513</v>
      </c>
      <c r="F132" s="130">
        <v>108771.9</v>
      </c>
      <c r="G132" s="140">
        <v>13380.9</v>
      </c>
      <c r="H132" s="141">
        <v>107284.3</v>
      </c>
      <c r="I132" s="130">
        <v>288673.7</v>
      </c>
      <c r="J132" s="213">
        <v>-226523.22500000001</v>
      </c>
      <c r="K132" s="129">
        <v>-17043.500000000004</v>
      </c>
      <c r="L132" s="130">
        <f t="shared" si="35"/>
        <v>283057.07500000007</v>
      </c>
      <c r="M132" s="129">
        <v>36273.550000000003</v>
      </c>
      <c r="N132" s="130">
        <v>811382.82499999995</v>
      </c>
      <c r="O132" s="140">
        <v>3128.7000000000003</v>
      </c>
      <c r="P132" s="129">
        <f t="shared" si="34"/>
        <v>850785.07499999995</v>
      </c>
      <c r="Q132" s="130">
        <f t="shared" si="36"/>
        <v>1133842.1499999999</v>
      </c>
      <c r="R132" s="130">
        <f t="shared" si="37"/>
        <v>1344361.9</v>
      </c>
      <c r="T132" s="529"/>
      <c r="U132" s="145"/>
      <c r="V132" s="251"/>
      <c r="W132" s="528"/>
      <c r="X132" s="251"/>
      <c r="Y132" s="251"/>
      <c r="Z132" s="251"/>
      <c r="AA132" s="251"/>
    </row>
    <row r="133" spans="1:27" ht="12.75" hidden="1" customHeight="1">
      <c r="A133" s="87" t="s">
        <v>42</v>
      </c>
      <c r="B133" s="130">
        <v>720143.7</v>
      </c>
      <c r="C133" s="129">
        <v>-506230.03333333338</v>
      </c>
      <c r="D133" s="130">
        <f t="shared" si="38"/>
        <v>213913.66666666657</v>
      </c>
      <c r="E133" s="133">
        <v>14256.4</v>
      </c>
      <c r="F133" s="130">
        <v>137931.09999999998</v>
      </c>
      <c r="G133" s="140">
        <v>18226.099999999999</v>
      </c>
      <c r="H133" s="141">
        <v>107284.3</v>
      </c>
      <c r="I133" s="130">
        <v>288365.59999999998</v>
      </c>
      <c r="J133" s="213">
        <v>-217271.7</v>
      </c>
      <c r="K133" s="129">
        <v>-16424.700000000004</v>
      </c>
      <c r="L133" s="130">
        <f t="shared" si="35"/>
        <v>332367.09999999998</v>
      </c>
      <c r="M133" s="129">
        <v>36473.433333333334</v>
      </c>
      <c r="N133" s="130">
        <v>815571.2</v>
      </c>
      <c r="O133" s="140">
        <v>3057.1000000000004</v>
      </c>
      <c r="P133" s="129">
        <f t="shared" si="34"/>
        <v>855101.73333333328</v>
      </c>
      <c r="Q133" s="130">
        <f t="shared" si="36"/>
        <v>1187468.8333333333</v>
      </c>
      <c r="R133" s="130">
        <f t="shared" si="37"/>
        <v>1401382.4999999998</v>
      </c>
      <c r="T133" s="529"/>
      <c r="U133" s="145"/>
      <c r="V133" s="251"/>
      <c r="W133" s="528"/>
      <c r="X133" s="251"/>
      <c r="Y133" s="251"/>
      <c r="Z133" s="251"/>
      <c r="AA133" s="251"/>
    </row>
    <row r="134" spans="1:27" ht="12.75" hidden="1" customHeight="1">
      <c r="A134" s="87" t="s">
        <v>43</v>
      </c>
      <c r="B134" s="130">
        <v>681841.8</v>
      </c>
      <c r="C134" s="129">
        <v>-498484.51666666666</v>
      </c>
      <c r="D134" s="130">
        <f t="shared" si="38"/>
        <v>183357.28333333338</v>
      </c>
      <c r="E134" s="133">
        <v>16076.5</v>
      </c>
      <c r="F134" s="130">
        <v>131083.79999999999</v>
      </c>
      <c r="G134" s="140">
        <v>15870.5</v>
      </c>
      <c r="H134" s="141">
        <v>107284.3</v>
      </c>
      <c r="I134" s="130">
        <v>287749.3</v>
      </c>
      <c r="J134" s="213">
        <v>-200717.87500000003</v>
      </c>
      <c r="K134" s="129">
        <v>-12602.3</v>
      </c>
      <c r="L134" s="130">
        <f t="shared" si="35"/>
        <v>344744.22499999992</v>
      </c>
      <c r="M134" s="129">
        <v>38945.416666666672</v>
      </c>
      <c r="N134" s="130">
        <v>820805.67500000016</v>
      </c>
      <c r="O134" s="140">
        <v>3066.6000000000004</v>
      </c>
      <c r="P134" s="129">
        <f t="shared" si="34"/>
        <v>862817.69166666677</v>
      </c>
      <c r="Q134" s="130">
        <f t="shared" si="36"/>
        <v>1207561.9166666667</v>
      </c>
      <c r="R134" s="130">
        <f t="shared" si="37"/>
        <v>1390919.2000000002</v>
      </c>
      <c r="T134" s="529"/>
      <c r="U134" s="145"/>
      <c r="V134" s="251"/>
      <c r="W134" s="528"/>
      <c r="X134" s="251"/>
      <c r="Y134" s="251"/>
      <c r="Z134" s="251"/>
      <c r="AA134" s="251"/>
    </row>
    <row r="135" spans="1:27" ht="12.75" hidden="1" customHeight="1">
      <c r="A135" s="87" t="s">
        <v>44</v>
      </c>
      <c r="B135" s="130">
        <v>685013.10000000009</v>
      </c>
      <c r="C135" s="129">
        <v>-500668.59999999992</v>
      </c>
      <c r="D135" s="130">
        <f t="shared" si="38"/>
        <v>184344.50000000017</v>
      </c>
      <c r="E135" s="133">
        <v>39309.599999999999</v>
      </c>
      <c r="F135" s="130">
        <v>134209.09999999998</v>
      </c>
      <c r="G135" s="140">
        <v>19161.199999999997</v>
      </c>
      <c r="H135" s="141">
        <v>107284.3</v>
      </c>
      <c r="I135" s="130">
        <v>287441.19999999995</v>
      </c>
      <c r="J135" s="213">
        <v>-210802.15000000002</v>
      </c>
      <c r="K135" s="129">
        <v>-16769.8</v>
      </c>
      <c r="L135" s="130">
        <f t="shared" si="35"/>
        <v>359833.4499999999</v>
      </c>
      <c r="M135" s="129">
        <v>42581.5</v>
      </c>
      <c r="N135" s="130">
        <v>838680.45000000007</v>
      </c>
      <c r="O135" s="140">
        <v>3154.2</v>
      </c>
      <c r="P135" s="129">
        <f t="shared" si="34"/>
        <v>884416.15</v>
      </c>
      <c r="Q135" s="130">
        <f t="shared" si="36"/>
        <v>1244249.5999999999</v>
      </c>
      <c r="R135" s="130">
        <f t="shared" si="37"/>
        <v>1428594.1</v>
      </c>
      <c r="T135" s="529"/>
      <c r="U135" s="145"/>
      <c r="V135" s="251"/>
      <c r="W135" s="528"/>
      <c r="X135" s="251"/>
      <c r="Y135" s="251"/>
      <c r="Z135" s="251"/>
      <c r="AA135" s="251"/>
    </row>
    <row r="136" spans="1:27" ht="12.75" hidden="1" customHeight="1">
      <c r="A136" s="87" t="s">
        <v>45</v>
      </c>
      <c r="B136" s="130">
        <v>687158.2</v>
      </c>
      <c r="C136" s="129">
        <v>-494982.81666666677</v>
      </c>
      <c r="D136" s="130">
        <f t="shared" si="38"/>
        <v>192175.38333333319</v>
      </c>
      <c r="E136" s="133">
        <v>52779.8</v>
      </c>
      <c r="F136" s="130">
        <v>136756.6</v>
      </c>
      <c r="G136" s="140">
        <v>22483.550000000003</v>
      </c>
      <c r="H136" s="141">
        <v>107284.3</v>
      </c>
      <c r="I136" s="130">
        <v>287441.19999999995</v>
      </c>
      <c r="J136" s="213">
        <v>-203188.65833333333</v>
      </c>
      <c r="K136" s="129">
        <v>-17052.5</v>
      </c>
      <c r="L136" s="130">
        <f t="shared" si="35"/>
        <v>386504.29166666663</v>
      </c>
      <c r="M136" s="129">
        <v>46981.73333333333</v>
      </c>
      <c r="N136" s="130">
        <v>848026.75833333342</v>
      </c>
      <c r="O136" s="140">
        <v>3132.7999999999997</v>
      </c>
      <c r="P136" s="129">
        <f t="shared" si="34"/>
        <v>898141.29166666674</v>
      </c>
      <c r="Q136" s="130">
        <f t="shared" si="36"/>
        <v>1284645.5833333335</v>
      </c>
      <c r="R136" s="130">
        <f t="shared" si="37"/>
        <v>1476820.9666666668</v>
      </c>
      <c r="T136" s="529"/>
      <c r="U136" s="145"/>
      <c r="V136" s="251"/>
      <c r="W136" s="528"/>
      <c r="X136" s="251"/>
      <c r="Y136" s="251"/>
      <c r="Z136" s="251"/>
      <c r="AA136" s="251"/>
    </row>
    <row r="137" spans="1:27" ht="12.75" hidden="1" customHeight="1">
      <c r="A137" s="87" t="s">
        <v>46</v>
      </c>
      <c r="B137" s="130">
        <v>655769.69999999995</v>
      </c>
      <c r="C137" s="129">
        <v>-505056.93333333341</v>
      </c>
      <c r="D137" s="130">
        <f t="shared" si="38"/>
        <v>150712.76666666655</v>
      </c>
      <c r="E137" s="133">
        <v>43358.6</v>
      </c>
      <c r="F137" s="130">
        <v>157164.6</v>
      </c>
      <c r="G137" s="140">
        <v>22709.600000000002</v>
      </c>
      <c r="H137" s="141">
        <v>107284.3</v>
      </c>
      <c r="I137" s="130">
        <v>286825</v>
      </c>
      <c r="J137" s="213">
        <v>-197262.91111111111</v>
      </c>
      <c r="K137" s="129">
        <v>-19470.399999999998</v>
      </c>
      <c r="L137" s="130">
        <f t="shared" si="35"/>
        <v>400608.78888888896</v>
      </c>
      <c r="M137" s="129">
        <v>47011.066666666658</v>
      </c>
      <c r="N137" s="130">
        <v>868075.81111111096</v>
      </c>
      <c r="O137" s="140">
        <v>3150.2999999999997</v>
      </c>
      <c r="P137" s="129">
        <f t="shared" si="34"/>
        <v>918237.17777777766</v>
      </c>
      <c r="Q137" s="130">
        <f t="shared" si="36"/>
        <v>1318845.9666666666</v>
      </c>
      <c r="R137" s="130">
        <f t="shared" si="37"/>
        <v>1469558.7333333332</v>
      </c>
      <c r="T137" s="529"/>
      <c r="U137" s="145"/>
      <c r="V137" s="251"/>
      <c r="W137" s="528"/>
      <c r="X137" s="251"/>
      <c r="Y137" s="251"/>
      <c r="Z137" s="251"/>
      <c r="AA137" s="251"/>
    </row>
    <row r="138" spans="1:27" ht="12.75" hidden="1" customHeight="1">
      <c r="A138" s="87" t="s">
        <v>47</v>
      </c>
      <c r="B138" s="130">
        <v>718897</v>
      </c>
      <c r="C138" s="129">
        <v>-506375.05</v>
      </c>
      <c r="D138" s="130">
        <f t="shared" si="38"/>
        <v>212521.95</v>
      </c>
      <c r="E138" s="133">
        <v>27300.1</v>
      </c>
      <c r="F138" s="130">
        <v>151516.40000000002</v>
      </c>
      <c r="G138" s="140">
        <v>22821.449999999997</v>
      </c>
      <c r="H138" s="141">
        <v>107284.3</v>
      </c>
      <c r="I138" s="130">
        <v>286825</v>
      </c>
      <c r="J138" s="213">
        <v>-278674.73611111112</v>
      </c>
      <c r="K138" s="129">
        <v>-24671.100000000002</v>
      </c>
      <c r="L138" s="130">
        <f t="shared" si="35"/>
        <v>292401.4138888889</v>
      </c>
      <c r="M138" s="129">
        <v>44646.099999999991</v>
      </c>
      <c r="N138" s="130">
        <v>860469.68611111108</v>
      </c>
      <c r="O138" s="140">
        <v>3642.8999999999996</v>
      </c>
      <c r="P138" s="129">
        <f t="shared" si="34"/>
        <v>908758.68611111108</v>
      </c>
      <c r="Q138" s="130">
        <f t="shared" si="36"/>
        <v>1201160.1000000001</v>
      </c>
      <c r="R138" s="130">
        <f t="shared" si="37"/>
        <v>1413682.05</v>
      </c>
      <c r="T138" s="529"/>
      <c r="U138" s="145"/>
      <c r="V138" s="251"/>
      <c r="W138" s="528"/>
      <c r="X138" s="251"/>
      <c r="Y138" s="251"/>
      <c r="Z138" s="251"/>
      <c r="AA138" s="251"/>
    </row>
    <row r="139" spans="1:27" ht="12.75" hidden="1" customHeight="1">
      <c r="A139" s="87" t="s">
        <v>48</v>
      </c>
      <c r="B139" s="130">
        <v>709663.5</v>
      </c>
      <c r="C139" s="129">
        <v>-506816.86666666664</v>
      </c>
      <c r="D139" s="130">
        <f t="shared" si="38"/>
        <v>202846.63333333336</v>
      </c>
      <c r="E139" s="133">
        <v>74347</v>
      </c>
      <c r="F139" s="130">
        <v>146788.6</v>
      </c>
      <c r="G139" s="140">
        <v>22390.1</v>
      </c>
      <c r="H139" s="141">
        <v>107284.3</v>
      </c>
      <c r="I139" s="130">
        <v>286516.8</v>
      </c>
      <c r="J139" s="213">
        <v>-246098.37592592594</v>
      </c>
      <c r="K139" s="129">
        <v>-29126.100000000002</v>
      </c>
      <c r="L139" s="130">
        <f t="shared" si="35"/>
        <v>362102.32407407416</v>
      </c>
      <c r="M139" s="129">
        <v>42226.633333333331</v>
      </c>
      <c r="N139" s="130">
        <v>868228.70925925928</v>
      </c>
      <c r="O139" s="140">
        <v>3691</v>
      </c>
      <c r="P139" s="129">
        <f t="shared" si="34"/>
        <v>914146.34259259258</v>
      </c>
      <c r="Q139" s="130">
        <f t="shared" si="36"/>
        <v>1276248.6666666667</v>
      </c>
      <c r="R139" s="130">
        <f t="shared" si="37"/>
        <v>1479095.3</v>
      </c>
      <c r="T139" s="529"/>
      <c r="U139" s="145"/>
      <c r="V139" s="251"/>
      <c r="W139" s="528"/>
      <c r="X139" s="251"/>
      <c r="Y139" s="251"/>
      <c r="Z139" s="251"/>
      <c r="AA139" s="251"/>
    </row>
    <row r="140" spans="1:27" ht="12.75" hidden="1" customHeight="1">
      <c r="A140" s="87" t="s">
        <v>49</v>
      </c>
      <c r="B140" s="130">
        <v>687387.7</v>
      </c>
      <c r="C140" s="129">
        <v>-495824.48333333334</v>
      </c>
      <c r="D140" s="130">
        <f t="shared" si="38"/>
        <v>191563.21666666662</v>
      </c>
      <c r="E140" s="133">
        <v>41502.5</v>
      </c>
      <c r="F140" s="130">
        <v>154082.5</v>
      </c>
      <c r="G140" s="140">
        <v>18601.55</v>
      </c>
      <c r="H140" s="141">
        <v>106976.2</v>
      </c>
      <c r="I140" s="130">
        <v>286208.59999999998</v>
      </c>
      <c r="J140" s="213">
        <v>-246402.45895061732</v>
      </c>
      <c r="K140" s="129">
        <v>-31987.8</v>
      </c>
      <c r="L140" s="130">
        <f t="shared" si="35"/>
        <v>328981.09104938264</v>
      </c>
      <c r="M140" s="129">
        <v>41153.166666666664</v>
      </c>
      <c r="N140" s="130">
        <v>878545.79783950618</v>
      </c>
      <c r="O140" s="140">
        <v>3607.1</v>
      </c>
      <c r="P140" s="129">
        <f t="shared" si="34"/>
        <v>923306.06450617278</v>
      </c>
      <c r="Q140" s="130">
        <f t="shared" si="36"/>
        <v>1252287.1555555554</v>
      </c>
      <c r="R140" s="130">
        <f t="shared" si="37"/>
        <v>1443850.3722222219</v>
      </c>
      <c r="T140" s="529"/>
      <c r="U140" s="145"/>
      <c r="V140" s="251"/>
      <c r="W140" s="528"/>
      <c r="X140" s="251"/>
      <c r="Y140" s="251"/>
      <c r="Z140" s="251"/>
      <c r="AA140" s="251"/>
    </row>
    <row r="141" spans="1:27" ht="12.75" hidden="1" customHeight="1">
      <c r="A141" s="87" t="s">
        <v>50</v>
      </c>
      <c r="B141" s="130">
        <v>700883.1</v>
      </c>
      <c r="C141" s="129">
        <v>-520670.4</v>
      </c>
      <c r="D141" s="130">
        <f t="shared" si="38"/>
        <v>180212.69999999995</v>
      </c>
      <c r="E141" s="133">
        <v>55186.9</v>
      </c>
      <c r="F141" s="130">
        <v>147702.70000000001</v>
      </c>
      <c r="G141" s="140">
        <v>49269.8</v>
      </c>
      <c r="H141" s="141">
        <v>106976.2</v>
      </c>
      <c r="I141" s="130">
        <v>285900.5</v>
      </c>
      <c r="J141" s="213">
        <v>-239702.39999999997</v>
      </c>
      <c r="K141" s="129">
        <v>-23004.400000000001</v>
      </c>
      <c r="L141" s="130">
        <f t="shared" si="35"/>
        <v>382329.3000000001</v>
      </c>
      <c r="M141" s="129">
        <v>41416.400000000001</v>
      </c>
      <c r="N141" s="130">
        <v>893296.39999999991</v>
      </c>
      <c r="O141" s="140">
        <v>3449.2999999999997</v>
      </c>
      <c r="P141" s="129">
        <f t="shared" si="34"/>
        <v>938162.1</v>
      </c>
      <c r="Q141" s="130">
        <f t="shared" si="36"/>
        <v>1320491.4000000001</v>
      </c>
      <c r="R141" s="130">
        <f t="shared" si="37"/>
        <v>1500704.1</v>
      </c>
      <c r="T141" s="529"/>
      <c r="U141" s="145"/>
      <c r="V141" s="251"/>
      <c r="W141" s="528"/>
      <c r="X141" s="251"/>
      <c r="Y141" s="251"/>
      <c r="Z141" s="251"/>
      <c r="AA141" s="251"/>
    </row>
    <row r="142" spans="1:27" ht="12.75" hidden="1" customHeight="1">
      <c r="A142" s="87"/>
      <c r="B142" s="130"/>
      <c r="C142" s="129"/>
      <c r="D142" s="130"/>
      <c r="E142" s="133"/>
      <c r="F142" s="130"/>
      <c r="G142" s="140"/>
      <c r="H142" s="141"/>
      <c r="I142" s="130"/>
      <c r="J142" s="213"/>
      <c r="K142" s="129"/>
      <c r="L142" s="130"/>
      <c r="M142" s="129"/>
      <c r="N142" s="130"/>
      <c r="O142" s="140"/>
      <c r="P142" s="129"/>
      <c r="Q142" s="130"/>
      <c r="R142" s="130"/>
      <c r="T142" s="529"/>
      <c r="U142" s="145"/>
      <c r="V142" s="251"/>
      <c r="W142" s="528"/>
      <c r="X142" s="251"/>
      <c r="Y142" s="251"/>
      <c r="Z142" s="251"/>
      <c r="AA142" s="251"/>
    </row>
    <row r="143" spans="1:27" ht="12.75" hidden="1" customHeight="1">
      <c r="A143" s="87" t="s">
        <v>51</v>
      </c>
      <c r="B143" s="130">
        <v>673736.2</v>
      </c>
      <c r="C143" s="129">
        <v>-498860.9</v>
      </c>
      <c r="D143" s="130">
        <f t="shared" ref="D143" si="39">SUM(B143:C143)</f>
        <v>174875.29999999993</v>
      </c>
      <c r="E143" s="133">
        <v>22472.2</v>
      </c>
      <c r="F143" s="130">
        <v>157245.1</v>
      </c>
      <c r="G143" s="140">
        <v>50691.9</v>
      </c>
      <c r="H143" s="141">
        <v>106976.2</v>
      </c>
      <c r="I143" s="130">
        <v>285900.5</v>
      </c>
      <c r="J143" s="213">
        <v>-237549.25</v>
      </c>
      <c r="K143" s="129">
        <v>-23585.300000000003</v>
      </c>
      <c r="L143" s="130">
        <f t="shared" ref="L143:L154" si="40">SUM( (E143:K143))</f>
        <v>362151.35000000003</v>
      </c>
      <c r="M143" s="129">
        <v>35462.73333333333</v>
      </c>
      <c r="N143" s="130">
        <v>894694.2666666666</v>
      </c>
      <c r="O143" s="140">
        <v>3291.2000000000003</v>
      </c>
      <c r="P143" s="129">
        <f t="shared" ref="P143" si="41">SUM(M143:O143)</f>
        <v>933448.19999999984</v>
      </c>
      <c r="Q143" s="130">
        <f t="shared" ref="Q143:Q154" si="42">SUM(L143,P143)</f>
        <v>1295599.5499999998</v>
      </c>
      <c r="R143" s="130">
        <f t="shared" ref="R143:R154" si="43">SUM(D143,Q143)</f>
        <v>1470474.8499999996</v>
      </c>
      <c r="T143" s="529"/>
      <c r="U143" s="145"/>
      <c r="V143" s="251"/>
      <c r="W143" s="528"/>
      <c r="X143" s="251"/>
      <c r="Y143" s="251"/>
      <c r="Z143" s="251"/>
      <c r="AA143" s="251"/>
    </row>
    <row r="144" spans="1:27" ht="12.75" hidden="1" customHeight="1">
      <c r="A144" s="87" t="s">
        <v>52</v>
      </c>
      <c r="B144" s="130">
        <v>654370.89999999991</v>
      </c>
      <c r="C144" s="129">
        <v>-502031.99999999994</v>
      </c>
      <c r="D144" s="130">
        <f t="shared" ref="D144" si="44">SUM(B144:C144)</f>
        <v>152338.89999999997</v>
      </c>
      <c r="E144" s="133">
        <v>72202.7</v>
      </c>
      <c r="F144" s="130">
        <v>140827.20000000001</v>
      </c>
      <c r="G144" s="140">
        <v>53460.700000000004</v>
      </c>
      <c r="H144" s="141">
        <v>105891</v>
      </c>
      <c r="I144" s="130">
        <v>284644.40000000002</v>
      </c>
      <c r="J144" s="213">
        <v>-235669</v>
      </c>
      <c r="K144" s="129">
        <v>-26721.800000000003</v>
      </c>
      <c r="L144" s="130">
        <f t="shared" si="40"/>
        <v>394635.2</v>
      </c>
      <c r="M144" s="129">
        <v>28160.666666666668</v>
      </c>
      <c r="N144" s="130">
        <v>891448.53333333333</v>
      </c>
      <c r="O144" s="140">
        <v>3220</v>
      </c>
      <c r="P144" s="129">
        <f t="shared" ref="P144:P154" si="45">SUM(M144:O144)</f>
        <v>922829.2</v>
      </c>
      <c r="Q144" s="130">
        <f t="shared" si="42"/>
        <v>1317464.3999999999</v>
      </c>
      <c r="R144" s="130">
        <f t="shared" si="43"/>
        <v>1469803.2999999998</v>
      </c>
      <c r="T144" s="529"/>
      <c r="U144" s="145"/>
      <c r="V144" s="251"/>
      <c r="W144" s="528"/>
      <c r="X144" s="251"/>
      <c r="Y144" s="251"/>
      <c r="Z144" s="251"/>
      <c r="AA144" s="251"/>
    </row>
    <row r="145" spans="1:27" ht="12.75" hidden="1" customHeight="1">
      <c r="A145" s="87" t="s">
        <v>53</v>
      </c>
      <c r="B145" s="130">
        <v>664188.19999999995</v>
      </c>
      <c r="C145" s="129">
        <v>-503585.5</v>
      </c>
      <c r="D145" s="130">
        <f t="shared" ref="D145:D154" si="46">SUM(B145:C145)</f>
        <v>160602.69999999995</v>
      </c>
      <c r="E145" s="133">
        <v>23590.1</v>
      </c>
      <c r="F145" s="130">
        <v>156652.5</v>
      </c>
      <c r="G145" s="140">
        <v>51794.399999999994</v>
      </c>
      <c r="H145" s="141">
        <v>104166</v>
      </c>
      <c r="I145" s="130">
        <v>284644.40000000002</v>
      </c>
      <c r="J145" s="213">
        <v>-248200.45</v>
      </c>
      <c r="K145" s="129">
        <v>-29000.600000000002</v>
      </c>
      <c r="L145" s="130">
        <f t="shared" si="40"/>
        <v>343646.35000000003</v>
      </c>
      <c r="M145" s="129">
        <v>23479.7</v>
      </c>
      <c r="N145" s="130">
        <v>898249.20000000007</v>
      </c>
      <c r="O145" s="140">
        <v>3910.9</v>
      </c>
      <c r="P145" s="129">
        <f t="shared" si="45"/>
        <v>925639.8</v>
      </c>
      <c r="Q145" s="130">
        <f t="shared" si="42"/>
        <v>1269286.1500000001</v>
      </c>
      <c r="R145" s="130">
        <f t="shared" si="43"/>
        <v>1429888.85</v>
      </c>
      <c r="T145" s="529"/>
      <c r="U145" s="145"/>
      <c r="V145" s="251"/>
      <c r="W145" s="528"/>
      <c r="X145" s="251"/>
      <c r="Y145" s="251"/>
      <c r="Z145" s="251"/>
      <c r="AA145" s="251"/>
    </row>
    <row r="146" spans="1:27" ht="12.75" hidden="1" customHeight="1">
      <c r="A146" s="87" t="s">
        <v>603</v>
      </c>
      <c r="B146" s="130">
        <v>656080.69999999995</v>
      </c>
      <c r="C146" s="129">
        <v>-508299.6</v>
      </c>
      <c r="D146" s="130">
        <f t="shared" si="46"/>
        <v>147781.09999999998</v>
      </c>
      <c r="E146" s="133">
        <v>54107.7</v>
      </c>
      <c r="F146" s="130">
        <v>152931.6</v>
      </c>
      <c r="G146" s="140">
        <v>47698.899999999994</v>
      </c>
      <c r="H146" s="141">
        <v>102772.7</v>
      </c>
      <c r="I146" s="130">
        <v>284004.5</v>
      </c>
      <c r="J146" s="213">
        <v>-235288.8</v>
      </c>
      <c r="K146" s="129">
        <v>-27853.399999999998</v>
      </c>
      <c r="L146" s="130">
        <f t="shared" si="40"/>
        <v>378373.1999999999</v>
      </c>
      <c r="M146" s="129">
        <v>20846.533333333333</v>
      </c>
      <c r="N146" s="130">
        <v>919383.46666666679</v>
      </c>
      <c r="O146" s="140">
        <v>3961.2999999999997</v>
      </c>
      <c r="P146" s="129">
        <f t="shared" si="45"/>
        <v>944191.30000000016</v>
      </c>
      <c r="Q146" s="130">
        <f t="shared" si="42"/>
        <v>1322564.5</v>
      </c>
      <c r="R146" s="130">
        <f t="shared" si="43"/>
        <v>1470345.6</v>
      </c>
      <c r="T146" s="529"/>
      <c r="U146" s="145"/>
      <c r="V146" s="251"/>
      <c r="W146" s="528"/>
      <c r="X146" s="251"/>
      <c r="Y146" s="251"/>
      <c r="Z146" s="251"/>
      <c r="AA146" s="251"/>
    </row>
    <row r="147" spans="1:27" ht="12.75" hidden="1" customHeight="1">
      <c r="A147" s="87" t="s">
        <v>609</v>
      </c>
      <c r="B147" s="130">
        <v>631693.80000000005</v>
      </c>
      <c r="C147" s="129">
        <v>-493463</v>
      </c>
      <c r="D147" s="130">
        <f t="shared" si="46"/>
        <v>138230.80000000005</v>
      </c>
      <c r="E147" s="133">
        <v>79625</v>
      </c>
      <c r="F147" s="130">
        <v>172465.8</v>
      </c>
      <c r="G147" s="140">
        <v>51473.2</v>
      </c>
      <c r="H147" s="141">
        <v>101379.3</v>
      </c>
      <c r="I147" s="130">
        <v>283364.7</v>
      </c>
      <c r="J147" s="213">
        <v>-238680.84999999998</v>
      </c>
      <c r="K147" s="129">
        <v>-28395.399999999998</v>
      </c>
      <c r="L147" s="130">
        <f t="shared" si="40"/>
        <v>421231.75</v>
      </c>
      <c r="M147" s="129">
        <v>17019.066666666666</v>
      </c>
      <c r="N147" s="130">
        <v>929398.53333333333</v>
      </c>
      <c r="O147" s="140">
        <v>4189.7</v>
      </c>
      <c r="P147" s="129">
        <f t="shared" si="45"/>
        <v>950607.29999999993</v>
      </c>
      <c r="Q147" s="130">
        <f t="shared" si="42"/>
        <v>1371839.0499999998</v>
      </c>
      <c r="R147" s="130">
        <f t="shared" si="43"/>
        <v>1510069.8499999999</v>
      </c>
      <c r="T147" s="529"/>
      <c r="U147" s="145"/>
      <c r="V147" s="251"/>
      <c r="W147" s="528"/>
      <c r="X147" s="251"/>
      <c r="Y147" s="251"/>
      <c r="Z147" s="251"/>
      <c r="AA147" s="251"/>
    </row>
    <row r="148" spans="1:27" ht="12.75" hidden="1" customHeight="1">
      <c r="A148" s="87" t="s">
        <v>44</v>
      </c>
      <c r="B148" s="130">
        <v>566058</v>
      </c>
      <c r="C148" s="129">
        <v>-501183.4</v>
      </c>
      <c r="D148" s="130">
        <f t="shared" si="46"/>
        <v>64874.599999999977</v>
      </c>
      <c r="E148" s="133">
        <v>121700.8</v>
      </c>
      <c r="F148" s="130">
        <v>166756.20000000001</v>
      </c>
      <c r="G148" s="140">
        <v>48976.1</v>
      </c>
      <c r="H148" s="141">
        <v>100317.8</v>
      </c>
      <c r="I148" s="130">
        <v>282393.09999999998</v>
      </c>
      <c r="J148" s="213">
        <v>-230317.10000000003</v>
      </c>
      <c r="K148" s="129">
        <v>-26258.899999999998</v>
      </c>
      <c r="L148" s="130">
        <f t="shared" si="40"/>
        <v>463567.99999999994</v>
      </c>
      <c r="M148" s="129">
        <v>10226.1</v>
      </c>
      <c r="N148" s="130">
        <v>935340.19999999984</v>
      </c>
      <c r="O148" s="140">
        <v>3822.2</v>
      </c>
      <c r="P148" s="129">
        <f t="shared" si="45"/>
        <v>949388.49999999977</v>
      </c>
      <c r="Q148" s="130">
        <f t="shared" si="42"/>
        <v>1412956.4999999998</v>
      </c>
      <c r="R148" s="130">
        <f t="shared" si="43"/>
        <v>1477831.0999999996</v>
      </c>
      <c r="T148" s="529"/>
      <c r="U148" s="145"/>
      <c r="V148" s="251"/>
      <c r="W148" s="528"/>
      <c r="X148" s="251"/>
      <c r="Y148" s="251"/>
      <c r="Z148" s="251"/>
      <c r="AA148" s="251"/>
    </row>
    <row r="149" spans="1:27" ht="12.75" hidden="1" customHeight="1">
      <c r="A149" s="87" t="s">
        <v>617</v>
      </c>
      <c r="B149" s="130">
        <v>521521.90000000008</v>
      </c>
      <c r="C149" s="129">
        <v>-491891.09999999992</v>
      </c>
      <c r="D149" s="130">
        <f t="shared" si="46"/>
        <v>29630.800000000163</v>
      </c>
      <c r="E149" s="133">
        <v>124466.2</v>
      </c>
      <c r="F149" s="130">
        <v>170582</v>
      </c>
      <c r="G149" s="140">
        <v>48274.816666666666</v>
      </c>
      <c r="H149" s="141">
        <v>98924.5</v>
      </c>
      <c r="I149" s="130">
        <v>281753.2</v>
      </c>
      <c r="J149" s="213">
        <v>-204747.88333333333</v>
      </c>
      <c r="K149" s="129">
        <v>-26401.600000000002</v>
      </c>
      <c r="L149" s="130">
        <f t="shared" si="40"/>
        <v>492851.2333333334</v>
      </c>
      <c r="M149" s="129">
        <v>13907.899999999998</v>
      </c>
      <c r="N149" s="130">
        <v>944366.18333333312</v>
      </c>
      <c r="O149" s="140">
        <v>3822.1</v>
      </c>
      <c r="P149" s="129">
        <f t="shared" si="45"/>
        <v>962096.18333333312</v>
      </c>
      <c r="Q149" s="130">
        <f t="shared" si="42"/>
        <v>1454947.4166666665</v>
      </c>
      <c r="R149" s="130">
        <f t="shared" si="43"/>
        <v>1484578.2166666668</v>
      </c>
      <c r="T149" s="529"/>
      <c r="U149" s="145"/>
      <c r="V149" s="251"/>
      <c r="W149" s="528"/>
      <c r="X149" s="251"/>
      <c r="Y149" s="251"/>
      <c r="Z149" s="251"/>
      <c r="AA149" s="251"/>
    </row>
    <row r="150" spans="1:27" ht="12.75" hidden="1" customHeight="1">
      <c r="A150" s="87" t="s">
        <v>621</v>
      </c>
      <c r="B150" s="130">
        <v>500902.8000000001</v>
      </c>
      <c r="C150" s="129">
        <v>-497960.39999999997</v>
      </c>
      <c r="D150" s="130">
        <f t="shared" si="46"/>
        <v>2942.4000000001397</v>
      </c>
      <c r="E150" s="133">
        <v>162684.9</v>
      </c>
      <c r="F150" s="130">
        <v>170888.3</v>
      </c>
      <c r="G150" s="140">
        <v>47924.261111111111</v>
      </c>
      <c r="H150" s="141">
        <v>97531.199999999997</v>
      </c>
      <c r="I150" s="130">
        <v>281113.30000000005</v>
      </c>
      <c r="J150" s="213">
        <v>-192906.29444444447</v>
      </c>
      <c r="K150" s="129">
        <v>-34152.399999999994</v>
      </c>
      <c r="L150" s="130">
        <f t="shared" si="40"/>
        <v>533083.2666666666</v>
      </c>
      <c r="M150" s="129">
        <v>13702.7</v>
      </c>
      <c r="N150" s="130">
        <v>946387.9</v>
      </c>
      <c r="O150" s="140">
        <v>3846.9</v>
      </c>
      <c r="P150" s="129">
        <f t="shared" si="45"/>
        <v>963937.5</v>
      </c>
      <c r="Q150" s="130">
        <f t="shared" si="42"/>
        <v>1497020.7666666666</v>
      </c>
      <c r="R150" s="130">
        <f t="shared" si="43"/>
        <v>1499963.1666666667</v>
      </c>
      <c r="T150" s="529"/>
      <c r="U150" s="145"/>
      <c r="V150" s="251"/>
      <c r="W150" s="528"/>
      <c r="X150" s="251"/>
      <c r="Y150" s="251"/>
      <c r="Z150" s="251"/>
      <c r="AA150" s="251"/>
    </row>
    <row r="151" spans="1:27" ht="12.75" hidden="1" customHeight="1">
      <c r="A151" s="87" t="s">
        <v>47</v>
      </c>
      <c r="B151" s="130">
        <v>453393.99999999994</v>
      </c>
      <c r="C151" s="129">
        <v>-486902.60000000003</v>
      </c>
      <c r="D151" s="130">
        <f t="shared" si="46"/>
        <v>-33508.600000000093</v>
      </c>
      <c r="E151" s="133">
        <v>201450.1</v>
      </c>
      <c r="F151" s="130">
        <v>177101.60000000003</v>
      </c>
      <c r="G151" s="140">
        <v>50077.969444444447</v>
      </c>
      <c r="H151" s="141">
        <v>96137.9</v>
      </c>
      <c r="I151" s="130">
        <v>280473.5</v>
      </c>
      <c r="J151" s="213">
        <v>-209818.51944444445</v>
      </c>
      <c r="K151" s="129">
        <v>-29497.3</v>
      </c>
      <c r="L151" s="130">
        <f t="shared" si="40"/>
        <v>565925.25</v>
      </c>
      <c r="M151" s="129">
        <v>15563.099999999997</v>
      </c>
      <c r="N151" s="130">
        <v>945919.48333333316</v>
      </c>
      <c r="O151" s="140">
        <v>3755.9</v>
      </c>
      <c r="P151" s="129">
        <f t="shared" si="45"/>
        <v>965238.48333333316</v>
      </c>
      <c r="Q151" s="130">
        <f t="shared" si="42"/>
        <v>1531163.7333333332</v>
      </c>
      <c r="R151" s="130">
        <f t="shared" si="43"/>
        <v>1497655.1333333331</v>
      </c>
      <c r="T151" s="529"/>
      <c r="U151" s="145"/>
      <c r="V151" s="251"/>
      <c r="W151" s="528"/>
      <c r="X151" s="251"/>
      <c r="Y151" s="251"/>
      <c r="Z151" s="251"/>
      <c r="AA151" s="251"/>
    </row>
    <row r="152" spans="1:27" ht="12.75" hidden="1" customHeight="1">
      <c r="A152" s="87" t="s">
        <v>631</v>
      </c>
      <c r="B152" s="130">
        <v>457895.30000000005</v>
      </c>
      <c r="C152" s="129">
        <v>-481988.60000000003</v>
      </c>
      <c r="D152" s="130">
        <f t="shared" si="46"/>
        <v>-24093.299999999988</v>
      </c>
      <c r="E152" s="133">
        <v>227827.20000000001</v>
      </c>
      <c r="F152" s="130">
        <v>194261.09999999998</v>
      </c>
      <c r="G152" s="140">
        <v>54863.787037037036</v>
      </c>
      <c r="H152" s="141">
        <v>95660.7</v>
      </c>
      <c r="I152" s="130">
        <v>279193.7</v>
      </c>
      <c r="J152" s="213">
        <v>-191344.82037037038</v>
      </c>
      <c r="K152" s="129">
        <v>-33496</v>
      </c>
      <c r="L152" s="130">
        <f t="shared" si="40"/>
        <v>626965.66666666663</v>
      </c>
      <c r="M152" s="129">
        <v>10916.2</v>
      </c>
      <c r="N152" s="130">
        <v>943773.4444444445</v>
      </c>
      <c r="O152" s="140">
        <v>4663.1000000000004</v>
      </c>
      <c r="P152" s="129">
        <f t="shared" si="45"/>
        <v>959352.74444444443</v>
      </c>
      <c r="Q152" s="130">
        <f t="shared" si="42"/>
        <v>1586318.4111111111</v>
      </c>
      <c r="R152" s="130">
        <f t="shared" si="43"/>
        <v>1562225.111111111</v>
      </c>
      <c r="T152" s="529"/>
      <c r="U152" s="145"/>
      <c r="V152" s="251"/>
      <c r="W152" s="528"/>
      <c r="X152" s="251"/>
      <c r="Y152" s="251"/>
      <c r="Z152" s="251"/>
      <c r="AA152" s="251"/>
    </row>
    <row r="153" spans="1:27" ht="12.75" hidden="1" customHeight="1">
      <c r="A153" s="87" t="s">
        <v>654</v>
      </c>
      <c r="B153" s="130">
        <v>420233.69999999995</v>
      </c>
      <c r="C153" s="129">
        <v>-504968.2</v>
      </c>
      <c r="D153" s="130">
        <v>-84734.5</v>
      </c>
      <c r="E153" s="133">
        <v>236897.9</v>
      </c>
      <c r="F153" s="130">
        <v>222734.2</v>
      </c>
      <c r="G153" s="140">
        <v>56418.544135802491</v>
      </c>
      <c r="H153" s="141">
        <v>94267.4</v>
      </c>
      <c r="I153" s="130">
        <v>278553.90000000002</v>
      </c>
      <c r="J153" s="213">
        <v>-198623.87191358025</v>
      </c>
      <c r="K153" s="129">
        <v>-34062.700000000004</v>
      </c>
      <c r="L153" s="130">
        <f t="shared" si="40"/>
        <v>656185.37222222227</v>
      </c>
      <c r="M153" s="129">
        <v>10795.599999999999</v>
      </c>
      <c r="N153" s="130">
        <v>910912.55740740732</v>
      </c>
      <c r="O153" s="140">
        <v>8.3000000000000007</v>
      </c>
      <c r="P153" s="129">
        <f t="shared" si="45"/>
        <v>921716.45740740735</v>
      </c>
      <c r="Q153" s="130">
        <f t="shared" si="42"/>
        <v>1577901.8296296296</v>
      </c>
      <c r="R153" s="130">
        <f t="shared" si="43"/>
        <v>1493167.3296296296</v>
      </c>
      <c r="T153" s="529"/>
      <c r="U153" s="145"/>
      <c r="V153" s="251"/>
      <c r="W153" s="528"/>
      <c r="X153" s="251"/>
      <c r="Y153" s="251"/>
      <c r="Z153" s="251"/>
      <c r="AA153" s="251"/>
    </row>
    <row r="154" spans="1:27" ht="12.75" hidden="1" customHeight="1">
      <c r="A154" s="87" t="s">
        <v>666</v>
      </c>
      <c r="B154" s="130">
        <v>428918.6</v>
      </c>
      <c r="C154" s="129">
        <v>-505119.9</v>
      </c>
      <c r="D154" s="130">
        <f t="shared" si="46"/>
        <v>-76201.300000000047</v>
      </c>
      <c r="E154" s="133">
        <v>273246</v>
      </c>
      <c r="F154" s="130">
        <v>254809.2</v>
      </c>
      <c r="G154" s="140">
        <v>50054.3</v>
      </c>
      <c r="H154" s="141">
        <v>90564.7</v>
      </c>
      <c r="I154" s="130">
        <v>277913.90000000002</v>
      </c>
      <c r="J154" s="213">
        <v>-234475</v>
      </c>
      <c r="K154" s="129">
        <v>-26252.799999999996</v>
      </c>
      <c r="L154" s="130">
        <f t="shared" si="40"/>
        <v>685860.29999999993</v>
      </c>
      <c r="M154" s="129">
        <v>7061.0999999999995</v>
      </c>
      <c r="N154" s="130">
        <v>894521.4</v>
      </c>
      <c r="O154" s="140">
        <v>27.1</v>
      </c>
      <c r="P154" s="129">
        <f t="shared" si="45"/>
        <v>901609.6</v>
      </c>
      <c r="Q154" s="130">
        <f t="shared" si="42"/>
        <v>1587469.9</v>
      </c>
      <c r="R154" s="130">
        <f t="shared" si="43"/>
        <v>1511268.5999999999</v>
      </c>
      <c r="T154" s="529"/>
      <c r="U154" s="145"/>
      <c r="V154" s="251"/>
      <c r="W154" s="528"/>
      <c r="X154" s="251"/>
      <c r="Y154" s="251"/>
      <c r="Z154" s="251"/>
      <c r="AA154" s="251"/>
    </row>
    <row r="155" spans="1:27" ht="12.75" hidden="1" customHeight="1">
      <c r="A155" s="800"/>
      <c r="B155" s="130"/>
      <c r="C155" s="129"/>
      <c r="D155" s="130"/>
      <c r="E155" s="133"/>
      <c r="F155" s="130"/>
      <c r="G155" s="140"/>
      <c r="H155" s="141"/>
      <c r="I155" s="130"/>
      <c r="J155" s="213"/>
      <c r="K155" s="129"/>
      <c r="L155" s="130"/>
      <c r="M155" s="129"/>
      <c r="N155" s="130"/>
      <c r="O155" s="140"/>
      <c r="P155" s="129"/>
      <c r="Q155" s="130"/>
      <c r="R155" s="130"/>
      <c r="T155" s="529"/>
      <c r="U155" s="145"/>
      <c r="V155" s="251"/>
      <c r="W155" s="528"/>
      <c r="X155" s="251"/>
      <c r="Y155" s="251"/>
      <c r="Z155" s="251"/>
      <c r="AA155" s="251"/>
    </row>
    <row r="156" spans="1:27" ht="12.75" hidden="1" customHeight="1">
      <c r="A156" s="800" t="s">
        <v>39</v>
      </c>
      <c r="B156" s="130">
        <v>378909.8</v>
      </c>
      <c r="C156" s="129">
        <v>-498475</v>
      </c>
      <c r="D156" s="130">
        <f t="shared" ref="D156" si="47">SUM(B156:C156)</f>
        <v>-119565.20000000001</v>
      </c>
      <c r="E156" s="133">
        <v>230233.5</v>
      </c>
      <c r="F156" s="130">
        <v>266534</v>
      </c>
      <c r="G156" s="140">
        <v>49668.816666666666</v>
      </c>
      <c r="H156" s="141">
        <v>90564.7</v>
      </c>
      <c r="I156" s="130">
        <v>277913.90000000002</v>
      </c>
      <c r="J156" s="213">
        <v>-195314.72500000003</v>
      </c>
      <c r="K156" s="129">
        <v>-27211.899999999998</v>
      </c>
      <c r="L156" s="130">
        <f t="shared" ref="L156:L167" si="48">SUM( (E156:K156))</f>
        <v>692388.29166666663</v>
      </c>
      <c r="M156" s="129">
        <v>3511.7</v>
      </c>
      <c r="N156" s="130">
        <v>911556.10833333328</v>
      </c>
      <c r="O156" s="140">
        <v>67.399999999999991</v>
      </c>
      <c r="P156" s="129">
        <f t="shared" ref="P156" si="49">SUM(M156:O156)</f>
        <v>915135.20833333326</v>
      </c>
      <c r="Q156" s="130">
        <f t="shared" ref="Q156:Q167" si="50">SUM(L156,P156)</f>
        <v>1607523.5</v>
      </c>
      <c r="R156" s="130">
        <f t="shared" ref="R156:R167" si="51">SUM(D156,Q156)</f>
        <v>1487958.3</v>
      </c>
      <c r="T156" s="529"/>
      <c r="U156" s="145"/>
      <c r="V156" s="251"/>
      <c r="W156" s="528"/>
      <c r="X156" s="251"/>
      <c r="Y156" s="251"/>
      <c r="Z156" s="251"/>
      <c r="AA156" s="251"/>
    </row>
    <row r="157" spans="1:27" ht="12.75" hidden="1" customHeight="1">
      <c r="A157" s="800" t="s">
        <v>681</v>
      </c>
      <c r="B157" s="130">
        <v>356665.99999999994</v>
      </c>
      <c r="C157" s="129">
        <v>-489785.9</v>
      </c>
      <c r="D157" s="130">
        <f t="shared" ref="D157" si="52">SUM(B157:C157)</f>
        <v>-133119.90000000008</v>
      </c>
      <c r="E157" s="133">
        <v>260394.9</v>
      </c>
      <c r="F157" s="130">
        <v>282730.90000000002</v>
      </c>
      <c r="G157" s="140">
        <v>52982.73333333333</v>
      </c>
      <c r="H157" s="141">
        <v>89171.4</v>
      </c>
      <c r="I157" s="130">
        <v>277274.09999999998</v>
      </c>
      <c r="J157" s="213">
        <v>-201691.74999999997</v>
      </c>
      <c r="K157" s="129">
        <v>-27204.699999999997</v>
      </c>
      <c r="L157" s="130">
        <f t="shared" si="48"/>
        <v>733657.58333333337</v>
      </c>
      <c r="M157" s="129">
        <v>3996.3</v>
      </c>
      <c r="N157" s="130">
        <v>914297.1166666667</v>
      </c>
      <c r="O157" s="140">
        <v>24.400000000000002</v>
      </c>
      <c r="P157" s="129">
        <f t="shared" ref="P157:P167" si="53">SUM(M157:O157)</f>
        <v>918317.81666666677</v>
      </c>
      <c r="Q157" s="130">
        <f t="shared" si="50"/>
        <v>1651975.4000000001</v>
      </c>
      <c r="R157" s="130">
        <f t="shared" si="51"/>
        <v>1518855.5</v>
      </c>
      <c r="T157" s="529"/>
      <c r="U157" s="145"/>
      <c r="V157" s="251"/>
      <c r="W157" s="528"/>
      <c r="X157" s="251"/>
      <c r="Y157" s="251"/>
      <c r="Z157" s="251"/>
      <c r="AA157" s="251"/>
    </row>
    <row r="158" spans="1:27" ht="12.75" hidden="1" customHeight="1">
      <c r="A158" s="800" t="s">
        <v>65</v>
      </c>
      <c r="B158" s="130">
        <v>338029.49999999994</v>
      </c>
      <c r="C158" s="129">
        <v>-499384.50000000006</v>
      </c>
      <c r="D158" s="130">
        <f t="shared" ref="D158:D165" si="54">SUM(B158:C158)</f>
        <v>-161355.00000000012</v>
      </c>
      <c r="E158" s="133">
        <v>273246</v>
      </c>
      <c r="F158" s="130">
        <v>296894.8</v>
      </c>
      <c r="G158" s="140">
        <v>49389.950000000004</v>
      </c>
      <c r="H158" s="141">
        <v>86384.8</v>
      </c>
      <c r="I158" s="130">
        <v>275994.3</v>
      </c>
      <c r="J158" s="213">
        <v>-233113.17500000002</v>
      </c>
      <c r="K158" s="129">
        <v>-25759.7</v>
      </c>
      <c r="L158" s="130">
        <f t="shared" si="48"/>
        <v>723036.97500000009</v>
      </c>
      <c r="M158" s="129">
        <v>3295.7</v>
      </c>
      <c r="N158" s="130">
        <v>917934.52500000014</v>
      </c>
      <c r="O158" s="140">
        <v>22.2</v>
      </c>
      <c r="P158" s="129">
        <f t="shared" si="53"/>
        <v>921252.42500000005</v>
      </c>
      <c r="Q158" s="130">
        <f t="shared" si="50"/>
        <v>1644289.4000000001</v>
      </c>
      <c r="R158" s="130">
        <f t="shared" si="51"/>
        <v>1482934.4</v>
      </c>
      <c r="T158" s="529"/>
      <c r="U158" s="145"/>
      <c r="V158" s="251"/>
      <c r="W158" s="528"/>
      <c r="X158" s="251"/>
      <c r="Y158" s="251"/>
      <c r="Z158" s="251"/>
      <c r="AA158" s="251"/>
    </row>
    <row r="159" spans="1:27" ht="12.75" hidden="1" customHeight="1">
      <c r="A159" s="800" t="s">
        <v>692</v>
      </c>
      <c r="B159" s="130">
        <v>337322</v>
      </c>
      <c r="C159" s="129">
        <v>-506945.99999999994</v>
      </c>
      <c r="D159" s="130">
        <f t="shared" si="54"/>
        <v>-169623.99999999994</v>
      </c>
      <c r="E159" s="133">
        <v>4780.0999999999767</v>
      </c>
      <c r="F159" s="130">
        <v>319584.7</v>
      </c>
      <c r="G159" s="140">
        <v>54947.166666666672</v>
      </c>
      <c r="H159" s="141">
        <v>86384.8</v>
      </c>
      <c r="I159" s="130">
        <v>549240.30000000005</v>
      </c>
      <c r="J159" s="213">
        <v>-215292.2</v>
      </c>
      <c r="K159" s="129">
        <v>-31685.9</v>
      </c>
      <c r="L159" s="130">
        <f t="shared" si="48"/>
        <v>767958.96666666667</v>
      </c>
      <c r="M159" s="129">
        <v>7114.1</v>
      </c>
      <c r="N159" s="130">
        <v>913595.43333333335</v>
      </c>
      <c r="O159" s="140">
        <v>46.2</v>
      </c>
      <c r="P159" s="129">
        <f t="shared" si="53"/>
        <v>920755.73333333328</v>
      </c>
      <c r="Q159" s="130">
        <f t="shared" si="50"/>
        <v>1688714.7</v>
      </c>
      <c r="R159" s="130">
        <f t="shared" si="51"/>
        <v>1519090.7</v>
      </c>
      <c r="T159" s="529"/>
      <c r="U159" s="145"/>
      <c r="V159" s="251"/>
      <c r="W159" s="528"/>
      <c r="X159" s="251"/>
      <c r="Y159" s="251"/>
      <c r="Z159" s="251"/>
      <c r="AA159" s="251"/>
    </row>
    <row r="160" spans="1:27" ht="12.75" hidden="1" customHeight="1">
      <c r="A160" s="800" t="s">
        <v>700</v>
      </c>
      <c r="B160" s="130">
        <v>312317.30000000005</v>
      </c>
      <c r="C160" s="129">
        <v>-507937.39999999997</v>
      </c>
      <c r="D160" s="130">
        <f t="shared" si="54"/>
        <v>-195620.09999999992</v>
      </c>
      <c r="E160" s="133">
        <v>21652.299999999988</v>
      </c>
      <c r="F160" s="130">
        <v>322381.7</v>
      </c>
      <c r="G160" s="140">
        <v>54341.78333333334</v>
      </c>
      <c r="H160" s="141">
        <v>84991.5</v>
      </c>
      <c r="I160" s="130">
        <v>548600.5</v>
      </c>
      <c r="J160" s="213">
        <v>-217720.625</v>
      </c>
      <c r="K160" s="129">
        <v>-33763.699999999997</v>
      </c>
      <c r="L160" s="130">
        <f t="shared" si="48"/>
        <v>780483.45833333337</v>
      </c>
      <c r="M160" s="129">
        <v>7811</v>
      </c>
      <c r="N160" s="130">
        <v>930249.64166666649</v>
      </c>
      <c r="O160" s="140">
        <v>56.4</v>
      </c>
      <c r="P160" s="129">
        <f t="shared" si="53"/>
        <v>938117.04166666651</v>
      </c>
      <c r="Q160" s="130">
        <f t="shared" si="50"/>
        <v>1718600.5</v>
      </c>
      <c r="R160" s="130">
        <f t="shared" si="51"/>
        <v>1522980.4000000001</v>
      </c>
      <c r="T160" s="529"/>
      <c r="U160" s="145"/>
      <c r="V160" s="251"/>
      <c r="W160" s="528"/>
      <c r="X160" s="251"/>
      <c r="Y160" s="251"/>
      <c r="Z160" s="251"/>
      <c r="AA160" s="251"/>
    </row>
    <row r="161" spans="1:27" ht="12.75" hidden="1" customHeight="1">
      <c r="A161" s="800" t="s">
        <v>711</v>
      </c>
      <c r="B161" s="130">
        <v>329059.09999999998</v>
      </c>
      <c r="C161" s="129">
        <v>-495277</v>
      </c>
      <c r="D161" s="130">
        <f t="shared" si="54"/>
        <v>-166217.90000000002</v>
      </c>
      <c r="E161" s="133">
        <v>19504.700000000012</v>
      </c>
      <c r="F161" s="130">
        <v>348742.9</v>
      </c>
      <c r="G161" s="140">
        <v>53066.8</v>
      </c>
      <c r="H161" s="141">
        <v>83598.2</v>
      </c>
      <c r="I161" s="130">
        <v>547320.69999999995</v>
      </c>
      <c r="J161" s="213">
        <v>-224057.05000000005</v>
      </c>
      <c r="K161" s="129">
        <v>-41438.5</v>
      </c>
      <c r="L161" s="130">
        <f t="shared" si="48"/>
        <v>786737.75</v>
      </c>
      <c r="M161" s="129">
        <v>6934.1</v>
      </c>
      <c r="N161" s="130">
        <v>950320.35</v>
      </c>
      <c r="O161" s="140">
        <v>59.2</v>
      </c>
      <c r="P161" s="129">
        <f t="shared" si="53"/>
        <v>957313.64999999991</v>
      </c>
      <c r="Q161" s="130">
        <f t="shared" si="50"/>
        <v>1744051.4</v>
      </c>
      <c r="R161" s="130">
        <f t="shared" si="51"/>
        <v>1577833.5</v>
      </c>
      <c r="T161" s="529"/>
      <c r="U161" s="145"/>
      <c r="V161" s="251"/>
      <c r="W161" s="528"/>
      <c r="X161" s="251"/>
      <c r="Y161" s="251"/>
      <c r="Z161" s="251"/>
      <c r="AA161" s="251"/>
    </row>
    <row r="162" spans="1:27" ht="12.75" customHeight="1">
      <c r="A162" s="800" t="s">
        <v>730</v>
      </c>
      <c r="B162" s="130">
        <v>302241.99999999994</v>
      </c>
      <c r="C162" s="129">
        <v>-491105.60000000003</v>
      </c>
      <c r="D162" s="130">
        <f t="shared" si="54"/>
        <v>-188863.60000000009</v>
      </c>
      <c r="E162" s="133">
        <v>17403.200000000012</v>
      </c>
      <c r="F162" s="130">
        <v>365969.8</v>
      </c>
      <c r="G162" s="140">
        <v>54167.7</v>
      </c>
      <c r="H162" s="141">
        <v>82204.899999999994</v>
      </c>
      <c r="I162" s="130">
        <v>546680.9</v>
      </c>
      <c r="J162" s="213">
        <v>-220645.85833333334</v>
      </c>
      <c r="K162" s="129">
        <v>-39553.100000000006</v>
      </c>
      <c r="L162" s="130">
        <f t="shared" si="48"/>
        <v>806227.54166666663</v>
      </c>
      <c r="M162" s="129">
        <v>11846.1</v>
      </c>
      <c r="N162" s="130">
        <v>944411.55833333335</v>
      </c>
      <c r="O162" s="140">
        <v>35.000000000000007</v>
      </c>
      <c r="P162" s="129">
        <f t="shared" si="53"/>
        <v>956292.65833333333</v>
      </c>
      <c r="Q162" s="130">
        <f t="shared" si="50"/>
        <v>1762520.2</v>
      </c>
      <c r="R162" s="130">
        <f t="shared" si="51"/>
        <v>1573656.5999999999</v>
      </c>
      <c r="T162" s="529"/>
      <c r="U162" s="145"/>
      <c r="V162" s="251"/>
      <c r="W162" s="528"/>
      <c r="X162" s="251"/>
      <c r="Y162" s="251"/>
      <c r="Z162" s="251"/>
      <c r="AA162" s="251"/>
    </row>
    <row r="163" spans="1:27" ht="12.75" customHeight="1">
      <c r="A163" s="800" t="s">
        <v>46</v>
      </c>
      <c r="B163" s="130">
        <v>275294.5</v>
      </c>
      <c r="C163" s="129">
        <v>-477849.00000000006</v>
      </c>
      <c r="D163" s="130">
        <f t="shared" si="54"/>
        <v>-202554.50000000006</v>
      </c>
      <c r="E163" s="133">
        <v>10113</v>
      </c>
      <c r="F163" s="130">
        <v>370225.1</v>
      </c>
      <c r="G163" s="140">
        <v>47786.5</v>
      </c>
      <c r="H163" s="141">
        <v>80811.600000000006</v>
      </c>
      <c r="I163" s="130">
        <v>546041</v>
      </c>
      <c r="J163" s="213">
        <v>-213420.3666666667</v>
      </c>
      <c r="K163" s="129">
        <v>-29836.799999999999</v>
      </c>
      <c r="L163" s="130">
        <f t="shared" si="48"/>
        <v>811720.03333333321</v>
      </c>
      <c r="M163" s="129">
        <v>10810.300000000001</v>
      </c>
      <c r="N163" s="130">
        <v>970458.26666666684</v>
      </c>
      <c r="O163" s="140">
        <v>26.900000000000002</v>
      </c>
      <c r="P163" s="129">
        <f t="shared" si="53"/>
        <v>981295.46666666691</v>
      </c>
      <c r="Q163" s="130">
        <f t="shared" si="50"/>
        <v>1793015.5</v>
      </c>
      <c r="R163" s="130">
        <f t="shared" si="51"/>
        <v>1590461</v>
      </c>
      <c r="T163" s="529"/>
      <c r="U163" s="145"/>
      <c r="V163" s="251"/>
      <c r="W163" s="528"/>
      <c r="X163" s="251"/>
      <c r="Y163" s="251"/>
      <c r="Z163" s="251"/>
      <c r="AA163" s="251"/>
    </row>
    <row r="164" spans="1:27" ht="12.75" customHeight="1">
      <c r="A164" s="800" t="s">
        <v>47</v>
      </c>
      <c r="B164" s="130">
        <v>286513.80000000005</v>
      </c>
      <c r="C164" s="129">
        <v>-479290.8</v>
      </c>
      <c r="D164" s="130">
        <f t="shared" si="54"/>
        <v>-192776.99999999994</v>
      </c>
      <c r="E164" s="133">
        <v>18972.7</v>
      </c>
      <c r="F164" s="130">
        <v>390238.4</v>
      </c>
      <c r="G164" s="140">
        <v>46843.899999999994</v>
      </c>
      <c r="H164" s="141">
        <v>79418.3</v>
      </c>
      <c r="I164" s="130">
        <v>546041</v>
      </c>
      <c r="J164" s="213">
        <v>-221846.875</v>
      </c>
      <c r="K164" s="129">
        <v>-34558.300000000003</v>
      </c>
      <c r="L164" s="130">
        <f t="shared" si="48"/>
        <v>825109.125</v>
      </c>
      <c r="M164" s="129">
        <v>11752.5</v>
      </c>
      <c r="N164" s="130">
        <v>966564.875</v>
      </c>
      <c r="O164" s="140">
        <v>15.5</v>
      </c>
      <c r="P164" s="129">
        <f t="shared" si="53"/>
        <v>978332.875</v>
      </c>
      <c r="Q164" s="130">
        <f t="shared" si="50"/>
        <v>1803442</v>
      </c>
      <c r="R164" s="130">
        <f t="shared" si="51"/>
        <v>1610665</v>
      </c>
      <c r="T164" s="529"/>
      <c r="U164" s="145"/>
      <c r="V164" s="251"/>
      <c r="W164" s="528"/>
      <c r="X164" s="251"/>
      <c r="Y164" s="251"/>
      <c r="Z164" s="251"/>
      <c r="AA164" s="251"/>
    </row>
    <row r="165" spans="1:27" ht="12.75" customHeight="1">
      <c r="A165" s="800" t="s">
        <v>48</v>
      </c>
      <c r="B165" s="130">
        <v>282303.90000000002</v>
      </c>
      <c r="C165" s="129">
        <v>-478982.30000000005</v>
      </c>
      <c r="D165" s="130">
        <f t="shared" si="54"/>
        <v>-196678.40000000002</v>
      </c>
      <c r="E165" s="133">
        <v>37280.9</v>
      </c>
      <c r="F165" s="130">
        <v>391147.4</v>
      </c>
      <c r="G165" s="140">
        <v>51279.066666666666</v>
      </c>
      <c r="H165" s="141">
        <v>78024.899999999994</v>
      </c>
      <c r="I165" s="130">
        <v>545401.19999999995</v>
      </c>
      <c r="J165" s="213">
        <v>-225652.21666666667</v>
      </c>
      <c r="K165" s="129">
        <v>-29527.999999999996</v>
      </c>
      <c r="L165" s="130">
        <f t="shared" si="48"/>
        <v>847953.25000000012</v>
      </c>
      <c r="M165" s="129">
        <v>9622.4000000000015</v>
      </c>
      <c r="N165" s="130">
        <v>966850.28333333333</v>
      </c>
      <c r="O165" s="140">
        <v>21</v>
      </c>
      <c r="P165" s="129">
        <f t="shared" si="53"/>
        <v>976493.68333333335</v>
      </c>
      <c r="Q165" s="130">
        <f t="shared" si="50"/>
        <v>1824446.9333333336</v>
      </c>
      <c r="R165" s="130">
        <f t="shared" si="51"/>
        <v>1627768.5333333337</v>
      </c>
      <c r="T165" s="529"/>
      <c r="U165" s="145"/>
      <c r="V165" s="251"/>
      <c r="W165" s="528"/>
      <c r="X165" s="251"/>
      <c r="Y165" s="251"/>
      <c r="Z165" s="251"/>
      <c r="AA165" s="251"/>
    </row>
    <row r="166" spans="1:27" ht="12.75" customHeight="1">
      <c r="A166" s="800" t="s">
        <v>49</v>
      </c>
      <c r="B166" s="130">
        <v>300213.69999999995</v>
      </c>
      <c r="C166" s="129">
        <v>-481562.39999999997</v>
      </c>
      <c r="D166" s="130">
        <f>SUM(B166:C166)</f>
        <v>-181348.7</v>
      </c>
      <c r="E166" s="133">
        <v>69788.2</v>
      </c>
      <c r="F166" s="130">
        <v>404323.99999999988</v>
      </c>
      <c r="G166" s="140">
        <v>53115.833333333328</v>
      </c>
      <c r="H166" s="141">
        <v>75238.3</v>
      </c>
      <c r="I166" s="130">
        <v>544121.5</v>
      </c>
      <c r="J166" s="213">
        <v>-234794.84722222225</v>
      </c>
      <c r="K166" s="129">
        <v>-29455.5</v>
      </c>
      <c r="L166" s="130">
        <f t="shared" si="48"/>
        <v>882337.48611111101</v>
      </c>
      <c r="M166" s="129">
        <v>7496.4</v>
      </c>
      <c r="N166" s="130">
        <v>961766.10277777771</v>
      </c>
      <c r="O166" s="140">
        <v>13.3</v>
      </c>
      <c r="P166" s="129">
        <f t="shared" si="53"/>
        <v>969275.80277777778</v>
      </c>
      <c r="Q166" s="130">
        <f t="shared" si="50"/>
        <v>1851613.2888888889</v>
      </c>
      <c r="R166" s="130">
        <f t="shared" si="51"/>
        <v>1670264.5888888889</v>
      </c>
      <c r="T166" s="529"/>
      <c r="U166" s="145"/>
      <c r="V166" s="251"/>
      <c r="W166" s="528"/>
      <c r="X166" s="251"/>
      <c r="Y166" s="251"/>
      <c r="Z166" s="251"/>
      <c r="AA166" s="251"/>
    </row>
    <row r="167" spans="1:27" ht="12.75" customHeight="1">
      <c r="A167" s="800" t="s">
        <v>50</v>
      </c>
      <c r="B167" s="130">
        <v>291920.8</v>
      </c>
      <c r="C167" s="129">
        <v>-468775.10000000003</v>
      </c>
      <c r="D167" s="130">
        <f>SUM(B167:C167)</f>
        <v>-176854.30000000005</v>
      </c>
      <c r="E167" s="133">
        <v>134973.1</v>
      </c>
      <c r="F167" s="130">
        <v>438079.6</v>
      </c>
      <c r="G167" s="140">
        <v>37133.1</v>
      </c>
      <c r="H167" s="141">
        <v>73845.100000000006</v>
      </c>
      <c r="I167" s="130">
        <v>543481.59999999998</v>
      </c>
      <c r="J167" s="213">
        <v>-292795.7</v>
      </c>
      <c r="K167" s="129">
        <v>-30343.700000000004</v>
      </c>
      <c r="L167" s="130">
        <f t="shared" si="48"/>
        <v>904373.10000000009</v>
      </c>
      <c r="M167" s="129">
        <v>7680.5</v>
      </c>
      <c r="N167" s="130">
        <v>952257.90000000014</v>
      </c>
      <c r="O167" s="140">
        <v>57.6</v>
      </c>
      <c r="P167" s="129">
        <f t="shared" si="53"/>
        <v>959996.00000000012</v>
      </c>
      <c r="Q167" s="130">
        <f t="shared" si="50"/>
        <v>1864369.1</v>
      </c>
      <c r="R167" s="130">
        <f t="shared" si="51"/>
        <v>1687514.8</v>
      </c>
      <c r="T167" s="529"/>
      <c r="U167" s="145"/>
      <c r="V167" s="251"/>
      <c r="W167" s="528"/>
      <c r="X167" s="251"/>
      <c r="Y167" s="251"/>
      <c r="Z167" s="251"/>
      <c r="AA167" s="251"/>
    </row>
    <row r="168" spans="1:27" ht="12.75" customHeight="1">
      <c r="A168" s="800"/>
      <c r="B168" s="130"/>
      <c r="C168" s="129"/>
      <c r="D168" s="130"/>
      <c r="E168" s="133"/>
      <c r="F168" s="130"/>
      <c r="G168" s="140"/>
      <c r="H168" s="141"/>
      <c r="I168" s="130"/>
      <c r="J168" s="213"/>
      <c r="K168" s="129"/>
      <c r="L168" s="130"/>
      <c r="M168" s="129"/>
      <c r="N168" s="130"/>
      <c r="O168" s="140"/>
      <c r="P168" s="129"/>
      <c r="Q168" s="130"/>
      <c r="R168" s="130"/>
      <c r="T168" s="529"/>
      <c r="U168" s="145"/>
      <c r="V168" s="251"/>
      <c r="W168" s="528"/>
      <c r="X168" s="251"/>
      <c r="Y168" s="251"/>
      <c r="Z168" s="251"/>
      <c r="AA168" s="251"/>
    </row>
    <row r="169" spans="1:27" ht="12.75" customHeight="1">
      <c r="A169" s="800" t="s">
        <v>36</v>
      </c>
      <c r="B169" s="130">
        <v>310773.8</v>
      </c>
      <c r="C169" s="129">
        <v>-477963</v>
      </c>
      <c r="D169" s="130">
        <f t="shared" ref="D169" si="55">SUM(B169:C169)</f>
        <v>-167189.20000000001</v>
      </c>
      <c r="E169" s="133">
        <v>91642.3</v>
      </c>
      <c r="F169" s="130">
        <v>434826.99999999988</v>
      </c>
      <c r="G169" s="140">
        <v>36989.983333333337</v>
      </c>
      <c r="H169" s="141">
        <v>73845</v>
      </c>
      <c r="I169" s="130">
        <v>543481.59999999998</v>
      </c>
      <c r="J169" s="213">
        <v>-230887.38333333333</v>
      </c>
      <c r="K169" s="129">
        <v>-35103.4</v>
      </c>
      <c r="L169" s="130">
        <f t="shared" ref="L169:L188" si="56">SUM( (E169:K169))</f>
        <v>914795.1</v>
      </c>
      <c r="M169" s="129">
        <v>5822.0999999999995</v>
      </c>
      <c r="N169" s="130">
        <v>951221.06666666653</v>
      </c>
      <c r="O169" s="140">
        <v>38.9</v>
      </c>
      <c r="P169" s="129">
        <f t="shared" ref="P169:P183" si="57">SUM(M169:O169)</f>
        <v>957082.06666666653</v>
      </c>
      <c r="Q169" s="130">
        <f t="shared" ref="Q169:Q188" si="58">SUM(L169,P169)</f>
        <v>1871877.1666666665</v>
      </c>
      <c r="R169" s="130">
        <f t="shared" ref="R169:R188" si="59">SUM(D169,Q169)</f>
        <v>1704687.9666666666</v>
      </c>
      <c r="T169" s="529"/>
      <c r="U169" s="145"/>
      <c r="V169" s="251"/>
      <c r="W169" s="528"/>
      <c r="X169" s="251"/>
      <c r="Y169" s="251"/>
      <c r="Z169" s="251"/>
      <c r="AA169" s="251"/>
    </row>
    <row r="170" spans="1:27" ht="12.75" customHeight="1">
      <c r="A170" s="800" t="s">
        <v>37</v>
      </c>
      <c r="B170" s="130">
        <v>336974.8</v>
      </c>
      <c r="C170" s="129">
        <v>-483748.1</v>
      </c>
      <c r="D170" s="130">
        <f t="shared" ref="D170:D176" si="60">SUM(B170:C170)</f>
        <v>-146773.29999999999</v>
      </c>
      <c r="E170" s="133">
        <v>107598.6</v>
      </c>
      <c r="F170" s="130">
        <v>463337.09999999992</v>
      </c>
      <c r="G170" s="140">
        <v>38593.466666666667</v>
      </c>
      <c r="H170" s="141">
        <v>71058.399999999994</v>
      </c>
      <c r="I170" s="130">
        <v>542201.9</v>
      </c>
      <c r="J170" s="213">
        <v>-263582.16666666669</v>
      </c>
      <c r="K170" s="129">
        <v>-31073.100000000002</v>
      </c>
      <c r="L170" s="130">
        <f t="shared" si="56"/>
        <v>928134.20000000007</v>
      </c>
      <c r="M170" s="129">
        <v>4819.7000000000007</v>
      </c>
      <c r="N170" s="130">
        <v>913038.33333333337</v>
      </c>
      <c r="O170" s="140">
        <v>63.3</v>
      </c>
      <c r="P170" s="129">
        <f t="shared" si="57"/>
        <v>917921.33333333337</v>
      </c>
      <c r="Q170" s="130">
        <f t="shared" si="58"/>
        <v>1846055.5333333334</v>
      </c>
      <c r="R170" s="130">
        <f t="shared" si="59"/>
        <v>1699282.2333333334</v>
      </c>
      <c r="T170" s="529"/>
      <c r="U170" s="145"/>
      <c r="V170" s="251"/>
      <c r="W170" s="528"/>
      <c r="X170" s="251"/>
      <c r="Y170" s="251"/>
      <c r="Z170" s="251"/>
      <c r="AA170" s="251"/>
    </row>
    <row r="171" spans="1:27" ht="12.75" customHeight="1">
      <c r="A171" s="800" t="s">
        <v>38</v>
      </c>
      <c r="B171" s="130">
        <v>313355.7</v>
      </c>
      <c r="C171" s="129">
        <v>-478317.10000000003</v>
      </c>
      <c r="D171" s="130">
        <f t="shared" si="60"/>
        <v>-164961.40000000002</v>
      </c>
      <c r="E171" s="133">
        <v>130042.5</v>
      </c>
      <c r="F171" s="130">
        <v>474831.29999999993</v>
      </c>
      <c r="G171" s="140">
        <v>48614.55</v>
      </c>
      <c r="H171" s="141">
        <v>69665.100000000006</v>
      </c>
      <c r="I171" s="130">
        <v>541562</v>
      </c>
      <c r="J171" s="213">
        <v>-249119.95</v>
      </c>
      <c r="K171" s="129">
        <v>-31884.699999999997</v>
      </c>
      <c r="L171" s="130">
        <f t="shared" si="56"/>
        <v>983710.8</v>
      </c>
      <c r="M171" s="129">
        <v>7259.8</v>
      </c>
      <c r="N171" s="130">
        <v>904768.59999999986</v>
      </c>
      <c r="O171" s="140">
        <v>58.6</v>
      </c>
      <c r="P171" s="129">
        <f t="shared" si="57"/>
        <v>912086.99999999988</v>
      </c>
      <c r="Q171" s="130">
        <f t="shared" si="58"/>
        <v>1895797.7999999998</v>
      </c>
      <c r="R171" s="130">
        <f t="shared" si="59"/>
        <v>1730836.4</v>
      </c>
      <c r="T171" s="529"/>
      <c r="U171" s="145"/>
      <c r="V171" s="251"/>
      <c r="W171" s="528"/>
      <c r="X171" s="251"/>
      <c r="Y171" s="251"/>
      <c r="Z171" s="251"/>
      <c r="AA171" s="251"/>
    </row>
    <row r="172" spans="1:27" ht="12.75" customHeight="1">
      <c r="A172" s="800" t="s">
        <v>628</v>
      </c>
      <c r="B172" s="130">
        <v>319625.2</v>
      </c>
      <c r="C172" s="129">
        <v>-483043.90000000008</v>
      </c>
      <c r="D172" s="130">
        <f t="shared" si="60"/>
        <v>-163418.70000000007</v>
      </c>
      <c r="E172" s="133">
        <v>122074.2</v>
      </c>
      <c r="F172" s="130">
        <f>404380.6+88658.2</f>
        <v>493038.8</v>
      </c>
      <c r="G172" s="140">
        <v>44744.53333333334</v>
      </c>
      <c r="H172" s="141">
        <v>69665.100000000006</v>
      </c>
      <c r="I172" s="130">
        <v>541562</v>
      </c>
      <c r="J172" s="213">
        <v>-234800.26666666666</v>
      </c>
      <c r="K172" s="129">
        <v>-38835.700000000004</v>
      </c>
      <c r="L172" s="130">
        <f t="shared" si="56"/>
        <v>997448.66666666674</v>
      </c>
      <c r="M172" s="129">
        <v>5679.7</v>
      </c>
      <c r="N172" s="130">
        <v>903606.2333333334</v>
      </c>
      <c r="O172" s="140">
        <v>45.9</v>
      </c>
      <c r="P172" s="129">
        <f t="shared" si="57"/>
        <v>909331.83333333337</v>
      </c>
      <c r="Q172" s="130">
        <f t="shared" si="58"/>
        <v>1906780.5</v>
      </c>
      <c r="R172" s="130">
        <f t="shared" si="59"/>
        <v>1743361.7999999998</v>
      </c>
      <c r="T172" s="529"/>
      <c r="U172" s="145"/>
      <c r="V172" s="251"/>
      <c r="W172" s="528"/>
      <c r="X172" s="251"/>
      <c r="Y172" s="251"/>
      <c r="Z172" s="251"/>
      <c r="AA172" s="251"/>
    </row>
    <row r="173" spans="1:27" ht="12.75" customHeight="1">
      <c r="A173" s="800" t="s">
        <v>43</v>
      </c>
      <c r="B173" s="130">
        <v>385552.39999999997</v>
      </c>
      <c r="C173" s="129">
        <v>-500677.2</v>
      </c>
      <c r="D173" s="130">
        <f t="shared" si="60"/>
        <v>-115124.80000000005</v>
      </c>
      <c r="E173" s="133">
        <v>139502.5</v>
      </c>
      <c r="F173" s="130">
        <f>413725.4+97970.4</f>
        <v>511695.80000000005</v>
      </c>
      <c r="G173" s="140">
        <v>46120.016666666663</v>
      </c>
      <c r="H173" s="141">
        <v>68271.8</v>
      </c>
      <c r="I173" s="130">
        <v>540922.1</v>
      </c>
      <c r="J173" s="213">
        <v>-283659.98333333334</v>
      </c>
      <c r="K173" s="129">
        <v>-46465.500000000007</v>
      </c>
      <c r="L173" s="130">
        <f t="shared" si="56"/>
        <v>976386.7333333334</v>
      </c>
      <c r="M173" s="129">
        <v>7590.3</v>
      </c>
      <c r="N173" s="130">
        <v>919197.06666666665</v>
      </c>
      <c r="O173" s="140">
        <v>19.5</v>
      </c>
      <c r="P173" s="129">
        <f t="shared" si="57"/>
        <v>926806.8666666667</v>
      </c>
      <c r="Q173" s="130">
        <f t="shared" si="58"/>
        <v>1903193.6</v>
      </c>
      <c r="R173" s="130">
        <f t="shared" si="59"/>
        <v>1788068.8</v>
      </c>
      <c r="T173" s="529"/>
      <c r="U173" s="145"/>
      <c r="V173" s="251"/>
      <c r="W173" s="528"/>
      <c r="X173" s="251"/>
      <c r="Y173" s="251"/>
      <c r="Z173" s="251"/>
      <c r="AA173" s="251"/>
    </row>
    <row r="174" spans="1:27" ht="12.75" customHeight="1">
      <c r="A174" s="800" t="s">
        <v>44</v>
      </c>
      <c r="B174" s="130">
        <v>354736.20000000007</v>
      </c>
      <c r="C174" s="129">
        <v>-509994.8</v>
      </c>
      <c r="D174" s="130">
        <f t="shared" si="60"/>
        <v>-155258.59999999992</v>
      </c>
      <c r="E174" s="133">
        <v>141652.79999999999</v>
      </c>
      <c r="F174" s="130">
        <f>399492.8+121468.7</f>
        <v>520961.5</v>
      </c>
      <c r="G174" s="140">
        <v>41050</v>
      </c>
      <c r="H174" s="141">
        <v>66878.5</v>
      </c>
      <c r="I174" s="130">
        <v>540282.30000000005</v>
      </c>
      <c r="J174" s="213">
        <v>-247594.50000000003</v>
      </c>
      <c r="K174" s="129">
        <v>-54181.8</v>
      </c>
      <c r="L174" s="130">
        <f t="shared" si="56"/>
        <v>1009048.8</v>
      </c>
      <c r="M174" s="129">
        <v>13580.7</v>
      </c>
      <c r="N174" s="130">
        <v>960533.5</v>
      </c>
      <c r="O174" s="140">
        <v>33.299999999999997</v>
      </c>
      <c r="P174" s="129">
        <f t="shared" si="57"/>
        <v>974147.5</v>
      </c>
      <c r="Q174" s="130">
        <f t="shared" si="58"/>
        <v>1983196.3</v>
      </c>
      <c r="R174" s="130">
        <f t="shared" si="59"/>
        <v>1827937.7000000002</v>
      </c>
      <c r="T174" s="529"/>
      <c r="U174" s="145"/>
      <c r="V174" s="251"/>
      <c r="W174" s="528"/>
      <c r="X174" s="251"/>
      <c r="Y174" s="251"/>
      <c r="Z174" s="251"/>
      <c r="AA174" s="251"/>
    </row>
    <row r="175" spans="1:27" ht="12.75" customHeight="1">
      <c r="A175" s="800" t="s">
        <v>619</v>
      </c>
      <c r="B175" s="130">
        <v>352904.4</v>
      </c>
      <c r="C175" s="129">
        <v>-510080.8</v>
      </c>
      <c r="D175" s="130">
        <f t="shared" si="60"/>
        <v>-157176.39999999997</v>
      </c>
      <c r="E175" s="133">
        <v>126976.7</v>
      </c>
      <c r="F175" s="130">
        <f>376491.4+140609.7</f>
        <v>517101.10000000003</v>
      </c>
      <c r="G175" s="140">
        <v>40961.25</v>
      </c>
      <c r="H175" s="141">
        <v>65485.2</v>
      </c>
      <c r="I175" s="130">
        <v>539642.4</v>
      </c>
      <c r="J175" s="213">
        <v>-250246.3666666667</v>
      </c>
      <c r="K175" s="129">
        <v>-45758.5</v>
      </c>
      <c r="L175" s="130">
        <f t="shared" si="56"/>
        <v>994161.78333333321</v>
      </c>
      <c r="M175" s="129">
        <v>14083.899999999998</v>
      </c>
      <c r="N175" s="130">
        <v>981918.7333333334</v>
      </c>
      <c r="O175" s="140">
        <v>41.9</v>
      </c>
      <c r="P175" s="129">
        <f t="shared" si="57"/>
        <v>996044.53333333344</v>
      </c>
      <c r="Q175" s="130">
        <f t="shared" si="58"/>
        <v>1990206.3166666667</v>
      </c>
      <c r="R175" s="130">
        <f t="shared" si="59"/>
        <v>1833029.9166666667</v>
      </c>
      <c r="T175" s="529"/>
      <c r="U175" s="145"/>
      <c r="V175" s="251"/>
      <c r="W175" s="528"/>
      <c r="X175" s="251"/>
      <c r="Y175" s="251"/>
      <c r="Z175" s="251"/>
      <c r="AA175" s="251"/>
    </row>
    <row r="176" spans="1:27" ht="12.75" customHeight="1">
      <c r="A176" s="800" t="s">
        <v>46</v>
      </c>
      <c r="B176" s="130">
        <v>340131.79999999993</v>
      </c>
      <c r="C176" s="129">
        <v>-520204.79999999993</v>
      </c>
      <c r="D176" s="130">
        <f t="shared" si="60"/>
        <v>-180073</v>
      </c>
      <c r="E176" s="133">
        <v>129280.9</v>
      </c>
      <c r="F176" s="130">
        <f>374084.6+160072.2</f>
        <v>534156.80000000005</v>
      </c>
      <c r="G176" s="140">
        <v>44402.2</v>
      </c>
      <c r="H176" s="141">
        <v>62698.6</v>
      </c>
      <c r="I176" s="130">
        <v>538362.6</v>
      </c>
      <c r="J176" s="213">
        <v>-242891.03333333333</v>
      </c>
      <c r="K176" s="129">
        <v>-36979.199999999997</v>
      </c>
      <c r="L176" s="130">
        <f t="shared" si="56"/>
        <v>1029030.8666666669</v>
      </c>
      <c r="M176" s="129">
        <v>19603.199999999997</v>
      </c>
      <c r="N176" s="130">
        <v>993604.66666666674</v>
      </c>
      <c r="O176" s="140">
        <v>39.299999999999997</v>
      </c>
      <c r="P176" s="129">
        <f t="shared" si="57"/>
        <v>1013247.1666666667</v>
      </c>
      <c r="Q176" s="130">
        <f t="shared" si="58"/>
        <v>2042278.0333333337</v>
      </c>
      <c r="R176" s="130">
        <f t="shared" si="59"/>
        <v>1862205.0333333337</v>
      </c>
      <c r="T176" s="529"/>
      <c r="U176" s="145"/>
      <c r="V176" s="251"/>
      <c r="W176" s="528"/>
      <c r="X176" s="251"/>
      <c r="Y176" s="251"/>
      <c r="Z176" s="251"/>
      <c r="AA176" s="251"/>
    </row>
    <row r="177" spans="1:253" ht="12.75" customHeight="1">
      <c r="A177" s="800" t="s">
        <v>47</v>
      </c>
      <c r="B177" s="130">
        <v>340498.39999999997</v>
      </c>
      <c r="C177" s="129">
        <v>-519125.50000000006</v>
      </c>
      <c r="D177" s="130">
        <f>SUM(B177:C177)</f>
        <v>-178627.10000000009</v>
      </c>
      <c r="E177" s="133">
        <v>112382.3</v>
      </c>
      <c r="F177" s="130">
        <f>369923.1+180815.7</f>
        <v>550738.80000000005</v>
      </c>
      <c r="G177" s="140">
        <v>44013.45</v>
      </c>
      <c r="H177" s="141">
        <v>62698.6</v>
      </c>
      <c r="I177" s="130">
        <v>538362.6</v>
      </c>
      <c r="J177" s="213">
        <v>-236439.90000000002</v>
      </c>
      <c r="K177" s="129">
        <v>-36799.500000000007</v>
      </c>
      <c r="L177" s="130">
        <f t="shared" si="56"/>
        <v>1034956.3500000001</v>
      </c>
      <c r="M177" s="129">
        <v>29039.9</v>
      </c>
      <c r="N177" s="130">
        <v>999986.39999999991</v>
      </c>
      <c r="O177" s="140">
        <v>56.1</v>
      </c>
      <c r="P177" s="129">
        <f t="shared" si="57"/>
        <v>1029082.3999999999</v>
      </c>
      <c r="Q177" s="130">
        <f t="shared" si="58"/>
        <v>2064038.75</v>
      </c>
      <c r="R177" s="130">
        <f t="shared" si="59"/>
        <v>1885411.65</v>
      </c>
      <c r="T177" s="529"/>
      <c r="U177" s="145"/>
      <c r="V177" s="251"/>
      <c r="W177" s="528"/>
      <c r="X177" s="251"/>
      <c r="Y177" s="251"/>
      <c r="Z177" s="251"/>
      <c r="AA177" s="251"/>
    </row>
    <row r="178" spans="1:253" ht="12.75" customHeight="1">
      <c r="A178" s="800" t="s">
        <v>48</v>
      </c>
      <c r="B178" s="130">
        <v>390271</v>
      </c>
      <c r="C178" s="129">
        <v>-506981.90000000008</v>
      </c>
      <c r="D178" s="130">
        <f>SUM(B178:C178)</f>
        <v>-116710.90000000008</v>
      </c>
      <c r="E178" s="133">
        <v>144881.70000000001</v>
      </c>
      <c r="F178" s="130">
        <f>387614.4+163077.1</f>
        <v>550691.5</v>
      </c>
      <c r="G178" s="140">
        <v>39800.766666666663</v>
      </c>
      <c r="H178" s="141">
        <v>59912</v>
      </c>
      <c r="I178" s="130">
        <v>537082.9</v>
      </c>
      <c r="J178" s="213">
        <v>-302743.10000000003</v>
      </c>
      <c r="K178" s="129">
        <v>-36530.300000000003</v>
      </c>
      <c r="L178" s="130">
        <f t="shared" si="56"/>
        <v>993095.46666666656</v>
      </c>
      <c r="M178" s="129">
        <v>30806.400000000001</v>
      </c>
      <c r="N178" s="130">
        <v>1009507.2999999999</v>
      </c>
      <c r="O178" s="140">
        <v>47.7</v>
      </c>
      <c r="P178" s="129">
        <f t="shared" si="57"/>
        <v>1040361.3999999999</v>
      </c>
      <c r="Q178" s="130">
        <f t="shared" si="58"/>
        <v>2033456.8666666665</v>
      </c>
      <c r="R178" s="130">
        <f t="shared" si="59"/>
        <v>1916745.9666666663</v>
      </c>
      <c r="T178" s="529"/>
      <c r="U178" s="145"/>
      <c r="V178" s="251"/>
      <c r="W178" s="528"/>
      <c r="X178" s="251"/>
      <c r="Y178" s="251"/>
      <c r="Z178" s="251"/>
      <c r="AA178" s="251"/>
    </row>
    <row r="179" spans="1:253" ht="12.75" customHeight="1">
      <c r="A179" s="800" t="s">
        <v>49</v>
      </c>
      <c r="B179" s="130">
        <v>351589.79999999993</v>
      </c>
      <c r="C179" s="129">
        <v>-498380.6</v>
      </c>
      <c r="D179" s="130">
        <f>SUM(B179:C179)</f>
        <v>-146790.80000000005</v>
      </c>
      <c r="E179" s="133">
        <v>150659</v>
      </c>
      <c r="F179" s="130">
        <f>393437.6+178743.5</f>
        <v>572181.1</v>
      </c>
      <c r="G179" s="140">
        <v>32592.883333333335</v>
      </c>
      <c r="H179" s="141">
        <v>59912</v>
      </c>
      <c r="I179" s="130">
        <v>536443</v>
      </c>
      <c r="J179" s="213">
        <v>-270173.3</v>
      </c>
      <c r="K179" s="129">
        <v>-44733.8</v>
      </c>
      <c r="L179" s="130">
        <f t="shared" si="56"/>
        <v>1036880.8833333333</v>
      </c>
      <c r="M179" s="129">
        <v>34844.600000000006</v>
      </c>
      <c r="N179" s="130">
        <v>1010786.5</v>
      </c>
      <c r="O179" s="140">
        <v>4522.3</v>
      </c>
      <c r="P179" s="129">
        <f t="shared" si="57"/>
        <v>1050153.3999999999</v>
      </c>
      <c r="Q179" s="130">
        <f t="shared" si="58"/>
        <v>2087034.2833333332</v>
      </c>
      <c r="R179" s="130">
        <f t="shared" si="59"/>
        <v>1940243.4833333332</v>
      </c>
      <c r="T179" s="529"/>
      <c r="U179" s="145"/>
      <c r="V179" s="251"/>
      <c r="W179" s="528"/>
      <c r="X179" s="251"/>
      <c r="Y179" s="251"/>
      <c r="Z179" s="251"/>
      <c r="AA179" s="251"/>
    </row>
    <row r="180" spans="1:253" ht="12.75" customHeight="1">
      <c r="A180" s="800" t="s">
        <v>50</v>
      </c>
      <c r="B180" s="130">
        <v>340133.20000000007</v>
      </c>
      <c r="C180" s="129">
        <v>-497017.7</v>
      </c>
      <c r="D180" s="130">
        <f>SUM(B180:C180)</f>
        <v>-156884.49999999994</v>
      </c>
      <c r="E180" s="133">
        <v>194279.4</v>
      </c>
      <c r="F180" s="130">
        <v>643490.6</v>
      </c>
      <c r="G180" s="140">
        <v>30924.9</v>
      </c>
      <c r="H180" s="141">
        <v>57125.4</v>
      </c>
      <c r="I180" s="130">
        <v>535803.19999999995</v>
      </c>
      <c r="J180" s="213">
        <v>-301668.90000000008</v>
      </c>
      <c r="K180" s="129">
        <v>-49310.1</v>
      </c>
      <c r="L180" s="130">
        <f t="shared" si="56"/>
        <v>1110644.4999999998</v>
      </c>
      <c r="M180" s="129">
        <v>28762.899999999998</v>
      </c>
      <c r="N180" s="130">
        <v>966229.29999999993</v>
      </c>
      <c r="O180" s="140">
        <v>4937.3999999999996</v>
      </c>
      <c r="P180" s="129">
        <f t="shared" si="57"/>
        <v>999929.6</v>
      </c>
      <c r="Q180" s="130">
        <f t="shared" si="58"/>
        <v>2110574.0999999996</v>
      </c>
      <c r="R180" s="130">
        <f t="shared" si="59"/>
        <v>1953689.5999999996</v>
      </c>
      <c r="T180" s="529"/>
      <c r="U180" s="145"/>
      <c r="V180" s="251"/>
      <c r="W180" s="528"/>
      <c r="X180" s="251"/>
      <c r="Y180" s="251"/>
      <c r="Z180" s="251"/>
      <c r="AA180" s="251"/>
    </row>
    <row r="181" spans="1:253" ht="12.75" customHeight="1">
      <c r="A181" s="800"/>
      <c r="B181" s="130"/>
      <c r="C181" s="129"/>
      <c r="D181" s="130"/>
      <c r="E181" s="133"/>
      <c r="F181" s="130"/>
      <c r="G181" s="140"/>
      <c r="H181" s="141"/>
      <c r="I181" s="130"/>
      <c r="J181" s="213"/>
      <c r="K181" s="129"/>
      <c r="L181" s="130"/>
      <c r="M181" s="129"/>
      <c r="N181" s="130"/>
      <c r="O181" s="140"/>
      <c r="P181" s="129"/>
      <c r="Q181" s="130"/>
      <c r="R181" s="130"/>
      <c r="T181" s="529"/>
      <c r="U181" s="145"/>
      <c r="V181" s="251"/>
      <c r="W181" s="528"/>
      <c r="X181" s="251"/>
      <c r="Y181" s="251"/>
      <c r="Z181" s="251"/>
      <c r="AA181" s="251"/>
    </row>
    <row r="182" spans="1:253" ht="12.75" customHeight="1">
      <c r="A182" s="800" t="s">
        <v>674</v>
      </c>
      <c r="B182" s="130">
        <v>316676.10000000003</v>
      </c>
      <c r="C182" s="129">
        <v>-496656.8</v>
      </c>
      <c r="D182" s="130">
        <f t="shared" ref="D182:D188" si="61">SUM(B182:C182)</f>
        <v>-179980.69999999995</v>
      </c>
      <c r="E182" s="133">
        <v>154611.4</v>
      </c>
      <c r="F182" s="130">
        <v>662177.9</v>
      </c>
      <c r="G182" s="140">
        <v>30922.65</v>
      </c>
      <c r="H182" s="141">
        <v>55732.1</v>
      </c>
      <c r="I182" s="130">
        <v>535163.30000000005</v>
      </c>
      <c r="J182" s="213">
        <v>-274789.50000000006</v>
      </c>
      <c r="K182" s="129">
        <v>-53949.7</v>
      </c>
      <c r="L182" s="130">
        <f t="shared" si="56"/>
        <v>1109868.1500000001</v>
      </c>
      <c r="M182" s="129">
        <v>25425.200000000001</v>
      </c>
      <c r="N182" s="130">
        <v>969915.28333333321</v>
      </c>
      <c r="O182" s="140">
        <v>4778.2</v>
      </c>
      <c r="P182" s="129">
        <f t="shared" si="57"/>
        <v>1000118.6833333331</v>
      </c>
      <c r="Q182" s="130">
        <f t="shared" si="58"/>
        <v>2109986.833333333</v>
      </c>
      <c r="R182" s="130">
        <f t="shared" si="59"/>
        <v>1930006.1333333331</v>
      </c>
      <c r="T182" s="529"/>
      <c r="U182" s="145"/>
      <c r="V182" s="251"/>
      <c r="W182" s="528"/>
      <c r="X182" s="251"/>
      <c r="Y182" s="251"/>
      <c r="Z182" s="251"/>
      <c r="AA182" s="251"/>
    </row>
    <row r="183" spans="1:253" ht="12.75" customHeight="1">
      <c r="A183" s="800" t="s">
        <v>679</v>
      </c>
      <c r="B183" s="130">
        <v>366612.1</v>
      </c>
      <c r="C183" s="129">
        <v>-498857</v>
      </c>
      <c r="D183" s="130">
        <f t="shared" si="61"/>
        <v>-132244.90000000002</v>
      </c>
      <c r="E183" s="133">
        <v>156799.4</v>
      </c>
      <c r="F183" s="130">
        <v>689269.8</v>
      </c>
      <c r="G183" s="140">
        <v>29447.3</v>
      </c>
      <c r="H183" s="141">
        <v>54338.8</v>
      </c>
      <c r="I183" s="130">
        <v>534523.4</v>
      </c>
      <c r="J183" s="213">
        <v>-276278.5</v>
      </c>
      <c r="K183" s="129">
        <v>-54856.100000000006</v>
      </c>
      <c r="L183" s="130">
        <f t="shared" si="56"/>
        <v>1133244.1000000001</v>
      </c>
      <c r="M183" s="129">
        <v>17299.899999999998</v>
      </c>
      <c r="N183" s="130">
        <v>1002378.3666666669</v>
      </c>
      <c r="O183" s="140">
        <v>4731.8</v>
      </c>
      <c r="P183" s="129">
        <f t="shared" si="57"/>
        <v>1024410.066666667</v>
      </c>
      <c r="Q183" s="130">
        <f t="shared" si="58"/>
        <v>2157654.166666667</v>
      </c>
      <c r="R183" s="130">
        <f t="shared" si="59"/>
        <v>2025409.2666666671</v>
      </c>
      <c r="T183" s="529"/>
      <c r="U183" s="145"/>
      <c r="V183" s="251"/>
      <c r="W183" s="528"/>
      <c r="X183" s="251"/>
      <c r="Y183" s="251"/>
      <c r="Z183" s="251"/>
      <c r="AA183" s="251"/>
    </row>
    <row r="184" spans="1:253" ht="12.75" customHeight="1">
      <c r="A184" s="800" t="s">
        <v>686</v>
      </c>
      <c r="B184" s="130">
        <v>323165.99999999994</v>
      </c>
      <c r="C184" s="129">
        <v>-496828.30000000005</v>
      </c>
      <c r="D184" s="130">
        <f t="shared" si="61"/>
        <v>-173662.3000000001</v>
      </c>
      <c r="E184" s="133">
        <v>151279.20000000001</v>
      </c>
      <c r="F184" s="130">
        <v>718061.79999999993</v>
      </c>
      <c r="G184" s="140">
        <v>29375</v>
      </c>
      <c r="H184" s="141">
        <v>52945.5</v>
      </c>
      <c r="I184" s="130">
        <v>533314.30000000005</v>
      </c>
      <c r="J184" s="213">
        <v>-291409.40000000002</v>
      </c>
      <c r="K184" s="129">
        <v>-56551.900000000009</v>
      </c>
      <c r="L184" s="130">
        <f t="shared" si="56"/>
        <v>1137014.5</v>
      </c>
      <c r="M184" s="129">
        <v>16032.599999999999</v>
      </c>
      <c r="N184" s="130">
        <v>998980.9</v>
      </c>
      <c r="O184" s="140">
        <f>5422.5</f>
        <v>5422.5</v>
      </c>
      <c r="P184" s="129">
        <f t="shared" ref="P184:P186" si="62">SUM(M184:O184)</f>
        <v>1020436</v>
      </c>
      <c r="Q184" s="130">
        <f t="shared" si="58"/>
        <v>2157450.5</v>
      </c>
      <c r="R184" s="130">
        <f t="shared" si="59"/>
        <v>1983788.2</v>
      </c>
      <c r="T184" s="529"/>
      <c r="U184" s="145"/>
      <c r="V184" s="251"/>
      <c r="W184" s="528"/>
      <c r="X184" s="251"/>
      <c r="Y184" s="251"/>
      <c r="Z184" s="251"/>
      <c r="AA184" s="251"/>
    </row>
    <row r="185" spans="1:253" ht="12.75" customHeight="1">
      <c r="A185" s="800" t="s">
        <v>696</v>
      </c>
      <c r="B185" s="130">
        <v>335048.90000000002</v>
      </c>
      <c r="C185" s="129">
        <v>-496528.2</v>
      </c>
      <c r="D185" s="130">
        <f t="shared" si="61"/>
        <v>-161479.29999999999</v>
      </c>
      <c r="E185" s="133">
        <v>130576.4</v>
      </c>
      <c r="F185" s="130">
        <v>746757.5</v>
      </c>
      <c r="G185" s="140">
        <v>29973.800000000003</v>
      </c>
      <c r="H185" s="141">
        <v>52945.5</v>
      </c>
      <c r="I185" s="130">
        <v>532175.80000000005</v>
      </c>
      <c r="J185" s="213">
        <v>-292008.90000000002</v>
      </c>
      <c r="K185" s="129">
        <v>-59990</v>
      </c>
      <c r="L185" s="130">
        <f t="shared" si="56"/>
        <v>1140430.1000000001</v>
      </c>
      <c r="M185" s="129">
        <v>14505.4</v>
      </c>
      <c r="N185" s="130">
        <v>1003663.1999999998</v>
      </c>
      <c r="O185" s="140">
        <v>4964</v>
      </c>
      <c r="P185" s="129">
        <f t="shared" si="62"/>
        <v>1023132.5999999999</v>
      </c>
      <c r="Q185" s="130">
        <f t="shared" si="58"/>
        <v>2163562.7000000002</v>
      </c>
      <c r="R185" s="130">
        <f t="shared" si="59"/>
        <v>2002083.4000000001</v>
      </c>
      <c r="T185" s="529"/>
      <c r="U185" s="145"/>
      <c r="V185" s="251"/>
      <c r="W185" s="528"/>
      <c r="X185" s="251"/>
      <c r="Y185" s="251"/>
      <c r="Z185" s="251"/>
      <c r="AA185" s="251"/>
    </row>
    <row r="186" spans="1:253" ht="12.75" customHeight="1">
      <c r="A186" s="800" t="s">
        <v>708</v>
      </c>
      <c r="B186" s="130">
        <v>307553.5</v>
      </c>
      <c r="C186" s="129">
        <v>-486411.2</v>
      </c>
      <c r="D186" s="130">
        <f t="shared" si="61"/>
        <v>-178857.7</v>
      </c>
      <c r="E186" s="133">
        <v>134896.70000000001</v>
      </c>
      <c r="F186" s="130">
        <v>774730.49999999977</v>
      </c>
      <c r="G186" s="140">
        <v>31280.6</v>
      </c>
      <c r="H186" s="141">
        <v>50158.9</v>
      </c>
      <c r="I186" s="130">
        <v>529757.5</v>
      </c>
      <c r="J186" s="213">
        <v>-294876.80000000005</v>
      </c>
      <c r="K186" s="129">
        <v>-59494.400000000001</v>
      </c>
      <c r="L186" s="130">
        <f t="shared" si="56"/>
        <v>1166452.9999999998</v>
      </c>
      <c r="M186" s="129">
        <v>14832.3</v>
      </c>
      <c r="N186" s="130">
        <v>995710</v>
      </c>
      <c r="O186" s="140">
        <v>5359.7</v>
      </c>
      <c r="P186" s="129">
        <f t="shared" si="62"/>
        <v>1015902</v>
      </c>
      <c r="Q186" s="130">
        <f t="shared" si="58"/>
        <v>2182355</v>
      </c>
      <c r="R186" s="130">
        <f t="shared" si="59"/>
        <v>2003497.3</v>
      </c>
      <c r="T186" s="529"/>
      <c r="U186" s="145"/>
      <c r="V186" s="251"/>
      <c r="W186" s="528"/>
      <c r="X186" s="251"/>
      <c r="Y186" s="251"/>
      <c r="Z186" s="251"/>
      <c r="AA186" s="251"/>
    </row>
    <row r="187" spans="1:253" s="1051" customFormat="1" ht="12.75" customHeight="1">
      <c r="A187" s="800" t="s">
        <v>721</v>
      </c>
      <c r="B187" s="130">
        <v>325879.70000000007</v>
      </c>
      <c r="C187" s="129">
        <v>-530917.29999999993</v>
      </c>
      <c r="D187" s="130">
        <f t="shared" si="61"/>
        <v>-205037.59999999986</v>
      </c>
      <c r="E187" s="133">
        <v>201181.6</v>
      </c>
      <c r="F187" s="130">
        <v>802617.9</v>
      </c>
      <c r="G187" s="140">
        <v>61961.200000000004</v>
      </c>
      <c r="H187" s="141">
        <v>50158.9</v>
      </c>
      <c r="I187" s="130">
        <v>529117.6</v>
      </c>
      <c r="J187" s="213">
        <v>-401185.60000000003</v>
      </c>
      <c r="K187" s="129">
        <v>-53505.3</v>
      </c>
      <c r="L187" s="130">
        <f t="shared" si="56"/>
        <v>1190346.2999999996</v>
      </c>
      <c r="M187" s="129">
        <v>24405.8</v>
      </c>
      <c r="N187" s="130">
        <v>1044001.5999999999</v>
      </c>
      <c r="O187" s="140">
        <v>5533.2</v>
      </c>
      <c r="P187" s="129">
        <f t="shared" ref="P187:P188" si="63">SUM(M187:O187)</f>
        <v>1073940.5999999999</v>
      </c>
      <c r="Q187" s="130">
        <f t="shared" si="58"/>
        <v>2264286.8999999994</v>
      </c>
      <c r="R187" s="130">
        <f t="shared" si="59"/>
        <v>2059249.2999999996</v>
      </c>
      <c r="T187" s="529"/>
      <c r="U187" s="145"/>
      <c r="V187" s="1061"/>
      <c r="W187" s="528"/>
      <c r="X187" s="1061"/>
      <c r="Y187" s="1061"/>
      <c r="Z187" s="1061"/>
      <c r="AA187" s="1061"/>
    </row>
    <row r="188" spans="1:253" s="1051" customFormat="1" ht="12.75" customHeight="1">
      <c r="A188" s="800" t="s">
        <v>732</v>
      </c>
      <c r="B188" s="130">
        <v>301132.09999999998</v>
      </c>
      <c r="C188" s="129">
        <v>-504591</v>
      </c>
      <c r="D188" s="130">
        <f t="shared" si="61"/>
        <v>-203458.90000000002</v>
      </c>
      <c r="E188" s="133">
        <v>162239</v>
      </c>
      <c r="F188" s="130">
        <v>808135.20000000007</v>
      </c>
      <c r="G188" s="140">
        <v>62178.3</v>
      </c>
      <c r="H188" s="141">
        <v>48765.599999999999</v>
      </c>
      <c r="I188" s="130">
        <v>528548.4</v>
      </c>
      <c r="J188" s="213">
        <v>-357861.30000000005</v>
      </c>
      <c r="K188" s="129">
        <v>-41610.800000000003</v>
      </c>
      <c r="L188" s="130">
        <f t="shared" si="56"/>
        <v>1210394.3999999999</v>
      </c>
      <c r="M188" s="129">
        <v>27074.999999999996</v>
      </c>
      <c r="N188" s="130">
        <v>1075639.3</v>
      </c>
      <c r="O188" s="140">
        <v>5486.6</v>
      </c>
      <c r="P188" s="129">
        <f t="shared" si="63"/>
        <v>1108200.9000000001</v>
      </c>
      <c r="Q188" s="130">
        <f t="shared" si="58"/>
        <v>2318595.2999999998</v>
      </c>
      <c r="R188" s="130">
        <f t="shared" si="59"/>
        <v>2115136.4</v>
      </c>
      <c r="T188" s="529"/>
      <c r="U188" s="145"/>
      <c r="V188" s="1061"/>
      <c r="W188" s="528"/>
      <c r="X188" s="1061"/>
      <c r="Y188" s="1061"/>
      <c r="Z188" s="1061"/>
      <c r="AA188" s="1061"/>
    </row>
    <row r="189" spans="1:253">
      <c r="A189" s="87"/>
      <c r="B189" s="261"/>
      <c r="C189" s="924"/>
      <c r="D189" s="840"/>
      <c r="E189" s="264"/>
      <c r="F189" s="261"/>
      <c r="G189" s="261"/>
      <c r="H189" s="925"/>
      <c r="I189" s="261"/>
      <c r="J189" s="130"/>
      <c r="K189" s="129"/>
      <c r="L189" s="261"/>
      <c r="M189" s="264" t="s">
        <v>351</v>
      </c>
      <c r="N189" s="261"/>
      <c r="O189" s="292"/>
      <c r="P189" s="129"/>
      <c r="Q189" s="261"/>
      <c r="R189" s="261"/>
      <c r="V189" s="251"/>
      <c r="W189" s="251"/>
      <c r="X189" s="251"/>
      <c r="Y189" s="251"/>
      <c r="Z189" s="251"/>
      <c r="AA189" s="251"/>
    </row>
    <row r="190" spans="1:253" s="71" customFormat="1">
      <c r="A190" s="510"/>
      <c r="B190" s="513"/>
      <c r="C190" s="843"/>
      <c r="D190" s="844"/>
      <c r="E190" s="513"/>
      <c r="F190" s="513"/>
      <c r="G190" s="513"/>
      <c r="H190" s="513"/>
      <c r="I190" s="513"/>
      <c r="J190" s="845"/>
      <c r="K190" s="845"/>
      <c r="L190" s="513"/>
      <c r="M190" s="513"/>
      <c r="N190" s="513"/>
      <c r="O190" s="513"/>
      <c r="P190" s="513"/>
      <c r="Q190" s="513"/>
      <c r="R190" s="846"/>
      <c r="V190" s="86"/>
      <c r="W190" s="86"/>
      <c r="X190" s="86"/>
      <c r="Y190" s="86"/>
      <c r="Z190" s="86"/>
      <c r="AA190" s="86"/>
    </row>
    <row r="191" spans="1:253" s="71" customFormat="1">
      <c r="A191" s="94" t="s">
        <v>639</v>
      </c>
      <c r="B191" s="350"/>
      <c r="C191" s="350"/>
      <c r="D191" s="350"/>
      <c r="E191" s="350"/>
      <c r="F191" s="350"/>
      <c r="G191" s="350"/>
      <c r="H191" s="350"/>
      <c r="I191" s="350"/>
      <c r="J191" s="350"/>
      <c r="K191" s="350"/>
      <c r="L191" s="350"/>
      <c r="M191" s="350" t="s">
        <v>351</v>
      </c>
      <c r="N191" s="350"/>
      <c r="O191" s="841"/>
      <c r="P191" s="350"/>
      <c r="Q191" s="350"/>
      <c r="R191" s="402"/>
    </row>
    <row r="192" spans="1:253" s="71" customFormat="1" hidden="1">
      <c r="A192" s="836" t="s">
        <v>605</v>
      </c>
      <c r="B192" s="511"/>
      <c r="C192" s="511"/>
      <c r="D192" s="511"/>
      <c r="E192" s="511"/>
      <c r="F192" s="511"/>
      <c r="G192" s="511"/>
      <c r="H192" s="511"/>
      <c r="I192" s="511"/>
      <c r="J192" s="511"/>
      <c r="K192" s="511"/>
      <c r="L192" s="511"/>
      <c r="M192" s="511"/>
      <c r="N192" s="511"/>
      <c r="O192" s="842"/>
      <c r="P192" s="511"/>
      <c r="Q192" s="511"/>
      <c r="R192" s="847"/>
      <c r="S192" s="511"/>
      <c r="T192" s="511"/>
      <c r="U192" s="511"/>
      <c r="V192" s="511"/>
      <c r="W192" s="511"/>
      <c r="X192" s="511"/>
      <c r="Y192" s="511"/>
      <c r="Z192" s="511"/>
      <c r="AA192" s="511"/>
      <c r="AB192" s="511"/>
      <c r="AC192" s="511"/>
      <c r="AD192" s="511"/>
      <c r="AE192" s="511"/>
      <c r="AF192" s="511"/>
      <c r="AG192" s="511"/>
      <c r="AH192" s="511"/>
      <c r="AI192" s="511"/>
      <c r="AJ192" s="511"/>
      <c r="AK192" s="511"/>
      <c r="AL192" s="511"/>
      <c r="AM192" s="511"/>
      <c r="AN192" s="511"/>
      <c r="AO192" s="511"/>
      <c r="AP192" s="511"/>
      <c r="AQ192" s="511"/>
      <c r="AR192" s="511"/>
      <c r="AS192" s="511"/>
      <c r="AT192" s="511"/>
      <c r="AU192" s="511"/>
      <c r="AV192" s="511"/>
      <c r="AW192" s="511"/>
      <c r="AX192" s="511"/>
      <c r="AY192" s="511"/>
      <c r="AZ192" s="511"/>
      <c r="BA192" s="511"/>
      <c r="BB192" s="511"/>
      <c r="BC192" s="511"/>
      <c r="BD192" s="511"/>
      <c r="BE192" s="511"/>
      <c r="BF192" s="511"/>
      <c r="BG192" s="511"/>
      <c r="BH192" s="511"/>
      <c r="BI192" s="511"/>
      <c r="BJ192" s="511"/>
      <c r="BK192" s="511"/>
      <c r="BL192" s="511"/>
      <c r="BM192" s="511"/>
      <c r="BN192" s="511"/>
      <c r="BO192" s="511"/>
      <c r="BP192" s="511"/>
      <c r="BQ192" s="511"/>
      <c r="BR192" s="511"/>
      <c r="BS192" s="511"/>
      <c r="BT192" s="511"/>
      <c r="BU192" s="511"/>
      <c r="BV192" s="511"/>
      <c r="BW192" s="511"/>
      <c r="BX192" s="511"/>
      <c r="BY192" s="511"/>
      <c r="BZ192" s="511"/>
      <c r="CA192" s="511"/>
      <c r="CB192" s="511"/>
      <c r="CC192" s="511"/>
      <c r="CD192" s="511"/>
      <c r="CE192" s="511"/>
      <c r="CF192" s="511"/>
      <c r="CG192" s="511"/>
      <c r="CH192" s="511"/>
      <c r="CI192" s="511"/>
      <c r="CJ192" s="511"/>
      <c r="CK192" s="511"/>
      <c r="CL192" s="511"/>
      <c r="CM192" s="511"/>
      <c r="CN192" s="511"/>
      <c r="CO192" s="511"/>
      <c r="CP192" s="511"/>
      <c r="CQ192" s="511"/>
      <c r="CR192" s="511"/>
      <c r="CS192" s="511"/>
      <c r="CT192" s="511"/>
      <c r="CU192" s="511"/>
      <c r="CV192" s="511"/>
      <c r="CW192" s="511"/>
      <c r="CX192" s="511"/>
      <c r="CY192" s="511"/>
      <c r="CZ192" s="511"/>
      <c r="DA192" s="511"/>
      <c r="DB192" s="511"/>
      <c r="DC192" s="511"/>
      <c r="DD192" s="511"/>
      <c r="DE192" s="511"/>
      <c r="DF192" s="511"/>
      <c r="DG192" s="511"/>
      <c r="DH192" s="511"/>
      <c r="DI192" s="511"/>
      <c r="DJ192" s="511"/>
      <c r="DK192" s="511"/>
      <c r="DL192" s="511"/>
      <c r="DM192" s="511"/>
      <c r="DN192" s="511"/>
      <c r="DO192" s="511"/>
      <c r="DP192" s="511"/>
      <c r="DQ192" s="511"/>
      <c r="DR192" s="511"/>
      <c r="DS192" s="511"/>
      <c r="DT192" s="511"/>
      <c r="DU192" s="511"/>
      <c r="DV192" s="511"/>
      <c r="DW192" s="511"/>
      <c r="DX192" s="511"/>
      <c r="DY192" s="511"/>
      <c r="DZ192" s="511"/>
      <c r="EA192" s="511"/>
      <c r="EB192" s="511"/>
      <c r="EC192" s="511"/>
      <c r="ED192" s="511"/>
      <c r="EE192" s="511"/>
      <c r="EF192" s="511"/>
      <c r="EG192" s="511"/>
      <c r="EH192" s="511"/>
      <c r="EI192" s="511"/>
      <c r="EJ192" s="511"/>
      <c r="EK192" s="511"/>
      <c r="EL192" s="511"/>
      <c r="EM192" s="511"/>
      <c r="EN192" s="511"/>
      <c r="EO192" s="511"/>
      <c r="EP192" s="511"/>
      <c r="EQ192" s="511"/>
      <c r="ER192" s="511"/>
      <c r="ES192" s="511"/>
      <c r="ET192" s="511"/>
      <c r="EU192" s="511"/>
      <c r="EV192" s="511"/>
      <c r="EW192" s="511"/>
      <c r="EX192" s="511"/>
      <c r="EY192" s="511"/>
      <c r="EZ192" s="511"/>
      <c r="FA192" s="511"/>
      <c r="FB192" s="511"/>
      <c r="FC192" s="511"/>
      <c r="FD192" s="511"/>
      <c r="FE192" s="511"/>
      <c r="FF192" s="511"/>
      <c r="FG192" s="511"/>
      <c r="FH192" s="511"/>
      <c r="FI192" s="511"/>
      <c r="FJ192" s="511"/>
      <c r="FK192" s="511"/>
      <c r="FL192" s="511"/>
      <c r="FM192" s="511"/>
      <c r="FN192" s="511"/>
      <c r="FO192" s="511"/>
      <c r="FP192" s="511"/>
      <c r="FQ192" s="511"/>
      <c r="FR192" s="511"/>
      <c r="FS192" s="511"/>
      <c r="FT192" s="511"/>
      <c r="FU192" s="511"/>
      <c r="FV192" s="511"/>
      <c r="FW192" s="511"/>
      <c r="FX192" s="511"/>
      <c r="FY192" s="511"/>
      <c r="FZ192" s="511"/>
      <c r="GA192" s="511"/>
      <c r="GB192" s="511"/>
      <c r="GC192" s="511"/>
      <c r="GD192" s="511"/>
      <c r="GE192" s="511"/>
      <c r="GF192" s="511"/>
      <c r="GG192" s="511"/>
      <c r="GH192" s="511"/>
      <c r="GI192" s="511"/>
      <c r="GJ192" s="511"/>
      <c r="GK192" s="511"/>
      <c r="GL192" s="511"/>
      <c r="GM192" s="511"/>
      <c r="GN192" s="511"/>
      <c r="GO192" s="511"/>
      <c r="GP192" s="511"/>
      <c r="GQ192" s="511"/>
      <c r="GR192" s="511"/>
      <c r="GS192" s="511"/>
      <c r="GT192" s="511"/>
      <c r="GU192" s="511"/>
      <c r="GV192" s="511"/>
      <c r="GW192" s="511"/>
      <c r="GX192" s="511"/>
      <c r="GY192" s="511"/>
      <c r="GZ192" s="511"/>
      <c r="HA192" s="511"/>
      <c r="HB192" s="511"/>
      <c r="HC192" s="511"/>
      <c r="HD192" s="511"/>
      <c r="HE192" s="511"/>
      <c r="HF192" s="511"/>
      <c r="HG192" s="511"/>
      <c r="HH192" s="511"/>
      <c r="HI192" s="511"/>
      <c r="HJ192" s="511"/>
      <c r="HK192" s="511"/>
      <c r="HL192" s="511"/>
      <c r="HM192" s="511"/>
      <c r="HN192" s="511"/>
      <c r="HO192" s="511"/>
      <c r="HP192" s="511"/>
      <c r="HQ192" s="511"/>
      <c r="HR192" s="511"/>
      <c r="HS192" s="511"/>
      <c r="HT192" s="511"/>
      <c r="HU192" s="511"/>
      <c r="HV192" s="511"/>
      <c r="HW192" s="511"/>
      <c r="HX192" s="511"/>
      <c r="HY192" s="511"/>
      <c r="HZ192" s="511"/>
      <c r="IA192" s="511"/>
      <c r="IB192" s="511"/>
      <c r="IC192" s="511"/>
      <c r="ID192" s="511"/>
      <c r="IE192" s="511"/>
      <c r="IF192" s="511"/>
      <c r="IG192" s="511"/>
      <c r="IH192" s="511"/>
      <c r="II192" s="511"/>
      <c r="IJ192" s="511"/>
      <c r="IK192" s="511"/>
      <c r="IL192" s="511"/>
      <c r="IM192" s="511"/>
      <c r="IN192" s="511"/>
      <c r="IO192" s="511"/>
      <c r="IP192" s="511"/>
      <c r="IQ192" s="511"/>
      <c r="IR192" s="511"/>
      <c r="IS192" s="511"/>
    </row>
    <row r="193" spans="1:253" s="71" customFormat="1">
      <c r="A193" s="837" t="s">
        <v>652</v>
      </c>
      <c r="B193" s="530"/>
      <c r="C193" s="530"/>
      <c r="D193" s="530"/>
      <c r="E193" s="530"/>
      <c r="F193" s="530"/>
      <c r="G193" s="530"/>
      <c r="H193" s="530"/>
      <c r="I193" s="530"/>
      <c r="J193" s="530"/>
      <c r="K193" s="530"/>
      <c r="L193" s="530"/>
      <c r="M193" s="530"/>
      <c r="N193" s="530"/>
      <c r="O193" s="531"/>
      <c r="P193" s="530"/>
      <c r="Q193" s="530"/>
      <c r="R193" s="532"/>
      <c r="S193" s="511"/>
      <c r="T193" s="511"/>
      <c r="U193" s="511"/>
      <c r="V193" s="511"/>
      <c r="W193" s="511"/>
      <c r="X193" s="511"/>
      <c r="Y193" s="511"/>
      <c r="Z193" s="511"/>
      <c r="AA193" s="511"/>
      <c r="AB193" s="511"/>
      <c r="AC193" s="511"/>
      <c r="AD193" s="511"/>
      <c r="AE193" s="511"/>
      <c r="AF193" s="511"/>
      <c r="AG193" s="511"/>
      <c r="AH193" s="511"/>
      <c r="AI193" s="511"/>
      <c r="AJ193" s="511"/>
      <c r="AK193" s="511"/>
      <c r="AL193" s="511"/>
      <c r="AM193" s="511"/>
      <c r="AN193" s="511"/>
      <c r="AO193" s="511"/>
      <c r="AP193" s="511"/>
      <c r="AQ193" s="511"/>
      <c r="AR193" s="511"/>
      <c r="AS193" s="511"/>
      <c r="AT193" s="511"/>
      <c r="AU193" s="511"/>
      <c r="AV193" s="511"/>
      <c r="AW193" s="511"/>
      <c r="AX193" s="511"/>
      <c r="AY193" s="511"/>
      <c r="AZ193" s="511"/>
      <c r="BA193" s="511"/>
      <c r="BB193" s="511"/>
      <c r="BC193" s="511"/>
      <c r="BD193" s="511"/>
      <c r="BE193" s="511"/>
      <c r="BF193" s="511"/>
      <c r="BG193" s="511"/>
      <c r="BH193" s="511"/>
      <c r="BI193" s="511"/>
      <c r="BJ193" s="511"/>
      <c r="BK193" s="511"/>
      <c r="BL193" s="511"/>
      <c r="BM193" s="511"/>
      <c r="BN193" s="511"/>
      <c r="BO193" s="511"/>
      <c r="BP193" s="511"/>
      <c r="BQ193" s="511"/>
      <c r="BR193" s="511"/>
      <c r="BS193" s="511"/>
      <c r="BT193" s="511"/>
      <c r="BU193" s="511"/>
      <c r="BV193" s="511"/>
      <c r="BW193" s="511"/>
      <c r="BX193" s="511"/>
      <c r="BY193" s="511"/>
      <c r="BZ193" s="511"/>
      <c r="CA193" s="511"/>
      <c r="CB193" s="511"/>
      <c r="CC193" s="511"/>
      <c r="CD193" s="511"/>
      <c r="CE193" s="511"/>
      <c r="CF193" s="511"/>
      <c r="CG193" s="511"/>
      <c r="CH193" s="511"/>
      <c r="CI193" s="511"/>
      <c r="CJ193" s="511"/>
      <c r="CK193" s="511"/>
      <c r="CL193" s="511"/>
      <c r="CM193" s="511"/>
      <c r="CN193" s="511"/>
      <c r="CO193" s="511"/>
      <c r="CP193" s="511"/>
      <c r="CQ193" s="511"/>
      <c r="CR193" s="511"/>
      <c r="CS193" s="511"/>
      <c r="CT193" s="511"/>
      <c r="CU193" s="511"/>
      <c r="CV193" s="511"/>
      <c r="CW193" s="511"/>
      <c r="CX193" s="511"/>
      <c r="CY193" s="511"/>
      <c r="CZ193" s="511"/>
      <c r="DA193" s="511"/>
      <c r="DB193" s="511"/>
      <c r="DC193" s="511"/>
      <c r="DD193" s="511"/>
      <c r="DE193" s="511"/>
      <c r="DF193" s="511"/>
      <c r="DG193" s="511"/>
      <c r="DH193" s="511"/>
      <c r="DI193" s="511"/>
      <c r="DJ193" s="511"/>
      <c r="DK193" s="511"/>
      <c r="DL193" s="511"/>
      <c r="DM193" s="511"/>
      <c r="DN193" s="511"/>
      <c r="DO193" s="511"/>
      <c r="DP193" s="511"/>
      <c r="DQ193" s="511"/>
      <c r="DR193" s="511"/>
      <c r="DS193" s="511"/>
      <c r="DT193" s="511"/>
      <c r="DU193" s="511"/>
      <c r="DV193" s="511"/>
      <c r="DW193" s="511"/>
      <c r="DX193" s="511"/>
      <c r="DY193" s="511"/>
      <c r="DZ193" s="511"/>
      <c r="EA193" s="511"/>
      <c r="EB193" s="511"/>
      <c r="EC193" s="511"/>
      <c r="ED193" s="511"/>
      <c r="EE193" s="511"/>
      <c r="EF193" s="511"/>
      <c r="EG193" s="511"/>
      <c r="EH193" s="511"/>
      <c r="EI193" s="511"/>
      <c r="EJ193" s="511"/>
      <c r="EK193" s="511"/>
      <c r="EL193" s="511"/>
      <c r="EM193" s="511"/>
      <c r="EN193" s="511"/>
      <c r="EO193" s="511"/>
      <c r="EP193" s="511"/>
      <c r="EQ193" s="511"/>
      <c r="ER193" s="511"/>
      <c r="ES193" s="511"/>
      <c r="ET193" s="511"/>
      <c r="EU193" s="511"/>
      <c r="EV193" s="511"/>
      <c r="EW193" s="511"/>
      <c r="EX193" s="511"/>
      <c r="EY193" s="511"/>
      <c r="EZ193" s="511"/>
      <c r="FA193" s="511"/>
      <c r="FB193" s="511"/>
      <c r="FC193" s="511"/>
      <c r="FD193" s="511"/>
      <c r="FE193" s="511"/>
      <c r="FF193" s="511"/>
      <c r="FG193" s="511"/>
      <c r="FH193" s="511"/>
      <c r="FI193" s="511"/>
      <c r="FJ193" s="511"/>
      <c r="FK193" s="511"/>
      <c r="FL193" s="511"/>
      <c r="FM193" s="511"/>
      <c r="FN193" s="511"/>
      <c r="FO193" s="511"/>
      <c r="FP193" s="511"/>
      <c r="FQ193" s="511"/>
      <c r="FR193" s="511"/>
      <c r="FS193" s="511"/>
      <c r="FT193" s="511"/>
      <c r="FU193" s="511"/>
      <c r="FV193" s="511"/>
      <c r="FW193" s="511"/>
      <c r="FX193" s="511"/>
      <c r="FY193" s="511"/>
      <c r="FZ193" s="511"/>
      <c r="GA193" s="511"/>
      <c r="GB193" s="511"/>
      <c r="GC193" s="511"/>
      <c r="GD193" s="511"/>
      <c r="GE193" s="511"/>
      <c r="GF193" s="511"/>
      <c r="GG193" s="511"/>
      <c r="GH193" s="511"/>
      <c r="GI193" s="511"/>
      <c r="GJ193" s="511"/>
      <c r="GK193" s="511"/>
      <c r="GL193" s="511"/>
      <c r="GM193" s="511"/>
      <c r="GN193" s="511"/>
      <c r="GO193" s="511"/>
      <c r="GP193" s="511"/>
      <c r="GQ193" s="511"/>
      <c r="GR193" s="511"/>
      <c r="GS193" s="511"/>
      <c r="GT193" s="511"/>
      <c r="GU193" s="511"/>
      <c r="GV193" s="511"/>
      <c r="GW193" s="511"/>
      <c r="GX193" s="511"/>
      <c r="GY193" s="511"/>
      <c r="GZ193" s="511"/>
      <c r="HA193" s="511"/>
      <c r="HB193" s="511"/>
      <c r="HC193" s="511"/>
      <c r="HD193" s="511"/>
      <c r="HE193" s="511"/>
      <c r="HF193" s="511"/>
      <c r="HG193" s="511"/>
      <c r="HH193" s="511"/>
      <c r="HI193" s="511"/>
      <c r="HJ193" s="511"/>
      <c r="HK193" s="511"/>
      <c r="HL193" s="511"/>
      <c r="HM193" s="511"/>
      <c r="HN193" s="511"/>
      <c r="HO193" s="511"/>
      <c r="HP193" s="511"/>
      <c r="HQ193" s="511"/>
      <c r="HR193" s="511"/>
      <c r="HS193" s="511"/>
      <c r="HT193" s="511"/>
      <c r="HU193" s="511"/>
      <c r="HV193" s="511"/>
      <c r="HW193" s="511"/>
      <c r="HX193" s="511"/>
      <c r="HY193" s="511"/>
      <c r="HZ193" s="511"/>
      <c r="IA193" s="511"/>
      <c r="IB193" s="511"/>
      <c r="IC193" s="511"/>
      <c r="ID193" s="511"/>
      <c r="IE193" s="511"/>
      <c r="IF193" s="511"/>
      <c r="IG193" s="511"/>
      <c r="IH193" s="511"/>
      <c r="II193" s="511"/>
      <c r="IJ193" s="511"/>
      <c r="IK193" s="511"/>
      <c r="IL193" s="511"/>
      <c r="IM193" s="511"/>
      <c r="IN193" s="511"/>
      <c r="IO193" s="511"/>
      <c r="IP193" s="511"/>
      <c r="IQ193" s="511"/>
      <c r="IR193" s="511"/>
      <c r="IS193" s="511"/>
    </row>
    <row r="194" spans="1:253">
      <c r="B194" s="362"/>
      <c r="C194" s="362"/>
      <c r="D194" s="362"/>
      <c r="F194" s="362"/>
      <c r="G194" s="362"/>
      <c r="H194" s="362"/>
      <c r="I194" s="362"/>
      <c r="J194" s="362"/>
      <c r="M194" s="362"/>
      <c r="P194" s="362"/>
    </row>
    <row r="195" spans="1:253">
      <c r="B195" s="362"/>
      <c r="C195" s="362"/>
      <c r="D195" s="362"/>
      <c r="F195" s="362"/>
      <c r="G195" s="362"/>
      <c r="H195" s="362"/>
      <c r="I195" s="362"/>
      <c r="J195" s="362"/>
      <c r="M195" s="362"/>
      <c r="P195" s="362"/>
    </row>
    <row r="196" spans="1:253">
      <c r="B196" s="362"/>
      <c r="C196" s="362"/>
      <c r="D196" s="362"/>
      <c r="F196" s="362"/>
      <c r="G196" s="362"/>
      <c r="H196" s="362"/>
      <c r="I196" s="362"/>
      <c r="J196" s="362"/>
      <c r="M196" s="362"/>
      <c r="P196" s="362"/>
    </row>
    <row r="197" spans="1:253">
      <c r="B197" s="362"/>
      <c r="C197" s="362"/>
      <c r="D197" s="362"/>
      <c r="F197" s="362"/>
      <c r="G197" s="362"/>
      <c r="H197" s="362"/>
      <c r="I197" s="362"/>
      <c r="J197" s="362"/>
      <c r="M197" s="362"/>
      <c r="P197" s="362"/>
    </row>
    <row r="198" spans="1:253">
      <c r="B198" s="362"/>
      <c r="C198" s="362"/>
      <c r="D198" s="362"/>
      <c r="F198" s="362"/>
      <c r="G198" s="362"/>
      <c r="H198" s="362"/>
      <c r="I198" s="362"/>
      <c r="J198" s="362"/>
      <c r="M198" s="362"/>
      <c r="P198" s="362"/>
    </row>
    <row r="199" spans="1:253">
      <c r="B199" s="362"/>
      <c r="C199" s="362"/>
      <c r="D199" s="362"/>
      <c r="F199" s="362"/>
      <c r="G199" s="362"/>
      <c r="H199" s="362"/>
      <c r="I199" s="362"/>
      <c r="J199" s="362"/>
      <c r="M199" s="362"/>
      <c r="P199" s="362"/>
    </row>
    <row r="200" spans="1:253">
      <c r="B200" s="362"/>
      <c r="C200" s="362"/>
      <c r="D200" s="362"/>
      <c r="F200" s="362"/>
      <c r="G200" s="362"/>
      <c r="H200" s="362"/>
      <c r="I200" s="362"/>
      <c r="J200" s="362"/>
      <c r="M200" s="362"/>
      <c r="P200" s="362"/>
    </row>
    <row r="201" spans="1:253">
      <c r="B201" s="362"/>
      <c r="C201" s="362"/>
      <c r="D201" s="362"/>
      <c r="F201" s="362"/>
      <c r="G201" s="362"/>
      <c r="H201" s="362"/>
      <c r="I201" s="362"/>
      <c r="J201" s="362"/>
      <c r="M201" s="362"/>
      <c r="P201" s="362"/>
    </row>
    <row r="202" spans="1:253">
      <c r="B202" s="362"/>
      <c r="C202" s="362"/>
      <c r="D202" s="362"/>
      <c r="F202" s="362"/>
      <c r="G202" s="362"/>
      <c r="H202" s="362"/>
      <c r="I202" s="362"/>
      <c r="J202" s="362"/>
      <c r="M202" s="362"/>
      <c r="P202" s="362"/>
    </row>
    <row r="203" spans="1:253">
      <c r="B203" s="362"/>
      <c r="C203" s="362"/>
      <c r="D203" s="362"/>
      <c r="F203" s="362"/>
      <c r="G203" s="362"/>
      <c r="H203" s="362"/>
      <c r="I203" s="362"/>
      <c r="J203" s="362"/>
      <c r="M203" s="362"/>
      <c r="P203" s="362"/>
    </row>
  </sheetData>
  <mergeCells count="6">
    <mergeCell ref="M9:P9"/>
    <mergeCell ref="E6:Q6"/>
    <mergeCell ref="E9:L9"/>
    <mergeCell ref="C2:P2"/>
    <mergeCell ref="C3:Q3"/>
    <mergeCell ref="B6:D6"/>
  </mergeCells>
  <pageMargins left="1.1023622047244095" right="0.70866141732283472" top="0.74803149606299213" bottom="0.74803149606299213" header="0.31496062992125984" footer="0.31496062992125984"/>
  <pageSetup paperSize="9" scale="53" orientation="landscape" horizontalDpi="4294967295" verticalDpi="4294967295" r:id="rId1"/>
  <rowBreaks count="1" manualBreakCount="1">
    <brk id="198" max="17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4"/>
  <sheetViews>
    <sheetView showGridLines="0" view="pageBreakPreview" zoomScale="80" zoomScaleNormal="100" zoomScaleSheetLayoutView="80" workbookViewId="0">
      <pane xSplit="1" ySplit="12" topLeftCell="B173" activePane="bottomRight" state="frozen"/>
      <selection pane="topRight" activeCell="B1" sqref="B1"/>
      <selection pane="bottomLeft" activeCell="A13" sqref="A13"/>
      <selection pane="bottomRight" activeCell="B23" sqref="B23:N184"/>
    </sheetView>
  </sheetViews>
  <sheetFormatPr defaultColWidth="17.88671875" defaultRowHeight="12.75"/>
  <cols>
    <col min="1" max="1" width="27.33203125" style="69" customWidth="1"/>
    <col min="2" max="2" width="12.6640625" style="132" bestFit="1" customWidth="1"/>
    <col min="3" max="3" width="8.6640625" style="69" bestFit="1" customWidth="1"/>
    <col min="4" max="4" width="8.44140625" style="69" bestFit="1" customWidth="1"/>
    <col min="5" max="5" width="9.33203125" style="145" bestFit="1" customWidth="1"/>
    <col min="6" max="6" width="15.44140625" style="69" customWidth="1"/>
    <col min="7" max="7" width="9.33203125" style="69" bestFit="1" customWidth="1"/>
    <col min="8" max="8" width="7.33203125" style="69" bestFit="1" customWidth="1"/>
    <col min="9" max="9" width="7.88671875" style="69" bestFit="1" customWidth="1"/>
    <col min="10" max="10" width="9.21875" style="139" bestFit="1" customWidth="1"/>
    <col min="11" max="11" width="14.33203125" style="69" customWidth="1"/>
    <col min="12" max="12" width="8.6640625" style="139" bestFit="1" customWidth="1"/>
    <col min="13" max="13" width="8.44140625" style="69" bestFit="1" customWidth="1"/>
    <col min="14" max="14" width="12.109375" style="69" bestFit="1" customWidth="1"/>
    <col min="15" max="15" width="15.77734375" style="69" customWidth="1"/>
    <col min="16" max="16" width="18.5546875" style="69" customWidth="1"/>
    <col min="17" max="17" width="14.77734375" style="69" customWidth="1"/>
    <col min="18" max="18" width="12.77734375" style="69" customWidth="1"/>
    <col min="19" max="16384" width="17.88671875" style="69"/>
  </cols>
  <sheetData>
    <row r="1" spans="1:26" s="96" customFormat="1">
      <c r="A1" s="64"/>
      <c r="B1" s="534"/>
      <c r="C1" s="65"/>
      <c r="D1" s="65"/>
      <c r="E1" s="66"/>
      <c r="F1" s="65"/>
      <c r="G1" s="65"/>
      <c r="H1" s="65"/>
      <c r="I1" s="65"/>
      <c r="J1" s="65"/>
      <c r="K1" s="65"/>
      <c r="L1" s="65"/>
      <c r="M1" s="65"/>
      <c r="N1" s="535"/>
    </row>
    <row r="2" spans="1:26" s="71" customFormat="1" ht="15.75" customHeight="1">
      <c r="A2" s="536" t="s">
        <v>140</v>
      </c>
      <c r="B2" s="1191" t="s">
        <v>373</v>
      </c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85" t="s">
        <v>352</v>
      </c>
    </row>
    <row r="3" spans="1:26" s="71" customFormat="1" ht="15.75" customHeight="1">
      <c r="A3" s="70"/>
      <c r="B3" s="1191" t="s">
        <v>457</v>
      </c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337"/>
    </row>
    <row r="4" spans="1:26" s="71" customFormat="1">
      <c r="A4" s="75"/>
      <c r="B4" s="189"/>
      <c r="C4" s="76"/>
      <c r="D4" s="76"/>
      <c r="E4" s="77"/>
      <c r="F4" s="76"/>
      <c r="G4" s="76"/>
      <c r="H4" s="76"/>
      <c r="I4" s="76"/>
      <c r="J4" s="76"/>
      <c r="K4" s="76"/>
      <c r="L4" s="76"/>
      <c r="M4" s="76"/>
      <c r="N4" s="79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>
      <c r="A5" s="100"/>
      <c r="B5" s="214"/>
      <c r="C5" s="71"/>
      <c r="D5" s="71"/>
      <c r="E5" s="81"/>
      <c r="F5" s="71"/>
      <c r="G5" s="71"/>
      <c r="H5" s="70"/>
      <c r="I5" s="71"/>
      <c r="J5" s="71"/>
      <c r="K5" s="71"/>
      <c r="L5" s="71"/>
      <c r="M5" s="82"/>
      <c r="N5" s="82"/>
    </row>
    <row r="6" spans="1:26" ht="15.75" customHeight="1">
      <c r="A6" s="84" t="s">
        <v>374</v>
      </c>
      <c r="B6" s="1199" t="s">
        <v>375</v>
      </c>
      <c r="C6" s="1199"/>
      <c r="D6" s="1199"/>
      <c r="E6" s="1199"/>
      <c r="F6" s="1199"/>
      <c r="G6" s="1200"/>
      <c r="H6" s="1223" t="s">
        <v>376</v>
      </c>
      <c r="I6" s="1224"/>
      <c r="J6" s="1224"/>
      <c r="K6" s="1224"/>
      <c r="L6" s="1224"/>
      <c r="M6" s="1225"/>
      <c r="N6" s="85" t="s">
        <v>74</v>
      </c>
    </row>
    <row r="7" spans="1:26">
      <c r="A7" s="84"/>
      <c r="B7" s="537"/>
      <c r="C7" s="104"/>
      <c r="D7" s="104"/>
      <c r="E7" s="301"/>
      <c r="F7" s="104"/>
      <c r="G7" s="104"/>
      <c r="H7" s="318"/>
      <c r="I7" s="104"/>
      <c r="J7" s="104"/>
      <c r="K7" s="103"/>
      <c r="L7" s="78"/>
      <c r="M7" s="93"/>
      <c r="N7" s="85" t="s">
        <v>377</v>
      </c>
    </row>
    <row r="8" spans="1:26">
      <c r="A8" s="339" t="s">
        <v>0</v>
      </c>
      <c r="B8" s="926" t="s">
        <v>378</v>
      </c>
      <c r="C8" s="539" t="s">
        <v>379</v>
      </c>
      <c r="D8" s="1162" t="s">
        <v>380</v>
      </c>
      <c r="E8" s="1165" t="s">
        <v>381</v>
      </c>
      <c r="F8" s="116" t="s">
        <v>382</v>
      </c>
      <c r="G8" s="106" t="s">
        <v>221</v>
      </c>
      <c r="H8" s="116" t="s">
        <v>393</v>
      </c>
      <c r="I8" s="108" t="s">
        <v>383</v>
      </c>
      <c r="J8" s="106" t="s">
        <v>343</v>
      </c>
      <c r="K8" s="117" t="s">
        <v>396</v>
      </c>
      <c r="L8" s="108" t="s">
        <v>244</v>
      </c>
      <c r="M8" s="80"/>
      <c r="N8" s="80"/>
    </row>
    <row r="9" spans="1:26">
      <c r="A9" s="94"/>
      <c r="B9" s="179" t="s">
        <v>384</v>
      </c>
      <c r="C9" s="539" t="s">
        <v>370</v>
      </c>
      <c r="D9" s="1162" t="s">
        <v>282</v>
      </c>
      <c r="E9" s="283" t="s">
        <v>188</v>
      </c>
      <c r="F9" s="116" t="s">
        <v>385</v>
      </c>
      <c r="G9" s="80"/>
      <c r="H9" s="116" t="s">
        <v>386</v>
      </c>
      <c r="I9" s="106" t="s">
        <v>372</v>
      </c>
      <c r="J9" s="106" t="s">
        <v>392</v>
      </c>
      <c r="K9" s="117" t="s">
        <v>397</v>
      </c>
      <c r="L9" s="106" t="s">
        <v>281</v>
      </c>
      <c r="M9" s="115" t="s">
        <v>9</v>
      </c>
      <c r="N9" s="80"/>
    </row>
    <row r="10" spans="1:26">
      <c r="A10" s="94"/>
      <c r="B10" s="179" t="s">
        <v>387</v>
      </c>
      <c r="C10" s="539"/>
      <c r="D10" s="1052"/>
      <c r="E10" s="285" t="s">
        <v>388</v>
      </c>
      <c r="F10" s="116" t="s">
        <v>389</v>
      </c>
      <c r="G10" s="80"/>
      <c r="H10" s="116" t="s">
        <v>394</v>
      </c>
      <c r="I10" s="112"/>
      <c r="J10" s="112" t="s">
        <v>390</v>
      </c>
      <c r="K10" s="117" t="s">
        <v>398</v>
      </c>
      <c r="L10" s="540"/>
      <c r="M10" s="115"/>
      <c r="N10" s="80"/>
    </row>
    <row r="11" spans="1:26">
      <c r="A11" s="94" t="s">
        <v>34</v>
      </c>
      <c r="B11" s="179" t="s">
        <v>391</v>
      </c>
      <c r="C11" s="107"/>
      <c r="D11" s="1052"/>
      <c r="E11" s="285" t="s">
        <v>189</v>
      </c>
      <c r="F11" s="284"/>
      <c r="G11" s="80"/>
      <c r="H11" s="106" t="s">
        <v>395</v>
      </c>
      <c r="I11" s="112"/>
      <c r="J11" s="112"/>
      <c r="K11" s="117" t="s">
        <v>246</v>
      </c>
      <c r="L11" s="106"/>
      <c r="M11" s="115"/>
      <c r="N11" s="80"/>
    </row>
    <row r="12" spans="1:26">
      <c r="A12" s="70"/>
      <c r="B12" s="179"/>
      <c r="C12" s="539"/>
      <c r="D12" s="1052"/>
      <c r="E12" s="285"/>
      <c r="F12" s="340"/>
      <c r="G12" s="80"/>
      <c r="H12" s="80"/>
      <c r="I12" s="121"/>
      <c r="J12" s="80"/>
      <c r="K12" s="71"/>
      <c r="L12" s="80"/>
      <c r="M12" s="80"/>
      <c r="N12" s="80"/>
    </row>
    <row r="13" spans="1:26">
      <c r="A13" s="1060"/>
      <c r="B13" s="524"/>
      <c r="C13" s="526"/>
      <c r="D13" s="156"/>
      <c r="E13" s="524"/>
      <c r="F13" s="524"/>
      <c r="G13" s="524"/>
      <c r="H13" s="156"/>
      <c r="I13" s="524"/>
      <c r="J13" s="526"/>
      <c r="K13" s="550"/>
      <c r="L13" s="541"/>
      <c r="M13" s="100"/>
      <c r="N13" s="100"/>
    </row>
    <row r="14" spans="1:26" hidden="1">
      <c r="A14" s="138" t="s">
        <v>119</v>
      </c>
      <c r="B14" s="213">
        <v>112622.5</v>
      </c>
      <c r="C14" s="213">
        <v>207061.90000000005</v>
      </c>
      <c r="D14" s="495">
        <v>99838.999999999985</v>
      </c>
      <c r="E14" s="211">
        <v>63073.699999999953</v>
      </c>
      <c r="F14" s="213">
        <v>7693.2999999999975</v>
      </c>
      <c r="G14" s="129">
        <f>SUM(B14:F14)</f>
        <v>490290.39999999997</v>
      </c>
      <c r="H14" s="495">
        <v>8345</v>
      </c>
      <c r="I14" s="213">
        <v>5225.7</v>
      </c>
      <c r="J14" s="1111">
        <v>159208.99999999997</v>
      </c>
      <c r="K14" s="141">
        <v>-3768.2999999999984</v>
      </c>
      <c r="L14" s="542">
        <v>9458.3999999999942</v>
      </c>
      <c r="M14" s="128">
        <f>SUM(H14:L14)</f>
        <v>178469.8</v>
      </c>
      <c r="N14" s="128">
        <f>M14+G14</f>
        <v>668760.19999999995</v>
      </c>
      <c r="O14" s="362"/>
    </row>
    <row r="15" spans="1:26" hidden="1">
      <c r="A15" s="138" t="s">
        <v>5</v>
      </c>
      <c r="B15" s="213">
        <v>120909.20000000001</v>
      </c>
      <c r="C15" s="213">
        <v>246210.90000000002</v>
      </c>
      <c r="D15" s="495">
        <v>116937.90000000001</v>
      </c>
      <c r="E15" s="211">
        <v>81245.400000000009</v>
      </c>
      <c r="F15" s="213">
        <v>9700.5</v>
      </c>
      <c r="G15" s="129">
        <f>SUM(B15:F15)</f>
        <v>575003.9</v>
      </c>
      <c r="H15" s="495">
        <v>11783.1</v>
      </c>
      <c r="I15" s="213">
        <v>3627.5</v>
      </c>
      <c r="J15" s="1111">
        <v>185620.30000000002</v>
      </c>
      <c r="K15" s="141">
        <v>-1285.7000000000069</v>
      </c>
      <c r="L15" s="542">
        <v>32335.600000000006</v>
      </c>
      <c r="M15" s="128">
        <f>SUM(H15:L15)</f>
        <v>232080.80000000002</v>
      </c>
      <c r="N15" s="128">
        <f>M15+G15</f>
        <v>807084.70000000007</v>
      </c>
      <c r="O15" s="362"/>
    </row>
    <row r="16" spans="1:26" ht="15.75" hidden="1" customHeight="1">
      <c r="A16" s="838" t="s">
        <v>7</v>
      </c>
      <c r="B16" s="1112">
        <v>138046.20000000001</v>
      </c>
      <c r="C16" s="1112">
        <v>325647.41550299997</v>
      </c>
      <c r="D16" s="1114">
        <v>153042.70000000001</v>
      </c>
      <c r="E16" s="1112">
        <v>89619.9</v>
      </c>
      <c r="F16" s="1112">
        <v>12715.400000000001</v>
      </c>
      <c r="G16" s="1113">
        <v>719071.6155030001</v>
      </c>
      <c r="H16" s="1114">
        <v>17033.199999999997</v>
      </c>
      <c r="I16" s="1112">
        <v>10515.6</v>
      </c>
      <c r="J16" s="498">
        <v>189548.19999999998</v>
      </c>
      <c r="K16" s="1115">
        <v>3236.4844970000017</v>
      </c>
      <c r="L16" s="1116">
        <v>40070.499999999993</v>
      </c>
      <c r="M16" s="1117">
        <v>260403.98449699997</v>
      </c>
      <c r="N16" s="1117">
        <v>979475.60000000009</v>
      </c>
      <c r="O16" s="362"/>
    </row>
    <row r="17" spans="1:16" hidden="1">
      <c r="A17" s="838" t="s">
        <v>8</v>
      </c>
      <c r="B17" s="213">
        <v>152049.79999999999</v>
      </c>
      <c r="C17" s="213">
        <v>324233.86666666658</v>
      </c>
      <c r="D17" s="495">
        <v>190372.39999999997</v>
      </c>
      <c r="E17" s="211">
        <v>89131.400000000009</v>
      </c>
      <c r="F17" s="213">
        <v>17995.999999999996</v>
      </c>
      <c r="G17" s="129">
        <v>773783.46666666656</v>
      </c>
      <c r="H17" s="495">
        <v>15478.699999999999</v>
      </c>
      <c r="I17" s="213">
        <v>12302.2</v>
      </c>
      <c r="J17" s="1051">
        <v>237586.19999999998</v>
      </c>
      <c r="K17" s="141">
        <v>9396.5000000000055</v>
      </c>
      <c r="L17" s="130">
        <v>58205.333333333321</v>
      </c>
      <c r="M17" s="128">
        <v>332968.93333333329</v>
      </c>
      <c r="N17" s="128">
        <v>1106752.3999999999</v>
      </c>
      <c r="O17" s="362"/>
    </row>
    <row r="18" spans="1:16" hidden="1">
      <c r="A18" s="838" t="s">
        <v>10</v>
      </c>
      <c r="B18" s="213">
        <v>170990.69999999998</v>
      </c>
      <c r="C18" s="213">
        <v>351213.60000000003</v>
      </c>
      <c r="D18" s="495">
        <v>221036.7</v>
      </c>
      <c r="E18" s="211">
        <v>134007.29999999999</v>
      </c>
      <c r="F18" s="213">
        <v>20402.899999999998</v>
      </c>
      <c r="G18" s="129">
        <v>897651.20000000007</v>
      </c>
      <c r="H18" s="495">
        <v>17471.5</v>
      </c>
      <c r="I18" s="213">
        <v>15658.2</v>
      </c>
      <c r="J18" s="1051">
        <v>295446.90000000002</v>
      </c>
      <c r="K18" s="141">
        <v>-3692.6000000000117</v>
      </c>
      <c r="L18" s="130">
        <v>14473.7</v>
      </c>
      <c r="M18" s="128">
        <v>339357.7</v>
      </c>
      <c r="N18" s="128">
        <v>1237008.9000000001</v>
      </c>
      <c r="O18" s="362"/>
    </row>
    <row r="19" spans="1:16">
      <c r="A19" s="838" t="s">
        <v>11</v>
      </c>
      <c r="B19" s="213">
        <v>184188.60000000003</v>
      </c>
      <c r="C19" s="213">
        <v>402424.5</v>
      </c>
      <c r="D19" s="495">
        <v>264023.3</v>
      </c>
      <c r="E19" s="211">
        <v>136096.19999999998</v>
      </c>
      <c r="F19" s="213">
        <v>26738.600000000006</v>
      </c>
      <c r="G19" s="129">
        <v>1013471.2000000001</v>
      </c>
      <c r="H19" s="495">
        <v>17595.400000000001</v>
      </c>
      <c r="I19" s="213">
        <v>7533</v>
      </c>
      <c r="J19" s="1051">
        <v>317119.3</v>
      </c>
      <c r="K19" s="141">
        <v>-7557.7000000000126</v>
      </c>
      <c r="L19" s="130">
        <v>5349.9000000000406</v>
      </c>
      <c r="M19" s="128">
        <v>340039.9</v>
      </c>
      <c r="N19" s="128">
        <v>1353511.1</v>
      </c>
      <c r="O19" s="362"/>
    </row>
    <row r="20" spans="1:16">
      <c r="A20" s="838" t="s">
        <v>13</v>
      </c>
      <c r="B20" s="213">
        <v>195547.7</v>
      </c>
      <c r="C20" s="213">
        <v>458310.60000000003</v>
      </c>
      <c r="D20" s="495">
        <v>288594.30000000005</v>
      </c>
      <c r="E20" s="213">
        <v>164626.70000000004</v>
      </c>
      <c r="F20" s="213">
        <v>34759.1</v>
      </c>
      <c r="G20" s="213">
        <v>1141838.4000000001</v>
      </c>
      <c r="H20" s="213">
        <v>18489.400000000001</v>
      </c>
      <c r="I20" s="213">
        <v>9222.6</v>
      </c>
      <c r="J20" s="213">
        <v>385480.5</v>
      </c>
      <c r="K20" s="934">
        <v>-7032.8999999999824</v>
      </c>
      <c r="L20" s="130">
        <v>-47293.900000000009</v>
      </c>
      <c r="M20" s="128">
        <v>358865.7</v>
      </c>
      <c r="N20" s="130">
        <v>1500704.1</v>
      </c>
      <c r="O20" s="362"/>
    </row>
    <row r="21" spans="1:16">
      <c r="A21" s="838" t="s">
        <v>14</v>
      </c>
      <c r="B21" s="213">
        <v>202881.5</v>
      </c>
      <c r="C21" s="213">
        <v>440851.1999999999</v>
      </c>
      <c r="D21" s="495">
        <v>327388.60000000003</v>
      </c>
      <c r="E21" s="211">
        <v>135251.80000000002</v>
      </c>
      <c r="F21" s="213">
        <v>48906.30000000001</v>
      </c>
      <c r="G21" s="129">
        <v>1155279.4000000001</v>
      </c>
      <c r="H21" s="495">
        <v>12527.599999999999</v>
      </c>
      <c r="I21" s="213">
        <v>5645.1</v>
      </c>
      <c r="J21" s="1051">
        <v>422409.19999999995</v>
      </c>
      <c r="K21" s="141">
        <v>-25004.400000000005</v>
      </c>
      <c r="L21" s="130">
        <v>-59588.299999999974</v>
      </c>
      <c r="M21" s="128">
        <v>355989.19999999995</v>
      </c>
      <c r="N21" s="128">
        <v>1511268.6</v>
      </c>
      <c r="O21" s="362"/>
    </row>
    <row r="22" spans="1:16">
      <c r="A22" s="543" t="s">
        <v>15</v>
      </c>
      <c r="B22" s="213">
        <v>231244</v>
      </c>
      <c r="C22" s="213">
        <v>579093.39986500004</v>
      </c>
      <c r="D22" s="495">
        <v>282784.59999999998</v>
      </c>
      <c r="E22" s="211">
        <v>93970.000135000024</v>
      </c>
      <c r="F22" s="213">
        <v>46699</v>
      </c>
      <c r="G22" s="129">
        <v>1233791.0000000002</v>
      </c>
      <c r="H22" s="495">
        <v>13744.4</v>
      </c>
      <c r="I22" s="213">
        <v>12385</v>
      </c>
      <c r="J22" s="1051">
        <v>451055.8</v>
      </c>
      <c r="K22" s="141">
        <v>-17141.400000000027</v>
      </c>
      <c r="L22" s="130">
        <v>-6320.0000000000437</v>
      </c>
      <c r="M22" s="128">
        <v>453723.79999999993</v>
      </c>
      <c r="N22" s="128">
        <v>1687514.8000000003</v>
      </c>
      <c r="O22" s="362"/>
    </row>
    <row r="23" spans="1:16">
      <c r="A23" s="543" t="s">
        <v>669</v>
      </c>
      <c r="B23" s="404">
        <v>263491.20000000001</v>
      </c>
      <c r="C23" s="213">
        <v>732242.5</v>
      </c>
      <c r="D23" s="213">
        <v>345184</v>
      </c>
      <c r="E23" s="349">
        <v>158586.29999999999</v>
      </c>
      <c r="F23" s="213">
        <v>56738.3</v>
      </c>
      <c r="G23" s="129">
        <f t="shared" ref="G23" si="0">SUM(B23:F23)</f>
        <v>1556242.3</v>
      </c>
      <c r="H23" s="495">
        <v>12022.2</v>
      </c>
      <c r="I23" s="213">
        <v>17665.900000000001</v>
      </c>
      <c r="J23" s="1051">
        <v>460048.7</v>
      </c>
      <c r="K23" s="141">
        <v>-18750.800000000003</v>
      </c>
      <c r="L23" s="130">
        <v>-73538.7</v>
      </c>
      <c r="M23" s="128">
        <f t="shared" ref="M23" si="1">SUM(H23:L23)</f>
        <v>397447.3</v>
      </c>
      <c r="N23" s="128">
        <f t="shared" ref="N23" si="2">M23+G23</f>
        <v>1953689.6000000001</v>
      </c>
      <c r="O23" s="362"/>
      <c r="P23" s="362"/>
    </row>
    <row r="24" spans="1:16" hidden="1">
      <c r="A24" s="1059"/>
      <c r="B24" s="404"/>
      <c r="C24" s="213"/>
      <c r="D24" s="213"/>
      <c r="E24" s="349"/>
      <c r="F24" s="213"/>
      <c r="G24" s="129"/>
      <c r="H24" s="495"/>
      <c r="I24" s="213"/>
      <c r="J24" s="1051"/>
      <c r="K24" s="141"/>
      <c r="L24" s="130"/>
      <c r="M24" s="128"/>
      <c r="N24" s="128"/>
      <c r="O24" s="362"/>
    </row>
    <row r="25" spans="1:16" s="139" customFormat="1" hidden="1">
      <c r="A25" s="1059" t="s">
        <v>61</v>
      </c>
      <c r="B25" s="404">
        <v>169519.69999999998</v>
      </c>
      <c r="C25" s="213">
        <v>383013.09999999992</v>
      </c>
      <c r="D25" s="213">
        <v>285613.15000000002</v>
      </c>
      <c r="E25" s="349">
        <v>150060.39999999991</v>
      </c>
      <c r="F25" s="213">
        <v>26466.500000000007</v>
      </c>
      <c r="G25" s="129">
        <v>1014672.8499999999</v>
      </c>
      <c r="H25" s="495">
        <v>17678.7</v>
      </c>
      <c r="I25" s="213">
        <v>6602.2</v>
      </c>
      <c r="J25" s="1051">
        <v>315274.22499999998</v>
      </c>
      <c r="K25" s="141">
        <v>-11700.62500000002</v>
      </c>
      <c r="L25" s="130">
        <v>1834.5500000000256</v>
      </c>
      <c r="M25" s="128">
        <v>329689.05000000005</v>
      </c>
      <c r="N25" s="128">
        <v>1344361.9</v>
      </c>
      <c r="O25" s="410"/>
    </row>
    <row r="26" spans="1:16" hidden="1">
      <c r="A26" s="1059" t="s">
        <v>62</v>
      </c>
      <c r="B26" s="404">
        <v>191944.69999999998</v>
      </c>
      <c r="C26" s="213">
        <v>422341.60000000003</v>
      </c>
      <c r="D26" s="213">
        <v>290332</v>
      </c>
      <c r="E26" s="349">
        <v>145971.70000000001</v>
      </c>
      <c r="F26" s="213">
        <v>29940.799999999999</v>
      </c>
      <c r="G26" s="129">
        <v>1080530.8</v>
      </c>
      <c r="H26" s="495">
        <v>18384.599999999999</v>
      </c>
      <c r="I26" s="213">
        <v>2743.8</v>
      </c>
      <c r="J26" s="1051">
        <v>352057.74999999994</v>
      </c>
      <c r="K26" s="141">
        <v>-5289.549999999992</v>
      </c>
      <c r="L26" s="130">
        <v>-19833.300000000003</v>
      </c>
      <c r="M26" s="128">
        <v>348063.3</v>
      </c>
      <c r="N26" s="128">
        <v>1428594.1</v>
      </c>
      <c r="O26" s="362"/>
      <c r="P26" s="139"/>
    </row>
    <row r="27" spans="1:16" hidden="1">
      <c r="A27" s="1059" t="s">
        <v>63</v>
      </c>
      <c r="B27" s="404">
        <v>186479.89166666666</v>
      </c>
      <c r="C27" s="213">
        <v>430359.05277777778</v>
      </c>
      <c r="D27" s="213">
        <v>286361.9611111111</v>
      </c>
      <c r="E27" s="349">
        <v>149361.39999999991</v>
      </c>
      <c r="F27" s="213">
        <v>32928.700000000004</v>
      </c>
      <c r="G27" s="129">
        <v>1085491.0055555555</v>
      </c>
      <c r="H27" s="495">
        <v>18608.3</v>
      </c>
      <c r="I27" s="213">
        <v>8443.4</v>
      </c>
      <c r="J27" s="1051">
        <v>360739.73888888891</v>
      </c>
      <c r="K27" s="141">
        <v>-27763.466666666671</v>
      </c>
      <c r="L27" s="130">
        <v>-31836.927777777739</v>
      </c>
      <c r="M27" s="128">
        <v>328191.04444444453</v>
      </c>
      <c r="N27" s="128">
        <v>1413682.05</v>
      </c>
      <c r="O27" s="362"/>
      <c r="P27" s="139"/>
    </row>
    <row r="28" spans="1:16" hidden="1">
      <c r="A28" s="1059" t="s">
        <v>64</v>
      </c>
      <c r="B28" s="404">
        <v>195547.7</v>
      </c>
      <c r="C28" s="213">
        <v>458310.60000000003</v>
      </c>
      <c r="D28" s="213">
        <v>288594.30000000005</v>
      </c>
      <c r="E28" s="404">
        <v>164626.70000000004</v>
      </c>
      <c r="F28" s="213">
        <v>34759.1</v>
      </c>
      <c r="G28" s="213">
        <v>1141838.4000000001</v>
      </c>
      <c r="H28" s="213">
        <v>18489.400000000001</v>
      </c>
      <c r="I28" s="213">
        <v>9222.6</v>
      </c>
      <c r="J28" s="213">
        <v>385480.5</v>
      </c>
      <c r="K28" s="1163">
        <v>-7032.8999999999824</v>
      </c>
      <c r="L28" s="130">
        <v>-47293.900000000009</v>
      </c>
      <c r="M28" s="128">
        <v>358865.7</v>
      </c>
      <c r="N28" s="130">
        <v>1500704.1</v>
      </c>
      <c r="O28" s="362"/>
      <c r="P28" s="139"/>
    </row>
    <row r="29" spans="1:16" s="1051" customFormat="1">
      <c r="A29" s="1059"/>
      <c r="B29" s="404"/>
      <c r="C29" s="213"/>
      <c r="D29" s="213"/>
      <c r="E29" s="349"/>
      <c r="F29" s="213"/>
      <c r="G29" s="129"/>
      <c r="H29" s="495"/>
      <c r="I29" s="213"/>
      <c r="K29" s="141"/>
      <c r="L29" s="130"/>
      <c r="M29" s="128"/>
      <c r="N29" s="128"/>
      <c r="O29" s="362"/>
      <c r="P29" s="1040"/>
    </row>
    <row r="30" spans="1:16" s="1040" customFormat="1">
      <c r="A30" s="1059" t="s">
        <v>53</v>
      </c>
      <c r="B30" s="404">
        <v>190519.40000000002</v>
      </c>
      <c r="C30" s="213">
        <v>418133.04999999993</v>
      </c>
      <c r="D30" s="213">
        <v>306019.20000000007</v>
      </c>
      <c r="E30" s="349">
        <v>149561.5</v>
      </c>
      <c r="F30" s="213">
        <v>35591.5</v>
      </c>
      <c r="G30" s="129">
        <v>1099824.6499999999</v>
      </c>
      <c r="H30" s="495">
        <v>18108.099999999999</v>
      </c>
      <c r="I30" s="213">
        <v>10123.599999999999</v>
      </c>
      <c r="J30" s="1051">
        <v>386878.55</v>
      </c>
      <c r="K30" s="141">
        <v>-21663.550000000017</v>
      </c>
      <c r="L30" s="130">
        <v>-63382.500000000058</v>
      </c>
      <c r="M30" s="128">
        <v>330064.1999999999</v>
      </c>
      <c r="N30" s="128">
        <v>1429888.8499999999</v>
      </c>
      <c r="O30" s="410"/>
    </row>
    <row r="31" spans="1:16" s="1051" customFormat="1">
      <c r="A31" s="1059" t="s">
        <v>62</v>
      </c>
      <c r="B31" s="404">
        <v>221501.8</v>
      </c>
      <c r="C31" s="213">
        <v>431261.09999999986</v>
      </c>
      <c r="D31" s="213">
        <v>315064.59999999986</v>
      </c>
      <c r="E31" s="349">
        <v>136241.59999999995</v>
      </c>
      <c r="F31" s="213">
        <v>38846.100000000006</v>
      </c>
      <c r="G31" s="129">
        <v>1142915.1999999997</v>
      </c>
      <c r="H31" s="495">
        <v>15873.099999999999</v>
      </c>
      <c r="I31" s="213">
        <v>1293.3</v>
      </c>
      <c r="J31" s="1051">
        <v>394690.19999999995</v>
      </c>
      <c r="K31" s="141">
        <v>-19290.899999999994</v>
      </c>
      <c r="L31" s="130">
        <v>-57649.79999999993</v>
      </c>
      <c r="M31" s="128">
        <v>334915.90000000002</v>
      </c>
      <c r="N31" s="128">
        <v>1477831.0999999996</v>
      </c>
      <c r="O31" s="362"/>
      <c r="P31" s="1040"/>
    </row>
    <row r="32" spans="1:16" s="1051" customFormat="1">
      <c r="A32" s="1059" t="s">
        <v>63</v>
      </c>
      <c r="B32" s="404">
        <v>185941.30833333335</v>
      </c>
      <c r="C32" s="213">
        <v>458469.11111111112</v>
      </c>
      <c r="D32" s="213">
        <v>322042.07499999995</v>
      </c>
      <c r="E32" s="349">
        <v>140695.09999999992</v>
      </c>
      <c r="F32" s="213">
        <v>40021.999999999993</v>
      </c>
      <c r="G32" s="129">
        <v>1147169.5944444444</v>
      </c>
      <c r="H32" s="495">
        <v>16259.899999999998</v>
      </c>
      <c r="I32" s="213">
        <v>1252.3</v>
      </c>
      <c r="J32" s="1051">
        <v>404596.24166666664</v>
      </c>
      <c r="K32" s="141">
        <v>-25421.372222222228</v>
      </c>
      <c r="L32" s="130">
        <v>-46201.530555555517</v>
      </c>
      <c r="M32" s="128">
        <v>350485.5388888889</v>
      </c>
      <c r="N32" s="128">
        <v>1497655.1333333333</v>
      </c>
      <c r="O32" s="362"/>
      <c r="P32" s="1040"/>
    </row>
    <row r="33" spans="1:16" s="1051" customFormat="1">
      <c r="A33" s="1059" t="s">
        <v>64</v>
      </c>
      <c r="B33" s="404">
        <v>202881.5</v>
      </c>
      <c r="C33" s="213">
        <v>440851.1999999999</v>
      </c>
      <c r="D33" s="213">
        <v>327388.60000000003</v>
      </c>
      <c r="E33" s="349">
        <v>135251.80000000002</v>
      </c>
      <c r="F33" s="213">
        <v>48906.30000000001</v>
      </c>
      <c r="G33" s="129">
        <v>1155279.4000000001</v>
      </c>
      <c r="H33" s="495">
        <v>12527.599999999999</v>
      </c>
      <c r="I33" s="213">
        <v>5645.1</v>
      </c>
      <c r="J33" s="1051">
        <v>422409.19999999995</v>
      </c>
      <c r="K33" s="141">
        <v>-25004.400000000005</v>
      </c>
      <c r="L33" s="130">
        <v>-59588.299999999974</v>
      </c>
      <c r="M33" s="128">
        <v>355989.19999999995</v>
      </c>
      <c r="N33" s="128">
        <v>1511268.6</v>
      </c>
      <c r="O33" s="362"/>
      <c r="P33" s="1040"/>
    </row>
    <row r="34" spans="1:16">
      <c r="A34" s="1059"/>
      <c r="B34" s="404"/>
      <c r="C34" s="213"/>
      <c r="D34" s="213"/>
      <c r="E34" s="349"/>
      <c r="F34" s="213"/>
      <c r="G34" s="129"/>
      <c r="H34" s="495"/>
      <c r="I34" s="213"/>
      <c r="J34" s="512"/>
      <c r="K34" s="141"/>
      <c r="L34" s="130"/>
      <c r="M34" s="128"/>
      <c r="N34" s="128"/>
      <c r="O34" s="362"/>
      <c r="P34" s="139"/>
    </row>
    <row r="35" spans="1:16">
      <c r="A35" s="1059" t="s">
        <v>65</v>
      </c>
      <c r="B35" s="404">
        <v>188938.15</v>
      </c>
      <c r="C35" s="213">
        <v>463550.65</v>
      </c>
      <c r="D35" s="213">
        <v>308660.29999999993</v>
      </c>
      <c r="E35" s="349">
        <v>118414.49999999997</v>
      </c>
      <c r="F35" s="213">
        <v>52729.1</v>
      </c>
      <c r="G35" s="129">
        <v>1132292.7</v>
      </c>
      <c r="H35" s="495">
        <v>12645.4</v>
      </c>
      <c r="I35" s="213">
        <v>5204</v>
      </c>
      <c r="J35" s="1051">
        <v>416495.97499999992</v>
      </c>
      <c r="K35" s="141">
        <v>-35214.250000000015</v>
      </c>
      <c r="L35" s="130">
        <v>-48489.425000000003</v>
      </c>
      <c r="M35" s="128">
        <v>350641.69999999995</v>
      </c>
      <c r="N35" s="128">
        <v>1482934.4</v>
      </c>
      <c r="O35" s="362"/>
      <c r="P35" s="139"/>
    </row>
    <row r="36" spans="1:16">
      <c r="A36" s="1059" t="s">
        <v>44</v>
      </c>
      <c r="B36" s="404">
        <v>224409.89999999997</v>
      </c>
      <c r="C36" s="213">
        <v>493677.1</v>
      </c>
      <c r="D36" s="213">
        <v>290293.49999999994</v>
      </c>
      <c r="E36" s="349">
        <v>113982</v>
      </c>
      <c r="F36" s="213">
        <v>53870.100000000006</v>
      </c>
      <c r="G36" s="129">
        <v>1176232.6000000001</v>
      </c>
      <c r="H36" s="495">
        <v>11194.099999999999</v>
      </c>
      <c r="I36" s="213">
        <v>5535.4</v>
      </c>
      <c r="J36" s="1051">
        <v>431367.05</v>
      </c>
      <c r="K36" s="141">
        <v>-20051.600000000013</v>
      </c>
      <c r="L36" s="130">
        <v>-26444.050000000039</v>
      </c>
      <c r="M36" s="128">
        <v>401600.89999999991</v>
      </c>
      <c r="N36" s="128">
        <v>1577833.5</v>
      </c>
      <c r="O36" s="362"/>
      <c r="P36" s="139"/>
    </row>
    <row r="37" spans="1:16">
      <c r="A37" s="831" t="s">
        <v>47</v>
      </c>
      <c r="B37" s="404">
        <v>218877.59999999998</v>
      </c>
      <c r="C37" s="213">
        <v>522711.89999999997</v>
      </c>
      <c r="D37" s="213">
        <v>288204.5</v>
      </c>
      <c r="E37" s="349">
        <v>107052.3</v>
      </c>
      <c r="F37" s="213">
        <v>32716.1</v>
      </c>
      <c r="G37" s="129">
        <v>1169562.4000000001</v>
      </c>
      <c r="H37" s="495">
        <v>27794.5</v>
      </c>
      <c r="I37" s="213">
        <v>5791.3</v>
      </c>
      <c r="J37" s="1051">
        <v>435564.52499999997</v>
      </c>
      <c r="K37" s="141">
        <v>-16096.700000000012</v>
      </c>
      <c r="L37" s="130">
        <v>-11951.024999999961</v>
      </c>
      <c r="M37" s="128">
        <v>441102.6</v>
      </c>
      <c r="N37" s="128">
        <v>1610665</v>
      </c>
      <c r="O37" s="362"/>
      <c r="P37" s="139"/>
    </row>
    <row r="38" spans="1:16">
      <c r="A38" s="831" t="s">
        <v>50</v>
      </c>
      <c r="B38" s="404">
        <v>231244</v>
      </c>
      <c r="C38" s="213">
        <v>579093.39986500004</v>
      </c>
      <c r="D38" s="213">
        <v>282784.59999999998</v>
      </c>
      <c r="E38" s="349">
        <v>93970.000135000024</v>
      </c>
      <c r="F38" s="213">
        <v>46699</v>
      </c>
      <c r="G38" s="129">
        <v>1233791.0000000002</v>
      </c>
      <c r="H38" s="495">
        <v>13744.4</v>
      </c>
      <c r="I38" s="213">
        <v>12385</v>
      </c>
      <c r="J38" s="1051">
        <v>451055.8</v>
      </c>
      <c r="K38" s="141">
        <v>-17141.400000000027</v>
      </c>
      <c r="L38" s="130">
        <v>-6320.0000000000437</v>
      </c>
      <c r="M38" s="128">
        <v>453723.79999999993</v>
      </c>
      <c r="N38" s="128">
        <v>1687514.8000000003</v>
      </c>
      <c r="O38" s="362"/>
      <c r="P38" s="139"/>
    </row>
    <row r="39" spans="1:16">
      <c r="A39" s="1059"/>
      <c r="B39" s="404"/>
      <c r="C39" s="213"/>
      <c r="D39" s="213"/>
      <c r="E39" s="349"/>
      <c r="F39" s="213"/>
      <c r="G39" s="129"/>
      <c r="H39" s="495"/>
      <c r="I39" s="213"/>
      <c r="J39" s="512"/>
      <c r="K39" s="141"/>
      <c r="L39" s="130"/>
      <c r="M39" s="128"/>
      <c r="N39" s="128"/>
      <c r="O39" s="362"/>
      <c r="P39" s="139"/>
    </row>
    <row r="40" spans="1:16">
      <c r="A40" s="831" t="s">
        <v>66</v>
      </c>
      <c r="B40" s="404">
        <v>229172.40000000005</v>
      </c>
      <c r="C40" s="213">
        <v>642469.65</v>
      </c>
      <c r="D40" s="213">
        <v>306584.55</v>
      </c>
      <c r="E40" s="349">
        <v>121247.4</v>
      </c>
      <c r="F40" s="213">
        <v>49680.3</v>
      </c>
      <c r="G40" s="129">
        <v>1349154.3</v>
      </c>
      <c r="H40" s="495">
        <v>14102.3</v>
      </c>
      <c r="I40" s="213">
        <v>24941.399999999998</v>
      </c>
      <c r="J40" s="1051">
        <v>449838.14999999997</v>
      </c>
      <c r="K40" s="141">
        <v>-4777.0499999999229</v>
      </c>
      <c r="L40" s="130">
        <v>-102422.70000000004</v>
      </c>
      <c r="M40" s="128">
        <v>381682.1</v>
      </c>
      <c r="N40" s="128">
        <v>1730836.4</v>
      </c>
      <c r="O40" s="362"/>
      <c r="P40" s="139"/>
    </row>
    <row r="41" spans="1:16">
      <c r="A41" s="831" t="s">
        <v>627</v>
      </c>
      <c r="B41" s="404">
        <v>261688.90000000002</v>
      </c>
      <c r="C41" s="213">
        <v>705438.70000000007</v>
      </c>
      <c r="D41" s="213">
        <v>309096.69999999995</v>
      </c>
      <c r="E41" s="349">
        <v>140815.79999999999</v>
      </c>
      <c r="F41" s="213">
        <v>52804.6</v>
      </c>
      <c r="G41" s="129">
        <v>1469844.7000000002</v>
      </c>
      <c r="H41" s="495">
        <v>13350.1</v>
      </c>
      <c r="I41" s="213">
        <v>28009</v>
      </c>
      <c r="J41" s="1051">
        <v>462856</v>
      </c>
      <c r="K41" s="141">
        <v>-41931.299999999988</v>
      </c>
      <c r="L41" s="130">
        <v>-104190.8</v>
      </c>
      <c r="M41" s="128">
        <v>358093</v>
      </c>
      <c r="N41" s="128">
        <v>1827937.7000000002</v>
      </c>
      <c r="O41" s="362"/>
      <c r="P41" s="139"/>
    </row>
    <row r="42" spans="1:16">
      <c r="A42" s="831" t="s">
        <v>630</v>
      </c>
      <c r="B42" s="404">
        <v>250051.29999999996</v>
      </c>
      <c r="C42" s="213">
        <v>713705.45000000019</v>
      </c>
      <c r="D42" s="213">
        <v>322085.59999999998</v>
      </c>
      <c r="E42" s="349">
        <v>142228.70000000001</v>
      </c>
      <c r="F42" s="213">
        <v>55266.1</v>
      </c>
      <c r="G42" s="129">
        <v>1483337.1500000001</v>
      </c>
      <c r="H42" s="495">
        <v>12501.7</v>
      </c>
      <c r="I42" s="213">
        <v>32252.799999999999</v>
      </c>
      <c r="J42" s="1051">
        <v>479782.10000000003</v>
      </c>
      <c r="K42" s="141">
        <v>-5076.5000000000109</v>
      </c>
      <c r="L42" s="130">
        <v>-117385.59999999999</v>
      </c>
      <c r="M42" s="128">
        <v>402074.50000000012</v>
      </c>
      <c r="N42" s="128">
        <v>1885411.6500000004</v>
      </c>
      <c r="O42" s="362"/>
      <c r="P42" s="139"/>
    </row>
    <row r="43" spans="1:16">
      <c r="A43" s="831" t="s">
        <v>663</v>
      </c>
      <c r="B43" s="404">
        <v>263491.20000000001</v>
      </c>
      <c r="C43" s="213">
        <v>732242.5</v>
      </c>
      <c r="D43" s="213">
        <v>345184</v>
      </c>
      <c r="E43" s="349">
        <v>158586.29999999999</v>
      </c>
      <c r="F43" s="213">
        <v>56738.3</v>
      </c>
      <c r="G43" s="129">
        <f t="shared" ref="G43" si="3">SUM(B43:F43)</f>
        <v>1556242.3</v>
      </c>
      <c r="H43" s="495">
        <v>12022.2</v>
      </c>
      <c r="I43" s="213">
        <v>17665.900000000001</v>
      </c>
      <c r="J43" s="1051">
        <v>460048.7</v>
      </c>
      <c r="K43" s="141">
        <v>-18750.800000000003</v>
      </c>
      <c r="L43" s="130">
        <v>-73538.7</v>
      </c>
      <c r="M43" s="128">
        <f t="shared" ref="M43" si="4">SUM(H43:L43)</f>
        <v>397447.3</v>
      </c>
      <c r="N43" s="128">
        <f t="shared" ref="N43" si="5">M43+G43</f>
        <v>1953689.6000000001</v>
      </c>
      <c r="O43" s="362"/>
      <c r="P43" s="139"/>
    </row>
    <row r="44" spans="1:16">
      <c r="A44" s="831"/>
      <c r="B44" s="404"/>
      <c r="C44" s="213"/>
      <c r="D44" s="213"/>
      <c r="E44" s="349"/>
      <c r="F44" s="213"/>
      <c r="G44" s="129"/>
      <c r="H44" s="495"/>
      <c r="I44" s="213"/>
      <c r="J44" s="1051"/>
      <c r="K44" s="141"/>
      <c r="L44" s="130"/>
      <c r="M44" s="128"/>
      <c r="N44" s="128"/>
      <c r="O44" s="362"/>
      <c r="P44" s="139"/>
    </row>
    <row r="45" spans="1:16">
      <c r="A45" s="831" t="s">
        <v>703</v>
      </c>
      <c r="B45" s="404">
        <v>249504</v>
      </c>
      <c r="C45" s="213">
        <v>778473.79999999993</v>
      </c>
      <c r="D45" s="213">
        <v>366927.89999999991</v>
      </c>
      <c r="E45" s="349">
        <v>171240.60000000003</v>
      </c>
      <c r="F45" s="213">
        <v>59609.100000000006</v>
      </c>
      <c r="G45" s="129">
        <v>1625755.4</v>
      </c>
      <c r="H45" s="495">
        <v>11284.9</v>
      </c>
      <c r="I45" s="213">
        <v>25616.3</v>
      </c>
      <c r="J45" s="1051">
        <v>460018.5</v>
      </c>
      <c r="K45" s="141">
        <v>-53101.800000000061</v>
      </c>
      <c r="L45" s="130">
        <v>-85785.1</v>
      </c>
      <c r="M45" s="128">
        <v>358032.79999999993</v>
      </c>
      <c r="N45" s="128">
        <v>1983788.1999999997</v>
      </c>
      <c r="O45" s="362"/>
      <c r="P45" s="139"/>
    </row>
    <row r="46" spans="1:16" s="1051" customFormat="1">
      <c r="A46" s="831" t="s">
        <v>717</v>
      </c>
      <c r="B46" s="404">
        <v>282548.10000000003</v>
      </c>
      <c r="C46" s="213">
        <v>810466.8</v>
      </c>
      <c r="D46" s="213">
        <v>381790.4</v>
      </c>
      <c r="E46" s="349">
        <v>157640.1</v>
      </c>
      <c r="F46" s="213">
        <v>63247.899999999994</v>
      </c>
      <c r="G46" s="129">
        <v>1695693.3000000003</v>
      </c>
      <c r="H46" s="495">
        <v>11429.7</v>
      </c>
      <c r="I46" s="213">
        <v>18656.7</v>
      </c>
      <c r="J46" s="1051">
        <v>485298.2</v>
      </c>
      <c r="K46" s="141">
        <v>-45867.199999999953</v>
      </c>
      <c r="L46" s="130">
        <v>-105961.40000000004</v>
      </c>
      <c r="M46" s="128">
        <v>363556.00000000006</v>
      </c>
      <c r="N46" s="128">
        <v>2059249.3000000003</v>
      </c>
      <c r="O46" s="362"/>
      <c r="P46" s="1040"/>
    </row>
    <row r="47" spans="1:16">
      <c r="A47" s="1059"/>
      <c r="B47" s="404"/>
      <c r="C47" s="213"/>
      <c r="D47" s="213"/>
      <c r="E47" s="349"/>
      <c r="F47" s="213"/>
      <c r="G47" s="129"/>
      <c r="H47" s="495"/>
      <c r="I47" s="213"/>
      <c r="J47" s="1051"/>
      <c r="K47" s="141"/>
      <c r="L47" s="130"/>
      <c r="M47" s="128"/>
      <c r="N47" s="128"/>
      <c r="O47" s="362"/>
      <c r="P47" s="139"/>
    </row>
    <row r="48" spans="1:16" hidden="1">
      <c r="A48" s="1059" t="s">
        <v>60</v>
      </c>
      <c r="B48" s="404">
        <v>79689.100000000006</v>
      </c>
      <c r="C48" s="213">
        <v>156706</v>
      </c>
      <c r="D48" s="213">
        <v>85963.499999999985</v>
      </c>
      <c r="E48" s="349">
        <v>43197.2</v>
      </c>
      <c r="F48" s="213">
        <v>5755.2</v>
      </c>
      <c r="G48" s="129">
        <f t="shared" ref="G48:G116" si="6">SUM(B48:F48)</f>
        <v>371311</v>
      </c>
      <c r="H48" s="495">
        <v>6484.6000000000013</v>
      </c>
      <c r="I48" s="213">
        <v>2368.6</v>
      </c>
      <c r="J48" s="512">
        <v>95793.099999999991</v>
      </c>
      <c r="K48" s="141">
        <v>-2809.7999999999984</v>
      </c>
      <c r="L48" s="130">
        <v>34954.400000000009</v>
      </c>
      <c r="M48" s="128">
        <f t="shared" ref="M48:M59" si="7">SUM(H48:L48)</f>
        <v>136790.9</v>
      </c>
      <c r="N48" s="128">
        <f t="shared" ref="N48:N59" si="8">M48+G48</f>
        <v>508101.9</v>
      </c>
      <c r="O48" s="362"/>
      <c r="P48" s="139"/>
    </row>
    <row r="49" spans="1:16" hidden="1">
      <c r="A49" s="1059" t="s">
        <v>40</v>
      </c>
      <c r="B49" s="404">
        <v>80782.5</v>
      </c>
      <c r="C49" s="213">
        <v>156964.79999999996</v>
      </c>
      <c r="D49" s="213">
        <v>89136.799999999988</v>
      </c>
      <c r="E49" s="349">
        <v>51858.599999999969</v>
      </c>
      <c r="F49" s="213">
        <v>6551.5999999999995</v>
      </c>
      <c r="G49" s="129">
        <f t="shared" si="6"/>
        <v>385294.29999999993</v>
      </c>
      <c r="H49" s="495">
        <v>6666.6</v>
      </c>
      <c r="I49" s="213">
        <v>2117.1999999999998</v>
      </c>
      <c r="J49" s="512">
        <v>99408.400000000009</v>
      </c>
      <c r="K49" s="141">
        <v>-3353.1999999999975</v>
      </c>
      <c r="L49" s="130">
        <v>33219.700000000012</v>
      </c>
      <c r="M49" s="128">
        <f t="shared" si="7"/>
        <v>138058.70000000001</v>
      </c>
      <c r="N49" s="128">
        <f t="shared" si="8"/>
        <v>523352.99999999994</v>
      </c>
      <c r="O49" s="362"/>
      <c r="P49" s="139"/>
    </row>
    <row r="50" spans="1:16" hidden="1">
      <c r="A50" s="1059" t="s">
        <v>41</v>
      </c>
      <c r="B50" s="404">
        <v>80635.8</v>
      </c>
      <c r="C50" s="213">
        <v>168932.30000000002</v>
      </c>
      <c r="D50" s="213">
        <v>89083.5</v>
      </c>
      <c r="E50" s="349">
        <v>59602.599999999991</v>
      </c>
      <c r="F50" s="213">
        <v>6755.5</v>
      </c>
      <c r="G50" s="129">
        <f t="shared" si="6"/>
        <v>405009.7</v>
      </c>
      <c r="H50" s="495">
        <v>6970.2</v>
      </c>
      <c r="I50" s="213">
        <v>2145.1999999999998</v>
      </c>
      <c r="J50" s="512">
        <v>92586.200000000012</v>
      </c>
      <c r="K50" s="141">
        <v>-1790.1999999999987</v>
      </c>
      <c r="L50" s="130">
        <v>32622.400000000009</v>
      </c>
      <c r="M50" s="128">
        <f t="shared" si="7"/>
        <v>132533.80000000002</v>
      </c>
      <c r="N50" s="128">
        <f t="shared" si="8"/>
        <v>537543.5</v>
      </c>
      <c r="O50" s="362"/>
      <c r="P50" s="139"/>
    </row>
    <row r="51" spans="1:16" hidden="1">
      <c r="A51" s="1059" t="s">
        <v>42</v>
      </c>
      <c r="B51" s="404">
        <v>89167.6</v>
      </c>
      <c r="C51" s="213">
        <v>164775.5</v>
      </c>
      <c r="D51" s="213">
        <v>88413.100000000035</v>
      </c>
      <c r="E51" s="349">
        <v>54473.499999999993</v>
      </c>
      <c r="F51" s="213">
        <v>6549.9999999999991</v>
      </c>
      <c r="G51" s="129">
        <f t="shared" si="6"/>
        <v>403379.70000000007</v>
      </c>
      <c r="H51" s="495">
        <v>7507.9000000000005</v>
      </c>
      <c r="I51" s="213">
        <v>1906.4</v>
      </c>
      <c r="J51" s="512">
        <v>87299.400000000009</v>
      </c>
      <c r="K51" s="141">
        <v>-1494.7</v>
      </c>
      <c r="L51" s="130">
        <v>39359.30000000001</v>
      </c>
      <c r="M51" s="128">
        <f t="shared" si="7"/>
        <v>134578.30000000002</v>
      </c>
      <c r="N51" s="128">
        <f t="shared" si="8"/>
        <v>537958.00000000012</v>
      </c>
      <c r="O51" s="362"/>
      <c r="P51" s="139"/>
    </row>
    <row r="52" spans="1:16" hidden="1">
      <c r="A52" s="1059" t="s">
        <v>43</v>
      </c>
      <c r="B52" s="404">
        <v>90127.5</v>
      </c>
      <c r="C52" s="213">
        <v>156462.79999999999</v>
      </c>
      <c r="D52" s="213">
        <v>89650.3</v>
      </c>
      <c r="E52" s="349">
        <v>51599.676999999981</v>
      </c>
      <c r="F52" s="213">
        <v>6609</v>
      </c>
      <c r="G52" s="129">
        <f t="shared" si="6"/>
        <v>394449.27699999994</v>
      </c>
      <c r="H52" s="495">
        <v>7522.4000000000015</v>
      </c>
      <c r="I52" s="213">
        <v>2593.4</v>
      </c>
      <c r="J52" s="512">
        <v>93514.500000000015</v>
      </c>
      <c r="K52" s="141">
        <v>-2988.6000000000022</v>
      </c>
      <c r="L52" s="130">
        <v>35857.899999999987</v>
      </c>
      <c r="M52" s="128">
        <f t="shared" si="7"/>
        <v>136499.6</v>
      </c>
      <c r="N52" s="128">
        <f t="shared" si="8"/>
        <v>530948.87699999998</v>
      </c>
      <c r="O52" s="362"/>
      <c r="P52" s="139"/>
    </row>
    <row r="53" spans="1:16" hidden="1">
      <c r="A53" s="1059" t="s">
        <v>44</v>
      </c>
      <c r="B53" s="404">
        <v>99266.699999999983</v>
      </c>
      <c r="C53" s="213">
        <v>167031.90000000005</v>
      </c>
      <c r="D53" s="213">
        <v>86848.6</v>
      </c>
      <c r="E53" s="349">
        <v>53497.899999999987</v>
      </c>
      <c r="F53" s="213">
        <v>7103.2</v>
      </c>
      <c r="G53" s="129">
        <f t="shared" si="6"/>
        <v>413748.30000000005</v>
      </c>
      <c r="H53" s="495">
        <v>7739.7999999999993</v>
      </c>
      <c r="I53" s="213">
        <v>2889.3</v>
      </c>
      <c r="J53" s="512">
        <v>98965.5</v>
      </c>
      <c r="K53" s="141">
        <v>-3918.8000000000029</v>
      </c>
      <c r="L53" s="130">
        <v>37576.499999999985</v>
      </c>
      <c r="M53" s="128">
        <f t="shared" si="7"/>
        <v>143252.29999999999</v>
      </c>
      <c r="N53" s="128">
        <f t="shared" si="8"/>
        <v>557000.60000000009</v>
      </c>
      <c r="O53" s="362"/>
      <c r="P53" s="139"/>
    </row>
    <row r="54" spans="1:16" hidden="1">
      <c r="A54" s="1059" t="s">
        <v>45</v>
      </c>
      <c r="B54" s="404">
        <v>111386.09999999999</v>
      </c>
      <c r="C54" s="213">
        <v>168605.40000000002</v>
      </c>
      <c r="D54" s="213">
        <v>91211.199999999997</v>
      </c>
      <c r="E54" s="349">
        <v>53458.899999999965</v>
      </c>
      <c r="F54" s="213">
        <v>7182.9</v>
      </c>
      <c r="G54" s="129">
        <f t="shared" si="6"/>
        <v>431844.5</v>
      </c>
      <c r="H54" s="495">
        <v>8014.7</v>
      </c>
      <c r="I54" s="213">
        <v>2612.9</v>
      </c>
      <c r="J54" s="512">
        <v>103402.7</v>
      </c>
      <c r="K54" s="141">
        <v>-3510.600000000004</v>
      </c>
      <c r="L54" s="130">
        <v>30446.685000000005</v>
      </c>
      <c r="M54" s="128">
        <f t="shared" si="7"/>
        <v>140966.38500000001</v>
      </c>
      <c r="N54" s="128">
        <f t="shared" si="8"/>
        <v>572810.88500000001</v>
      </c>
      <c r="O54" s="362"/>
      <c r="P54" s="139"/>
    </row>
    <row r="55" spans="1:16" hidden="1">
      <c r="A55" s="1059" t="s">
        <v>46</v>
      </c>
      <c r="B55" s="404">
        <v>110188.89999999998</v>
      </c>
      <c r="C55" s="213">
        <v>177071.50000000003</v>
      </c>
      <c r="D55" s="213">
        <v>92805.89999999998</v>
      </c>
      <c r="E55" s="349">
        <v>58804.200000000048</v>
      </c>
      <c r="F55" s="213">
        <v>7450.8999999999987</v>
      </c>
      <c r="G55" s="129">
        <f t="shared" si="6"/>
        <v>446321.40000000008</v>
      </c>
      <c r="H55" s="495">
        <v>8104.7999999999993</v>
      </c>
      <c r="I55" s="213">
        <v>3329</v>
      </c>
      <c r="J55" s="512">
        <v>104321.8</v>
      </c>
      <c r="K55" s="141">
        <v>-4501.2999999999993</v>
      </c>
      <c r="L55" s="130">
        <v>28249.700000000026</v>
      </c>
      <c r="M55" s="128">
        <f t="shared" si="7"/>
        <v>139504.00000000003</v>
      </c>
      <c r="N55" s="128">
        <f t="shared" si="8"/>
        <v>585825.40000000014</v>
      </c>
      <c r="O55" s="362"/>
      <c r="P55" s="139"/>
    </row>
    <row r="56" spans="1:16" hidden="1">
      <c r="A56" s="1059" t="s">
        <v>47</v>
      </c>
      <c r="B56" s="404">
        <v>110350.20000000001</v>
      </c>
      <c r="C56" s="213">
        <v>184837.59999999998</v>
      </c>
      <c r="D56" s="213">
        <v>94519.900000000009</v>
      </c>
      <c r="E56" s="349">
        <v>63322.599999999984</v>
      </c>
      <c r="F56" s="213">
        <v>7610.2999999999993</v>
      </c>
      <c r="G56" s="129">
        <f t="shared" si="6"/>
        <v>460640.6</v>
      </c>
      <c r="H56" s="495">
        <v>8094.7999999999993</v>
      </c>
      <c r="I56" s="213">
        <v>3473.3</v>
      </c>
      <c r="J56" s="512">
        <v>104968.7</v>
      </c>
      <c r="K56" s="141">
        <v>-3204.8000000000047</v>
      </c>
      <c r="L56" s="130">
        <v>31659.900000000012</v>
      </c>
      <c r="M56" s="128">
        <f t="shared" si="7"/>
        <v>144991.9</v>
      </c>
      <c r="N56" s="128">
        <f t="shared" si="8"/>
        <v>605632.5</v>
      </c>
      <c r="O56" s="362"/>
      <c r="P56" s="139"/>
    </row>
    <row r="57" spans="1:16" hidden="1">
      <c r="A57" s="1059" t="s">
        <v>48</v>
      </c>
      <c r="B57" s="404">
        <v>108669.70000000001</v>
      </c>
      <c r="C57" s="213">
        <v>187490</v>
      </c>
      <c r="D57" s="213">
        <v>96513.4</v>
      </c>
      <c r="E57" s="349">
        <v>59725.2</v>
      </c>
      <c r="F57" s="213">
        <v>7351.6999999999989</v>
      </c>
      <c r="G57" s="129">
        <f t="shared" si="6"/>
        <v>459750</v>
      </c>
      <c r="H57" s="495">
        <v>8207.2000000000007</v>
      </c>
      <c r="I57" s="213">
        <v>3310.6</v>
      </c>
      <c r="J57" s="512">
        <v>106571.9</v>
      </c>
      <c r="K57" s="141">
        <v>-2334.8999999999978</v>
      </c>
      <c r="L57" s="130">
        <v>39808.500000000015</v>
      </c>
      <c r="M57" s="128">
        <f t="shared" si="7"/>
        <v>155563.30000000002</v>
      </c>
      <c r="N57" s="128">
        <f t="shared" si="8"/>
        <v>615313.30000000005</v>
      </c>
      <c r="O57" s="362"/>
      <c r="P57" s="139"/>
    </row>
    <row r="58" spans="1:16" hidden="1">
      <c r="A58" s="1059" t="s">
        <v>49</v>
      </c>
      <c r="B58" s="404">
        <v>106022.1</v>
      </c>
      <c r="C58" s="213">
        <v>186562.3</v>
      </c>
      <c r="D58" s="213">
        <v>99180.900000000023</v>
      </c>
      <c r="E58" s="349">
        <v>63216.900000000009</v>
      </c>
      <c r="F58" s="213">
        <v>7345.2999999999993</v>
      </c>
      <c r="G58" s="129">
        <f t="shared" si="6"/>
        <v>462327.50000000006</v>
      </c>
      <c r="H58" s="495">
        <v>8247.7000000000007</v>
      </c>
      <c r="I58" s="213">
        <v>3369.6</v>
      </c>
      <c r="J58" s="512">
        <v>111968.8</v>
      </c>
      <c r="K58" s="141">
        <v>-1439.3000000000011</v>
      </c>
      <c r="L58" s="130">
        <v>37207.399999999987</v>
      </c>
      <c r="M58" s="128">
        <f t="shared" si="7"/>
        <v>159354.19999999998</v>
      </c>
      <c r="N58" s="128">
        <f t="shared" si="8"/>
        <v>621681.70000000007</v>
      </c>
      <c r="O58" s="362"/>
      <c r="P58" s="139"/>
    </row>
    <row r="59" spans="1:16" hidden="1">
      <c r="A59" s="1059" t="s">
        <v>50</v>
      </c>
      <c r="B59" s="404">
        <v>112622.5</v>
      </c>
      <c r="C59" s="213">
        <v>207061.90000000005</v>
      </c>
      <c r="D59" s="213">
        <v>99838.999999999985</v>
      </c>
      <c r="E59" s="349">
        <v>63073.699999999953</v>
      </c>
      <c r="F59" s="213">
        <v>7693.2999999999975</v>
      </c>
      <c r="G59" s="129">
        <f t="shared" si="6"/>
        <v>490290.39999999997</v>
      </c>
      <c r="H59" s="495">
        <v>8345</v>
      </c>
      <c r="I59" s="213">
        <v>5225.7</v>
      </c>
      <c r="J59" s="512">
        <v>113622.39999999999</v>
      </c>
      <c r="K59" s="141">
        <v>-3768.2999999999984</v>
      </c>
      <c r="L59" s="130">
        <v>55045</v>
      </c>
      <c r="M59" s="128">
        <f t="shared" si="7"/>
        <v>178469.8</v>
      </c>
      <c r="N59" s="128">
        <f t="shared" si="8"/>
        <v>668760.19999999995</v>
      </c>
      <c r="O59" s="362"/>
      <c r="P59" s="139"/>
    </row>
    <row r="60" spans="1:16" hidden="1">
      <c r="A60" s="142"/>
      <c r="B60" s="404"/>
      <c r="C60" s="213"/>
      <c r="D60" s="213"/>
      <c r="E60" s="349"/>
      <c r="F60" s="213"/>
      <c r="G60" s="129"/>
      <c r="H60" s="495"/>
      <c r="I60" s="213"/>
      <c r="J60" s="1111"/>
      <c r="K60" s="141"/>
      <c r="L60" s="542"/>
      <c r="M60" s="128"/>
      <c r="N60" s="128"/>
      <c r="O60" s="362"/>
      <c r="P60" s="139"/>
    </row>
    <row r="61" spans="1:16" hidden="1">
      <c r="A61" s="1059" t="s">
        <v>59</v>
      </c>
      <c r="B61" s="404">
        <v>103454.39999999999</v>
      </c>
      <c r="C61" s="213">
        <v>199773.80000000002</v>
      </c>
      <c r="D61" s="213">
        <v>98524.999999999985</v>
      </c>
      <c r="E61" s="349">
        <v>63221.099999999991</v>
      </c>
      <c r="F61" s="213">
        <v>7855.0999999999995</v>
      </c>
      <c r="G61" s="129">
        <f t="shared" si="6"/>
        <v>472829.39999999997</v>
      </c>
      <c r="H61" s="495">
        <v>8380</v>
      </c>
      <c r="I61" s="213">
        <v>5513.8</v>
      </c>
      <c r="J61" s="512">
        <v>106093.2</v>
      </c>
      <c r="K61" s="141">
        <v>-2038.7000000000032</v>
      </c>
      <c r="L61" s="130">
        <v>42560.5</v>
      </c>
      <c r="M61" s="128">
        <f t="shared" ref="M61:M72" si="9">SUM(H61:L61)</f>
        <v>160508.79999999999</v>
      </c>
      <c r="N61" s="128">
        <f t="shared" ref="N61:N72" si="10">M61+G61</f>
        <v>633338.19999999995</v>
      </c>
      <c r="O61" s="362"/>
      <c r="P61" s="139"/>
    </row>
    <row r="62" spans="1:16" hidden="1">
      <c r="A62" s="1059" t="s">
        <v>40</v>
      </c>
      <c r="B62" s="404">
        <v>100983.2</v>
      </c>
      <c r="C62" s="213">
        <v>195147.6</v>
      </c>
      <c r="D62" s="213">
        <v>100309.7</v>
      </c>
      <c r="E62" s="349">
        <v>63836.368000000002</v>
      </c>
      <c r="F62" s="213">
        <v>7970.8</v>
      </c>
      <c r="G62" s="129">
        <f t="shared" si="6"/>
        <v>468247.66800000001</v>
      </c>
      <c r="H62" s="495">
        <v>8605</v>
      </c>
      <c r="I62" s="213">
        <v>6639.8</v>
      </c>
      <c r="J62" s="512">
        <v>109982.6</v>
      </c>
      <c r="K62" s="141">
        <v>-1453.3999999999999</v>
      </c>
      <c r="L62" s="130">
        <v>39728.400000000001</v>
      </c>
      <c r="M62" s="128">
        <f t="shared" si="9"/>
        <v>163502.40000000002</v>
      </c>
      <c r="N62" s="128">
        <f t="shared" si="10"/>
        <v>631750.06799999997</v>
      </c>
      <c r="O62" s="362"/>
      <c r="P62" s="139"/>
    </row>
    <row r="63" spans="1:16" hidden="1">
      <c r="A63" s="1059" t="s">
        <v>41</v>
      </c>
      <c r="B63" s="404">
        <v>99933.9</v>
      </c>
      <c r="C63" s="213">
        <v>203598.3</v>
      </c>
      <c r="D63" s="213">
        <v>99993.599999999991</v>
      </c>
      <c r="E63" s="349">
        <v>67860.600000000006</v>
      </c>
      <c r="F63" s="213">
        <v>8009.0999999999995</v>
      </c>
      <c r="G63" s="129">
        <f t="shared" si="6"/>
        <v>479395.49999999988</v>
      </c>
      <c r="H63" s="495">
        <v>8899.4</v>
      </c>
      <c r="I63" s="213">
        <v>5647.2</v>
      </c>
      <c r="J63" s="512">
        <v>115251</v>
      </c>
      <c r="K63" s="141">
        <v>278.69999999999777</v>
      </c>
      <c r="L63" s="130">
        <v>22781.8</v>
      </c>
      <c r="M63" s="128">
        <f t="shared" si="9"/>
        <v>152858.1</v>
      </c>
      <c r="N63" s="128">
        <f t="shared" si="10"/>
        <v>632253.59999999986</v>
      </c>
      <c r="O63" s="362"/>
      <c r="P63" s="139"/>
    </row>
    <row r="64" spans="1:16" hidden="1">
      <c r="A64" s="1059" t="s">
        <v>42</v>
      </c>
      <c r="B64" s="404">
        <v>103575.8</v>
      </c>
      <c r="C64" s="213">
        <v>200820.90000000002</v>
      </c>
      <c r="D64" s="213">
        <v>102644.59999999999</v>
      </c>
      <c r="E64" s="349">
        <v>69235.39999999998</v>
      </c>
      <c r="F64" s="213">
        <v>8171.6</v>
      </c>
      <c r="G64" s="129">
        <f t="shared" si="6"/>
        <v>484448.29999999993</v>
      </c>
      <c r="H64" s="495">
        <v>9006.1</v>
      </c>
      <c r="I64" s="213">
        <v>5663.5</v>
      </c>
      <c r="J64" s="512">
        <v>112091.2</v>
      </c>
      <c r="K64" s="141">
        <v>-4413.4999999999991</v>
      </c>
      <c r="L64" s="130">
        <v>25258.5</v>
      </c>
      <c r="M64" s="128">
        <f t="shared" si="9"/>
        <v>147605.79999999999</v>
      </c>
      <c r="N64" s="128">
        <f t="shared" si="10"/>
        <v>632054.09999999986</v>
      </c>
      <c r="O64" s="362"/>
      <c r="P64" s="139"/>
    </row>
    <row r="65" spans="1:16" hidden="1">
      <c r="A65" s="1059" t="s">
        <v>43</v>
      </c>
      <c r="B65" s="404">
        <v>100323.1</v>
      </c>
      <c r="C65" s="213">
        <v>196045.00000000006</v>
      </c>
      <c r="D65" s="213">
        <v>105416.20000000001</v>
      </c>
      <c r="E65" s="349">
        <v>68900.700000000026</v>
      </c>
      <c r="F65" s="213">
        <v>8540.2999999999993</v>
      </c>
      <c r="G65" s="129">
        <f t="shared" si="6"/>
        <v>479225.3000000001</v>
      </c>
      <c r="H65" s="495">
        <v>8970.6999999999989</v>
      </c>
      <c r="I65" s="213">
        <v>4707.2</v>
      </c>
      <c r="J65" s="512">
        <v>114201.7</v>
      </c>
      <c r="K65" s="141">
        <v>2428.6000000000049</v>
      </c>
      <c r="L65" s="130">
        <v>58703.1</v>
      </c>
      <c r="M65" s="128">
        <f t="shared" si="9"/>
        <v>189011.3</v>
      </c>
      <c r="N65" s="128">
        <f t="shared" si="10"/>
        <v>668236.60000000009</v>
      </c>
      <c r="O65" s="362"/>
      <c r="P65" s="139"/>
    </row>
    <row r="66" spans="1:16" hidden="1">
      <c r="A66" s="1059" t="s">
        <v>44</v>
      </c>
      <c r="B66" s="404">
        <v>108011.2</v>
      </c>
      <c r="C66" s="213">
        <v>202721.79999999996</v>
      </c>
      <c r="D66" s="213">
        <v>106915.59999999998</v>
      </c>
      <c r="E66" s="349">
        <v>69104.300000000017</v>
      </c>
      <c r="F66" s="213">
        <v>8673.0999999999985</v>
      </c>
      <c r="G66" s="129">
        <f t="shared" si="6"/>
        <v>495425.99999999988</v>
      </c>
      <c r="H66" s="495">
        <v>10110.4</v>
      </c>
      <c r="I66" s="213">
        <v>3207.8999999999996</v>
      </c>
      <c r="J66" s="512">
        <v>126943.8</v>
      </c>
      <c r="K66" s="141">
        <v>-139.8999999999985</v>
      </c>
      <c r="L66" s="130">
        <v>54502.2</v>
      </c>
      <c r="M66" s="128">
        <f t="shared" si="9"/>
        <v>194624.40000000002</v>
      </c>
      <c r="N66" s="128">
        <f t="shared" si="10"/>
        <v>690050.39999999991</v>
      </c>
      <c r="O66" s="362"/>
      <c r="P66" s="139"/>
    </row>
    <row r="67" spans="1:16" hidden="1">
      <c r="A67" s="1059" t="s">
        <v>45</v>
      </c>
      <c r="B67" s="404">
        <v>111942.3</v>
      </c>
      <c r="C67" s="213">
        <v>196651.40000000002</v>
      </c>
      <c r="D67" s="213">
        <v>107474.4</v>
      </c>
      <c r="E67" s="349">
        <v>70439.999999999985</v>
      </c>
      <c r="F67" s="213">
        <v>8690.0999999999985</v>
      </c>
      <c r="G67" s="129">
        <f t="shared" si="6"/>
        <v>495198.19999999995</v>
      </c>
      <c r="H67" s="495">
        <v>10182.999999999998</v>
      </c>
      <c r="I67" s="213">
        <v>2971.7</v>
      </c>
      <c r="J67" s="512">
        <v>127416</v>
      </c>
      <c r="K67" s="141">
        <v>-996.59999999999695</v>
      </c>
      <c r="L67" s="130">
        <v>53711.5</v>
      </c>
      <c r="M67" s="128">
        <f t="shared" si="9"/>
        <v>193285.6</v>
      </c>
      <c r="N67" s="128">
        <f t="shared" si="10"/>
        <v>688483.79999999993</v>
      </c>
      <c r="O67" s="362"/>
      <c r="P67" s="139"/>
    </row>
    <row r="68" spans="1:16" hidden="1">
      <c r="A68" s="1059" t="s">
        <v>46</v>
      </c>
      <c r="B68" s="404">
        <v>109252.59999999999</v>
      </c>
      <c r="C68" s="213">
        <v>205794.40000000002</v>
      </c>
      <c r="D68" s="213">
        <v>105291.89999999998</v>
      </c>
      <c r="E68" s="349">
        <v>71700.799999999988</v>
      </c>
      <c r="F68" s="213">
        <v>8874.0999999999985</v>
      </c>
      <c r="G68" s="129">
        <f t="shared" si="6"/>
        <v>500913.79999999993</v>
      </c>
      <c r="H68" s="495">
        <v>10806.699999999999</v>
      </c>
      <c r="I68" s="213">
        <v>2286.5</v>
      </c>
      <c r="J68" s="512">
        <v>132736.4</v>
      </c>
      <c r="K68" s="141">
        <v>26.700000000000955</v>
      </c>
      <c r="L68" s="130">
        <v>47450.5</v>
      </c>
      <c r="M68" s="128">
        <f t="shared" si="9"/>
        <v>193306.80000000002</v>
      </c>
      <c r="N68" s="128">
        <f t="shared" si="10"/>
        <v>694220.6</v>
      </c>
      <c r="O68" s="362"/>
      <c r="P68" s="139"/>
    </row>
    <row r="69" spans="1:16" hidden="1">
      <c r="A69" s="1059" t="s">
        <v>47</v>
      </c>
      <c r="B69" s="404">
        <v>104472.6</v>
      </c>
      <c r="C69" s="213">
        <v>228836.60000000006</v>
      </c>
      <c r="D69" s="213">
        <v>101524.9</v>
      </c>
      <c r="E69" s="349">
        <v>71084.000000000015</v>
      </c>
      <c r="F69" s="213">
        <v>9250.2000000000007</v>
      </c>
      <c r="G69" s="129">
        <f t="shared" si="6"/>
        <v>515168.3000000001</v>
      </c>
      <c r="H69" s="495">
        <v>11042.499999999998</v>
      </c>
      <c r="I69" s="213">
        <v>2277.6999999999998</v>
      </c>
      <c r="J69" s="512">
        <v>136251.1</v>
      </c>
      <c r="K69" s="141">
        <v>-1346.5999999999983</v>
      </c>
      <c r="L69" s="130">
        <v>47387.7</v>
      </c>
      <c r="M69" s="128">
        <f t="shared" si="9"/>
        <v>195612.39999999997</v>
      </c>
      <c r="N69" s="128">
        <f t="shared" si="10"/>
        <v>710780.70000000007</v>
      </c>
      <c r="O69" s="362"/>
      <c r="P69" s="139"/>
    </row>
    <row r="70" spans="1:16" hidden="1">
      <c r="A70" s="1059" t="s">
        <v>48</v>
      </c>
      <c r="B70" s="404">
        <v>106620.8</v>
      </c>
      <c r="C70" s="213">
        <v>218915.50000000003</v>
      </c>
      <c r="D70" s="213">
        <v>110336.7</v>
      </c>
      <c r="E70" s="349">
        <v>78231</v>
      </c>
      <c r="F70" s="213">
        <v>9777.4999999999982</v>
      </c>
      <c r="G70" s="129">
        <f t="shared" si="6"/>
        <v>523881.50000000006</v>
      </c>
      <c r="H70" s="495">
        <v>11063.9</v>
      </c>
      <c r="I70" s="213">
        <v>1249.4000000000001</v>
      </c>
      <c r="J70" s="512">
        <v>139843.20000000001</v>
      </c>
      <c r="K70" s="141">
        <v>-3475.5999999999976</v>
      </c>
      <c r="L70" s="130">
        <v>50307.1</v>
      </c>
      <c r="M70" s="128">
        <f t="shared" si="9"/>
        <v>198988</v>
      </c>
      <c r="N70" s="128">
        <f t="shared" si="10"/>
        <v>722869.5</v>
      </c>
      <c r="O70" s="362"/>
      <c r="P70" s="139"/>
    </row>
    <row r="71" spans="1:16" hidden="1">
      <c r="A71" s="1059" t="s">
        <v>49</v>
      </c>
      <c r="B71" s="404">
        <v>104656.9</v>
      </c>
      <c r="C71" s="213">
        <v>210340.20000000004</v>
      </c>
      <c r="D71" s="213">
        <v>115747.1</v>
      </c>
      <c r="E71" s="349">
        <v>78481.700000000012</v>
      </c>
      <c r="F71" s="213">
        <v>9003.4</v>
      </c>
      <c r="G71" s="129">
        <f t="shared" si="6"/>
        <v>518229.3000000001</v>
      </c>
      <c r="H71" s="495">
        <v>11666.8</v>
      </c>
      <c r="I71" s="213">
        <v>2394.6999999999998</v>
      </c>
      <c r="J71" s="512">
        <v>141212</v>
      </c>
      <c r="K71" s="141">
        <v>-3550.4000000000083</v>
      </c>
      <c r="L71" s="130">
        <v>54295.5</v>
      </c>
      <c r="M71" s="128">
        <f t="shared" si="9"/>
        <v>206018.6</v>
      </c>
      <c r="N71" s="128">
        <f t="shared" si="10"/>
        <v>724247.90000000014</v>
      </c>
      <c r="O71" s="362"/>
      <c r="P71" s="139"/>
    </row>
    <row r="72" spans="1:16" hidden="1">
      <c r="A72" s="1059" t="s">
        <v>50</v>
      </c>
      <c r="B72" s="404">
        <v>120909.20000000001</v>
      </c>
      <c r="C72" s="213">
        <v>246210.90000000002</v>
      </c>
      <c r="D72" s="213">
        <v>116937.90000000001</v>
      </c>
      <c r="E72" s="349">
        <v>81245.400000000009</v>
      </c>
      <c r="F72" s="213">
        <v>9700.5</v>
      </c>
      <c r="G72" s="129">
        <f t="shared" si="6"/>
        <v>575003.9</v>
      </c>
      <c r="H72" s="495">
        <v>11783.1</v>
      </c>
      <c r="I72" s="213">
        <v>3627.5</v>
      </c>
      <c r="J72" s="512">
        <v>143779.1</v>
      </c>
      <c r="K72" s="141">
        <v>-1285.7000000000069</v>
      </c>
      <c r="L72" s="130">
        <v>74176.800000000003</v>
      </c>
      <c r="M72" s="128">
        <f t="shared" si="9"/>
        <v>232080.8</v>
      </c>
      <c r="N72" s="128">
        <f t="shared" si="10"/>
        <v>807084.7</v>
      </c>
      <c r="O72" s="362"/>
      <c r="P72" s="139"/>
    </row>
    <row r="73" spans="1:16" hidden="1">
      <c r="A73" s="1059"/>
      <c r="B73" s="404"/>
      <c r="C73" s="213"/>
      <c r="D73" s="213"/>
      <c r="E73" s="349"/>
      <c r="F73" s="213"/>
      <c r="G73" s="129"/>
      <c r="H73" s="495"/>
      <c r="I73" s="213"/>
      <c r="J73" s="1111"/>
      <c r="K73" s="141"/>
      <c r="L73" s="542"/>
      <c r="M73" s="128"/>
      <c r="N73" s="128"/>
      <c r="O73" s="362"/>
      <c r="P73" s="139"/>
    </row>
    <row r="74" spans="1:16" hidden="1">
      <c r="A74" s="1059" t="s">
        <v>58</v>
      </c>
      <c r="B74" s="404">
        <v>109396.10000000002</v>
      </c>
      <c r="C74" s="213">
        <v>241597.59999999998</v>
      </c>
      <c r="D74" s="213">
        <v>115733.49999999997</v>
      </c>
      <c r="E74" s="349">
        <v>83494.899999999994</v>
      </c>
      <c r="F74" s="213">
        <v>10215.199999999997</v>
      </c>
      <c r="G74" s="129">
        <f t="shared" si="6"/>
        <v>560437.29999999993</v>
      </c>
      <c r="H74" s="495">
        <v>11833.2</v>
      </c>
      <c r="I74" s="213">
        <v>3848</v>
      </c>
      <c r="J74" s="512">
        <v>143845.5</v>
      </c>
      <c r="K74" s="141">
        <v>-2084.9999999999977</v>
      </c>
      <c r="L74" s="130">
        <v>47565.2</v>
      </c>
      <c r="M74" s="128">
        <f t="shared" ref="M74:M85" si="11">SUM(H74:L74)</f>
        <v>205006.90000000002</v>
      </c>
      <c r="N74" s="128">
        <f t="shared" ref="N74:N85" si="12">M74+G74</f>
        <v>765444.2</v>
      </c>
      <c r="O74" s="362"/>
      <c r="P74" s="139"/>
    </row>
    <row r="75" spans="1:16" hidden="1">
      <c r="A75" s="1059" t="s">
        <v>40</v>
      </c>
      <c r="B75" s="404">
        <v>110414</v>
      </c>
      <c r="C75" s="213">
        <v>244767.60000000003</v>
      </c>
      <c r="D75" s="213">
        <v>117088.20000000003</v>
      </c>
      <c r="E75" s="349">
        <v>83629.400000000023</v>
      </c>
      <c r="F75" s="213">
        <v>10419.099999999999</v>
      </c>
      <c r="G75" s="129">
        <f t="shared" si="6"/>
        <v>566318.30000000005</v>
      </c>
      <c r="H75" s="495">
        <v>11901.099999999999</v>
      </c>
      <c r="I75" s="213">
        <v>3891.9</v>
      </c>
      <c r="J75" s="512">
        <v>142744.4</v>
      </c>
      <c r="K75" s="141">
        <v>-2638.5999999999972</v>
      </c>
      <c r="L75" s="130">
        <v>52775.7</v>
      </c>
      <c r="M75" s="128">
        <f t="shared" si="11"/>
        <v>208674.5</v>
      </c>
      <c r="N75" s="128">
        <f t="shared" si="12"/>
        <v>774992.8</v>
      </c>
      <c r="O75" s="362"/>
      <c r="P75" s="139"/>
    </row>
    <row r="76" spans="1:16" hidden="1">
      <c r="A76" s="1059" t="s">
        <v>41</v>
      </c>
      <c r="B76" s="404">
        <v>109450.5</v>
      </c>
      <c r="C76" s="213">
        <v>257628.79999999996</v>
      </c>
      <c r="D76" s="213">
        <v>121964.00000000003</v>
      </c>
      <c r="E76" s="349">
        <v>82957.999999999913</v>
      </c>
      <c r="F76" s="213">
        <v>10295.800000000003</v>
      </c>
      <c r="G76" s="129">
        <f t="shared" si="6"/>
        <v>582297.09999999986</v>
      </c>
      <c r="H76" s="495">
        <v>11832.599999999999</v>
      </c>
      <c r="I76" s="213">
        <v>4455.2</v>
      </c>
      <c r="J76" s="512">
        <v>141896.9</v>
      </c>
      <c r="K76" s="141">
        <v>-1409.4999999999977</v>
      </c>
      <c r="L76" s="130">
        <v>48173.4</v>
      </c>
      <c r="M76" s="128">
        <f t="shared" si="11"/>
        <v>204948.59999999998</v>
      </c>
      <c r="N76" s="128">
        <f t="shared" si="12"/>
        <v>787245.69999999984</v>
      </c>
      <c r="O76" s="362"/>
      <c r="P76" s="139"/>
    </row>
    <row r="77" spans="1:16" hidden="1">
      <c r="A77" s="1059" t="s">
        <v>42</v>
      </c>
      <c r="B77" s="404">
        <v>113367.30000000002</v>
      </c>
      <c r="C77" s="213">
        <v>249651.3</v>
      </c>
      <c r="D77" s="213">
        <v>125612.40000000004</v>
      </c>
      <c r="E77" s="349">
        <v>83599.500000000015</v>
      </c>
      <c r="F77" s="213">
        <v>10509.8</v>
      </c>
      <c r="G77" s="129">
        <f t="shared" si="6"/>
        <v>582740.30000000005</v>
      </c>
      <c r="H77" s="495">
        <v>11882.599999999999</v>
      </c>
      <c r="I77" s="213">
        <v>3924.4</v>
      </c>
      <c r="J77" s="512">
        <v>141655.9</v>
      </c>
      <c r="K77" s="141">
        <v>-1904.5999999999958</v>
      </c>
      <c r="L77" s="130">
        <v>44667.6</v>
      </c>
      <c r="M77" s="128">
        <f t="shared" si="11"/>
        <v>200225.9</v>
      </c>
      <c r="N77" s="128">
        <f t="shared" si="12"/>
        <v>782966.20000000007</v>
      </c>
      <c r="O77" s="362"/>
      <c r="P77" s="139"/>
    </row>
    <row r="78" spans="1:16" hidden="1">
      <c r="A78" s="1059" t="s">
        <v>43</v>
      </c>
      <c r="B78" s="404">
        <v>113403.3</v>
      </c>
      <c r="C78" s="213">
        <v>238708.50000000006</v>
      </c>
      <c r="D78" s="213">
        <v>123066.30000000002</v>
      </c>
      <c r="E78" s="349">
        <v>84057.499999999956</v>
      </c>
      <c r="F78" s="213">
        <v>10725.099999999999</v>
      </c>
      <c r="G78" s="129">
        <f t="shared" si="6"/>
        <v>569960.70000000007</v>
      </c>
      <c r="H78" s="495">
        <v>11882.599999999999</v>
      </c>
      <c r="I78" s="213">
        <v>3999.5</v>
      </c>
      <c r="J78" s="512">
        <v>145235.5</v>
      </c>
      <c r="K78" s="141">
        <v>-5699.9999999999982</v>
      </c>
      <c r="L78" s="130">
        <v>46888.2</v>
      </c>
      <c r="M78" s="128">
        <f t="shared" si="11"/>
        <v>202305.8</v>
      </c>
      <c r="N78" s="128">
        <f t="shared" si="12"/>
        <v>772266.5</v>
      </c>
      <c r="O78" s="362"/>
      <c r="P78" s="139"/>
    </row>
    <row r="79" spans="1:16" hidden="1">
      <c r="A79" s="1059" t="s">
        <v>44</v>
      </c>
      <c r="B79" s="404">
        <v>131106.6</v>
      </c>
      <c r="C79" s="213">
        <v>253277.9</v>
      </c>
      <c r="D79" s="213">
        <v>127077.79999999997</v>
      </c>
      <c r="E79" s="349">
        <v>87855.799999999988</v>
      </c>
      <c r="F79" s="213">
        <v>11854.199999999999</v>
      </c>
      <c r="G79" s="129">
        <f t="shared" si="6"/>
        <v>611172.29999999993</v>
      </c>
      <c r="H79" s="495">
        <v>11896.9</v>
      </c>
      <c r="I79" s="213">
        <v>5313.2</v>
      </c>
      <c r="J79" s="512">
        <v>151899</v>
      </c>
      <c r="K79" s="141">
        <v>-5290.9000000000005</v>
      </c>
      <c r="L79" s="130">
        <v>28694.6</v>
      </c>
      <c r="M79" s="128">
        <f t="shared" si="11"/>
        <v>192512.80000000002</v>
      </c>
      <c r="N79" s="128">
        <f t="shared" si="12"/>
        <v>803685.1</v>
      </c>
      <c r="O79" s="362"/>
      <c r="P79" s="139"/>
    </row>
    <row r="80" spans="1:16" hidden="1">
      <c r="A80" s="1059" t="s">
        <v>45</v>
      </c>
      <c r="B80" s="404">
        <v>146810.70000000001</v>
      </c>
      <c r="C80" s="213">
        <v>264083.20000000001</v>
      </c>
      <c r="D80" s="213">
        <v>131415</v>
      </c>
      <c r="E80" s="349">
        <v>86018.4</v>
      </c>
      <c r="F80" s="213">
        <v>13770.400000000001</v>
      </c>
      <c r="G80" s="129">
        <f t="shared" si="6"/>
        <v>642097.70000000007</v>
      </c>
      <c r="H80" s="495">
        <v>12567.9</v>
      </c>
      <c r="I80" s="213">
        <v>6419.6</v>
      </c>
      <c r="J80" s="512">
        <v>152036.20000000001</v>
      </c>
      <c r="K80" s="141">
        <v>-4161.8000000000029</v>
      </c>
      <c r="L80" s="130">
        <v>31789.5</v>
      </c>
      <c r="M80" s="128">
        <f t="shared" si="11"/>
        <v>198651.40000000002</v>
      </c>
      <c r="N80" s="128">
        <f t="shared" si="12"/>
        <v>840749.10000000009</v>
      </c>
      <c r="O80" s="362"/>
      <c r="P80" s="139"/>
    </row>
    <row r="81" spans="1:16" hidden="1">
      <c r="A81" s="1059" t="s">
        <v>46</v>
      </c>
      <c r="B81" s="404">
        <v>139575.70000000001</v>
      </c>
      <c r="C81" s="213">
        <v>277134.79999999993</v>
      </c>
      <c r="D81" s="213">
        <v>135215.90000000002</v>
      </c>
      <c r="E81" s="349">
        <v>84066.779999999984</v>
      </c>
      <c r="F81" s="213">
        <v>13805.500000000002</v>
      </c>
      <c r="G81" s="129">
        <f t="shared" si="6"/>
        <v>649798.67999999993</v>
      </c>
      <c r="H81" s="495">
        <v>13937.9</v>
      </c>
      <c r="I81" s="213">
        <v>6302.1</v>
      </c>
      <c r="J81" s="512">
        <v>155797.1</v>
      </c>
      <c r="K81" s="141">
        <v>-3135.100000000004</v>
      </c>
      <c r="L81" s="130">
        <v>24249.599999999999</v>
      </c>
      <c r="M81" s="128">
        <f t="shared" si="11"/>
        <v>197151.6</v>
      </c>
      <c r="N81" s="128">
        <f t="shared" si="12"/>
        <v>846950.27999999991</v>
      </c>
      <c r="O81" s="362"/>
      <c r="P81" s="139"/>
    </row>
    <row r="82" spans="1:16" hidden="1">
      <c r="A82" s="1059" t="s">
        <v>47</v>
      </c>
      <c r="B82" s="404">
        <v>132528.80000000002</v>
      </c>
      <c r="C82" s="213">
        <v>281440.7</v>
      </c>
      <c r="D82" s="213">
        <v>135496.70000000004</v>
      </c>
      <c r="E82" s="349">
        <v>87672.000000000015</v>
      </c>
      <c r="F82" s="213">
        <v>15011.899999999998</v>
      </c>
      <c r="G82" s="129">
        <f t="shared" si="6"/>
        <v>652150.10000000009</v>
      </c>
      <c r="H82" s="495">
        <v>15382.1</v>
      </c>
      <c r="I82" s="213">
        <v>6642.8</v>
      </c>
      <c r="J82" s="512">
        <v>157054.20000000001</v>
      </c>
      <c r="K82" s="141">
        <v>-1624.9000000000012</v>
      </c>
      <c r="L82" s="130">
        <v>24475.1</v>
      </c>
      <c r="M82" s="128">
        <f t="shared" si="11"/>
        <v>201929.30000000002</v>
      </c>
      <c r="N82" s="128">
        <f t="shared" si="12"/>
        <v>854079.40000000014</v>
      </c>
      <c r="O82" s="362"/>
      <c r="P82" s="139"/>
    </row>
    <row r="83" spans="1:16" hidden="1">
      <c r="A83" s="1059" t="s">
        <v>48</v>
      </c>
      <c r="B83" s="404">
        <v>128983.20000000001</v>
      </c>
      <c r="C83" s="213">
        <v>274175.3</v>
      </c>
      <c r="D83" s="213">
        <v>139284.1</v>
      </c>
      <c r="E83" s="349">
        <v>85605.500000000044</v>
      </c>
      <c r="F83" s="213">
        <v>15524.500000000004</v>
      </c>
      <c r="G83" s="129">
        <f t="shared" si="6"/>
        <v>643572.6</v>
      </c>
      <c r="H83" s="495">
        <v>17465.099999999999</v>
      </c>
      <c r="I83" s="213">
        <v>6102.1</v>
      </c>
      <c r="J83" s="512">
        <v>160088.79999999999</v>
      </c>
      <c r="K83" s="141">
        <v>-4273.9999999999982</v>
      </c>
      <c r="L83" s="130">
        <v>30483.1</v>
      </c>
      <c r="M83" s="128">
        <f t="shared" si="11"/>
        <v>209865.1</v>
      </c>
      <c r="N83" s="128">
        <f t="shared" si="12"/>
        <v>853437.7</v>
      </c>
      <c r="O83" s="362"/>
      <c r="P83" s="139"/>
    </row>
    <row r="84" spans="1:16" hidden="1">
      <c r="A84" s="1059" t="s">
        <v>49</v>
      </c>
      <c r="B84" s="404">
        <v>126332.9</v>
      </c>
      <c r="C84" s="213">
        <v>288109.40899999999</v>
      </c>
      <c r="D84" s="213">
        <v>137014.20000000001</v>
      </c>
      <c r="E84" s="349">
        <v>88872.999999999985</v>
      </c>
      <c r="F84" s="213">
        <v>14123</v>
      </c>
      <c r="G84" s="129">
        <f t="shared" si="6"/>
        <v>654452.50900000008</v>
      </c>
      <c r="H84" s="495">
        <v>19185.900000000001</v>
      </c>
      <c r="I84" s="213">
        <v>6389.5</v>
      </c>
      <c r="J84" s="512">
        <v>166201.20000000001</v>
      </c>
      <c r="K84" s="141">
        <v>-3463.1000000000031</v>
      </c>
      <c r="L84" s="130">
        <v>31213.8</v>
      </c>
      <c r="M84" s="128">
        <f t="shared" si="11"/>
        <v>219527.3</v>
      </c>
      <c r="N84" s="128">
        <f t="shared" si="12"/>
        <v>873979.80900000012</v>
      </c>
      <c r="O84" s="362"/>
      <c r="P84" s="139"/>
    </row>
    <row r="85" spans="1:16" hidden="1">
      <c r="A85" s="144" t="s">
        <v>50</v>
      </c>
      <c r="B85" s="1188">
        <v>138046.20000000001</v>
      </c>
      <c r="C85" s="1112">
        <v>325647.41550299997</v>
      </c>
      <c r="D85" s="1112">
        <v>153042.70000000001</v>
      </c>
      <c r="E85" s="1189">
        <v>89619.9</v>
      </c>
      <c r="F85" s="1112">
        <v>12715.400000000001</v>
      </c>
      <c r="G85" s="1113">
        <f>SUM(B85:F85)</f>
        <v>719071.6155030001</v>
      </c>
      <c r="H85" s="1114">
        <v>17033.199999999997</v>
      </c>
      <c r="I85" s="1112">
        <v>10515.6</v>
      </c>
      <c r="J85" s="498">
        <v>189548.19999999998</v>
      </c>
      <c r="K85" s="1115">
        <v>3236.4844970000017</v>
      </c>
      <c r="L85" s="1116">
        <v>40070.499999999993</v>
      </c>
      <c r="M85" s="1117">
        <f t="shared" si="11"/>
        <v>260403.98449699997</v>
      </c>
      <c r="N85" s="1117">
        <f t="shared" si="12"/>
        <v>979475.60000000009</v>
      </c>
      <c r="O85" s="362"/>
      <c r="P85" s="139"/>
    </row>
    <row r="86" spans="1:16" hidden="1">
      <c r="A86" s="144"/>
      <c r="B86" s="1188"/>
      <c r="C86" s="1112"/>
      <c r="D86" s="1112"/>
      <c r="E86" s="1189"/>
      <c r="F86" s="1112"/>
      <c r="G86" s="1113"/>
      <c r="H86" s="1114"/>
      <c r="I86" s="1112"/>
      <c r="J86" s="498"/>
      <c r="K86" s="1115"/>
      <c r="L86" s="1116"/>
      <c r="M86" s="1117"/>
      <c r="N86" s="1117"/>
      <c r="O86" s="362"/>
      <c r="P86" s="139"/>
    </row>
    <row r="87" spans="1:16" hidden="1">
      <c r="A87" s="1059" t="s">
        <v>57</v>
      </c>
      <c r="B87" s="404">
        <v>125935.575</v>
      </c>
      <c r="C87" s="213">
        <v>322109.94823466666</v>
      </c>
      <c r="D87" s="213">
        <v>150168.05833333332</v>
      </c>
      <c r="E87" s="349">
        <v>72765.499999999985</v>
      </c>
      <c r="F87" s="213">
        <v>15121.7</v>
      </c>
      <c r="G87" s="129">
        <f t="shared" si="6"/>
        <v>686100.78156799998</v>
      </c>
      <c r="H87" s="495">
        <v>14208</v>
      </c>
      <c r="I87" s="213">
        <v>9347.1</v>
      </c>
      <c r="J87" s="1051">
        <v>190380.19999999995</v>
      </c>
      <c r="K87" s="141">
        <v>9968.6267653333343</v>
      </c>
      <c r="L87" s="130">
        <v>28443.291666666664</v>
      </c>
      <c r="M87" s="128">
        <f t="shared" ref="M87:M98" si="13">SUM(H87:L87)</f>
        <v>252347.21843199994</v>
      </c>
      <c r="N87" s="128">
        <f t="shared" ref="N87:N98" si="14">M87+G87</f>
        <v>938447.99999999988</v>
      </c>
      <c r="O87" s="362"/>
      <c r="P87" s="139"/>
    </row>
    <row r="88" spans="1:16" hidden="1">
      <c r="A88" s="1059" t="s">
        <v>40</v>
      </c>
      <c r="B88" s="404">
        <v>126881.15</v>
      </c>
      <c r="C88" s="213">
        <v>318970.53333333333</v>
      </c>
      <c r="D88" s="213">
        <v>149917.31666666665</v>
      </c>
      <c r="E88" s="349">
        <v>76040.800000000003</v>
      </c>
      <c r="F88" s="213">
        <v>14908.2</v>
      </c>
      <c r="G88" s="129">
        <f t="shared" si="6"/>
        <v>686718</v>
      </c>
      <c r="H88" s="495">
        <v>14277.099999999999</v>
      </c>
      <c r="I88" s="213">
        <v>9342.1</v>
      </c>
      <c r="J88" s="1051">
        <v>190630.3</v>
      </c>
      <c r="K88" s="141">
        <v>9012.216666666669</v>
      </c>
      <c r="L88" s="130">
        <v>35486.283333333333</v>
      </c>
      <c r="M88" s="128">
        <f t="shared" si="13"/>
        <v>258748</v>
      </c>
      <c r="N88" s="128">
        <f t="shared" si="14"/>
        <v>945466</v>
      </c>
      <c r="O88" s="362"/>
      <c r="P88" s="139"/>
    </row>
    <row r="89" spans="1:16" hidden="1">
      <c r="A89" s="1059" t="s">
        <v>41</v>
      </c>
      <c r="B89" s="404">
        <v>131306.92499999999</v>
      </c>
      <c r="C89" s="213">
        <v>332429.51628799998</v>
      </c>
      <c r="D89" s="213">
        <v>155211.87500000003</v>
      </c>
      <c r="E89" s="349">
        <v>73827.799999999945</v>
      </c>
      <c r="F89" s="213">
        <v>15017.500000000004</v>
      </c>
      <c r="G89" s="129">
        <f t="shared" si="6"/>
        <v>707793.6162879999</v>
      </c>
      <c r="H89" s="495">
        <v>14949.599999999999</v>
      </c>
      <c r="I89" s="213">
        <v>8476.4</v>
      </c>
      <c r="J89" s="1051">
        <v>203178.9</v>
      </c>
      <c r="K89" s="141">
        <v>11910.008712000015</v>
      </c>
      <c r="L89" s="130">
        <v>24157.874999999996</v>
      </c>
      <c r="M89" s="128">
        <f t="shared" si="13"/>
        <v>262672.783712</v>
      </c>
      <c r="N89" s="128">
        <f t="shared" si="14"/>
        <v>970466.39999999991</v>
      </c>
      <c r="O89" s="362"/>
      <c r="P89" s="139"/>
    </row>
    <row r="90" spans="1:16" hidden="1">
      <c r="A90" s="1059" t="s">
        <v>42</v>
      </c>
      <c r="B90" s="404">
        <v>136726.9</v>
      </c>
      <c r="C90" s="213">
        <v>334700.16666666669</v>
      </c>
      <c r="D90" s="213">
        <v>154394.43333333332</v>
      </c>
      <c r="E90" s="349">
        <v>73478.800000000017</v>
      </c>
      <c r="F90" s="213">
        <v>15518.699999999999</v>
      </c>
      <c r="G90" s="129">
        <f t="shared" si="6"/>
        <v>714819</v>
      </c>
      <c r="H90" s="495">
        <v>13584.3</v>
      </c>
      <c r="I90" s="213">
        <v>8770.6</v>
      </c>
      <c r="J90" s="1051">
        <v>206629.2</v>
      </c>
      <c r="K90" s="141">
        <v>12636.733333333334</v>
      </c>
      <c r="L90" s="130">
        <v>19146.466666666682</v>
      </c>
      <c r="M90" s="128">
        <f t="shared" si="13"/>
        <v>260767.30000000002</v>
      </c>
      <c r="N90" s="128">
        <f t="shared" si="14"/>
        <v>975586.3</v>
      </c>
      <c r="O90" s="362"/>
      <c r="P90" s="139"/>
    </row>
    <row r="91" spans="1:16" hidden="1">
      <c r="A91" s="1059" t="s">
        <v>43</v>
      </c>
      <c r="B91" s="404">
        <v>141516.47499999998</v>
      </c>
      <c r="C91" s="213">
        <v>331647.8496213333</v>
      </c>
      <c r="D91" s="213">
        <v>159246.79166666666</v>
      </c>
      <c r="E91" s="349">
        <v>72494.000000000044</v>
      </c>
      <c r="F91" s="213">
        <v>16287</v>
      </c>
      <c r="G91" s="129">
        <f t="shared" si="6"/>
        <v>721192.1162879999</v>
      </c>
      <c r="H91" s="495">
        <v>13838.6</v>
      </c>
      <c r="I91" s="213">
        <v>7873.8</v>
      </c>
      <c r="J91" s="1051">
        <v>211750.1</v>
      </c>
      <c r="K91" s="141">
        <v>11975.725378666659</v>
      </c>
      <c r="L91" s="130">
        <v>21875.958333333328</v>
      </c>
      <c r="M91" s="128">
        <f t="shared" si="13"/>
        <v>267314.18371199997</v>
      </c>
      <c r="N91" s="128">
        <f t="shared" si="14"/>
        <v>988506.29999999981</v>
      </c>
      <c r="O91" s="362"/>
      <c r="P91" s="139"/>
    </row>
    <row r="92" spans="1:16" hidden="1">
      <c r="A92" s="1059" t="s">
        <v>44</v>
      </c>
      <c r="B92" s="404">
        <v>153425.55000000002</v>
      </c>
      <c r="C92" s="213">
        <v>329456.90872500004</v>
      </c>
      <c r="D92" s="213">
        <v>168226.65</v>
      </c>
      <c r="E92" s="349">
        <v>77501.099999999991</v>
      </c>
      <c r="F92" s="213">
        <v>16816</v>
      </c>
      <c r="G92" s="129">
        <f t="shared" si="6"/>
        <v>745426.20872500003</v>
      </c>
      <c r="H92" s="495">
        <v>13847.699999999999</v>
      </c>
      <c r="I92" s="213">
        <v>6058.6</v>
      </c>
      <c r="J92" s="1051">
        <v>216593.40000000002</v>
      </c>
      <c r="K92" s="141">
        <v>14853.141274999993</v>
      </c>
      <c r="L92" s="130">
        <v>20039.250000000015</v>
      </c>
      <c r="M92" s="128">
        <f t="shared" si="13"/>
        <v>271392.09127500001</v>
      </c>
      <c r="N92" s="128">
        <f t="shared" si="14"/>
        <v>1016818.3</v>
      </c>
      <c r="O92" s="362"/>
      <c r="P92" s="139"/>
    </row>
    <row r="93" spans="1:16" hidden="1">
      <c r="A93" s="1059" t="s">
        <v>45</v>
      </c>
      <c r="B93" s="404">
        <v>165437.69166666665</v>
      </c>
      <c r="C93" s="213">
        <v>332607.44175344444</v>
      </c>
      <c r="D93" s="213">
        <v>173919.77499999997</v>
      </c>
      <c r="E93" s="349">
        <v>91419.6</v>
      </c>
      <c r="F93" s="213">
        <v>17276.100000000002</v>
      </c>
      <c r="G93" s="129">
        <f t="shared" si="6"/>
        <v>780660.60842011101</v>
      </c>
      <c r="H93" s="495">
        <v>13547.6</v>
      </c>
      <c r="I93" s="213">
        <v>5680.5</v>
      </c>
      <c r="J93" s="1051">
        <v>223211.99999999994</v>
      </c>
      <c r="K93" s="141">
        <v>11709.127691000003</v>
      </c>
      <c r="L93" s="130">
        <v>18533.313888888875</v>
      </c>
      <c r="M93" s="128">
        <f t="shared" si="13"/>
        <v>272682.54157988884</v>
      </c>
      <c r="N93" s="128">
        <f t="shared" si="14"/>
        <v>1053343.1499999999</v>
      </c>
      <c r="O93" s="362"/>
      <c r="P93" s="139"/>
    </row>
    <row r="94" spans="1:16" hidden="1">
      <c r="A94" s="1059" t="s">
        <v>46</v>
      </c>
      <c r="B94" s="404">
        <v>159587.63333333333</v>
      </c>
      <c r="C94" s="213">
        <v>329932.20580788882</v>
      </c>
      <c r="D94" s="213">
        <v>181143.89999999997</v>
      </c>
      <c r="E94" s="349">
        <v>86927.2</v>
      </c>
      <c r="F94" s="213">
        <v>17801.2</v>
      </c>
      <c r="G94" s="129">
        <f t="shared" si="6"/>
        <v>775392.139141222</v>
      </c>
      <c r="H94" s="495">
        <v>14047.6</v>
      </c>
      <c r="I94" s="213">
        <v>5244.3</v>
      </c>
      <c r="J94" s="1051">
        <v>225618.6</v>
      </c>
      <c r="K94" s="141">
        <v>6511.7830809999959</v>
      </c>
      <c r="L94" s="130">
        <v>14480.277777777777</v>
      </c>
      <c r="M94" s="128">
        <f t="shared" si="13"/>
        <v>265902.56085877778</v>
      </c>
      <c r="N94" s="128">
        <f t="shared" si="14"/>
        <v>1041294.6999999997</v>
      </c>
      <c r="O94" s="362"/>
      <c r="P94" s="139"/>
    </row>
    <row r="95" spans="1:16" hidden="1">
      <c r="A95" s="1059" t="s">
        <v>47</v>
      </c>
      <c r="B95" s="404">
        <v>150165.07500000001</v>
      </c>
      <c r="C95" s="213">
        <v>309630.78333333338</v>
      </c>
      <c r="D95" s="213">
        <v>183595.02499999999</v>
      </c>
      <c r="E95" s="349">
        <v>83265.499999999985</v>
      </c>
      <c r="F95" s="213">
        <v>17962.7</v>
      </c>
      <c r="G95" s="129">
        <f t="shared" si="6"/>
        <v>744619.08333333337</v>
      </c>
      <c r="H95" s="495">
        <v>14047.6</v>
      </c>
      <c r="I95" s="213">
        <v>7790</v>
      </c>
      <c r="J95" s="1051">
        <v>230518.8</v>
      </c>
      <c r="K95" s="141">
        <v>5058.2250000000085</v>
      </c>
      <c r="L95" s="130">
        <v>19960.641666666659</v>
      </c>
      <c r="M95" s="128">
        <f t="shared" si="13"/>
        <v>277375.26666666666</v>
      </c>
      <c r="N95" s="128">
        <f t="shared" si="14"/>
        <v>1021994.3500000001</v>
      </c>
      <c r="O95" s="362"/>
      <c r="P95" s="139"/>
    </row>
    <row r="96" spans="1:16" hidden="1">
      <c r="A96" s="1059" t="s">
        <v>48</v>
      </c>
      <c r="B96" s="404">
        <v>144386.41666666669</v>
      </c>
      <c r="C96" s="213">
        <v>319835.45417577779</v>
      </c>
      <c r="D96" s="213">
        <v>183185.05</v>
      </c>
      <c r="E96" s="349">
        <v>83821.999999999985</v>
      </c>
      <c r="F96" s="213">
        <v>18141.599999999999</v>
      </c>
      <c r="G96" s="129">
        <f t="shared" si="6"/>
        <v>749370.5208424445</v>
      </c>
      <c r="H96" s="495">
        <v>14546.2</v>
      </c>
      <c r="I96" s="213">
        <v>10104.9</v>
      </c>
      <c r="J96" s="1051">
        <v>235234.59999999998</v>
      </c>
      <c r="K96" s="141">
        <v>5207.1736020000026</v>
      </c>
      <c r="L96" s="130">
        <v>19580.005555555566</v>
      </c>
      <c r="M96" s="128">
        <f t="shared" si="13"/>
        <v>284672.87915755558</v>
      </c>
      <c r="N96" s="128">
        <f t="shared" si="14"/>
        <v>1034043.4000000001</v>
      </c>
      <c r="O96" s="362"/>
      <c r="P96" s="139"/>
    </row>
    <row r="97" spans="1:16" hidden="1">
      <c r="A97" s="1059" t="s">
        <v>49</v>
      </c>
      <c r="B97" s="404">
        <v>139676.55833333335</v>
      </c>
      <c r="C97" s="213">
        <v>303237.2790062222</v>
      </c>
      <c r="D97" s="213">
        <v>187912.07500000004</v>
      </c>
      <c r="E97" s="349">
        <v>85913.599999999977</v>
      </c>
      <c r="F97" s="213">
        <v>18234.5</v>
      </c>
      <c r="G97" s="129">
        <f t="shared" si="6"/>
        <v>734974.01233955554</v>
      </c>
      <c r="H97" s="495">
        <v>14546.2</v>
      </c>
      <c r="I97" s="213">
        <v>12542.7</v>
      </c>
      <c r="J97" s="1051">
        <v>239429.69999999998</v>
      </c>
      <c r="K97" s="141">
        <v>3769.0682159999974</v>
      </c>
      <c r="L97" s="130">
        <v>16073.869444444455</v>
      </c>
      <c r="M97" s="128">
        <f t="shared" si="13"/>
        <v>286361.53766044439</v>
      </c>
      <c r="N97" s="128">
        <f t="shared" si="14"/>
        <v>1021335.5499999999</v>
      </c>
      <c r="O97" s="362"/>
      <c r="P97" s="139"/>
    </row>
    <row r="98" spans="1:16" hidden="1">
      <c r="A98" s="1059" t="s">
        <v>50</v>
      </c>
      <c r="B98" s="404">
        <v>152049.79999999999</v>
      </c>
      <c r="C98" s="213">
        <v>324233.86666666658</v>
      </c>
      <c r="D98" s="213">
        <v>190372.39999999997</v>
      </c>
      <c r="E98" s="349">
        <v>89131.400000000009</v>
      </c>
      <c r="F98" s="213">
        <v>17995.999999999996</v>
      </c>
      <c r="G98" s="129">
        <f t="shared" si="6"/>
        <v>773783.46666666656</v>
      </c>
      <c r="H98" s="495">
        <v>15478.699999999999</v>
      </c>
      <c r="I98" s="213">
        <v>12302.2</v>
      </c>
      <c r="J98" s="1051">
        <v>237586.19999999998</v>
      </c>
      <c r="K98" s="141">
        <v>9396.5000000000055</v>
      </c>
      <c r="L98" s="130">
        <v>58205.333333333321</v>
      </c>
      <c r="M98" s="128">
        <f t="shared" si="13"/>
        <v>332968.93333333329</v>
      </c>
      <c r="N98" s="128">
        <f t="shared" si="14"/>
        <v>1106752.3999999999</v>
      </c>
      <c r="O98" s="362"/>
      <c r="P98" s="139"/>
    </row>
    <row r="99" spans="1:16" hidden="1">
      <c r="A99" s="1059"/>
      <c r="B99" s="404"/>
      <c r="C99" s="213"/>
      <c r="D99" s="213"/>
      <c r="E99" s="349"/>
      <c r="F99" s="213"/>
      <c r="G99" s="129"/>
      <c r="H99" s="495"/>
      <c r="I99" s="213"/>
      <c r="J99" s="1051"/>
      <c r="K99" s="141"/>
      <c r="L99" s="130"/>
      <c r="M99" s="128"/>
      <c r="N99" s="128"/>
      <c r="O99" s="362"/>
      <c r="P99" s="139"/>
    </row>
    <row r="100" spans="1:16" hidden="1">
      <c r="A100" s="1059" t="s">
        <v>56</v>
      </c>
      <c r="B100" s="404">
        <v>143812.90833333335</v>
      </c>
      <c r="C100" s="213">
        <v>329055.63393677789</v>
      </c>
      <c r="D100" s="213">
        <v>181288.71666666667</v>
      </c>
      <c r="E100" s="349">
        <v>96951.400000000009</v>
      </c>
      <c r="F100" s="213">
        <v>18417.599999999999</v>
      </c>
      <c r="G100" s="129">
        <f t="shared" si="6"/>
        <v>769526.25893677794</v>
      </c>
      <c r="H100" s="495">
        <v>15552.8</v>
      </c>
      <c r="I100" s="213">
        <v>12079.5</v>
      </c>
      <c r="J100" s="1051">
        <v>247442.40833333333</v>
      </c>
      <c r="K100" s="141">
        <v>2007.8771743333398</v>
      </c>
      <c r="L100" s="130">
        <v>21532.347222222212</v>
      </c>
      <c r="M100" s="128">
        <f t="shared" ref="M100:M111" si="15">SUM(H100:L100)</f>
        <v>298614.93272988882</v>
      </c>
      <c r="N100" s="128">
        <f t="shared" ref="N100:N111" si="16">M100+G100</f>
        <v>1068141.1916666669</v>
      </c>
      <c r="O100" s="362"/>
      <c r="P100" s="139"/>
    </row>
    <row r="101" spans="1:16" hidden="1">
      <c r="A101" s="1059" t="s">
        <v>40</v>
      </c>
      <c r="B101" s="404">
        <v>145331.01666666669</v>
      </c>
      <c r="C101" s="213">
        <v>325675.97686488897</v>
      </c>
      <c r="D101" s="213">
        <v>180391.83333333334</v>
      </c>
      <c r="E101" s="349">
        <v>100600.69999999998</v>
      </c>
      <c r="F101" s="213">
        <v>18416.7</v>
      </c>
      <c r="G101" s="129">
        <f t="shared" si="6"/>
        <v>770416.22686488891</v>
      </c>
      <c r="H101" s="495">
        <v>15552.8</v>
      </c>
      <c r="I101" s="213">
        <v>7387.8</v>
      </c>
      <c r="J101" s="1051">
        <v>248702.81666666668</v>
      </c>
      <c r="K101" s="141">
        <v>-1944.2213093333285</v>
      </c>
      <c r="L101" s="130">
        <v>22635.561111111088</v>
      </c>
      <c r="M101" s="128">
        <f t="shared" si="15"/>
        <v>292334.75646844442</v>
      </c>
      <c r="N101" s="128">
        <f t="shared" si="16"/>
        <v>1062750.9833333334</v>
      </c>
      <c r="O101" s="362"/>
      <c r="P101" s="139"/>
    </row>
    <row r="102" spans="1:16" hidden="1">
      <c r="A102" s="1059" t="s">
        <v>41</v>
      </c>
      <c r="B102" s="404">
        <v>145829.32499999998</v>
      </c>
      <c r="C102" s="213">
        <v>316120.97500000003</v>
      </c>
      <c r="D102" s="213">
        <v>187065.34999999998</v>
      </c>
      <c r="E102" s="349">
        <v>93410.300000000017</v>
      </c>
      <c r="F102" s="213">
        <v>19045.899999999998</v>
      </c>
      <c r="G102" s="129">
        <f t="shared" si="6"/>
        <v>761471.85000000009</v>
      </c>
      <c r="H102" s="495">
        <v>15152.7</v>
      </c>
      <c r="I102" s="213">
        <v>6964.2</v>
      </c>
      <c r="J102" s="1051">
        <v>241856.72500000001</v>
      </c>
      <c r="K102" s="141">
        <v>-886.07500000000027</v>
      </c>
      <c r="L102" s="130">
        <v>10225.175000000012</v>
      </c>
      <c r="M102" s="128">
        <f t="shared" si="15"/>
        <v>273312.72499999998</v>
      </c>
      <c r="N102" s="128">
        <f t="shared" si="16"/>
        <v>1034784.5750000001</v>
      </c>
      <c r="O102" s="362"/>
      <c r="P102" s="139"/>
    </row>
    <row r="103" spans="1:16" hidden="1">
      <c r="A103" s="1059" t="s">
        <v>42</v>
      </c>
      <c r="B103" s="404">
        <v>150949.03333333333</v>
      </c>
      <c r="C103" s="213">
        <v>316856.22881211108</v>
      </c>
      <c r="D103" s="213">
        <v>189442.46666666665</v>
      </c>
      <c r="E103" s="349">
        <v>96942.5</v>
      </c>
      <c r="F103" s="213">
        <v>19080.599999999995</v>
      </c>
      <c r="G103" s="129">
        <f t="shared" si="6"/>
        <v>773270.82881211105</v>
      </c>
      <c r="H103" s="495">
        <v>16152.8</v>
      </c>
      <c r="I103" s="213">
        <v>6330.1</v>
      </c>
      <c r="J103" s="1051">
        <v>246204.03333333333</v>
      </c>
      <c r="K103" s="141">
        <v>-1061.0843676666536</v>
      </c>
      <c r="L103" s="130">
        <v>5032.0888888888858</v>
      </c>
      <c r="M103" s="128">
        <f t="shared" si="15"/>
        <v>272657.93785455561</v>
      </c>
      <c r="N103" s="128">
        <f t="shared" si="16"/>
        <v>1045928.7666666666</v>
      </c>
      <c r="O103" s="362"/>
      <c r="P103" s="139"/>
    </row>
    <row r="104" spans="1:16" hidden="1">
      <c r="A104" s="1059" t="s">
        <v>43</v>
      </c>
      <c r="B104" s="404">
        <v>145589.84166666667</v>
      </c>
      <c r="C104" s="213">
        <v>317817.88191022223</v>
      </c>
      <c r="D104" s="213">
        <v>183271.18333333332</v>
      </c>
      <c r="E104" s="349">
        <v>97288.099999999919</v>
      </c>
      <c r="F104" s="213">
        <v>20018.399999999998</v>
      </c>
      <c r="G104" s="129">
        <f t="shared" si="6"/>
        <v>763985.40691022214</v>
      </c>
      <c r="H104" s="495">
        <v>16152.8</v>
      </c>
      <c r="I104" s="213">
        <v>10020</v>
      </c>
      <c r="J104" s="1051">
        <v>246627.14166666669</v>
      </c>
      <c r="K104" s="141">
        <v>10002.606978666659</v>
      </c>
      <c r="L104" s="130">
        <v>8943.9027777777828</v>
      </c>
      <c r="M104" s="128">
        <f t="shared" si="15"/>
        <v>291746.4514231112</v>
      </c>
      <c r="N104" s="128">
        <f t="shared" si="16"/>
        <v>1055731.8583333334</v>
      </c>
      <c r="O104" s="362"/>
      <c r="P104" s="139"/>
    </row>
    <row r="105" spans="1:16" hidden="1">
      <c r="A105" s="1059" t="s">
        <v>44</v>
      </c>
      <c r="B105" s="404">
        <v>162896.05000000002</v>
      </c>
      <c r="C105" s="213">
        <v>313118.61951733328</v>
      </c>
      <c r="D105" s="213">
        <v>188046.3</v>
      </c>
      <c r="E105" s="349">
        <v>101671.69999999997</v>
      </c>
      <c r="F105" s="213">
        <v>19761.099999999999</v>
      </c>
      <c r="G105" s="129">
        <f t="shared" si="6"/>
        <v>785493.76951733313</v>
      </c>
      <c r="H105" s="495">
        <v>16658.5</v>
      </c>
      <c r="I105" s="213">
        <v>9147.7000000000007</v>
      </c>
      <c r="J105" s="1051">
        <v>256422.15000000005</v>
      </c>
      <c r="K105" s="141">
        <v>5282.3138160000062</v>
      </c>
      <c r="L105" s="130">
        <v>11641.41666666665</v>
      </c>
      <c r="M105" s="128">
        <f t="shared" si="15"/>
        <v>299152.08048266667</v>
      </c>
      <c r="N105" s="128">
        <f t="shared" si="16"/>
        <v>1084645.8499999999</v>
      </c>
      <c r="O105" s="362"/>
      <c r="P105" s="139"/>
    </row>
    <row r="106" spans="1:16" hidden="1">
      <c r="A106" s="1059" t="s">
        <v>45</v>
      </c>
      <c r="B106" s="404">
        <v>168467.45833333334</v>
      </c>
      <c r="C106" s="213">
        <v>316818.25556711119</v>
      </c>
      <c r="D106" s="213">
        <v>189548.30000000002</v>
      </c>
      <c r="E106" s="349">
        <v>111616.51666666666</v>
      </c>
      <c r="F106" s="213">
        <v>20218.300000000003</v>
      </c>
      <c r="G106" s="129">
        <f t="shared" si="6"/>
        <v>806668.83056711126</v>
      </c>
      <c r="H106" s="495">
        <v>16658.5</v>
      </c>
      <c r="I106" s="213">
        <v>8263.5</v>
      </c>
      <c r="J106" s="1051">
        <v>275163.59166666673</v>
      </c>
      <c r="K106" s="141">
        <v>-599.87778933333493</v>
      </c>
      <c r="L106" s="130">
        <v>6187.1805555555584</v>
      </c>
      <c r="M106" s="128">
        <f t="shared" si="15"/>
        <v>305672.89443288895</v>
      </c>
      <c r="N106" s="128">
        <f t="shared" si="16"/>
        <v>1112341.7250000001</v>
      </c>
      <c r="O106" s="362"/>
      <c r="P106" s="139"/>
    </row>
    <row r="107" spans="1:16" hidden="1">
      <c r="A107" s="1059" t="s">
        <v>46</v>
      </c>
      <c r="B107" s="404">
        <v>172917.26666666666</v>
      </c>
      <c r="C107" s="213">
        <v>326647.8353208889</v>
      </c>
      <c r="D107" s="213">
        <v>192805.49999999997</v>
      </c>
      <c r="E107" s="349">
        <v>125589.13333333326</v>
      </c>
      <c r="F107" s="213">
        <v>19617</v>
      </c>
      <c r="G107" s="129">
        <f t="shared" si="6"/>
        <v>837576.73532088881</v>
      </c>
      <c r="H107" s="495">
        <v>16658.5</v>
      </c>
      <c r="I107" s="213">
        <v>6689.5999999999995</v>
      </c>
      <c r="J107" s="1051">
        <v>277255.03333333338</v>
      </c>
      <c r="K107" s="141">
        <v>-5474.0130986666618</v>
      </c>
      <c r="L107" s="130">
        <v>5456.6444444444196</v>
      </c>
      <c r="M107" s="128">
        <f t="shared" si="15"/>
        <v>300585.76467911107</v>
      </c>
      <c r="N107" s="128">
        <f t="shared" si="16"/>
        <v>1138162.5</v>
      </c>
      <c r="O107" s="362"/>
      <c r="P107" s="139"/>
    </row>
    <row r="108" spans="1:16" hidden="1">
      <c r="A108" s="1059" t="s">
        <v>47</v>
      </c>
      <c r="B108" s="404">
        <v>160467.67499999999</v>
      </c>
      <c r="C108" s="213">
        <v>325976.74166666681</v>
      </c>
      <c r="D108" s="213">
        <v>192660.69999999998</v>
      </c>
      <c r="E108" s="349">
        <v>129937.04999999999</v>
      </c>
      <c r="F108" s="213">
        <v>19788.900000000005</v>
      </c>
      <c r="G108" s="129">
        <f t="shared" si="6"/>
        <v>828831.06666666677</v>
      </c>
      <c r="H108" s="495">
        <v>16658.5</v>
      </c>
      <c r="I108" s="213">
        <v>8142</v>
      </c>
      <c r="J108" s="1051">
        <v>279564.17499999999</v>
      </c>
      <c r="K108" s="141">
        <v>-9812.1749999999993</v>
      </c>
      <c r="L108" s="130">
        <v>8088.8083333333489</v>
      </c>
      <c r="M108" s="128">
        <f t="shared" si="15"/>
        <v>302641.30833333335</v>
      </c>
      <c r="N108" s="128">
        <f t="shared" si="16"/>
        <v>1131472.375</v>
      </c>
      <c r="O108" s="362"/>
      <c r="P108" s="139"/>
    </row>
    <row r="109" spans="1:16" hidden="1">
      <c r="A109" s="1059" t="s">
        <v>48</v>
      </c>
      <c r="B109" s="404">
        <v>157542.28333333335</v>
      </c>
      <c r="C109" s="213">
        <v>329552.99444444443</v>
      </c>
      <c r="D109" s="213">
        <v>200122.9</v>
      </c>
      <c r="E109" s="349">
        <v>128862.66666666676</v>
      </c>
      <c r="F109" s="213">
        <v>20281.999999999996</v>
      </c>
      <c r="G109" s="129">
        <f t="shared" si="6"/>
        <v>836362.84444444452</v>
      </c>
      <c r="H109" s="495">
        <v>16658.5</v>
      </c>
      <c r="I109" s="213">
        <v>8277.1</v>
      </c>
      <c r="J109" s="1051">
        <v>282153.71666666667</v>
      </c>
      <c r="K109" s="141">
        <v>-10790.683333333338</v>
      </c>
      <c r="L109" s="130">
        <v>1829.9722222221872</v>
      </c>
      <c r="M109" s="128">
        <f t="shared" si="15"/>
        <v>298128.60555555549</v>
      </c>
      <c r="N109" s="128">
        <f t="shared" si="16"/>
        <v>1134491.45</v>
      </c>
      <c r="O109" s="362"/>
      <c r="P109" s="139"/>
    </row>
    <row r="110" spans="1:16" hidden="1">
      <c r="A110" s="1059" t="s">
        <v>49</v>
      </c>
      <c r="B110" s="404">
        <v>157679.79166666666</v>
      </c>
      <c r="C110" s="213">
        <v>333573.74722222221</v>
      </c>
      <c r="D110" s="213">
        <v>210908.7</v>
      </c>
      <c r="E110" s="349">
        <v>125255.48333333332</v>
      </c>
      <c r="F110" s="213">
        <v>20327.400000000001</v>
      </c>
      <c r="G110" s="129">
        <f t="shared" si="6"/>
        <v>847745.12222222215</v>
      </c>
      <c r="H110" s="495">
        <v>17058.5</v>
      </c>
      <c r="I110" s="213">
        <v>11660.1</v>
      </c>
      <c r="J110" s="1051">
        <v>285790.65833333333</v>
      </c>
      <c r="K110" s="141">
        <v>-5961.0916666666699</v>
      </c>
      <c r="L110" s="130">
        <v>12627.536111111091</v>
      </c>
      <c r="M110" s="128">
        <f t="shared" si="15"/>
        <v>321175.70277777774</v>
      </c>
      <c r="N110" s="128">
        <f t="shared" si="16"/>
        <v>1168920.825</v>
      </c>
      <c r="O110" s="362"/>
      <c r="P110" s="139"/>
    </row>
    <row r="111" spans="1:16" hidden="1">
      <c r="A111" s="1059" t="s">
        <v>50</v>
      </c>
      <c r="B111" s="404">
        <v>170990.69999999998</v>
      </c>
      <c r="C111" s="213">
        <v>351213.60000000003</v>
      </c>
      <c r="D111" s="213">
        <v>221036.7</v>
      </c>
      <c r="E111" s="349">
        <v>134007.29999999999</v>
      </c>
      <c r="F111" s="213">
        <v>20402.899999999998</v>
      </c>
      <c r="G111" s="129">
        <f t="shared" si="6"/>
        <v>897651.20000000007</v>
      </c>
      <c r="H111" s="495">
        <v>17471.5</v>
      </c>
      <c r="I111" s="213">
        <v>15658.2</v>
      </c>
      <c r="J111" s="1051">
        <v>295446.90000000002</v>
      </c>
      <c r="K111" s="141">
        <v>-3692.6000000000117</v>
      </c>
      <c r="L111" s="130">
        <v>14473.7</v>
      </c>
      <c r="M111" s="128">
        <f t="shared" si="15"/>
        <v>339357.7</v>
      </c>
      <c r="N111" s="128">
        <f t="shared" si="16"/>
        <v>1237008.9000000001</v>
      </c>
      <c r="O111" s="362"/>
      <c r="P111" s="139"/>
    </row>
    <row r="112" spans="1:16" hidden="1">
      <c r="A112" s="1059"/>
      <c r="B112" s="404"/>
      <c r="C112" s="213"/>
      <c r="D112" s="213"/>
      <c r="E112" s="349"/>
      <c r="F112" s="213"/>
      <c r="G112" s="129"/>
      <c r="H112" s="495"/>
      <c r="I112" s="213"/>
      <c r="J112" s="1051"/>
      <c r="K112" s="141"/>
      <c r="L112" s="130"/>
      <c r="M112" s="128"/>
      <c r="N112" s="128"/>
      <c r="O112" s="362"/>
      <c r="P112" s="139"/>
    </row>
    <row r="113" spans="1:16" hidden="1">
      <c r="A113" s="1059" t="s">
        <v>55</v>
      </c>
      <c r="B113" s="404">
        <v>161370.25</v>
      </c>
      <c r="C113" s="213">
        <v>345791.61666666664</v>
      </c>
      <c r="D113" s="213">
        <v>224320.2416666667</v>
      </c>
      <c r="E113" s="349">
        <v>138829.68333333329</v>
      </c>
      <c r="F113" s="213">
        <v>20419.899999999998</v>
      </c>
      <c r="G113" s="129">
        <f t="shared" si="6"/>
        <v>890731.69166666677</v>
      </c>
      <c r="H113" s="495">
        <v>17058.899999999998</v>
      </c>
      <c r="I113" s="213">
        <v>12013.6</v>
      </c>
      <c r="J113" s="1051">
        <v>300382.53333333338</v>
      </c>
      <c r="K113" s="141">
        <v>-13913.899999999998</v>
      </c>
      <c r="L113" s="130">
        <v>13402.63333333331</v>
      </c>
      <c r="M113" s="128">
        <f t="shared" ref="M113:M124" si="17">SUM(H113:L113)</f>
        <v>328943.76666666666</v>
      </c>
      <c r="N113" s="128">
        <f t="shared" ref="N113:N124" si="18">M113+G113</f>
        <v>1219675.4583333335</v>
      </c>
      <c r="O113" s="362"/>
      <c r="P113" s="139"/>
    </row>
    <row r="114" spans="1:16" hidden="1">
      <c r="A114" s="1059" t="s">
        <v>40</v>
      </c>
      <c r="B114" s="404">
        <v>164274.5</v>
      </c>
      <c r="C114" s="213">
        <v>355151.73333333328</v>
      </c>
      <c r="D114" s="213">
        <v>223071.08333333331</v>
      </c>
      <c r="E114" s="349">
        <v>152444.16666666666</v>
      </c>
      <c r="F114" s="213">
        <v>20593.099999999999</v>
      </c>
      <c r="G114" s="129">
        <f t="shared" si="6"/>
        <v>915534.58333333326</v>
      </c>
      <c r="H114" s="495">
        <v>16658.899999999998</v>
      </c>
      <c r="I114" s="213">
        <v>9408</v>
      </c>
      <c r="J114" s="1051">
        <v>307448.66666666663</v>
      </c>
      <c r="K114" s="141">
        <v>-1931.7999999999929</v>
      </c>
      <c r="L114" s="130">
        <v>11993.666666666672</v>
      </c>
      <c r="M114" s="128">
        <f t="shared" si="17"/>
        <v>343577.43333333335</v>
      </c>
      <c r="N114" s="128">
        <f t="shared" si="18"/>
        <v>1259112.0166666666</v>
      </c>
      <c r="O114" s="362"/>
      <c r="P114" s="139"/>
    </row>
    <row r="115" spans="1:16" hidden="1">
      <c r="A115" s="1059" t="s">
        <v>41</v>
      </c>
      <c r="B115" s="404">
        <v>164148.85</v>
      </c>
      <c r="C115" s="213">
        <v>356362.55000000005</v>
      </c>
      <c r="D115" s="213">
        <v>231016.72499999998</v>
      </c>
      <c r="E115" s="349">
        <v>142356.44999999995</v>
      </c>
      <c r="F115" s="213">
        <v>21714.5</v>
      </c>
      <c r="G115" s="129">
        <f t="shared" si="6"/>
        <v>915599.07499999995</v>
      </c>
      <c r="H115" s="495">
        <v>16658.899999999998</v>
      </c>
      <c r="I115" s="213">
        <v>8762.2000000000007</v>
      </c>
      <c r="J115" s="1051">
        <v>303814.20000000007</v>
      </c>
      <c r="K115" s="141">
        <v>-1828.9999999999859</v>
      </c>
      <c r="L115" s="130">
        <v>2188.8000000000061</v>
      </c>
      <c r="M115" s="128">
        <f t="shared" si="17"/>
        <v>329595.10000000003</v>
      </c>
      <c r="N115" s="128">
        <f t="shared" si="18"/>
        <v>1245194.175</v>
      </c>
      <c r="O115" s="362"/>
      <c r="P115" s="139"/>
    </row>
    <row r="116" spans="1:16" hidden="1">
      <c r="A116" s="1059" t="s">
        <v>42</v>
      </c>
      <c r="B116" s="404">
        <v>167761.69999999998</v>
      </c>
      <c r="C116" s="213">
        <v>365558.06666666665</v>
      </c>
      <c r="D116" s="213">
        <v>242554.36666666664</v>
      </c>
      <c r="E116" s="349">
        <v>147719.23333333334</v>
      </c>
      <c r="F116" s="213">
        <v>21737.399999999998</v>
      </c>
      <c r="G116" s="129">
        <f t="shared" si="6"/>
        <v>945330.76666666672</v>
      </c>
      <c r="H116" s="495">
        <v>16658.899999999998</v>
      </c>
      <c r="I116" s="213">
        <v>8634.1</v>
      </c>
      <c r="J116" s="1051">
        <v>306058.13333333336</v>
      </c>
      <c r="K116" s="141">
        <v>805.95999999999685</v>
      </c>
      <c r="L116" s="130">
        <v>-1029.9666666666722</v>
      </c>
      <c r="M116" s="128">
        <f t="shared" si="17"/>
        <v>331127.12666666671</v>
      </c>
      <c r="N116" s="128">
        <f t="shared" si="18"/>
        <v>1276457.8933333335</v>
      </c>
      <c r="O116" s="362"/>
      <c r="P116" s="139"/>
    </row>
    <row r="117" spans="1:16" hidden="1">
      <c r="A117" s="1059" t="s">
        <v>43</v>
      </c>
      <c r="B117" s="404">
        <v>172171.05</v>
      </c>
      <c r="C117" s="213">
        <v>372911.4833333334</v>
      </c>
      <c r="D117" s="213">
        <v>243067.40833333333</v>
      </c>
      <c r="E117" s="349">
        <v>140115.01666666669</v>
      </c>
      <c r="F117" s="213">
        <v>22311.699999999997</v>
      </c>
      <c r="G117" s="129">
        <f t="shared" ref="G117:G124" si="19">SUM(B117:F117)</f>
        <v>950576.65833333344</v>
      </c>
      <c r="H117" s="495">
        <v>16658.899999999998</v>
      </c>
      <c r="I117" s="213">
        <v>5998.5</v>
      </c>
      <c r="J117" s="1051">
        <v>305646.16666666663</v>
      </c>
      <c r="K117" s="141">
        <v>-5187.0000000000091</v>
      </c>
      <c r="L117" s="130">
        <v>-6406.5333333333001</v>
      </c>
      <c r="M117" s="128">
        <f t="shared" si="17"/>
        <v>316710.03333333333</v>
      </c>
      <c r="N117" s="128">
        <f t="shared" si="18"/>
        <v>1267286.6916666669</v>
      </c>
      <c r="O117" s="362"/>
      <c r="P117" s="139"/>
    </row>
    <row r="118" spans="1:16" hidden="1">
      <c r="A118" s="1059" t="s">
        <v>44</v>
      </c>
      <c r="B118" s="404">
        <v>177823</v>
      </c>
      <c r="C118" s="213">
        <v>369692.89999999985</v>
      </c>
      <c r="D118" s="213">
        <v>244693.94999999995</v>
      </c>
      <c r="E118" s="349">
        <v>135685.39999999997</v>
      </c>
      <c r="F118" s="213">
        <v>22699.9</v>
      </c>
      <c r="G118" s="129">
        <f t="shared" si="19"/>
        <v>950595.14999999979</v>
      </c>
      <c r="H118" s="495">
        <v>16658.899999999998</v>
      </c>
      <c r="I118" s="213">
        <v>3846.6</v>
      </c>
      <c r="J118" s="1051">
        <v>304140.90000000002</v>
      </c>
      <c r="K118" s="141">
        <v>-6564.2999999999847</v>
      </c>
      <c r="L118" s="130">
        <v>-8804.4999999999873</v>
      </c>
      <c r="M118" s="128">
        <f t="shared" si="17"/>
        <v>309277.60000000003</v>
      </c>
      <c r="N118" s="1118">
        <f t="shared" si="18"/>
        <v>1259872.7499999998</v>
      </c>
      <c r="O118" s="362"/>
      <c r="P118" s="139"/>
    </row>
    <row r="119" spans="1:16" hidden="1">
      <c r="A119" s="1059" t="s">
        <v>45</v>
      </c>
      <c r="B119" s="404">
        <v>179773.71666666665</v>
      </c>
      <c r="C119" s="213">
        <v>371119.61666666676</v>
      </c>
      <c r="D119" s="213">
        <v>242371.37500000006</v>
      </c>
      <c r="E119" s="349">
        <v>140233.5</v>
      </c>
      <c r="F119" s="213">
        <v>23521.599999999999</v>
      </c>
      <c r="G119" s="129">
        <f t="shared" si="19"/>
        <v>957019.80833333347</v>
      </c>
      <c r="H119" s="495">
        <v>16658.899999999998</v>
      </c>
      <c r="I119" s="213">
        <v>3846.6</v>
      </c>
      <c r="J119" s="1051">
        <v>304300.60000000003</v>
      </c>
      <c r="K119" s="141">
        <v>-11292.583333333339</v>
      </c>
      <c r="L119" s="130">
        <v>8536.4833333333154</v>
      </c>
      <c r="M119" s="128">
        <f t="shared" si="17"/>
        <v>322050.00000000006</v>
      </c>
      <c r="N119" s="1118">
        <f t="shared" si="18"/>
        <v>1279069.8083333336</v>
      </c>
      <c r="O119" s="362"/>
      <c r="P119" s="139"/>
    </row>
    <row r="120" spans="1:16" hidden="1">
      <c r="A120" s="1059" t="s">
        <v>46</v>
      </c>
      <c r="B120" s="404">
        <v>179731.33333333331</v>
      </c>
      <c r="C120" s="213">
        <v>392803.63333333342</v>
      </c>
      <c r="D120" s="213">
        <v>249054.70000000004</v>
      </c>
      <c r="E120" s="349">
        <v>134871.90000000002</v>
      </c>
      <c r="F120" s="213">
        <v>24018.200000000004</v>
      </c>
      <c r="G120" s="129">
        <f t="shared" si="19"/>
        <v>980479.76666666684</v>
      </c>
      <c r="H120" s="495">
        <v>16658.899999999998</v>
      </c>
      <c r="I120" s="213">
        <v>4059.5</v>
      </c>
      <c r="J120" s="1051">
        <v>305032.00000000006</v>
      </c>
      <c r="K120" s="141">
        <v>-8170.066666666673</v>
      </c>
      <c r="L120" s="130">
        <v>18669.566666666677</v>
      </c>
      <c r="M120" s="128">
        <f t="shared" si="17"/>
        <v>336249.90000000008</v>
      </c>
      <c r="N120" s="128">
        <f t="shared" si="18"/>
        <v>1316729.666666667</v>
      </c>
      <c r="O120" s="362"/>
      <c r="P120" s="139"/>
    </row>
    <row r="121" spans="1:16" hidden="1">
      <c r="A121" s="1059" t="s">
        <v>47</v>
      </c>
      <c r="B121" s="404">
        <v>172433.85</v>
      </c>
      <c r="C121" s="213">
        <v>393038.25</v>
      </c>
      <c r="D121" s="213">
        <v>256838.42499999999</v>
      </c>
      <c r="E121" s="349">
        <v>134125.99999999997</v>
      </c>
      <c r="F121" s="213">
        <v>24772.5</v>
      </c>
      <c r="G121" s="129">
        <f t="shared" si="19"/>
        <v>981209.02499999991</v>
      </c>
      <c r="H121" s="495">
        <v>16711.8</v>
      </c>
      <c r="I121" s="213">
        <v>3616.6</v>
      </c>
      <c r="J121" s="1051">
        <v>307416.10000000003</v>
      </c>
      <c r="K121" s="141">
        <v>-10953.350000000009</v>
      </c>
      <c r="L121" s="130">
        <v>19336.850000000009</v>
      </c>
      <c r="M121" s="128">
        <f t="shared" si="17"/>
        <v>336128.00000000006</v>
      </c>
      <c r="N121" s="128">
        <f t="shared" si="18"/>
        <v>1317337.0249999999</v>
      </c>
      <c r="O121" s="362"/>
      <c r="P121" s="139"/>
    </row>
    <row r="122" spans="1:16" hidden="1">
      <c r="A122" s="1059" t="s">
        <v>48</v>
      </c>
      <c r="B122" s="404">
        <v>174883.66666666669</v>
      </c>
      <c r="C122" s="213">
        <v>391396.26666666672</v>
      </c>
      <c r="D122" s="213">
        <v>257215.35</v>
      </c>
      <c r="E122" s="349">
        <v>137073.29999999987</v>
      </c>
      <c r="F122" s="213">
        <v>25758.2</v>
      </c>
      <c r="G122" s="129">
        <f t="shared" si="19"/>
        <v>986326.78333333321</v>
      </c>
      <c r="H122" s="495">
        <v>16711.8</v>
      </c>
      <c r="I122" s="213">
        <v>3527.8</v>
      </c>
      <c r="J122" s="1051">
        <v>308790.70000000007</v>
      </c>
      <c r="K122" s="141">
        <v>391.56666666665637</v>
      </c>
      <c r="L122" s="130">
        <v>24233.333333333328</v>
      </c>
      <c r="M122" s="128">
        <f t="shared" si="17"/>
        <v>353655.2</v>
      </c>
      <c r="N122" s="128">
        <f t="shared" si="18"/>
        <v>1339981.9833333332</v>
      </c>
      <c r="O122" s="362"/>
      <c r="P122" s="139"/>
    </row>
    <row r="123" spans="1:16" hidden="1">
      <c r="A123" s="1059" t="s">
        <v>49</v>
      </c>
      <c r="B123" s="404">
        <v>176504.88333333333</v>
      </c>
      <c r="C123" s="213">
        <v>389402.18333333323</v>
      </c>
      <c r="D123" s="213">
        <v>263747.67500000005</v>
      </c>
      <c r="E123" s="349">
        <v>133771.29999999993</v>
      </c>
      <c r="F123" s="213">
        <v>26576.899999999998</v>
      </c>
      <c r="G123" s="129">
        <f t="shared" si="19"/>
        <v>990002.94166666653</v>
      </c>
      <c r="H123" s="495">
        <v>16737.599999999999</v>
      </c>
      <c r="I123" s="213">
        <v>6643.5</v>
      </c>
      <c r="J123" s="1051">
        <v>313090.89999999997</v>
      </c>
      <c r="K123" s="141">
        <v>-8304.8166666666839</v>
      </c>
      <c r="L123" s="130">
        <v>18509.316666666651</v>
      </c>
      <c r="M123" s="128">
        <f t="shared" si="17"/>
        <v>346676.49999999988</v>
      </c>
      <c r="N123" s="128">
        <f t="shared" si="18"/>
        <v>1336679.4416666664</v>
      </c>
      <c r="O123" s="362"/>
      <c r="P123" s="139"/>
    </row>
    <row r="124" spans="1:16" hidden="1">
      <c r="A124" s="1059" t="s">
        <v>50</v>
      </c>
      <c r="B124" s="404">
        <v>184188.60000000003</v>
      </c>
      <c r="C124" s="213">
        <v>402424.5</v>
      </c>
      <c r="D124" s="213">
        <v>264023.3</v>
      </c>
      <c r="E124" s="349">
        <v>136096.19999999998</v>
      </c>
      <c r="F124" s="213">
        <v>26738.600000000006</v>
      </c>
      <c r="G124" s="129">
        <f t="shared" si="19"/>
        <v>1013471.2000000001</v>
      </c>
      <c r="H124" s="495">
        <v>17595.400000000001</v>
      </c>
      <c r="I124" s="213">
        <v>7533</v>
      </c>
      <c r="J124" s="1051">
        <v>317119.3</v>
      </c>
      <c r="K124" s="141">
        <v>-7557.7000000000126</v>
      </c>
      <c r="L124" s="130">
        <v>5349.9000000000406</v>
      </c>
      <c r="M124" s="128">
        <f t="shared" si="17"/>
        <v>340039.9</v>
      </c>
      <c r="N124" s="128">
        <f t="shared" si="18"/>
        <v>1353511.1</v>
      </c>
      <c r="O124" s="362"/>
      <c r="P124" s="139"/>
    </row>
    <row r="125" spans="1:16" hidden="1">
      <c r="A125" s="142"/>
      <c r="B125" s="404"/>
      <c r="C125" s="213"/>
      <c r="D125" s="213"/>
      <c r="E125" s="349"/>
      <c r="F125" s="213"/>
      <c r="G125" s="129"/>
      <c r="H125" s="495"/>
      <c r="I125" s="213"/>
      <c r="J125" s="1051"/>
      <c r="K125" s="141"/>
      <c r="L125" s="130"/>
      <c r="M125" s="128"/>
      <c r="N125" s="128"/>
      <c r="O125" s="362"/>
      <c r="P125" s="139"/>
    </row>
    <row r="126" spans="1:16" hidden="1">
      <c r="A126" s="1059" t="s">
        <v>54</v>
      </c>
      <c r="B126" s="404">
        <v>172204.13333333333</v>
      </c>
      <c r="C126" s="213">
        <v>386116.19999999995</v>
      </c>
      <c r="D126" s="213">
        <v>268695.15000000002</v>
      </c>
      <c r="E126" s="349">
        <v>138141.69999999998</v>
      </c>
      <c r="F126" s="213">
        <v>26702.500000000004</v>
      </c>
      <c r="G126" s="129">
        <f t="shared" ref="G126:G137" si="20">SUM(B126:F126)</f>
        <v>991859.68333333323</v>
      </c>
      <c r="H126" s="495">
        <v>17682.2</v>
      </c>
      <c r="I126" s="213">
        <v>10044</v>
      </c>
      <c r="J126" s="1051">
        <v>317830.24166666664</v>
      </c>
      <c r="K126" s="141">
        <v>-9912.5416666666679</v>
      </c>
      <c r="L126" s="130">
        <v>9324.816666666693</v>
      </c>
      <c r="M126" s="128">
        <f t="shared" ref="M126:M137" si="21">SUM(H126:L126)</f>
        <v>344968.71666666667</v>
      </c>
      <c r="N126" s="128">
        <f t="shared" ref="N126:N136" si="22">M126+G126</f>
        <v>1336828.3999999999</v>
      </c>
      <c r="O126" s="362"/>
      <c r="P126" s="139"/>
    </row>
    <row r="127" spans="1:16" hidden="1">
      <c r="A127" s="1059" t="s">
        <v>40</v>
      </c>
      <c r="B127" s="404">
        <v>170249.76666666666</v>
      </c>
      <c r="C127" s="213">
        <v>373715.80000000016</v>
      </c>
      <c r="D127" s="213">
        <v>284420.69999999995</v>
      </c>
      <c r="E127" s="349">
        <v>148341.19999999995</v>
      </c>
      <c r="F127" s="213">
        <v>26374.500000000004</v>
      </c>
      <c r="G127" s="129">
        <f t="shared" si="20"/>
        <v>1003101.9666666668</v>
      </c>
      <c r="H127" s="495">
        <v>17678.7</v>
      </c>
      <c r="I127" s="213">
        <v>9270.6999999999989</v>
      </c>
      <c r="J127" s="1051">
        <v>320017.78333333333</v>
      </c>
      <c r="K127" s="141">
        <v>-6693.9833333333354</v>
      </c>
      <c r="L127" s="130">
        <v>10502.133333333333</v>
      </c>
      <c r="M127" s="128">
        <f t="shared" si="21"/>
        <v>350775.33333333337</v>
      </c>
      <c r="N127" s="128">
        <f t="shared" si="22"/>
        <v>1353877.3000000003</v>
      </c>
      <c r="O127" s="362"/>
      <c r="P127" s="139"/>
    </row>
    <row r="128" spans="1:16" hidden="1">
      <c r="A128" s="1059" t="s">
        <v>41</v>
      </c>
      <c r="B128" s="404">
        <v>169519.69999999998</v>
      </c>
      <c r="C128" s="213">
        <v>383013.09999999992</v>
      </c>
      <c r="D128" s="213">
        <v>285613.15000000002</v>
      </c>
      <c r="E128" s="349">
        <v>150060.39999999991</v>
      </c>
      <c r="F128" s="213">
        <v>26466.500000000007</v>
      </c>
      <c r="G128" s="129">
        <f t="shared" si="20"/>
        <v>1014672.8499999999</v>
      </c>
      <c r="H128" s="495">
        <v>17678.7</v>
      </c>
      <c r="I128" s="213">
        <v>6602.2</v>
      </c>
      <c r="J128" s="1051">
        <v>315274.22499999998</v>
      </c>
      <c r="K128" s="141">
        <v>-11700.62500000002</v>
      </c>
      <c r="L128" s="130">
        <v>1834.5500000000256</v>
      </c>
      <c r="M128" s="128">
        <f t="shared" si="21"/>
        <v>329689.05000000005</v>
      </c>
      <c r="N128" s="128">
        <f t="shared" si="22"/>
        <v>1344361.9</v>
      </c>
      <c r="O128" s="362"/>
      <c r="P128" s="139"/>
    </row>
    <row r="129" spans="1:16" hidden="1">
      <c r="A129" s="1059" t="s">
        <v>42</v>
      </c>
      <c r="B129" s="404">
        <v>179329.53333333333</v>
      </c>
      <c r="C129" s="213">
        <v>401479.0999999998</v>
      </c>
      <c r="D129" s="213">
        <v>290666.89999999997</v>
      </c>
      <c r="E129" s="349">
        <v>162426.70000000001</v>
      </c>
      <c r="F129" s="213">
        <v>27165.399999999998</v>
      </c>
      <c r="G129" s="129">
        <f t="shared" si="20"/>
        <v>1061067.6333333328</v>
      </c>
      <c r="H129" s="495">
        <v>18344.8</v>
      </c>
      <c r="I129" s="213">
        <v>6404.9000000000005</v>
      </c>
      <c r="J129" s="1051">
        <v>346169.66666666663</v>
      </c>
      <c r="K129" s="141">
        <v>-4579.7666666666482</v>
      </c>
      <c r="L129" s="130">
        <v>-26024.733333333323</v>
      </c>
      <c r="M129" s="128">
        <f t="shared" si="21"/>
        <v>340314.86666666664</v>
      </c>
      <c r="N129" s="128">
        <f t="shared" si="22"/>
        <v>1401382.4999999995</v>
      </c>
      <c r="O129" s="362"/>
      <c r="P129" s="139"/>
    </row>
    <row r="130" spans="1:16" hidden="1">
      <c r="A130" s="1059" t="s">
        <v>43</v>
      </c>
      <c r="B130" s="404">
        <v>185255.56666666668</v>
      </c>
      <c r="C130" s="213">
        <v>397342.89999999991</v>
      </c>
      <c r="D130" s="213">
        <v>293128.25</v>
      </c>
      <c r="E130" s="349">
        <v>148292.10000000006</v>
      </c>
      <c r="F130" s="213">
        <v>28402.600000000002</v>
      </c>
      <c r="G130" s="129">
        <f t="shared" si="20"/>
        <v>1052421.4166666667</v>
      </c>
      <c r="H130" s="495">
        <v>18351.599999999999</v>
      </c>
      <c r="I130" s="213">
        <v>5114.3</v>
      </c>
      <c r="J130" s="1051">
        <v>350273.20833333326</v>
      </c>
      <c r="K130" s="141">
        <v>-10906.408333333316</v>
      </c>
      <c r="L130" s="130">
        <v>-24334.916666666668</v>
      </c>
      <c r="M130" s="128">
        <f t="shared" si="21"/>
        <v>338497.78333333327</v>
      </c>
      <c r="N130" s="128">
        <f t="shared" si="22"/>
        <v>1390919.2</v>
      </c>
      <c r="O130" s="362"/>
      <c r="P130" s="139"/>
    </row>
    <row r="131" spans="1:16" hidden="1">
      <c r="A131" s="1059" t="s">
        <v>44</v>
      </c>
      <c r="B131" s="404">
        <v>191944.69999999998</v>
      </c>
      <c r="C131" s="213">
        <v>422341.60000000003</v>
      </c>
      <c r="D131" s="213">
        <v>290332</v>
      </c>
      <c r="E131" s="349">
        <v>145971.70000000001</v>
      </c>
      <c r="F131" s="213">
        <v>29940.799999999999</v>
      </c>
      <c r="G131" s="129">
        <f t="shared" si="20"/>
        <v>1080530.8</v>
      </c>
      <c r="H131" s="495">
        <v>18384.599999999999</v>
      </c>
      <c r="I131" s="213">
        <v>2743.8</v>
      </c>
      <c r="J131" s="1051">
        <v>352057.74999999994</v>
      </c>
      <c r="K131" s="141">
        <v>-5289.549999999992</v>
      </c>
      <c r="L131" s="130">
        <v>-19833.300000000003</v>
      </c>
      <c r="M131" s="128">
        <f t="shared" si="21"/>
        <v>348063.3</v>
      </c>
      <c r="N131" s="128">
        <f t="shared" si="22"/>
        <v>1428594.1</v>
      </c>
      <c r="O131" s="362"/>
      <c r="P131" s="139"/>
    </row>
    <row r="132" spans="1:16" hidden="1">
      <c r="A132" s="1059" t="s">
        <v>45</v>
      </c>
      <c r="B132" s="404">
        <v>201704.7</v>
      </c>
      <c r="C132" s="213">
        <v>432032.51666666649</v>
      </c>
      <c r="D132" s="213">
        <v>298699.95</v>
      </c>
      <c r="E132" s="349">
        <v>168220.39999999997</v>
      </c>
      <c r="F132" s="213">
        <v>30641.8</v>
      </c>
      <c r="G132" s="129">
        <f t="shared" si="20"/>
        <v>1131299.3666666665</v>
      </c>
      <c r="H132" s="495">
        <v>18358.3</v>
      </c>
      <c r="I132" s="213">
        <v>9700.7000000000007</v>
      </c>
      <c r="J132" s="1051">
        <v>354328.65833333327</v>
      </c>
      <c r="K132" s="141">
        <v>-9279.474999999984</v>
      </c>
      <c r="L132" s="130">
        <v>-27586.583333333361</v>
      </c>
      <c r="M132" s="128">
        <f t="shared" si="21"/>
        <v>345521.59999999992</v>
      </c>
      <c r="N132" s="128">
        <f t="shared" si="22"/>
        <v>1476820.9666666663</v>
      </c>
      <c r="O132" s="362"/>
      <c r="P132" s="139"/>
    </row>
    <row r="133" spans="1:16" hidden="1">
      <c r="A133" s="1059" t="s">
        <v>46</v>
      </c>
      <c r="B133" s="404">
        <v>197255.91666666669</v>
      </c>
      <c r="C133" s="213">
        <v>436816.6944444445</v>
      </c>
      <c r="D133" s="213">
        <v>299287.24444444443</v>
      </c>
      <c r="E133" s="349">
        <v>159633.69999999995</v>
      </c>
      <c r="F133" s="213">
        <v>31745.500000000011</v>
      </c>
      <c r="G133" s="129">
        <f t="shared" si="20"/>
        <v>1124739.0555555555</v>
      </c>
      <c r="H133" s="495">
        <v>18358.3</v>
      </c>
      <c r="I133" s="213">
        <v>9573.7999999999993</v>
      </c>
      <c r="J133" s="1051">
        <v>359588.37222222221</v>
      </c>
      <c r="K133" s="141">
        <v>-13521.016666666661</v>
      </c>
      <c r="L133" s="130">
        <v>-29179.777777777737</v>
      </c>
      <c r="M133" s="128">
        <f t="shared" si="21"/>
        <v>344819.67777777778</v>
      </c>
      <c r="N133" s="128">
        <f t="shared" si="22"/>
        <v>1469558.7333333334</v>
      </c>
      <c r="O133" s="362"/>
      <c r="P133" s="139"/>
    </row>
    <row r="134" spans="1:16" hidden="1">
      <c r="A134" s="1059" t="s">
        <v>47</v>
      </c>
      <c r="B134" s="404">
        <v>186479.89166666666</v>
      </c>
      <c r="C134" s="213">
        <v>430359.05277777778</v>
      </c>
      <c r="D134" s="213">
        <v>286361.9611111111</v>
      </c>
      <c r="E134" s="349">
        <v>149361.39999999991</v>
      </c>
      <c r="F134" s="213">
        <v>32928.700000000004</v>
      </c>
      <c r="G134" s="129">
        <f t="shared" si="20"/>
        <v>1085491.0055555555</v>
      </c>
      <c r="H134" s="495">
        <v>18608.3</v>
      </c>
      <c r="I134" s="213">
        <v>8443.4</v>
      </c>
      <c r="J134" s="1051">
        <v>360739.73888888891</v>
      </c>
      <c r="K134" s="141">
        <v>-27763.466666666671</v>
      </c>
      <c r="L134" s="130">
        <v>-31836.927777777739</v>
      </c>
      <c r="M134" s="128">
        <f t="shared" si="21"/>
        <v>328191.04444444453</v>
      </c>
      <c r="N134" s="128">
        <f t="shared" si="22"/>
        <v>1413682.05</v>
      </c>
      <c r="O134" s="362"/>
      <c r="P134" s="139"/>
    </row>
    <row r="135" spans="1:16" hidden="1">
      <c r="A135" s="1059" t="s">
        <v>48</v>
      </c>
      <c r="B135" s="404">
        <v>188115.13888888885</v>
      </c>
      <c r="C135" s="213">
        <v>459640.49814814818</v>
      </c>
      <c r="D135" s="213">
        <v>285775.12592592591</v>
      </c>
      <c r="E135" s="349">
        <v>155538.2999999999</v>
      </c>
      <c r="F135" s="213">
        <v>32859.200000000004</v>
      </c>
      <c r="G135" s="129">
        <f t="shared" si="20"/>
        <v>1121928.2629629627</v>
      </c>
      <c r="H135" s="495">
        <v>18459.599999999999</v>
      </c>
      <c r="I135" s="213">
        <v>9452.2000000000007</v>
      </c>
      <c r="J135" s="1051">
        <v>369324.27407407411</v>
      </c>
      <c r="K135" s="141">
        <v>-7388.2222222222063</v>
      </c>
      <c r="L135" s="130">
        <v>-32680.814814814796</v>
      </c>
      <c r="M135" s="128">
        <f t="shared" si="21"/>
        <v>357167.03703703714</v>
      </c>
      <c r="N135" s="128">
        <f t="shared" si="22"/>
        <v>1479095.2999999998</v>
      </c>
      <c r="O135" s="362"/>
      <c r="P135" s="139"/>
    </row>
    <row r="136" spans="1:16" hidden="1">
      <c r="A136" s="1059" t="s">
        <v>49</v>
      </c>
      <c r="B136" s="404">
        <v>184977.36759259261</v>
      </c>
      <c r="C136" s="213">
        <v>440243.70154320978</v>
      </c>
      <c r="D136" s="213">
        <v>284658.78950617282</v>
      </c>
      <c r="E136" s="349">
        <v>146703.70000000001</v>
      </c>
      <c r="F136" s="213">
        <v>33669.4</v>
      </c>
      <c r="G136" s="129">
        <f t="shared" si="20"/>
        <v>1090252.958641975</v>
      </c>
      <c r="H136" s="495">
        <v>18309.599999999999</v>
      </c>
      <c r="I136" s="213">
        <v>9053</v>
      </c>
      <c r="J136" s="1051">
        <v>375873.55493827158</v>
      </c>
      <c r="K136" s="141">
        <v>-10814.314814814839</v>
      </c>
      <c r="L136" s="130">
        <v>-38824.426543209942</v>
      </c>
      <c r="M136" s="128">
        <f t="shared" si="21"/>
        <v>353597.41358024679</v>
      </c>
      <c r="N136" s="128">
        <f t="shared" si="22"/>
        <v>1443850.3722222217</v>
      </c>
      <c r="O136" s="362"/>
      <c r="P136" s="139"/>
    </row>
    <row r="137" spans="1:16" hidden="1">
      <c r="A137" s="1059" t="s">
        <v>50</v>
      </c>
      <c r="B137" s="404">
        <v>195547.7</v>
      </c>
      <c r="C137" s="213">
        <v>458310.60000000003</v>
      </c>
      <c r="D137" s="213">
        <v>288594.30000000005</v>
      </c>
      <c r="E137" s="404">
        <v>164626.70000000004</v>
      </c>
      <c r="F137" s="213">
        <v>34759.1</v>
      </c>
      <c r="G137" s="213">
        <f t="shared" si="20"/>
        <v>1141838.4000000001</v>
      </c>
      <c r="H137" s="213">
        <v>18489.400000000001</v>
      </c>
      <c r="I137" s="213">
        <v>9222.6</v>
      </c>
      <c r="J137" s="213">
        <v>385480.5</v>
      </c>
      <c r="K137" s="1163">
        <v>-7032.8999999999824</v>
      </c>
      <c r="L137" s="130">
        <v>-47293.900000000009</v>
      </c>
      <c r="M137" s="128">
        <f t="shared" si="21"/>
        <v>358865.7</v>
      </c>
      <c r="N137" s="130">
        <f>M137+G137</f>
        <v>1500704.1</v>
      </c>
      <c r="O137" s="362"/>
      <c r="P137" s="139"/>
    </row>
    <row r="138" spans="1:16" hidden="1">
      <c r="A138" s="1059"/>
      <c r="B138" s="404"/>
      <c r="C138" s="213"/>
      <c r="D138" s="213"/>
      <c r="E138" s="512"/>
      <c r="F138" s="213"/>
      <c r="G138" s="512"/>
      <c r="H138" s="495"/>
      <c r="I138" s="213"/>
      <c r="J138" s="512"/>
      <c r="K138" s="1163"/>
      <c r="L138" s="130"/>
      <c r="M138" s="128"/>
      <c r="N138" s="128"/>
      <c r="O138" s="362"/>
      <c r="P138" s="139"/>
    </row>
    <row r="139" spans="1:16" hidden="1">
      <c r="A139" s="1059" t="s">
        <v>51</v>
      </c>
      <c r="B139" s="404">
        <v>186195.43333333332</v>
      </c>
      <c r="C139" s="213">
        <v>443030.28333333333</v>
      </c>
      <c r="D139" s="213">
        <v>290786.46666666667</v>
      </c>
      <c r="E139" s="349">
        <v>159142.59999999998</v>
      </c>
      <c r="F139" s="213">
        <v>34593.5</v>
      </c>
      <c r="G139" s="129">
        <f t="shared" ref="G139:G150" si="23">SUM(B139:F139)</f>
        <v>1113748.2833333332</v>
      </c>
      <c r="H139" s="495">
        <v>18416.3</v>
      </c>
      <c r="I139" s="213">
        <v>10502.800000000001</v>
      </c>
      <c r="J139" s="1051">
        <v>390924.68333333329</v>
      </c>
      <c r="K139" s="141">
        <v>-7246.7833333333083</v>
      </c>
      <c r="L139" s="130">
        <v>-55870.433333333349</v>
      </c>
      <c r="M139" s="128">
        <f t="shared" ref="M139:M150" si="24">SUM(H139:L139)</f>
        <v>356726.56666666659</v>
      </c>
      <c r="N139" s="128">
        <f t="shared" ref="N139:N150" si="25">M139+G139</f>
        <v>1470474.8499999999</v>
      </c>
      <c r="O139" s="362"/>
      <c r="P139" s="139"/>
    </row>
    <row r="140" spans="1:16" hidden="1">
      <c r="A140" s="1059" t="s">
        <v>52</v>
      </c>
      <c r="B140" s="404">
        <v>189670.76666666666</v>
      </c>
      <c r="C140" s="213">
        <v>446426.16666666657</v>
      </c>
      <c r="D140" s="213">
        <v>298579.03333333333</v>
      </c>
      <c r="E140" s="349">
        <v>155071.29999999996</v>
      </c>
      <c r="F140" s="213">
        <v>34097.1</v>
      </c>
      <c r="G140" s="129">
        <f t="shared" si="23"/>
        <v>1123844.3666666667</v>
      </c>
      <c r="H140" s="495">
        <v>18266.3</v>
      </c>
      <c r="I140" s="213">
        <v>10301.6</v>
      </c>
      <c r="J140" s="1051">
        <v>390343.56666666665</v>
      </c>
      <c r="K140" s="141">
        <v>-12194.766666666659</v>
      </c>
      <c r="L140" s="130">
        <v>-60757.766666666663</v>
      </c>
      <c r="M140" s="128">
        <f t="shared" si="24"/>
        <v>345958.93333333335</v>
      </c>
      <c r="N140" s="128">
        <f t="shared" si="25"/>
        <v>1469803.3</v>
      </c>
      <c r="O140" s="362"/>
      <c r="P140" s="139"/>
    </row>
    <row r="141" spans="1:16" hidden="1">
      <c r="A141" s="1059" t="s">
        <v>53</v>
      </c>
      <c r="B141" s="404">
        <v>190519.40000000002</v>
      </c>
      <c r="C141" s="213">
        <v>418133.04999999993</v>
      </c>
      <c r="D141" s="213">
        <v>306019.20000000007</v>
      </c>
      <c r="E141" s="349">
        <v>149561.5</v>
      </c>
      <c r="F141" s="213">
        <v>35591.5</v>
      </c>
      <c r="G141" s="129">
        <f t="shared" si="23"/>
        <v>1099824.6499999999</v>
      </c>
      <c r="H141" s="495">
        <v>18108.099999999999</v>
      </c>
      <c r="I141" s="213">
        <v>10123.599999999999</v>
      </c>
      <c r="J141" s="1051">
        <v>386878.55</v>
      </c>
      <c r="K141" s="141">
        <v>-21663.550000000017</v>
      </c>
      <c r="L141" s="130">
        <v>-63382.500000000058</v>
      </c>
      <c r="M141" s="128">
        <f t="shared" si="24"/>
        <v>330064.1999999999</v>
      </c>
      <c r="N141" s="128">
        <f t="shared" si="25"/>
        <v>1429888.8499999999</v>
      </c>
      <c r="O141" s="362"/>
      <c r="P141" s="139"/>
    </row>
    <row r="142" spans="1:16" hidden="1">
      <c r="A142" s="1059" t="s">
        <v>603</v>
      </c>
      <c r="B142" s="404">
        <v>209450.53333333333</v>
      </c>
      <c r="C142" s="213">
        <v>433614.53333333344</v>
      </c>
      <c r="D142" s="213">
        <v>308794.56666666665</v>
      </c>
      <c r="E142" s="349">
        <v>157049.1</v>
      </c>
      <c r="F142" s="213">
        <v>38033.69999999999</v>
      </c>
      <c r="G142" s="129">
        <f t="shared" si="23"/>
        <v>1146942.4333333333</v>
      </c>
      <c r="H142" s="495">
        <v>16173.099999999999</v>
      </c>
      <c r="I142" s="213">
        <v>9306.4</v>
      </c>
      <c r="J142" s="1051">
        <v>388764.23333333334</v>
      </c>
      <c r="K142" s="141">
        <v>-25829.133333333346</v>
      </c>
      <c r="L142" s="130">
        <v>-65011.433333333342</v>
      </c>
      <c r="M142" s="128">
        <f t="shared" si="24"/>
        <v>323403.16666666663</v>
      </c>
      <c r="N142" s="128">
        <f t="shared" si="25"/>
        <v>1470345.6</v>
      </c>
      <c r="O142" s="362"/>
      <c r="P142" s="139"/>
    </row>
    <row r="143" spans="1:16" hidden="1">
      <c r="A143" s="1059" t="s">
        <v>609</v>
      </c>
      <c r="B143" s="404">
        <v>217304.06666666668</v>
      </c>
      <c r="C143" s="213">
        <v>457264.91666666669</v>
      </c>
      <c r="D143" s="213">
        <v>310340.2333333334</v>
      </c>
      <c r="E143" s="349">
        <v>142910.29999999999</v>
      </c>
      <c r="F143" s="213">
        <v>38513.199999999997</v>
      </c>
      <c r="G143" s="129">
        <f t="shared" si="23"/>
        <v>1166332.7166666668</v>
      </c>
      <c r="H143" s="495">
        <v>16023.099999999999</v>
      </c>
      <c r="I143" s="213">
        <v>8857.5</v>
      </c>
      <c r="J143" s="1051">
        <v>392252.21666666662</v>
      </c>
      <c r="K143" s="141">
        <v>-14627.716666666656</v>
      </c>
      <c r="L143" s="130">
        <v>-58767.96666666666</v>
      </c>
      <c r="M143" s="128">
        <f t="shared" si="24"/>
        <v>343737.13333333324</v>
      </c>
      <c r="N143" s="128">
        <f t="shared" si="25"/>
        <v>1510069.85</v>
      </c>
      <c r="O143" s="362"/>
      <c r="P143" s="139"/>
    </row>
    <row r="144" spans="1:16" hidden="1">
      <c r="A144" s="1059" t="s">
        <v>44</v>
      </c>
      <c r="B144" s="404">
        <v>221501.8</v>
      </c>
      <c r="C144" s="213">
        <v>431261.09999999986</v>
      </c>
      <c r="D144" s="213">
        <v>315064.59999999986</v>
      </c>
      <c r="E144" s="349">
        <v>136241.59999999995</v>
      </c>
      <c r="F144" s="213">
        <v>38846.100000000006</v>
      </c>
      <c r="G144" s="129">
        <f t="shared" si="23"/>
        <v>1142915.1999999997</v>
      </c>
      <c r="H144" s="495">
        <v>15873.099999999999</v>
      </c>
      <c r="I144" s="213">
        <v>1293.3</v>
      </c>
      <c r="J144" s="1051">
        <v>394690.19999999995</v>
      </c>
      <c r="K144" s="141">
        <v>-19290.899999999994</v>
      </c>
      <c r="L144" s="130">
        <v>-57649.79999999993</v>
      </c>
      <c r="M144" s="128">
        <f t="shared" si="24"/>
        <v>334915.90000000002</v>
      </c>
      <c r="N144" s="128">
        <f t="shared" si="25"/>
        <v>1477831.0999999996</v>
      </c>
      <c r="O144" s="362"/>
      <c r="P144" s="139"/>
    </row>
    <row r="145" spans="1:16" hidden="1">
      <c r="A145" s="1059" t="s">
        <v>45</v>
      </c>
      <c r="B145" s="404">
        <v>203777.4</v>
      </c>
      <c r="C145" s="213">
        <v>433938.75000000006</v>
      </c>
      <c r="D145" s="213">
        <v>320969.44999999995</v>
      </c>
      <c r="E145" s="349">
        <v>143632.79999999996</v>
      </c>
      <c r="F145" s="213">
        <v>39735.200000000004</v>
      </c>
      <c r="G145" s="129">
        <f t="shared" si="23"/>
        <v>1142053.5999999999</v>
      </c>
      <c r="H145" s="495">
        <v>15873.099999999999</v>
      </c>
      <c r="I145" s="213">
        <v>1675.7</v>
      </c>
      <c r="J145" s="1051">
        <v>397656.98333333334</v>
      </c>
      <c r="K145" s="141">
        <v>-23753.283333333322</v>
      </c>
      <c r="L145" s="130">
        <v>-48927.883333333368</v>
      </c>
      <c r="M145" s="128">
        <f t="shared" si="24"/>
        <v>342524.61666666664</v>
      </c>
      <c r="N145" s="128">
        <f t="shared" si="25"/>
        <v>1484578.2166666666</v>
      </c>
      <c r="O145" s="362"/>
      <c r="P145" s="139"/>
    </row>
    <row r="146" spans="1:16" hidden="1">
      <c r="A146" s="1059" t="s">
        <v>621</v>
      </c>
      <c r="B146" s="404">
        <v>197121.98333333337</v>
      </c>
      <c r="C146" s="213">
        <v>445771.64444444445</v>
      </c>
      <c r="D146" s="213">
        <v>318740.45000000007</v>
      </c>
      <c r="E146" s="349">
        <v>149115.59999999992</v>
      </c>
      <c r="F146" s="213">
        <v>40401.700000000012</v>
      </c>
      <c r="G146" s="129">
        <f t="shared" si="23"/>
        <v>1151151.3777777778</v>
      </c>
      <c r="H146" s="495">
        <v>16073.099999999999</v>
      </c>
      <c r="I146" s="213">
        <v>1816.6000000000001</v>
      </c>
      <c r="J146" s="1051">
        <v>400394.58333333337</v>
      </c>
      <c r="K146" s="141">
        <v>-21876.055555555551</v>
      </c>
      <c r="L146" s="130">
        <v>-47596.438888888792</v>
      </c>
      <c r="M146" s="128">
        <f t="shared" si="24"/>
        <v>348811.78888888902</v>
      </c>
      <c r="N146" s="128">
        <f t="shared" si="25"/>
        <v>1499963.166666667</v>
      </c>
      <c r="O146" s="362"/>
      <c r="P146" s="139"/>
    </row>
    <row r="147" spans="1:16" hidden="1">
      <c r="A147" s="1059" t="s">
        <v>47</v>
      </c>
      <c r="B147" s="404">
        <v>185941.30833333335</v>
      </c>
      <c r="C147" s="213">
        <v>458469.11111111112</v>
      </c>
      <c r="D147" s="213">
        <v>322042.07499999995</v>
      </c>
      <c r="E147" s="349">
        <v>140695.09999999992</v>
      </c>
      <c r="F147" s="213">
        <v>40021.999999999993</v>
      </c>
      <c r="G147" s="129">
        <f t="shared" si="23"/>
        <v>1147169.5944444444</v>
      </c>
      <c r="H147" s="495">
        <v>16259.899999999998</v>
      </c>
      <c r="I147" s="213">
        <v>1252.3</v>
      </c>
      <c r="J147" s="1051">
        <v>404596.24166666664</v>
      </c>
      <c r="K147" s="141">
        <v>-25421.372222222228</v>
      </c>
      <c r="L147" s="130">
        <v>-46201.530555555517</v>
      </c>
      <c r="M147" s="128">
        <f t="shared" si="24"/>
        <v>350485.5388888889</v>
      </c>
      <c r="N147" s="128">
        <f t="shared" si="25"/>
        <v>1497655.1333333333</v>
      </c>
      <c r="O147" s="362"/>
      <c r="P147" s="139"/>
    </row>
    <row r="148" spans="1:16" hidden="1">
      <c r="A148" s="1059" t="s">
        <v>631</v>
      </c>
      <c r="B148" s="404">
        <v>195430.4611111111</v>
      </c>
      <c r="C148" s="213">
        <v>487716.52592592593</v>
      </c>
      <c r="D148" s="213">
        <v>327870.18333333335</v>
      </c>
      <c r="E148" s="349">
        <v>135132.39999999991</v>
      </c>
      <c r="F148" s="213">
        <v>40222.500000000015</v>
      </c>
      <c r="G148" s="129">
        <f t="shared" si="23"/>
        <v>1186372.0703703703</v>
      </c>
      <c r="H148" s="495">
        <v>16035.599999999999</v>
      </c>
      <c r="I148" s="213">
        <v>2211.8000000000002</v>
      </c>
      <c r="J148" s="1051">
        <v>416462.40555555554</v>
      </c>
      <c r="K148" s="141">
        <v>-20523.185185185197</v>
      </c>
      <c r="L148" s="130">
        <v>-38333.579629629654</v>
      </c>
      <c r="M148" s="128">
        <f t="shared" si="24"/>
        <v>375853.04074074066</v>
      </c>
      <c r="N148" s="128">
        <f t="shared" si="25"/>
        <v>1562225.111111111</v>
      </c>
      <c r="O148" s="362"/>
      <c r="P148" s="139"/>
    </row>
    <row r="149" spans="1:16" hidden="1">
      <c r="A149" s="1059" t="s">
        <v>654</v>
      </c>
      <c r="B149" s="404">
        <v>190866.96574074074</v>
      </c>
      <c r="C149" s="213">
        <v>434608.03950617288</v>
      </c>
      <c r="D149" s="213">
        <v>320876.08055555559</v>
      </c>
      <c r="E149" s="349">
        <v>142135.9</v>
      </c>
      <c r="F149" s="213">
        <v>51331.899999999994</v>
      </c>
      <c r="G149" s="129">
        <f t="shared" si="23"/>
        <v>1139818.885802469</v>
      </c>
      <c r="H149" s="495">
        <v>7910.3</v>
      </c>
      <c r="I149" s="213">
        <v>3556.8</v>
      </c>
      <c r="J149" s="1051">
        <v>425977.00648148142</v>
      </c>
      <c r="K149" s="141">
        <v>-24431.762345678981</v>
      </c>
      <c r="L149" s="130">
        <v>-59663.900308641983</v>
      </c>
      <c r="M149" s="128">
        <f t="shared" si="24"/>
        <v>353348.4438271604</v>
      </c>
      <c r="N149" s="128">
        <f t="shared" si="25"/>
        <v>1493167.3296296294</v>
      </c>
      <c r="O149" s="362"/>
      <c r="P149" s="139"/>
    </row>
    <row r="150" spans="1:16" hidden="1">
      <c r="A150" s="1059" t="s">
        <v>665</v>
      </c>
      <c r="B150" s="404">
        <v>202881.5</v>
      </c>
      <c r="C150" s="213">
        <v>440851.1999999999</v>
      </c>
      <c r="D150" s="213">
        <v>327388.60000000003</v>
      </c>
      <c r="E150" s="349">
        <v>135251.80000000002</v>
      </c>
      <c r="F150" s="213">
        <v>48906.30000000001</v>
      </c>
      <c r="G150" s="129">
        <f t="shared" si="23"/>
        <v>1155279.4000000001</v>
      </c>
      <c r="H150" s="495">
        <v>12527.599999999999</v>
      </c>
      <c r="I150" s="213">
        <v>5645.1</v>
      </c>
      <c r="J150" s="1051">
        <v>422409.19999999995</v>
      </c>
      <c r="K150" s="141">
        <v>-25004.400000000005</v>
      </c>
      <c r="L150" s="130">
        <v>-59588.299999999974</v>
      </c>
      <c r="M150" s="128">
        <f t="shared" si="24"/>
        <v>355989.19999999995</v>
      </c>
      <c r="N150" s="128">
        <f t="shared" si="25"/>
        <v>1511268.6</v>
      </c>
      <c r="O150" s="362"/>
      <c r="P150" s="139"/>
    </row>
    <row r="151" spans="1:16" hidden="1">
      <c r="A151" s="831"/>
      <c r="B151" s="404"/>
      <c r="C151" s="213"/>
      <c r="D151" s="213"/>
      <c r="E151" s="349"/>
      <c r="F151" s="213"/>
      <c r="G151" s="129"/>
      <c r="H151" s="495"/>
      <c r="I151" s="213"/>
      <c r="J151" s="1051"/>
      <c r="K151" s="141"/>
      <c r="L151" s="130"/>
      <c r="M151" s="128"/>
      <c r="N151" s="128"/>
      <c r="O151" s="362"/>
      <c r="P151" s="139"/>
    </row>
    <row r="152" spans="1:16" hidden="1">
      <c r="A152" s="831" t="s">
        <v>39</v>
      </c>
      <c r="B152" s="404">
        <v>197125.75</v>
      </c>
      <c r="C152" s="213">
        <v>443310.1166666667</v>
      </c>
      <c r="D152" s="213">
        <v>316502.8</v>
      </c>
      <c r="E152" s="349">
        <v>134869.09999999998</v>
      </c>
      <c r="F152" s="213">
        <v>48532.3</v>
      </c>
      <c r="G152" s="129">
        <f t="shared" ref="G152:G163" si="26">SUM(B152:F152)</f>
        <v>1140340.0666666667</v>
      </c>
      <c r="H152" s="495">
        <v>12555</v>
      </c>
      <c r="I152" s="213">
        <v>5990</v>
      </c>
      <c r="J152" s="1051">
        <v>423333.52499999997</v>
      </c>
      <c r="K152" s="141">
        <v>-32651.883333333317</v>
      </c>
      <c r="L152" s="130">
        <v>-61608.408333333326</v>
      </c>
      <c r="M152" s="128">
        <f t="shared" ref="M152:M163" si="27">SUM(H152:L152)</f>
        <v>347618.23333333334</v>
      </c>
      <c r="N152" s="128">
        <f t="shared" ref="N152:N163" si="28">M152+G152</f>
        <v>1487958.3</v>
      </c>
      <c r="O152" s="362"/>
      <c r="P152" s="139"/>
    </row>
    <row r="153" spans="1:16" hidden="1">
      <c r="A153" s="831" t="s">
        <v>681</v>
      </c>
      <c r="B153" s="404">
        <v>194870.40000000002</v>
      </c>
      <c r="C153" s="213">
        <v>475008.03333333327</v>
      </c>
      <c r="D153" s="213">
        <v>302678.29999999993</v>
      </c>
      <c r="E153" s="349">
        <v>135795.70000000001</v>
      </c>
      <c r="F153" s="213">
        <v>50329.900000000009</v>
      </c>
      <c r="G153" s="129">
        <f t="shared" si="26"/>
        <v>1158682.3333333333</v>
      </c>
      <c r="H153" s="495">
        <v>12619.5</v>
      </c>
      <c r="I153" s="213">
        <v>6827.0999999999995</v>
      </c>
      <c r="J153" s="1051">
        <v>423816.45</v>
      </c>
      <c r="K153" s="141">
        <v>-26465.76666666667</v>
      </c>
      <c r="L153" s="130">
        <v>-56624.116666666705</v>
      </c>
      <c r="M153" s="128">
        <f t="shared" si="27"/>
        <v>360173.16666666663</v>
      </c>
      <c r="N153" s="128">
        <f t="shared" si="28"/>
        <v>1518855.5</v>
      </c>
      <c r="O153" s="362"/>
      <c r="P153" s="139"/>
    </row>
    <row r="154" spans="1:16" hidden="1">
      <c r="A154" s="831" t="s">
        <v>65</v>
      </c>
      <c r="B154" s="404">
        <v>188938.15</v>
      </c>
      <c r="C154" s="213">
        <v>463550.65</v>
      </c>
      <c r="D154" s="213">
        <v>308660.29999999993</v>
      </c>
      <c r="E154" s="349">
        <v>118414.49999999997</v>
      </c>
      <c r="F154" s="213">
        <v>52729.1</v>
      </c>
      <c r="G154" s="129">
        <f t="shared" si="26"/>
        <v>1132292.7</v>
      </c>
      <c r="H154" s="495">
        <v>12645.4</v>
      </c>
      <c r="I154" s="213">
        <v>5204</v>
      </c>
      <c r="J154" s="1051">
        <v>416495.97499999992</v>
      </c>
      <c r="K154" s="141">
        <v>-35214.250000000015</v>
      </c>
      <c r="L154" s="130">
        <v>-48489.425000000003</v>
      </c>
      <c r="M154" s="128">
        <f t="shared" si="27"/>
        <v>350641.69999999995</v>
      </c>
      <c r="N154" s="128">
        <f t="shared" si="28"/>
        <v>1482934.4</v>
      </c>
      <c r="O154" s="362"/>
      <c r="P154" s="139"/>
    </row>
    <row r="155" spans="1:16" hidden="1">
      <c r="A155" s="831" t="s">
        <v>692</v>
      </c>
      <c r="B155" s="404">
        <v>198896.4</v>
      </c>
      <c r="C155" s="213">
        <v>480530.36666666652</v>
      </c>
      <c r="D155" s="213">
        <v>302618.10000000003</v>
      </c>
      <c r="E155" s="349">
        <v>123085.9</v>
      </c>
      <c r="F155" s="213">
        <v>53160.600000000006</v>
      </c>
      <c r="G155" s="129">
        <f t="shared" si="26"/>
        <v>1158291.3666666665</v>
      </c>
      <c r="H155" s="495">
        <v>12694.8</v>
      </c>
      <c r="I155" s="213">
        <v>5204</v>
      </c>
      <c r="J155" s="1051">
        <v>413835.9</v>
      </c>
      <c r="K155" s="141">
        <v>-27778.83333333335</v>
      </c>
      <c r="L155" s="130">
        <v>-43156.53333333334</v>
      </c>
      <c r="M155" s="128">
        <f t="shared" si="27"/>
        <v>360799.33333333331</v>
      </c>
      <c r="N155" s="128">
        <f t="shared" si="28"/>
        <v>1519090.6999999997</v>
      </c>
      <c r="O155" s="362"/>
      <c r="P155" s="139"/>
    </row>
    <row r="156" spans="1:16" hidden="1">
      <c r="A156" s="831" t="s">
        <v>700</v>
      </c>
      <c r="B156" s="404">
        <v>198057.94999999998</v>
      </c>
      <c r="C156" s="213">
        <v>490710.08333333337</v>
      </c>
      <c r="D156" s="213">
        <v>303996.30000000005</v>
      </c>
      <c r="E156" s="349">
        <v>111803.4</v>
      </c>
      <c r="F156" s="213">
        <v>54165.7</v>
      </c>
      <c r="G156" s="129">
        <f t="shared" si="26"/>
        <v>1158733.4333333333</v>
      </c>
      <c r="H156" s="495">
        <v>12057.2</v>
      </c>
      <c r="I156" s="213">
        <v>6494.3</v>
      </c>
      <c r="J156" s="1051">
        <v>420979.02499999997</v>
      </c>
      <c r="K156" s="141">
        <v>-32758.816666666655</v>
      </c>
      <c r="L156" s="130">
        <v>-42524.741666666661</v>
      </c>
      <c r="M156" s="128">
        <f t="shared" si="27"/>
        <v>364246.96666666667</v>
      </c>
      <c r="N156" s="128">
        <f t="shared" si="28"/>
        <v>1522980.4</v>
      </c>
      <c r="O156" s="362"/>
      <c r="P156" s="139"/>
    </row>
    <row r="157" spans="1:16" hidden="1">
      <c r="A157" s="831" t="s">
        <v>711</v>
      </c>
      <c r="B157" s="404">
        <v>224409.89999999997</v>
      </c>
      <c r="C157" s="213">
        <v>493677.1</v>
      </c>
      <c r="D157" s="213">
        <v>290293.49999999994</v>
      </c>
      <c r="E157" s="349">
        <v>113982</v>
      </c>
      <c r="F157" s="213">
        <v>53870.100000000006</v>
      </c>
      <c r="G157" s="129">
        <f t="shared" si="26"/>
        <v>1176232.6000000001</v>
      </c>
      <c r="H157" s="495">
        <v>11194.099999999999</v>
      </c>
      <c r="I157" s="213">
        <v>5535.4</v>
      </c>
      <c r="J157" s="1051">
        <v>431367.05</v>
      </c>
      <c r="K157" s="141">
        <v>-20051.600000000013</v>
      </c>
      <c r="L157" s="130">
        <v>-26444.050000000039</v>
      </c>
      <c r="M157" s="128">
        <f t="shared" si="27"/>
        <v>401600.89999999991</v>
      </c>
      <c r="N157" s="128">
        <f t="shared" si="28"/>
        <v>1577833.5</v>
      </c>
      <c r="O157" s="362"/>
      <c r="P157" s="139"/>
    </row>
    <row r="158" spans="1:16">
      <c r="A158" s="831" t="s">
        <v>730</v>
      </c>
      <c r="B158" s="404">
        <v>231202.33333333328</v>
      </c>
      <c r="C158" s="213">
        <v>502178.63333333336</v>
      </c>
      <c r="D158" s="213">
        <v>282694.53333333344</v>
      </c>
      <c r="E158" s="349">
        <v>108234.3</v>
      </c>
      <c r="F158" s="213">
        <v>40922.1</v>
      </c>
      <c r="G158" s="129">
        <f t="shared" si="26"/>
        <v>1165231.9000000001</v>
      </c>
      <c r="H158" s="495">
        <v>26244.699999999997</v>
      </c>
      <c r="I158" s="213">
        <v>4201.3999999999996</v>
      </c>
      <c r="J158" s="1051">
        <v>437377.77500000002</v>
      </c>
      <c r="K158" s="141">
        <v>-31690.533333333311</v>
      </c>
      <c r="L158" s="130">
        <v>-27708.641666666677</v>
      </c>
      <c r="M158" s="128">
        <f t="shared" si="27"/>
        <v>408424.7</v>
      </c>
      <c r="N158" s="128">
        <f t="shared" si="28"/>
        <v>1573656.6</v>
      </c>
      <c r="O158" s="362"/>
      <c r="P158" s="139"/>
    </row>
    <row r="159" spans="1:16">
      <c r="A159" s="831" t="s">
        <v>46</v>
      </c>
      <c r="B159" s="404">
        <v>225186.96666666667</v>
      </c>
      <c r="C159" s="213">
        <v>526210.16653366666</v>
      </c>
      <c r="D159" s="213">
        <v>280354.3666666667</v>
      </c>
      <c r="E159" s="349">
        <v>102164.00013299998</v>
      </c>
      <c r="F159" s="213">
        <v>41938</v>
      </c>
      <c r="G159" s="129">
        <f t="shared" si="26"/>
        <v>1175853.5</v>
      </c>
      <c r="H159" s="495">
        <v>26275.300000000003</v>
      </c>
      <c r="I159" s="213">
        <v>4932.5</v>
      </c>
      <c r="J159" s="1051">
        <v>439610.39999999997</v>
      </c>
      <c r="K159" s="141">
        <v>-30767.46666666666</v>
      </c>
      <c r="L159" s="130">
        <v>-25443.233333333312</v>
      </c>
      <c r="M159" s="128">
        <f t="shared" si="27"/>
        <v>414607.49999999994</v>
      </c>
      <c r="N159" s="128">
        <f t="shared" si="28"/>
        <v>1590461</v>
      </c>
      <c r="O159" s="362"/>
      <c r="P159" s="139"/>
    </row>
    <row r="160" spans="1:16">
      <c r="A160" s="831" t="s">
        <v>47</v>
      </c>
      <c r="B160" s="404">
        <v>218877.59999999998</v>
      </c>
      <c r="C160" s="213">
        <v>522711.89999999997</v>
      </c>
      <c r="D160" s="213">
        <v>288204.5</v>
      </c>
      <c r="E160" s="349">
        <v>107052.3</v>
      </c>
      <c r="F160" s="213">
        <v>32716.1</v>
      </c>
      <c r="G160" s="129">
        <f t="shared" si="26"/>
        <v>1169562.4000000001</v>
      </c>
      <c r="H160" s="495">
        <v>27794.5</v>
      </c>
      <c r="I160" s="213">
        <v>5791.3</v>
      </c>
      <c r="J160" s="1051">
        <v>435564.52499999997</v>
      </c>
      <c r="K160" s="141">
        <v>-16096.700000000012</v>
      </c>
      <c r="L160" s="130">
        <v>-11951.024999999961</v>
      </c>
      <c r="M160" s="128">
        <f t="shared" si="27"/>
        <v>441102.6</v>
      </c>
      <c r="N160" s="128">
        <f t="shared" si="28"/>
        <v>1610665</v>
      </c>
      <c r="O160" s="362"/>
      <c r="P160" s="139"/>
    </row>
    <row r="161" spans="1:16">
      <c r="A161" s="831" t="s">
        <v>48</v>
      </c>
      <c r="B161" s="404">
        <v>218138.36666666664</v>
      </c>
      <c r="C161" s="213">
        <v>528955.53333333333</v>
      </c>
      <c r="D161" s="213">
        <v>292835.8666666667</v>
      </c>
      <c r="E161" s="349">
        <v>102534.99999999999</v>
      </c>
      <c r="F161" s="213">
        <v>45755.1</v>
      </c>
      <c r="G161" s="129">
        <f t="shared" si="26"/>
        <v>1188219.8666666667</v>
      </c>
      <c r="H161" s="495">
        <v>14372.3</v>
      </c>
      <c r="I161" s="213">
        <v>7752</v>
      </c>
      <c r="J161" s="1051">
        <v>444040.6166666667</v>
      </c>
      <c r="K161" s="141">
        <v>-15903.300000000032</v>
      </c>
      <c r="L161" s="130">
        <v>-10712.949999999944</v>
      </c>
      <c r="M161" s="128">
        <f t="shared" si="27"/>
        <v>439548.66666666669</v>
      </c>
      <c r="N161" s="128">
        <f t="shared" si="28"/>
        <v>1627768.5333333334</v>
      </c>
      <c r="O161" s="362"/>
      <c r="P161" s="139"/>
    </row>
    <row r="162" spans="1:16">
      <c r="A162" s="831" t="s">
        <v>49</v>
      </c>
      <c r="B162" s="404">
        <v>214552.53333333333</v>
      </c>
      <c r="C162" s="213">
        <v>559425.29999999993</v>
      </c>
      <c r="D162" s="213">
        <v>287258.6555555556</v>
      </c>
      <c r="E162" s="349">
        <v>101467.69999999998</v>
      </c>
      <c r="F162" s="213">
        <v>46366</v>
      </c>
      <c r="G162" s="129">
        <f t="shared" si="26"/>
        <v>1209070.1888888888</v>
      </c>
      <c r="H162" s="495">
        <v>14442.300000000001</v>
      </c>
      <c r="I162" s="213">
        <v>10573.9</v>
      </c>
      <c r="J162" s="1051">
        <v>454559.1638888889</v>
      </c>
      <c r="K162" s="141">
        <v>-10811.777777777801</v>
      </c>
      <c r="L162" s="130">
        <v>-7569.1861111110939</v>
      </c>
      <c r="M162" s="128">
        <f t="shared" si="27"/>
        <v>461194.4</v>
      </c>
      <c r="N162" s="128">
        <f t="shared" si="28"/>
        <v>1670264.5888888887</v>
      </c>
      <c r="O162" s="362"/>
      <c r="P162" s="139"/>
    </row>
    <row r="163" spans="1:16">
      <c r="A163" s="831" t="s">
        <v>50</v>
      </c>
      <c r="B163" s="404">
        <v>231244</v>
      </c>
      <c r="C163" s="213">
        <v>579093.39986500004</v>
      </c>
      <c r="D163" s="213">
        <v>282784.59999999998</v>
      </c>
      <c r="E163" s="349">
        <v>93970.000135000024</v>
      </c>
      <c r="F163" s="213">
        <v>46699</v>
      </c>
      <c r="G163" s="129">
        <f t="shared" si="26"/>
        <v>1233791.0000000002</v>
      </c>
      <c r="H163" s="495">
        <v>13744.4</v>
      </c>
      <c r="I163" s="213">
        <v>12385</v>
      </c>
      <c r="J163" s="1051">
        <v>451055.8</v>
      </c>
      <c r="K163" s="141">
        <v>-17141.400000000027</v>
      </c>
      <c r="L163" s="130">
        <v>-6320.0000000000437</v>
      </c>
      <c r="M163" s="128">
        <f t="shared" si="27"/>
        <v>453723.79999999993</v>
      </c>
      <c r="N163" s="128">
        <f t="shared" si="28"/>
        <v>1687514.8000000003</v>
      </c>
      <c r="O163" s="362"/>
      <c r="P163" s="139"/>
    </row>
    <row r="164" spans="1:16">
      <c r="A164" s="831"/>
      <c r="B164" s="404"/>
      <c r="C164" s="213"/>
      <c r="D164" s="213"/>
      <c r="E164" s="349"/>
      <c r="F164" s="213"/>
      <c r="G164" s="129"/>
      <c r="H164" s="495"/>
      <c r="I164" s="213"/>
      <c r="J164" s="1051"/>
      <c r="K164" s="141"/>
      <c r="L164" s="130"/>
      <c r="M164" s="128"/>
      <c r="N164" s="128"/>
      <c r="O164" s="362"/>
      <c r="P164" s="139"/>
    </row>
    <row r="165" spans="1:16">
      <c r="A165" s="831" t="s">
        <v>36</v>
      </c>
      <c r="B165" s="404">
        <v>220298.33333333331</v>
      </c>
      <c r="C165" s="213">
        <v>589742.61666666658</v>
      </c>
      <c r="D165" s="213">
        <v>299463.21666666662</v>
      </c>
      <c r="E165" s="349">
        <v>116668.1</v>
      </c>
      <c r="F165" s="213">
        <v>46866.5</v>
      </c>
      <c r="G165" s="129">
        <f t="shared" ref="G165:G184" si="29">SUM(B165:F165)</f>
        <v>1273038.7666666666</v>
      </c>
      <c r="H165" s="495">
        <v>15068.3</v>
      </c>
      <c r="I165" s="213">
        <v>22328.5</v>
      </c>
      <c r="J165" s="1051">
        <v>445748.38333333336</v>
      </c>
      <c r="K165" s="141">
        <v>-33019.283333333304</v>
      </c>
      <c r="L165" s="130">
        <v>-18476.700000000008</v>
      </c>
      <c r="M165" s="128">
        <f t="shared" ref="M165:M184" si="30">SUM(H165:L165)</f>
        <v>431649.2</v>
      </c>
      <c r="N165" s="128">
        <f t="shared" ref="N165:N184" si="31">M165+G165</f>
        <v>1704687.9666666666</v>
      </c>
      <c r="O165" s="362"/>
      <c r="P165" s="139"/>
    </row>
    <row r="166" spans="1:16">
      <c r="A166" s="831" t="s">
        <v>263</v>
      </c>
      <c r="B166" s="404">
        <v>218801.66666666666</v>
      </c>
      <c r="C166" s="213">
        <v>622589.73333333316</v>
      </c>
      <c r="D166" s="213">
        <v>293998.7333333334</v>
      </c>
      <c r="E166" s="349">
        <v>118137.20000000001</v>
      </c>
      <c r="F166" s="213">
        <v>47726.69999999999</v>
      </c>
      <c r="G166" s="129">
        <f t="shared" si="29"/>
        <v>1301254.0333333332</v>
      </c>
      <c r="H166" s="495">
        <v>14114.900000000001</v>
      </c>
      <c r="I166" s="213">
        <v>23253.300000000003</v>
      </c>
      <c r="J166" s="1051">
        <v>457159.06666666665</v>
      </c>
      <c r="K166" s="141">
        <v>-10808.466666666694</v>
      </c>
      <c r="L166" s="130">
        <v>-85690.600000000093</v>
      </c>
      <c r="M166" s="128">
        <f t="shared" si="30"/>
        <v>398028.1999999999</v>
      </c>
      <c r="N166" s="128">
        <f t="shared" si="31"/>
        <v>1699282.2333333332</v>
      </c>
      <c r="O166" s="362"/>
      <c r="P166" s="139"/>
    </row>
    <row r="167" spans="1:16">
      <c r="A167" s="831" t="s">
        <v>41</v>
      </c>
      <c r="B167" s="404">
        <v>229172.40000000005</v>
      </c>
      <c r="C167" s="213">
        <v>642469.65</v>
      </c>
      <c r="D167" s="213">
        <v>306584.55</v>
      </c>
      <c r="E167" s="349">
        <v>121247.4</v>
      </c>
      <c r="F167" s="213">
        <v>49680.3</v>
      </c>
      <c r="G167" s="129">
        <f t="shared" si="29"/>
        <v>1349154.3</v>
      </c>
      <c r="H167" s="495">
        <v>14102.3</v>
      </c>
      <c r="I167" s="213">
        <v>24941.399999999998</v>
      </c>
      <c r="J167" s="1051">
        <v>449838.14999999997</v>
      </c>
      <c r="K167" s="141">
        <v>-4777.0499999999229</v>
      </c>
      <c r="L167" s="130">
        <v>-102422.70000000004</v>
      </c>
      <c r="M167" s="128">
        <f t="shared" si="30"/>
        <v>381682.1</v>
      </c>
      <c r="N167" s="128">
        <f t="shared" si="31"/>
        <v>1730836.4</v>
      </c>
      <c r="O167" s="362"/>
      <c r="P167" s="139"/>
    </row>
    <row r="168" spans="1:16">
      <c r="A168" s="831" t="s">
        <v>42</v>
      </c>
      <c r="B168" s="404">
        <v>231311.86666666667</v>
      </c>
      <c r="C168" s="213">
        <v>678124.2</v>
      </c>
      <c r="D168" s="213">
        <v>298083.83333333331</v>
      </c>
      <c r="E168" s="349">
        <v>126976.79999999999</v>
      </c>
      <c r="F168" s="213">
        <v>50749.4</v>
      </c>
      <c r="G168" s="129">
        <f t="shared" si="29"/>
        <v>1385246.0999999999</v>
      </c>
      <c r="H168" s="495">
        <v>14818.8</v>
      </c>
      <c r="I168" s="213">
        <v>30930.7</v>
      </c>
      <c r="J168" s="1051">
        <v>447982.66666666669</v>
      </c>
      <c r="K168" s="141">
        <v>-42122.86666666672</v>
      </c>
      <c r="L168" s="130">
        <v>-93493.599999999962</v>
      </c>
      <c r="M168" s="128">
        <f t="shared" si="30"/>
        <v>358115.7</v>
      </c>
      <c r="N168" s="128">
        <f t="shared" si="31"/>
        <v>1743361.7999999998</v>
      </c>
      <c r="O168" s="362"/>
      <c r="P168" s="139"/>
    </row>
    <row r="169" spans="1:16">
      <c r="A169" s="831" t="s">
        <v>43</v>
      </c>
      <c r="B169" s="404">
        <v>237188.1333333333</v>
      </c>
      <c r="C169" s="213">
        <v>697172.04999999993</v>
      </c>
      <c r="D169" s="213">
        <v>299602.61666666664</v>
      </c>
      <c r="E169" s="349">
        <v>138755.20000000001</v>
      </c>
      <c r="F169" s="213">
        <v>51744.69999999999</v>
      </c>
      <c r="G169" s="129">
        <f t="shared" si="29"/>
        <v>1424462.6999999997</v>
      </c>
      <c r="H169" s="495">
        <v>14877.5</v>
      </c>
      <c r="I169" s="213">
        <v>25659</v>
      </c>
      <c r="J169" s="1051">
        <v>450241.78333333338</v>
      </c>
      <c r="K169" s="141">
        <v>-9259.3833333333096</v>
      </c>
      <c r="L169" s="130">
        <v>-117912.8</v>
      </c>
      <c r="M169" s="128">
        <f t="shared" si="30"/>
        <v>363606.10000000009</v>
      </c>
      <c r="N169" s="128">
        <f t="shared" si="31"/>
        <v>1788068.7999999998</v>
      </c>
      <c r="O169" s="362"/>
      <c r="P169" s="813"/>
    </row>
    <row r="170" spans="1:16">
      <c r="A170" s="831" t="s">
        <v>44</v>
      </c>
      <c r="B170" s="404">
        <v>261688.90000000002</v>
      </c>
      <c r="C170" s="213">
        <v>705438.70000000007</v>
      </c>
      <c r="D170" s="213">
        <v>309096.69999999995</v>
      </c>
      <c r="E170" s="349">
        <v>140815.79999999999</v>
      </c>
      <c r="F170" s="213">
        <v>52804.6</v>
      </c>
      <c r="G170" s="129">
        <f t="shared" si="29"/>
        <v>1469844.7000000002</v>
      </c>
      <c r="H170" s="495">
        <v>13350.1</v>
      </c>
      <c r="I170" s="213">
        <v>28009</v>
      </c>
      <c r="J170" s="1051">
        <v>462856</v>
      </c>
      <c r="K170" s="141">
        <v>-41931.299999999988</v>
      </c>
      <c r="L170" s="130">
        <v>-104190.8</v>
      </c>
      <c r="M170" s="128">
        <f t="shared" si="30"/>
        <v>358093</v>
      </c>
      <c r="N170" s="128">
        <f t="shared" si="31"/>
        <v>1827937.7000000002</v>
      </c>
      <c r="O170" s="362"/>
      <c r="P170" s="139"/>
    </row>
    <row r="171" spans="1:16">
      <c r="A171" s="831" t="s">
        <v>45</v>
      </c>
      <c r="B171" s="404">
        <v>258186.73333333334</v>
      </c>
      <c r="C171" s="213">
        <v>692307.05</v>
      </c>
      <c r="D171" s="213">
        <v>321596.1333333333</v>
      </c>
      <c r="E171" s="349">
        <v>148294.1</v>
      </c>
      <c r="F171" s="213">
        <v>54005.19999999999</v>
      </c>
      <c r="G171" s="129">
        <f t="shared" si="29"/>
        <v>1474389.2166666668</v>
      </c>
      <c r="H171" s="495">
        <v>13417.8</v>
      </c>
      <c r="I171" s="213">
        <v>30132.1</v>
      </c>
      <c r="J171" s="1051">
        <v>467999.93333333329</v>
      </c>
      <c r="K171" s="141">
        <v>-45003.199999999997</v>
      </c>
      <c r="L171" s="130">
        <v>-107905.93333333328</v>
      </c>
      <c r="M171" s="128">
        <f t="shared" si="30"/>
        <v>358640.69999999995</v>
      </c>
      <c r="N171" s="128">
        <f t="shared" si="31"/>
        <v>1833029.9166666667</v>
      </c>
      <c r="O171" s="362"/>
      <c r="P171" s="139"/>
    </row>
    <row r="172" spans="1:16">
      <c r="A172" s="831" t="s">
        <v>46</v>
      </c>
      <c r="B172" s="404">
        <v>265949.2666666666</v>
      </c>
      <c r="C172" s="213">
        <v>703803.8</v>
      </c>
      <c r="D172" s="213">
        <v>320970.7666666666</v>
      </c>
      <c r="E172" s="349">
        <v>145778.09999999998</v>
      </c>
      <c r="F172" s="213">
        <v>54473.7</v>
      </c>
      <c r="G172" s="129">
        <f t="shared" si="29"/>
        <v>1490975.6333333331</v>
      </c>
      <c r="H172" s="495">
        <v>13485.1</v>
      </c>
      <c r="I172" s="213">
        <v>31170.5</v>
      </c>
      <c r="J172" s="1051">
        <v>474111.66666666669</v>
      </c>
      <c r="K172" s="141">
        <v>-40229.599999999999</v>
      </c>
      <c r="L172" s="130">
        <v>-107308.26666666663</v>
      </c>
      <c r="M172" s="128">
        <f t="shared" si="30"/>
        <v>371229.4</v>
      </c>
      <c r="N172" s="128">
        <f t="shared" si="31"/>
        <v>1862205.0333333332</v>
      </c>
      <c r="O172" s="362"/>
      <c r="P172" s="139"/>
    </row>
    <row r="173" spans="1:16">
      <c r="A173" s="831" t="s">
        <v>47</v>
      </c>
      <c r="B173" s="404">
        <v>250051.29999999996</v>
      </c>
      <c r="C173" s="213">
        <v>713705.45000000019</v>
      </c>
      <c r="D173" s="213">
        <v>322085.59999999998</v>
      </c>
      <c r="E173" s="349">
        <v>142228.70000000001</v>
      </c>
      <c r="F173" s="213">
        <v>55266.1</v>
      </c>
      <c r="G173" s="129">
        <f t="shared" si="29"/>
        <v>1483337.1500000001</v>
      </c>
      <c r="H173" s="495">
        <v>12501.7</v>
      </c>
      <c r="I173" s="213">
        <v>32252.799999999999</v>
      </c>
      <c r="J173" s="1051">
        <v>479782.10000000003</v>
      </c>
      <c r="K173" s="141">
        <v>-5076.5000000000109</v>
      </c>
      <c r="L173" s="130">
        <v>-117385.59999999999</v>
      </c>
      <c r="M173" s="128">
        <f t="shared" si="30"/>
        <v>402074.50000000012</v>
      </c>
      <c r="N173" s="128">
        <f t="shared" si="31"/>
        <v>1885411.6500000004</v>
      </c>
      <c r="O173" s="362"/>
      <c r="P173" s="139"/>
    </row>
    <row r="174" spans="1:16">
      <c r="A174" s="831" t="s">
        <v>48</v>
      </c>
      <c r="B174" s="404">
        <v>245594.00000000003</v>
      </c>
      <c r="C174" s="213">
        <v>702687.43333333323</v>
      </c>
      <c r="D174" s="213">
        <v>341517.7666666666</v>
      </c>
      <c r="E174" s="349">
        <v>159175.19999999998</v>
      </c>
      <c r="F174" s="213">
        <v>55182.8</v>
      </c>
      <c r="G174" s="129">
        <f t="shared" si="29"/>
        <v>1504157.1999999997</v>
      </c>
      <c r="H174" s="495">
        <v>12867.8</v>
      </c>
      <c r="I174" s="213">
        <v>16128.3</v>
      </c>
      <c r="J174" s="1051">
        <v>488570.13333333336</v>
      </c>
      <c r="K174" s="141">
        <v>-24397.100000000042</v>
      </c>
      <c r="L174" s="130">
        <v>-80580.266666666619</v>
      </c>
      <c r="M174" s="128">
        <f t="shared" si="30"/>
        <v>412588.8666666667</v>
      </c>
      <c r="N174" s="128">
        <f t="shared" si="31"/>
        <v>1916746.0666666664</v>
      </c>
      <c r="O174" s="362"/>
      <c r="P174" s="139"/>
    </row>
    <row r="175" spans="1:16">
      <c r="A175" s="831" t="s">
        <v>49</v>
      </c>
      <c r="B175" s="404">
        <v>243967.3</v>
      </c>
      <c r="C175" s="213">
        <v>705910.41666666686</v>
      </c>
      <c r="D175" s="213">
        <v>348418.93333333341</v>
      </c>
      <c r="E175" s="349">
        <v>167242.79999999999</v>
      </c>
      <c r="F175" s="213">
        <v>55784.9</v>
      </c>
      <c r="G175" s="129">
        <f t="shared" si="29"/>
        <v>1521324.35</v>
      </c>
      <c r="H175" s="495">
        <v>12925.6</v>
      </c>
      <c r="I175" s="213">
        <v>15512</v>
      </c>
      <c r="J175" s="1051">
        <v>491264.16666666669</v>
      </c>
      <c r="K175" s="141">
        <v>-5838.200000000008</v>
      </c>
      <c r="L175" s="130">
        <v>-94944.433333333363</v>
      </c>
      <c r="M175" s="128">
        <f t="shared" si="30"/>
        <v>418919.1333333333</v>
      </c>
      <c r="N175" s="128">
        <f t="shared" si="31"/>
        <v>1940243.4833333334</v>
      </c>
      <c r="O175" s="362"/>
      <c r="P175" s="139"/>
    </row>
    <row r="176" spans="1:16">
      <c r="A176" s="831" t="s">
        <v>50</v>
      </c>
      <c r="B176" s="404">
        <v>263491.20000000001</v>
      </c>
      <c r="C176" s="213">
        <v>732242.5</v>
      </c>
      <c r="D176" s="213">
        <v>345184</v>
      </c>
      <c r="E176" s="349">
        <v>158586.29999999999</v>
      </c>
      <c r="F176" s="213">
        <v>56738.3</v>
      </c>
      <c r="G176" s="129">
        <f t="shared" si="29"/>
        <v>1556242.3</v>
      </c>
      <c r="H176" s="495">
        <v>12022.2</v>
      </c>
      <c r="I176" s="213">
        <v>17665.900000000001</v>
      </c>
      <c r="J176" s="1051">
        <v>460048.7</v>
      </c>
      <c r="K176" s="141">
        <v>-18750.800000000003</v>
      </c>
      <c r="L176" s="130">
        <v>-73538.7</v>
      </c>
      <c r="M176" s="128">
        <f t="shared" si="30"/>
        <v>397447.3</v>
      </c>
      <c r="N176" s="128">
        <f t="shared" si="31"/>
        <v>1953689.6000000001</v>
      </c>
      <c r="O176" s="362"/>
      <c r="P176" s="139"/>
    </row>
    <row r="177" spans="1:19">
      <c r="A177" s="831"/>
      <c r="B177" s="404"/>
      <c r="C177" s="213"/>
      <c r="D177" s="213"/>
      <c r="E177" s="349"/>
      <c r="F177" s="213"/>
      <c r="G177" s="129"/>
      <c r="H177" s="495"/>
      <c r="I177" s="213"/>
      <c r="J177" s="1051"/>
      <c r="K177" s="141"/>
      <c r="L177" s="130"/>
      <c r="M177" s="128"/>
      <c r="N177" s="128"/>
      <c r="O177" s="362"/>
      <c r="P177" s="139"/>
    </row>
    <row r="178" spans="1:19" ht="15.75">
      <c r="A178" s="831" t="s">
        <v>670</v>
      </c>
      <c r="B178" s="404">
        <v>241248.68333333332</v>
      </c>
      <c r="C178" s="213">
        <v>764430.46666666691</v>
      </c>
      <c r="D178" s="213">
        <v>355783.18333333335</v>
      </c>
      <c r="E178" s="349">
        <v>157979.9</v>
      </c>
      <c r="F178" s="213">
        <v>57039</v>
      </c>
      <c r="G178" s="129">
        <f t="shared" si="29"/>
        <v>1576481.2333333334</v>
      </c>
      <c r="H178" s="495">
        <v>12119.800000000001</v>
      </c>
      <c r="I178" s="213">
        <v>25105.7</v>
      </c>
      <c r="J178" s="1051">
        <v>464348.2333333334</v>
      </c>
      <c r="K178" s="141">
        <v>-38307.699999999946</v>
      </c>
      <c r="L178" s="130">
        <v>-109741.13333333335</v>
      </c>
      <c r="M178" s="128">
        <f t="shared" si="30"/>
        <v>353524.90000000008</v>
      </c>
      <c r="N178" s="128">
        <f t="shared" si="31"/>
        <v>1930006.1333333335</v>
      </c>
      <c r="O178" s="362"/>
      <c r="P178" s="139"/>
    </row>
    <row r="179" spans="1:19" ht="15.75">
      <c r="A179" s="831" t="s">
        <v>680</v>
      </c>
      <c r="B179" s="404">
        <v>241060.66666666672</v>
      </c>
      <c r="C179" s="213">
        <v>773951.63333333354</v>
      </c>
      <c r="D179" s="213">
        <v>365905.56666666665</v>
      </c>
      <c r="E179" s="349">
        <v>166017</v>
      </c>
      <c r="F179" s="213">
        <v>58154.7</v>
      </c>
      <c r="G179" s="129">
        <f t="shared" si="29"/>
        <v>1605089.5666666669</v>
      </c>
      <c r="H179" s="495">
        <v>12148.8</v>
      </c>
      <c r="I179" s="213">
        <v>28298.5</v>
      </c>
      <c r="J179" s="1051">
        <v>466022.96666666667</v>
      </c>
      <c r="K179" s="141">
        <v>-17479.59999999998</v>
      </c>
      <c r="L179" s="130">
        <v>-68670.966666666747</v>
      </c>
      <c r="M179" s="128">
        <f t="shared" si="30"/>
        <v>420319.69999999995</v>
      </c>
      <c r="N179" s="128">
        <f t="shared" si="31"/>
        <v>2025409.2666666668</v>
      </c>
      <c r="O179" s="362"/>
      <c r="P179" s="139"/>
    </row>
    <row r="180" spans="1:19" ht="15.75">
      <c r="A180" s="831" t="s">
        <v>689</v>
      </c>
      <c r="B180" s="404">
        <v>249504</v>
      </c>
      <c r="C180" s="213">
        <v>778473.79999999993</v>
      </c>
      <c r="D180" s="213">
        <v>366927.89999999991</v>
      </c>
      <c r="E180" s="349">
        <v>171240.60000000003</v>
      </c>
      <c r="F180" s="213">
        <v>59609.100000000006</v>
      </c>
      <c r="G180" s="129">
        <f t="shared" si="29"/>
        <v>1625755.4</v>
      </c>
      <c r="H180" s="495">
        <v>11284.9</v>
      </c>
      <c r="I180" s="213">
        <v>25616.3</v>
      </c>
      <c r="J180" s="1051">
        <v>460018.5</v>
      </c>
      <c r="K180" s="141">
        <v>-53101.800000000061</v>
      </c>
      <c r="L180" s="130">
        <v>-85785.1</v>
      </c>
      <c r="M180" s="128">
        <f t="shared" si="30"/>
        <v>358032.79999999993</v>
      </c>
      <c r="N180" s="128">
        <f t="shared" si="31"/>
        <v>1983788.1999999997</v>
      </c>
      <c r="O180" s="362"/>
      <c r="P180" s="139"/>
    </row>
    <row r="181" spans="1:19" ht="15.75">
      <c r="A181" s="831" t="s">
        <v>699</v>
      </c>
      <c r="B181" s="404">
        <v>246970.69999999998</v>
      </c>
      <c r="C181" s="213">
        <v>794051.4</v>
      </c>
      <c r="D181" s="213">
        <v>365158.19999999995</v>
      </c>
      <c r="E181" s="349">
        <v>169605.7</v>
      </c>
      <c r="F181" s="213">
        <v>60850.7</v>
      </c>
      <c r="G181" s="129">
        <f t="shared" si="29"/>
        <v>1636636.6999999997</v>
      </c>
      <c r="H181" s="495">
        <v>11352.5</v>
      </c>
      <c r="I181" s="213">
        <v>26193</v>
      </c>
      <c r="J181" s="1051">
        <v>463088.8</v>
      </c>
      <c r="K181" s="141">
        <v>-37789.60000000002</v>
      </c>
      <c r="L181" s="130">
        <v>-97397.999999999971</v>
      </c>
      <c r="M181" s="128">
        <f t="shared" si="30"/>
        <v>365446.69999999995</v>
      </c>
      <c r="N181" s="128">
        <f t="shared" si="31"/>
        <v>2002083.3999999997</v>
      </c>
      <c r="O181" s="362"/>
      <c r="P181" s="139"/>
    </row>
    <row r="182" spans="1:19" ht="15.75">
      <c r="A182" s="831" t="s">
        <v>709</v>
      </c>
      <c r="B182" s="404">
        <v>253268.1</v>
      </c>
      <c r="C182" s="213">
        <v>800243.10000000021</v>
      </c>
      <c r="D182" s="213">
        <v>382846.5</v>
      </c>
      <c r="E182" s="349">
        <v>158470.30000000002</v>
      </c>
      <c r="F182" s="213">
        <v>62041.299999999996</v>
      </c>
      <c r="G182" s="129">
        <f t="shared" si="29"/>
        <v>1656869.3000000003</v>
      </c>
      <c r="H182" s="495">
        <v>11457.5</v>
      </c>
      <c r="I182" s="213">
        <v>22830.3</v>
      </c>
      <c r="J182" s="1051">
        <v>480167.89999999997</v>
      </c>
      <c r="K182" s="141">
        <v>-59208.400000000009</v>
      </c>
      <c r="L182" s="130">
        <v>-108619.29999999994</v>
      </c>
      <c r="M182" s="128">
        <f t="shared" si="30"/>
        <v>346628</v>
      </c>
      <c r="N182" s="128">
        <f t="shared" si="31"/>
        <v>2003497.3000000003</v>
      </c>
      <c r="O182" s="362"/>
      <c r="P182" s="139"/>
    </row>
    <row r="183" spans="1:19" s="1051" customFormat="1" ht="15.75">
      <c r="A183" s="831" t="s">
        <v>724</v>
      </c>
      <c r="B183" s="404">
        <v>282548.10000000003</v>
      </c>
      <c r="C183" s="213">
        <v>810466.8</v>
      </c>
      <c r="D183" s="213">
        <v>381790.4</v>
      </c>
      <c r="E183" s="349">
        <v>157640.1</v>
      </c>
      <c r="F183" s="213">
        <v>63247.899999999994</v>
      </c>
      <c r="G183" s="129">
        <f t="shared" si="29"/>
        <v>1695693.3000000003</v>
      </c>
      <c r="H183" s="495">
        <v>11429.7</v>
      </c>
      <c r="I183" s="213">
        <v>18656.7</v>
      </c>
      <c r="J183" s="1051">
        <v>485298.2</v>
      </c>
      <c r="K183" s="141">
        <v>-45867.199999999953</v>
      </c>
      <c r="L183" s="130">
        <v>-105961.40000000004</v>
      </c>
      <c r="M183" s="128">
        <f t="shared" si="30"/>
        <v>363556.00000000006</v>
      </c>
      <c r="N183" s="128">
        <f t="shared" si="31"/>
        <v>2059249.3000000003</v>
      </c>
      <c r="O183" s="362"/>
      <c r="P183" s="1040"/>
    </row>
    <row r="184" spans="1:19" s="1051" customFormat="1" ht="15.75">
      <c r="A184" s="831" t="s">
        <v>731</v>
      </c>
      <c r="B184" s="404">
        <v>276932.3</v>
      </c>
      <c r="C184" s="213">
        <v>821190.19999999984</v>
      </c>
      <c r="D184" s="213">
        <v>391919.6</v>
      </c>
      <c r="E184" s="349">
        <v>175661.30000000002</v>
      </c>
      <c r="F184" s="213">
        <v>64442.399999999994</v>
      </c>
      <c r="G184" s="129">
        <f t="shared" si="29"/>
        <v>1730145.7999999996</v>
      </c>
      <c r="H184" s="495">
        <v>11650</v>
      </c>
      <c r="I184" s="213">
        <v>19369.3</v>
      </c>
      <c r="J184" s="1051">
        <v>491144.6999999999</v>
      </c>
      <c r="K184" s="141">
        <v>-26993.499999999975</v>
      </c>
      <c r="L184" s="130">
        <v>-110179.90000000001</v>
      </c>
      <c r="M184" s="128">
        <f t="shared" si="30"/>
        <v>384990.59999999986</v>
      </c>
      <c r="N184" s="128">
        <f t="shared" si="31"/>
        <v>2115136.3999999994</v>
      </c>
      <c r="O184" s="362"/>
      <c r="P184" s="1040"/>
    </row>
    <row r="185" spans="1:19">
      <c r="A185" s="1161"/>
      <c r="B185" s="784"/>
      <c r="C185" s="512"/>
      <c r="D185" s="495"/>
      <c r="E185" s="1166"/>
      <c r="F185" s="213"/>
      <c r="G185" s="129"/>
      <c r="H185" s="495"/>
      <c r="I185" s="121"/>
      <c r="J185" s="129"/>
      <c r="K185" s="141"/>
      <c r="L185" s="147"/>
      <c r="M185" s="128"/>
      <c r="N185" s="147"/>
      <c r="O185" s="362"/>
    </row>
    <row r="186" spans="1:19">
      <c r="A186" s="463"/>
      <c r="B186" s="525"/>
      <c r="C186" s="96"/>
      <c r="D186" s="96"/>
      <c r="E186" s="149"/>
      <c r="F186" s="96"/>
      <c r="G186" s="96"/>
      <c r="H186" s="96"/>
      <c r="I186" s="96"/>
      <c r="J186" s="364"/>
      <c r="K186" s="96"/>
      <c r="L186" s="364"/>
      <c r="M186" s="96"/>
      <c r="N186" s="98"/>
    </row>
    <row r="187" spans="1:19" s="71" customFormat="1" hidden="1">
      <c r="A187" s="151" t="s">
        <v>605</v>
      </c>
      <c r="B187" s="225"/>
      <c r="C187" s="76"/>
      <c r="D187" s="76"/>
      <c r="E187" s="77"/>
      <c r="F187" s="76"/>
      <c r="G187" s="76"/>
      <c r="H187" s="76"/>
      <c r="I187" s="76"/>
      <c r="J187" s="366"/>
      <c r="K187" s="76"/>
      <c r="L187" s="366"/>
      <c r="M187" s="76"/>
      <c r="N187" s="79"/>
      <c r="O187" s="86"/>
      <c r="P187" s="86"/>
      <c r="Q187" s="86"/>
      <c r="R187" s="86"/>
      <c r="S187" s="86"/>
    </row>
    <row r="188" spans="1:19">
      <c r="A188" s="94" t="s">
        <v>639</v>
      </c>
      <c r="B188" s="214"/>
      <c r="C188" s="71"/>
      <c r="D188" s="71"/>
      <c r="E188" s="81"/>
      <c r="F188" s="71"/>
      <c r="G188" s="71"/>
      <c r="H188" s="71"/>
      <c r="I188" s="71"/>
      <c r="J188" s="376"/>
      <c r="K188" s="71"/>
      <c r="L188" s="376"/>
      <c r="M188" s="71"/>
      <c r="N188" s="82"/>
      <c r="O188" s="362"/>
    </row>
    <row r="189" spans="1:19">
      <c r="A189" s="94" t="s">
        <v>652</v>
      </c>
      <c r="B189" s="214"/>
      <c r="C189" s="71"/>
      <c r="D189" s="71"/>
      <c r="E189" s="81"/>
      <c r="F189" s="71"/>
      <c r="G189" s="71"/>
      <c r="H189" s="71"/>
      <c r="I189" s="71"/>
      <c r="J189" s="376"/>
      <c r="K189" s="71"/>
      <c r="L189" s="376"/>
      <c r="M189" s="71"/>
      <c r="N189" s="82"/>
      <c r="O189" s="362"/>
    </row>
    <row r="190" spans="1:19">
      <c r="A190" s="102"/>
      <c r="B190" s="766"/>
      <c r="C190" s="359"/>
      <c r="D190" s="359"/>
      <c r="E190" s="767"/>
      <c r="F190" s="104"/>
      <c r="G190" s="104"/>
      <c r="H190" s="359"/>
      <c r="I190" s="359"/>
      <c r="J190" s="300"/>
      <c r="K190" s="359"/>
      <c r="L190" s="409"/>
      <c r="M190" s="359"/>
      <c r="N190" s="122"/>
      <c r="O190" s="362"/>
    </row>
    <row r="191" spans="1:19">
      <c r="B191" s="544"/>
      <c r="C191" s="362"/>
      <c r="D191" s="362"/>
      <c r="E191" s="545"/>
      <c r="H191" s="362"/>
      <c r="I191" s="362"/>
      <c r="K191" s="362"/>
      <c r="L191" s="410"/>
      <c r="M191" s="362"/>
      <c r="O191" s="362"/>
    </row>
    <row r="192" spans="1:19">
      <c r="B192" s="544"/>
      <c r="C192" s="362"/>
      <c r="D192" s="362"/>
      <c r="E192" s="545"/>
      <c r="H192" s="362"/>
      <c r="I192" s="362"/>
      <c r="K192" s="362"/>
      <c r="L192" s="410"/>
      <c r="M192" s="362"/>
      <c r="O192" s="362"/>
    </row>
    <row r="193" spans="2:15">
      <c r="B193" s="544"/>
      <c r="C193" s="362"/>
      <c r="D193" s="362"/>
      <c r="E193" s="545"/>
      <c r="H193" s="362"/>
      <c r="I193" s="362"/>
      <c r="K193" s="362"/>
      <c r="L193" s="410"/>
      <c r="M193" s="362"/>
      <c r="O193" s="362"/>
    </row>
    <row r="194" spans="2:15">
      <c r="B194" s="544"/>
      <c r="C194" s="362"/>
      <c r="D194" s="362"/>
      <c r="E194" s="545"/>
      <c r="H194" s="362"/>
      <c r="I194" s="362"/>
      <c r="K194" s="362"/>
      <c r="L194" s="410"/>
      <c r="M194" s="362"/>
      <c r="O194" s="362"/>
    </row>
    <row r="195" spans="2:15">
      <c r="B195" s="544"/>
      <c r="C195" s="362"/>
      <c r="D195" s="362"/>
      <c r="E195" s="545"/>
      <c r="H195" s="362"/>
      <c r="I195" s="362"/>
      <c r="K195" s="362"/>
      <c r="L195" s="410"/>
      <c r="M195" s="362"/>
      <c r="O195" s="362"/>
    </row>
    <row r="196" spans="2:15">
      <c r="B196" s="544"/>
      <c r="C196" s="362"/>
      <c r="D196" s="362"/>
      <c r="E196" s="545"/>
      <c r="H196" s="362"/>
      <c r="I196" s="362"/>
      <c r="K196" s="362"/>
      <c r="L196" s="410"/>
      <c r="M196" s="362"/>
      <c r="O196" s="362"/>
    </row>
    <row r="197" spans="2:15">
      <c r="B197" s="544"/>
      <c r="C197" s="362"/>
      <c r="D197" s="362"/>
      <c r="E197" s="545"/>
      <c r="H197" s="362"/>
      <c r="I197" s="362"/>
      <c r="K197" s="362"/>
      <c r="L197" s="410"/>
      <c r="M197" s="362"/>
      <c r="O197" s="362"/>
    </row>
    <row r="198" spans="2:15">
      <c r="B198" s="544"/>
      <c r="C198" s="362"/>
      <c r="D198" s="362"/>
      <c r="E198" s="545"/>
      <c r="H198" s="362"/>
      <c r="I198" s="362"/>
      <c r="K198" s="362"/>
      <c r="L198" s="410"/>
      <c r="M198" s="362"/>
      <c r="O198" s="362"/>
    </row>
    <row r="199" spans="2:15">
      <c r="B199" s="544"/>
      <c r="C199" s="362"/>
      <c r="D199" s="362"/>
      <c r="E199" s="545"/>
      <c r="H199" s="362"/>
      <c r="I199" s="362"/>
      <c r="K199" s="362"/>
      <c r="L199" s="410"/>
      <c r="M199" s="362"/>
      <c r="O199" s="362"/>
    </row>
    <row r="200" spans="2:15">
      <c r="B200" s="544"/>
      <c r="C200" s="362"/>
      <c r="D200" s="362"/>
      <c r="E200" s="545"/>
      <c r="H200" s="362"/>
      <c r="I200" s="362"/>
      <c r="K200" s="362"/>
      <c r="L200" s="410"/>
      <c r="M200" s="362"/>
      <c r="O200" s="362"/>
    </row>
    <row r="201" spans="2:15">
      <c r="B201" s="544"/>
      <c r="C201" s="362"/>
      <c r="D201" s="362"/>
      <c r="E201" s="545"/>
      <c r="H201" s="362"/>
      <c r="I201" s="362"/>
      <c r="K201" s="362"/>
      <c r="L201" s="410"/>
      <c r="M201" s="362"/>
      <c r="O201" s="362"/>
    </row>
    <row r="202" spans="2:15">
      <c r="B202" s="544"/>
      <c r="C202" s="362"/>
      <c r="D202" s="362"/>
      <c r="E202" s="545"/>
      <c r="H202" s="362"/>
      <c r="I202" s="362"/>
      <c r="K202" s="362"/>
      <c r="L202" s="410"/>
      <c r="M202" s="362"/>
      <c r="O202" s="362"/>
    </row>
    <row r="203" spans="2:15">
      <c r="B203" s="544"/>
      <c r="C203" s="362"/>
      <c r="D203" s="362"/>
      <c r="E203" s="545"/>
      <c r="H203" s="362"/>
      <c r="I203" s="362"/>
      <c r="K203" s="362"/>
      <c r="L203" s="410"/>
      <c r="M203" s="362"/>
      <c r="O203" s="362"/>
    </row>
    <row r="204" spans="2:15">
      <c r="B204" s="544"/>
      <c r="C204" s="362"/>
      <c r="D204" s="362"/>
      <c r="E204" s="545"/>
      <c r="H204" s="362"/>
      <c r="I204" s="362"/>
      <c r="K204" s="362"/>
      <c r="L204" s="410"/>
      <c r="M204" s="362"/>
      <c r="O204" s="362"/>
    </row>
  </sheetData>
  <mergeCells count="4">
    <mergeCell ref="H6:M6"/>
    <mergeCell ref="B6:G6"/>
    <mergeCell ref="B2:M2"/>
    <mergeCell ref="B3:M3"/>
  </mergeCells>
  <pageMargins left="1.6929133858267718" right="0.70866141732283472" top="0.74803149606299213" bottom="0.74803149606299213" header="0.31496062992125984" footer="0.31496062992125984"/>
  <pageSetup paperSize="9" scale="55" orientation="landscape" horizontalDpi="4294967295" verticalDpi="4294967295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GridLines="0" view="pageBreakPreview" zoomScale="80" zoomScaleNormal="100" zoomScaleSheetLayoutView="80" workbookViewId="0">
      <selection activeCell="B20" sqref="B20:I181"/>
    </sheetView>
  </sheetViews>
  <sheetFormatPr defaultColWidth="16.33203125" defaultRowHeight="12.75"/>
  <cols>
    <col min="1" max="1" width="18.109375" style="69" customWidth="1"/>
    <col min="2" max="2" width="9.88671875" style="69" customWidth="1"/>
    <col min="3" max="3" width="11.5546875" style="139" bestFit="1" customWidth="1"/>
    <col min="4" max="4" width="12.88671875" style="139" customWidth="1"/>
    <col min="5" max="5" width="9.21875" style="139" customWidth="1"/>
    <col min="6" max="6" width="13.77734375" style="132" customWidth="1"/>
    <col min="7" max="7" width="10.77734375" style="69" customWidth="1"/>
    <col min="8" max="8" width="9.109375" style="69" customWidth="1"/>
    <col min="9" max="9" width="9.5546875" style="69" customWidth="1"/>
    <col min="10" max="10" width="11.77734375" style="69" customWidth="1"/>
    <col min="11" max="11" width="13.77734375" style="69" customWidth="1"/>
    <col min="12" max="12" width="11.77734375" style="69" customWidth="1"/>
    <col min="13" max="13" width="12.88671875" style="69" customWidth="1"/>
    <col min="14" max="14" width="13.88671875" style="69" customWidth="1"/>
    <col min="15" max="16384" width="16.33203125" style="69"/>
  </cols>
  <sheetData>
    <row r="1" spans="1:9">
      <c r="A1" s="546"/>
      <c r="B1" s="516"/>
      <c r="C1" s="516"/>
      <c r="D1" s="516"/>
      <c r="E1" s="516"/>
      <c r="F1" s="534"/>
      <c r="G1" s="516"/>
      <c r="H1" s="516"/>
      <c r="I1" s="547"/>
    </row>
    <row r="2" spans="1:9" ht="15.75">
      <c r="A2" s="70"/>
      <c r="B2" s="1236" t="s">
        <v>406</v>
      </c>
      <c r="C2" s="1236"/>
      <c r="D2" s="1236"/>
      <c r="E2" s="1236"/>
      <c r="F2" s="1236"/>
      <c r="G2" s="1236"/>
      <c r="H2" s="1236"/>
      <c r="I2" s="548" t="s">
        <v>403</v>
      </c>
    </row>
    <row r="3" spans="1:9">
      <c r="A3" s="102"/>
      <c r="B3" s="1237" t="s">
        <v>113</v>
      </c>
      <c r="C3" s="1237"/>
      <c r="D3" s="1237"/>
      <c r="E3" s="1237"/>
      <c r="F3" s="1237"/>
      <c r="G3" s="1237"/>
      <c r="H3" s="1237"/>
      <c r="I3" s="549"/>
    </row>
    <row r="4" spans="1:9">
      <c r="A4" s="324"/>
      <c r="B4" s="483"/>
      <c r="C4" s="479"/>
      <c r="D4" s="550"/>
      <c r="E4" s="483"/>
      <c r="F4" s="551"/>
      <c r="G4" s="483"/>
      <c r="H4" s="483"/>
      <c r="I4" s="483"/>
    </row>
    <row r="5" spans="1:9">
      <c r="A5" s="94" t="s">
        <v>122</v>
      </c>
      <c r="B5" s="485" t="s">
        <v>270</v>
      </c>
      <c r="C5" s="250" t="s">
        <v>407</v>
      </c>
      <c r="D5" s="486" t="s">
        <v>408</v>
      </c>
      <c r="E5" s="485" t="s">
        <v>244</v>
      </c>
      <c r="F5" s="193" t="s">
        <v>409</v>
      </c>
      <c r="G5" s="485" t="s">
        <v>410</v>
      </c>
      <c r="H5" s="485" t="s">
        <v>130</v>
      </c>
      <c r="I5" s="485" t="s">
        <v>105</v>
      </c>
    </row>
    <row r="6" spans="1:9">
      <c r="A6" s="94"/>
      <c r="B6" s="485" t="s">
        <v>405</v>
      </c>
      <c r="C6" s="250" t="s">
        <v>28</v>
      </c>
      <c r="D6" s="552" t="s">
        <v>411</v>
      </c>
      <c r="E6" s="485" t="s">
        <v>304</v>
      </c>
      <c r="F6" s="193" t="s">
        <v>412</v>
      </c>
      <c r="G6" s="485" t="s">
        <v>413</v>
      </c>
      <c r="H6" s="485" t="s">
        <v>414</v>
      </c>
      <c r="I6" s="485" t="s">
        <v>166</v>
      </c>
    </row>
    <row r="7" spans="1:9">
      <c r="A7" s="94"/>
      <c r="B7" s="485" t="s">
        <v>275</v>
      </c>
      <c r="C7" s="260"/>
      <c r="D7" s="486" t="s">
        <v>143</v>
      </c>
      <c r="E7" s="485" t="s">
        <v>415</v>
      </c>
      <c r="F7" s="129"/>
      <c r="G7" s="485"/>
      <c r="H7" s="240"/>
      <c r="I7" s="258"/>
    </row>
    <row r="8" spans="1:9">
      <c r="A8" s="94" t="s">
        <v>34</v>
      </c>
      <c r="B8" s="258" t="s">
        <v>173</v>
      </c>
      <c r="C8" s="260"/>
      <c r="D8" s="259"/>
      <c r="E8" s="240"/>
      <c r="F8" s="512"/>
      <c r="G8" s="258"/>
      <c r="H8" s="240"/>
      <c r="I8" s="258"/>
    </row>
    <row r="9" spans="1:9">
      <c r="A9" s="553"/>
      <c r="B9" s="554"/>
      <c r="C9" s="533"/>
      <c r="D9" s="555"/>
      <c r="E9" s="556"/>
      <c r="F9" s="189"/>
      <c r="G9" s="556"/>
      <c r="H9" s="556"/>
      <c r="I9" s="556"/>
    </row>
    <row r="10" spans="1:9">
      <c r="A10" s="95"/>
      <c r="B10" s="1060"/>
      <c r="C10" s="541"/>
      <c r="D10" s="541"/>
      <c r="E10" s="557"/>
      <c r="F10" s="524"/>
      <c r="G10" s="80"/>
      <c r="H10" s="80"/>
      <c r="I10" s="100"/>
    </row>
    <row r="11" spans="1:9" hidden="1">
      <c r="A11" s="461" t="s">
        <v>4</v>
      </c>
      <c r="B11" s="200">
        <v>-124230.9</v>
      </c>
      <c r="C11" s="200">
        <v>159092.20000000007</v>
      </c>
      <c r="D11" s="154">
        <v>76933.600000000006</v>
      </c>
      <c r="E11" s="182">
        <v>-75004.199999999983</v>
      </c>
      <c r="F11" s="213">
        <f t="shared" ref="F11" si="0">B11+C11+D11+E11</f>
        <v>36790.700000000099</v>
      </c>
      <c r="G11" s="130">
        <v>-12000</v>
      </c>
      <c r="H11" s="130">
        <v>12000</v>
      </c>
      <c r="I11" s="558">
        <v>26092.9</v>
      </c>
    </row>
    <row r="12" spans="1:9" hidden="1">
      <c r="A12" s="461" t="s">
        <v>5</v>
      </c>
      <c r="B12" s="200">
        <v>-136206.20000000001</v>
      </c>
      <c r="C12" s="200">
        <v>144966.20000000007</v>
      </c>
      <c r="D12" s="154">
        <v>167752.20000000001</v>
      </c>
      <c r="E12" s="182">
        <f>-105526.2-6080.8</f>
        <v>-111607</v>
      </c>
      <c r="F12" s="213">
        <f>B12+C12+D12+E12</f>
        <v>64905.20000000007</v>
      </c>
      <c r="G12" s="130" t="s">
        <v>88</v>
      </c>
      <c r="H12" s="130">
        <v>10000</v>
      </c>
      <c r="I12" s="558">
        <v>54905.2</v>
      </c>
    </row>
    <row r="13" spans="1:9" hidden="1">
      <c r="A13" s="461" t="s">
        <v>7</v>
      </c>
      <c r="B13" s="200">
        <v>-155835.20000000001</v>
      </c>
      <c r="C13" s="154">
        <v>141613.59999999998</v>
      </c>
      <c r="D13" s="154">
        <v>150905.29999999999</v>
      </c>
      <c r="E13" s="182">
        <f>-77089.6-3715.6</f>
        <v>-80805.200000000012</v>
      </c>
      <c r="F13" s="213">
        <f t="shared" ref="F13:F20" si="1">B13+C13+D13+E13</f>
        <v>55878.499999999942</v>
      </c>
      <c r="G13" s="130" t="s">
        <v>88</v>
      </c>
      <c r="H13" s="130">
        <v>7000</v>
      </c>
      <c r="I13" s="558">
        <v>48878.5</v>
      </c>
    </row>
    <row r="14" spans="1:9" hidden="1">
      <c r="A14" s="461" t="s">
        <v>8</v>
      </c>
      <c r="B14" s="200">
        <v>-170106</v>
      </c>
      <c r="C14" s="154">
        <v>82293.999999999942</v>
      </c>
      <c r="D14" s="154">
        <v>211644.79999999999</v>
      </c>
      <c r="E14" s="182">
        <f>-108854.9-5021.5</f>
        <v>-113876.4</v>
      </c>
      <c r="F14" s="213">
        <f t="shared" si="1"/>
        <v>9956.399999999936</v>
      </c>
      <c r="G14" s="130">
        <v>25301.3</v>
      </c>
      <c r="H14" s="130" t="s">
        <v>88</v>
      </c>
      <c r="I14" s="558">
        <v>35257.700000000004</v>
      </c>
    </row>
    <row r="15" spans="1:9" hidden="1">
      <c r="A15" s="461" t="s">
        <v>10</v>
      </c>
      <c r="B15" s="200">
        <v>-198246.9</v>
      </c>
      <c r="C15" s="154">
        <v>66928.899999999907</v>
      </c>
      <c r="D15" s="154">
        <v>285507.40000000002</v>
      </c>
      <c r="E15" s="182">
        <f>-101467.7-3214.3</f>
        <v>-104682</v>
      </c>
      <c r="F15" s="213">
        <f t="shared" si="1"/>
        <v>49507.399999999936</v>
      </c>
      <c r="G15" s="130" t="s">
        <v>88</v>
      </c>
      <c r="H15" s="130">
        <v>6800</v>
      </c>
      <c r="I15" s="558">
        <v>42707.4</v>
      </c>
    </row>
    <row r="16" spans="1:9">
      <c r="A16" s="461" t="s">
        <v>11</v>
      </c>
      <c r="B16" s="200">
        <v>-211683.7</v>
      </c>
      <c r="C16" s="154">
        <v>118133.79999999987</v>
      </c>
      <c r="D16" s="154">
        <v>229474</v>
      </c>
      <c r="E16" s="182">
        <f>+-46993.1-3546.2</f>
        <v>-50539.299999999996</v>
      </c>
      <c r="F16" s="213">
        <f t="shared" si="1"/>
        <v>85384.799999999872</v>
      </c>
      <c r="G16" s="130" t="s">
        <v>88</v>
      </c>
      <c r="H16" s="130" t="s">
        <v>88</v>
      </c>
      <c r="I16" s="558">
        <v>85384.8</v>
      </c>
    </row>
    <row r="17" spans="1:9">
      <c r="A17" s="461" t="s">
        <v>13</v>
      </c>
      <c r="B17" s="200">
        <v>-227340.9</v>
      </c>
      <c r="C17" s="154">
        <v>128675.9</v>
      </c>
      <c r="D17" s="154">
        <v>263591.09999999998</v>
      </c>
      <c r="E17" s="182">
        <f>-41670.1-3535.9</f>
        <v>-45206</v>
      </c>
      <c r="F17" s="213">
        <f t="shared" si="1"/>
        <v>119720.09999999998</v>
      </c>
      <c r="G17" s="130">
        <v>2000</v>
      </c>
      <c r="H17" s="130" t="s">
        <v>88</v>
      </c>
      <c r="I17" s="558">
        <v>121720.1</v>
      </c>
    </row>
    <row r="18" spans="1:9">
      <c r="A18" s="461" t="s">
        <v>14</v>
      </c>
      <c r="B18" s="200">
        <v>-230723.7</v>
      </c>
      <c r="C18" s="154">
        <v>-132985.60000000001</v>
      </c>
      <c r="D18" s="154">
        <v>452581.6</v>
      </c>
      <c r="E18" s="182">
        <f>-19763.3-4348.5</f>
        <v>-24111.8</v>
      </c>
      <c r="F18" s="213">
        <f t="shared" si="1"/>
        <v>64760.499999999927</v>
      </c>
      <c r="G18" s="130">
        <v>21800</v>
      </c>
      <c r="H18" s="130" t="s">
        <v>88</v>
      </c>
      <c r="I18" s="558">
        <v>86560.5</v>
      </c>
    </row>
    <row r="19" spans="1:9">
      <c r="A19" s="461" t="s">
        <v>15</v>
      </c>
      <c r="B19" s="200">
        <v>-267512.5</v>
      </c>
      <c r="C19" s="154">
        <v>-162073.79999999999</v>
      </c>
      <c r="D19" s="154">
        <v>509226.2</v>
      </c>
      <c r="E19" s="182">
        <f>-6489.8-24271.6</f>
        <v>-30761.399999999998</v>
      </c>
      <c r="F19" s="213">
        <f t="shared" si="1"/>
        <v>48878.500000000029</v>
      </c>
      <c r="G19" s="130">
        <v>89000</v>
      </c>
      <c r="H19" s="130" t="s">
        <v>88</v>
      </c>
      <c r="I19" s="558">
        <v>137878.5</v>
      </c>
    </row>
    <row r="20" spans="1:9">
      <c r="A20" s="461" t="s">
        <v>669</v>
      </c>
      <c r="B20" s="199">
        <v>-308146.3</v>
      </c>
      <c r="C20" s="154">
        <v>-144480.4</v>
      </c>
      <c r="D20" s="154">
        <v>528460.39999999991</v>
      </c>
      <c r="E20" s="182">
        <v>-12488.399999999958</v>
      </c>
      <c r="F20" s="213">
        <f t="shared" si="1"/>
        <v>63345.299999999996</v>
      </c>
      <c r="G20" s="130">
        <v>159990</v>
      </c>
      <c r="H20" s="130" t="s">
        <v>88</v>
      </c>
      <c r="I20" s="558">
        <v>223335.3</v>
      </c>
    </row>
    <row r="21" spans="1:9" s="1051" customFormat="1">
      <c r="A21" s="461"/>
      <c r="B21" s="199"/>
      <c r="C21" s="154"/>
      <c r="D21" s="154"/>
      <c r="E21" s="182"/>
      <c r="F21" s="213"/>
      <c r="G21" s="130"/>
      <c r="H21" s="130"/>
      <c r="I21" s="558"/>
    </row>
    <row r="22" spans="1:9" hidden="1">
      <c r="A22" s="87" t="s">
        <v>61</v>
      </c>
      <c r="B22" s="199">
        <v>-201300.8</v>
      </c>
      <c r="C22" s="154">
        <f>93820.2+1198.4</f>
        <v>95018.599999999991</v>
      </c>
      <c r="D22" s="154">
        <v>243395.1</v>
      </c>
      <c r="E22" s="182">
        <f>-39099-1021.5</f>
        <v>-40120.5</v>
      </c>
      <c r="F22" s="213">
        <f t="shared" ref="F22:F25" si="2">B22+C22+D22+E22</f>
        <v>96992.400000000023</v>
      </c>
      <c r="G22" s="130">
        <v>2239.9</v>
      </c>
      <c r="H22" s="130">
        <v>27200</v>
      </c>
      <c r="I22" s="558">
        <v>72032.3</v>
      </c>
    </row>
    <row r="23" spans="1:9" hidden="1">
      <c r="A23" s="87" t="s">
        <v>62</v>
      </c>
      <c r="B23" s="199">
        <v>-223781.8</v>
      </c>
      <c r="C23" s="154">
        <v>89071.5</v>
      </c>
      <c r="D23" s="154">
        <v>282645.40000000002</v>
      </c>
      <c r="E23" s="182">
        <f>-41531.4-6365</f>
        <v>-47896.4</v>
      </c>
      <c r="F23" s="213">
        <f t="shared" si="2"/>
        <v>100038.70000000004</v>
      </c>
      <c r="G23" s="130">
        <v>1914.8</v>
      </c>
      <c r="H23" s="130" t="s">
        <v>88</v>
      </c>
      <c r="I23" s="558">
        <v>101953.5</v>
      </c>
    </row>
    <row r="24" spans="1:9" hidden="1">
      <c r="A24" s="87" t="s">
        <v>63</v>
      </c>
      <c r="B24" s="199">
        <v>-222708</v>
      </c>
      <c r="C24" s="154">
        <v>142837.29999999999</v>
      </c>
      <c r="D24" s="154">
        <v>195393.9</v>
      </c>
      <c r="E24" s="182">
        <f>-32430.9-2133.6</f>
        <v>-34564.5</v>
      </c>
      <c r="F24" s="213">
        <f t="shared" si="2"/>
        <v>80958.699999999983</v>
      </c>
      <c r="G24" s="130">
        <v>2231.9</v>
      </c>
      <c r="H24" s="130" t="s">
        <v>88</v>
      </c>
      <c r="I24" s="558">
        <v>83190.600000000006</v>
      </c>
    </row>
    <row r="25" spans="1:9" hidden="1">
      <c r="A25" s="87" t="s">
        <v>64</v>
      </c>
      <c r="B25" s="199">
        <v>-227340.9</v>
      </c>
      <c r="C25" s="154">
        <v>128675.9</v>
      </c>
      <c r="D25" s="154">
        <v>263591.09999999998</v>
      </c>
      <c r="E25" s="182">
        <f>-41670.1-3535.9</f>
        <v>-45206</v>
      </c>
      <c r="F25" s="213">
        <f t="shared" si="2"/>
        <v>119720.09999999998</v>
      </c>
      <c r="G25" s="130">
        <v>2000</v>
      </c>
      <c r="H25" s="130" t="s">
        <v>88</v>
      </c>
      <c r="I25" s="558">
        <v>121720.1</v>
      </c>
    </row>
    <row r="26" spans="1:9" hidden="1">
      <c r="A26" s="87"/>
      <c r="B26" s="182"/>
      <c r="C26" s="154"/>
      <c r="D26" s="154"/>
      <c r="E26" s="182"/>
      <c r="F26" s="213"/>
      <c r="G26" s="130"/>
      <c r="H26" s="130"/>
      <c r="I26" s="558"/>
    </row>
    <row r="27" spans="1:9">
      <c r="A27" s="87" t="s">
        <v>53</v>
      </c>
      <c r="B27" s="199">
        <v>-223176.6</v>
      </c>
      <c r="C27" s="154">
        <v>115526.39999999999</v>
      </c>
      <c r="D27" s="154">
        <v>215693.9</v>
      </c>
      <c r="E27" s="182">
        <f>-33506.9-4069.8</f>
        <v>-37576.700000000004</v>
      </c>
      <c r="F27" s="213">
        <f t="shared" ref="F27:F30" si="3">B27+C27+D27+E27</f>
        <v>70466.999999999971</v>
      </c>
      <c r="G27" s="130">
        <v>3178.9</v>
      </c>
      <c r="H27" s="130" t="s">
        <v>88</v>
      </c>
      <c r="I27" s="558">
        <v>73645.899999999994</v>
      </c>
    </row>
    <row r="28" spans="1:9">
      <c r="A28" s="87" t="s">
        <v>44</v>
      </c>
      <c r="B28" s="199">
        <v>-254961.4</v>
      </c>
      <c r="C28" s="154">
        <v>11927.5</v>
      </c>
      <c r="D28" s="154">
        <v>318199.59999999998</v>
      </c>
      <c r="E28" s="182">
        <f>-27843.4-3620.6</f>
        <v>-31464</v>
      </c>
      <c r="F28" s="213">
        <f t="shared" si="3"/>
        <v>43701.699999999983</v>
      </c>
      <c r="G28" s="130">
        <v>22000</v>
      </c>
      <c r="H28" s="130" t="s">
        <v>88</v>
      </c>
      <c r="I28" s="558">
        <v>65701.7</v>
      </c>
    </row>
    <row r="29" spans="1:9">
      <c r="A29" s="87" t="s">
        <v>47</v>
      </c>
      <c r="B29" s="199">
        <v>-216072.1</v>
      </c>
      <c r="C29" s="154">
        <v>-77050.100000000006</v>
      </c>
      <c r="D29" s="154">
        <v>398227.1</v>
      </c>
      <c r="E29" s="182">
        <f>-19780.1-8638</f>
        <v>-28418.1</v>
      </c>
      <c r="F29" s="213">
        <f t="shared" si="3"/>
        <v>76686.799999999959</v>
      </c>
      <c r="G29" s="130">
        <v>6840.3</v>
      </c>
      <c r="H29" s="130" t="s">
        <v>88</v>
      </c>
      <c r="I29" s="558">
        <v>83527.100000000006</v>
      </c>
    </row>
    <row r="30" spans="1:9">
      <c r="A30" s="87" t="s">
        <v>50</v>
      </c>
      <c r="B30" s="199">
        <v>-230723.7</v>
      </c>
      <c r="C30" s="154">
        <v>-132985.60000000001</v>
      </c>
      <c r="D30" s="154">
        <v>452581.6</v>
      </c>
      <c r="E30" s="182">
        <f>-19763.3-4348.5</f>
        <v>-24111.8</v>
      </c>
      <c r="F30" s="213">
        <f t="shared" si="3"/>
        <v>64760.499999999927</v>
      </c>
      <c r="G30" s="130">
        <v>21800</v>
      </c>
      <c r="H30" s="130" t="s">
        <v>88</v>
      </c>
      <c r="I30" s="558">
        <v>86560.5</v>
      </c>
    </row>
    <row r="31" spans="1:9">
      <c r="A31" s="87"/>
      <c r="B31" s="182"/>
      <c r="C31" s="154"/>
      <c r="D31" s="154"/>
      <c r="E31" s="182"/>
      <c r="F31" s="213"/>
      <c r="G31" s="130"/>
      <c r="H31" s="130"/>
      <c r="I31" s="558"/>
    </row>
    <row r="32" spans="1:9">
      <c r="A32" s="87" t="s">
        <v>65</v>
      </c>
      <c r="B32" s="199">
        <v>-219964.2</v>
      </c>
      <c r="C32" s="154">
        <v>-194954</v>
      </c>
      <c r="D32" s="154">
        <v>453694.6</v>
      </c>
      <c r="E32" s="182">
        <f>-12796-2793.9</f>
        <v>-15589.9</v>
      </c>
      <c r="F32" s="213">
        <f t="shared" ref="F32:F33" si="4">B32+C32+D32+E32</f>
        <v>23186.499999999964</v>
      </c>
      <c r="G32" s="130">
        <v>73850</v>
      </c>
      <c r="H32" s="130" t="s">
        <v>88</v>
      </c>
      <c r="I32" s="558">
        <v>97036.5</v>
      </c>
    </row>
    <row r="33" spans="1:9">
      <c r="A33" s="87" t="s">
        <v>44</v>
      </c>
      <c r="B33" s="199">
        <v>-255415.5</v>
      </c>
      <c r="C33" s="154">
        <v>-186003.4</v>
      </c>
      <c r="D33" s="154">
        <v>457106.4</v>
      </c>
      <c r="E33" s="182">
        <f>-4287.5-13814.7</f>
        <v>-18102.2</v>
      </c>
      <c r="F33" s="213">
        <f t="shared" si="4"/>
        <v>-2414.7000000000007</v>
      </c>
      <c r="G33" s="130">
        <v>103000</v>
      </c>
      <c r="H33" s="130" t="s">
        <v>88</v>
      </c>
      <c r="I33" s="558">
        <v>100585.3</v>
      </c>
    </row>
    <row r="34" spans="1:9">
      <c r="A34" s="87" t="s">
        <v>47</v>
      </c>
      <c r="B34" s="199">
        <v>-254499.1</v>
      </c>
      <c r="C34" s="154">
        <v>-181601</v>
      </c>
      <c r="D34" s="154">
        <v>457923.6</v>
      </c>
      <c r="E34" s="182">
        <f>-4906.1-9322.9</f>
        <v>-14229</v>
      </c>
      <c r="F34" s="213">
        <f>B34+C34+D34+E34</f>
        <v>7594.5</v>
      </c>
      <c r="G34" s="130">
        <v>120705</v>
      </c>
      <c r="H34" s="130" t="s">
        <v>88</v>
      </c>
      <c r="I34" s="558">
        <v>128299.5</v>
      </c>
    </row>
    <row r="35" spans="1:9">
      <c r="A35" s="87" t="s">
        <v>50</v>
      </c>
      <c r="B35" s="199">
        <v>-267512.5</v>
      </c>
      <c r="C35" s="154">
        <v>-162073.79999999999</v>
      </c>
      <c r="D35" s="154">
        <v>509226.2</v>
      </c>
      <c r="E35" s="182">
        <f>-6489.8-24271.6</f>
        <v>-30761.399999999998</v>
      </c>
      <c r="F35" s="213">
        <f>B35+C35+D35+E35</f>
        <v>48878.500000000029</v>
      </c>
      <c r="G35" s="130">
        <v>89000</v>
      </c>
      <c r="H35" s="130" t="s">
        <v>88</v>
      </c>
      <c r="I35" s="558">
        <v>137878.5</v>
      </c>
    </row>
    <row r="36" spans="1:9">
      <c r="A36" s="87"/>
      <c r="B36" s="199"/>
      <c r="C36" s="154"/>
      <c r="D36" s="154"/>
      <c r="E36" s="182"/>
      <c r="F36" s="213"/>
      <c r="G36" s="130"/>
      <c r="H36" s="130"/>
      <c r="I36" s="558"/>
    </row>
    <row r="37" spans="1:9">
      <c r="A37" s="87" t="s">
        <v>66</v>
      </c>
      <c r="B37" s="199">
        <v>-267562.40000000002</v>
      </c>
      <c r="C37" s="154">
        <v>-133135.90000000002</v>
      </c>
      <c r="D37" s="154">
        <v>544205.1</v>
      </c>
      <c r="E37" s="182">
        <v>-62097.699999999968</v>
      </c>
      <c r="F37" s="213">
        <v>81409.099999999962</v>
      </c>
      <c r="G37" s="130">
        <v>88840</v>
      </c>
      <c r="H37" s="130" t="s">
        <v>88</v>
      </c>
      <c r="I37" s="558">
        <v>170257.3</v>
      </c>
    </row>
    <row r="38" spans="1:9">
      <c r="A38" s="87" t="s">
        <v>62</v>
      </c>
      <c r="B38" s="199">
        <v>-301775.5</v>
      </c>
      <c r="C38" s="154">
        <v>-140476.99999999997</v>
      </c>
      <c r="D38" s="154">
        <v>542983.60000000009</v>
      </c>
      <c r="E38" s="182">
        <v>-66884.000000000015</v>
      </c>
      <c r="F38" s="213">
        <v>33847.100000000079</v>
      </c>
      <c r="G38" s="130">
        <v>70737.5</v>
      </c>
      <c r="H38" s="130" t="s">
        <v>88</v>
      </c>
      <c r="I38" s="558">
        <v>104584.6</v>
      </c>
    </row>
    <row r="39" spans="1:9">
      <c r="A39" s="87" t="s">
        <v>63</v>
      </c>
      <c r="B39" s="199">
        <v>-297683.09999999998</v>
      </c>
      <c r="C39" s="154">
        <v>-134023.79999999999</v>
      </c>
      <c r="D39" s="154">
        <v>509123.6</v>
      </c>
      <c r="E39" s="182">
        <v>-41688.6</v>
      </c>
      <c r="F39" s="213">
        <v>35728.100000000013</v>
      </c>
      <c r="G39" s="130">
        <v>123150</v>
      </c>
      <c r="H39" s="130" t="s">
        <v>88</v>
      </c>
      <c r="I39" s="558">
        <v>158878.1</v>
      </c>
    </row>
    <row r="40" spans="1:9">
      <c r="A40" s="87" t="s">
        <v>64</v>
      </c>
      <c r="B40" s="199">
        <v>-308146.3</v>
      </c>
      <c r="C40" s="154">
        <v>-144480.4</v>
      </c>
      <c r="D40" s="154">
        <v>528460.39999999991</v>
      </c>
      <c r="E40" s="182">
        <v>-12488.399999999958</v>
      </c>
      <c r="F40" s="213">
        <f t="shared" ref="F40" si="5">B40+C40+D40+E40</f>
        <v>63345.299999999996</v>
      </c>
      <c r="G40" s="130">
        <v>159990</v>
      </c>
      <c r="H40" s="130" t="s">
        <v>88</v>
      </c>
      <c r="I40" s="558">
        <v>223335.3</v>
      </c>
    </row>
    <row r="41" spans="1:9">
      <c r="A41" s="87"/>
      <c r="B41" s="182"/>
      <c r="C41" s="154"/>
      <c r="D41" s="154"/>
      <c r="E41" s="182"/>
      <c r="F41" s="213"/>
      <c r="G41" s="130"/>
      <c r="H41" s="130"/>
      <c r="I41" s="558"/>
    </row>
    <row r="42" spans="1:9">
      <c r="A42" s="87" t="s">
        <v>684</v>
      </c>
      <c r="B42" s="199">
        <v>-302042.8</v>
      </c>
      <c r="C42" s="154">
        <v>-180504.6</v>
      </c>
      <c r="D42" s="154">
        <v>484199.3</v>
      </c>
      <c r="E42" s="182">
        <v>-33650.400000000023</v>
      </c>
      <c r="F42" s="213">
        <v>-31998.500000000058</v>
      </c>
      <c r="G42" s="130">
        <v>185103.2</v>
      </c>
      <c r="H42" s="130" t="s">
        <v>88</v>
      </c>
      <c r="I42" s="558">
        <v>153104.70000000001</v>
      </c>
    </row>
    <row r="43" spans="1:9" s="1051" customFormat="1">
      <c r="A43" s="1021" t="s">
        <v>62</v>
      </c>
      <c r="B43" s="199">
        <v>-334282.7</v>
      </c>
      <c r="C43" s="154">
        <v>-175279.09999999998</v>
      </c>
      <c r="D43" s="154">
        <v>408472.6</v>
      </c>
      <c r="E43" s="182">
        <v>-18794.399999999994</v>
      </c>
      <c r="F43" s="213">
        <v>-119883.6</v>
      </c>
      <c r="G43" s="130">
        <v>283075.3</v>
      </c>
      <c r="H43" s="130" t="s">
        <v>88</v>
      </c>
      <c r="I43" s="558">
        <v>163191.69999999998</v>
      </c>
    </row>
    <row r="44" spans="1:9">
      <c r="A44" s="87"/>
      <c r="B44" s="182"/>
      <c r="C44" s="154"/>
      <c r="D44" s="154"/>
      <c r="E44" s="182"/>
      <c r="F44" s="213"/>
      <c r="G44" s="130"/>
      <c r="H44" s="130"/>
      <c r="I44" s="558"/>
    </row>
    <row r="45" spans="1:9" hidden="1">
      <c r="A45" s="87" t="s">
        <v>60</v>
      </c>
      <c r="B45" s="182">
        <v>-87847.1</v>
      </c>
      <c r="C45" s="154">
        <v>71000.099999999977</v>
      </c>
      <c r="D45" s="154">
        <v>95478.1</v>
      </c>
      <c r="E45" s="182">
        <f>-57053.2-1514</f>
        <v>-58567.199999999997</v>
      </c>
      <c r="F45" s="213">
        <f t="shared" ref="F45:F113" si="6">B45+C45+D45+E45</f>
        <v>20063.89999999998</v>
      </c>
      <c r="G45" s="130">
        <v>1804</v>
      </c>
      <c r="H45" s="130" t="s">
        <v>88</v>
      </c>
      <c r="I45" s="558">
        <v>21867.9</v>
      </c>
    </row>
    <row r="46" spans="1:9" hidden="1">
      <c r="A46" s="87" t="s">
        <v>40</v>
      </c>
      <c r="B46" s="182">
        <v>-88984.4</v>
      </c>
      <c r="C46" s="154">
        <v>62812.299999999988</v>
      </c>
      <c r="D46" s="154">
        <v>105260.5</v>
      </c>
      <c r="E46" s="182">
        <f>-57145.9-1140.9</f>
        <v>-58286.8</v>
      </c>
      <c r="F46" s="213">
        <f t="shared" si="6"/>
        <v>20801.599999999991</v>
      </c>
      <c r="G46" s="130">
        <v>1000</v>
      </c>
      <c r="H46" s="130" t="s">
        <v>88</v>
      </c>
      <c r="I46" s="558">
        <v>21801.599999999999</v>
      </c>
    </row>
    <row r="47" spans="1:9" hidden="1">
      <c r="A47" s="87" t="s">
        <v>41</v>
      </c>
      <c r="B47" s="182">
        <v>-89739.6</v>
      </c>
      <c r="C47" s="154">
        <v>60403.499999999971</v>
      </c>
      <c r="D47" s="154">
        <v>107776.5</v>
      </c>
      <c r="E47" s="182">
        <f>-49748-1839.4</f>
        <v>-51587.4</v>
      </c>
      <c r="F47" s="213">
        <f t="shared" si="6"/>
        <v>26852.999999999964</v>
      </c>
      <c r="G47" s="130">
        <v>1000</v>
      </c>
      <c r="H47" s="130">
        <v>3000</v>
      </c>
      <c r="I47" s="558">
        <v>24853.000000000004</v>
      </c>
    </row>
    <row r="48" spans="1:9" hidden="1">
      <c r="A48" s="87" t="s">
        <v>42</v>
      </c>
      <c r="B48" s="182">
        <v>-98410.2</v>
      </c>
      <c r="C48" s="154">
        <v>65629.399999999994</v>
      </c>
      <c r="D48" s="154">
        <v>106043.3</v>
      </c>
      <c r="E48" s="182">
        <f>-47675.2-2373.2</f>
        <v>-50048.399999999994</v>
      </c>
      <c r="F48" s="213">
        <f t="shared" si="6"/>
        <v>23214.100000000006</v>
      </c>
      <c r="G48" s="130">
        <v>1000</v>
      </c>
      <c r="H48" s="130" t="s">
        <v>88</v>
      </c>
      <c r="I48" s="558">
        <v>24214.1</v>
      </c>
    </row>
    <row r="49" spans="1:9" hidden="1">
      <c r="A49" s="87" t="s">
        <v>43</v>
      </c>
      <c r="B49" s="182">
        <v>-98766.6</v>
      </c>
      <c r="C49" s="154">
        <v>61488</v>
      </c>
      <c r="D49" s="154">
        <v>117096</v>
      </c>
      <c r="E49" s="182">
        <f>-48579.1-1650.4</f>
        <v>-50229.5</v>
      </c>
      <c r="F49" s="213">
        <f t="shared" si="6"/>
        <v>29587.899999999994</v>
      </c>
      <c r="G49" s="130" t="s">
        <v>88</v>
      </c>
      <c r="H49" s="130">
        <v>5000</v>
      </c>
      <c r="I49" s="558">
        <v>24587.899999999998</v>
      </c>
    </row>
    <row r="50" spans="1:9" hidden="1">
      <c r="A50" s="87" t="s">
        <v>44</v>
      </c>
      <c r="B50" s="182">
        <v>-109147.9</v>
      </c>
      <c r="C50" s="200">
        <v>56309.5</v>
      </c>
      <c r="D50" s="154">
        <v>126345.1</v>
      </c>
      <c r="E50" s="182">
        <f>-50334.5-4262.3</f>
        <v>-54596.800000000003</v>
      </c>
      <c r="F50" s="213">
        <f t="shared" si="6"/>
        <v>18909.900000000009</v>
      </c>
      <c r="G50" s="130">
        <v>1474.9</v>
      </c>
      <c r="H50" s="130" t="s">
        <v>88</v>
      </c>
      <c r="I50" s="558">
        <v>20384.800000000003</v>
      </c>
    </row>
    <row r="51" spans="1:9" hidden="1">
      <c r="A51" s="87" t="s">
        <v>45</v>
      </c>
      <c r="B51" s="182">
        <v>-121800.8</v>
      </c>
      <c r="C51" s="200">
        <v>70144.199999999953</v>
      </c>
      <c r="D51" s="154">
        <v>122388.5</v>
      </c>
      <c r="E51" s="182">
        <f>-49157.1-1527.7</f>
        <v>-50684.799999999996</v>
      </c>
      <c r="F51" s="213">
        <f t="shared" si="6"/>
        <v>20047.099999999955</v>
      </c>
      <c r="G51" s="130">
        <v>3006.3</v>
      </c>
      <c r="H51" s="130" t="s">
        <v>88</v>
      </c>
      <c r="I51" s="558">
        <v>23053.399999999998</v>
      </c>
    </row>
    <row r="52" spans="1:9" hidden="1">
      <c r="A52" s="87" t="s">
        <v>46</v>
      </c>
      <c r="B52" s="182">
        <v>-121398.7</v>
      </c>
      <c r="C52" s="200">
        <v>79117.5</v>
      </c>
      <c r="D52" s="154">
        <v>105645.6</v>
      </c>
      <c r="E52" s="182">
        <f>-49615.4-1173.7</f>
        <v>-50789.1</v>
      </c>
      <c r="F52" s="213">
        <f t="shared" si="6"/>
        <v>12575.30000000001</v>
      </c>
      <c r="G52" s="130">
        <v>6000</v>
      </c>
      <c r="H52" s="130" t="s">
        <v>88</v>
      </c>
      <c r="I52" s="558">
        <v>18575.300000000003</v>
      </c>
    </row>
    <row r="53" spans="1:9" hidden="1">
      <c r="A53" s="87" t="s">
        <v>47</v>
      </c>
      <c r="B53" s="182">
        <v>-123002.6</v>
      </c>
      <c r="C53" s="200">
        <v>75833.299999999988</v>
      </c>
      <c r="D53" s="154">
        <v>107112.1</v>
      </c>
      <c r="E53" s="182">
        <f>-49550.2-2275</f>
        <v>-51825.2</v>
      </c>
      <c r="F53" s="213">
        <f t="shared" si="6"/>
        <v>8117.5999999999913</v>
      </c>
      <c r="G53" s="130">
        <v>10622.1</v>
      </c>
      <c r="H53" s="130" t="s">
        <v>88</v>
      </c>
      <c r="I53" s="558">
        <v>18739.699999999997</v>
      </c>
    </row>
    <row r="54" spans="1:9" hidden="1">
      <c r="A54" s="87" t="s">
        <v>48</v>
      </c>
      <c r="B54" s="182">
        <v>-118622.6</v>
      </c>
      <c r="C54" s="200">
        <v>95303.6</v>
      </c>
      <c r="D54" s="154">
        <v>94508.800000000003</v>
      </c>
      <c r="E54" s="182">
        <f>-50723.1-1826.5</f>
        <v>-52549.599999999999</v>
      </c>
      <c r="F54" s="213">
        <f t="shared" si="6"/>
        <v>18640.200000000004</v>
      </c>
      <c r="G54" s="130">
        <v>5355.8</v>
      </c>
      <c r="H54" s="130" t="s">
        <v>88</v>
      </c>
      <c r="I54" s="558">
        <v>23996</v>
      </c>
    </row>
    <row r="55" spans="1:9" hidden="1">
      <c r="A55" s="87" t="s">
        <v>49</v>
      </c>
      <c r="B55" s="182">
        <v>-116373.1</v>
      </c>
      <c r="C55" s="200">
        <v>107336.39999999994</v>
      </c>
      <c r="D55" s="154">
        <v>77336.899999999994</v>
      </c>
      <c r="E55" s="182">
        <f>-50424.3-1029.3</f>
        <v>-51453.600000000006</v>
      </c>
      <c r="F55" s="213">
        <f t="shared" si="6"/>
        <v>16846.599999999919</v>
      </c>
      <c r="G55" s="130">
        <v>5508.8</v>
      </c>
      <c r="H55" s="130">
        <v>1500</v>
      </c>
      <c r="I55" s="558">
        <v>20855.400000000001</v>
      </c>
    </row>
    <row r="56" spans="1:9" hidden="1">
      <c r="A56" s="87" t="s">
        <v>50</v>
      </c>
      <c r="B56" s="182">
        <v>-124230.9</v>
      </c>
      <c r="C56" s="200">
        <v>159092.20000000007</v>
      </c>
      <c r="D56" s="154">
        <v>76990.5</v>
      </c>
      <c r="E56" s="182">
        <f>-69256.7-4502.2</f>
        <v>-73758.899999999994</v>
      </c>
      <c r="F56" s="213">
        <f t="shared" si="6"/>
        <v>38092.900000000081</v>
      </c>
      <c r="G56" s="130" t="s">
        <v>88</v>
      </c>
      <c r="H56" s="130">
        <v>12000</v>
      </c>
      <c r="I56" s="558">
        <v>26092.9</v>
      </c>
    </row>
    <row r="57" spans="1:9" hidden="1">
      <c r="A57" s="222"/>
      <c r="B57" s="182"/>
      <c r="C57" s="200"/>
      <c r="D57" s="154"/>
      <c r="E57" s="182"/>
      <c r="F57" s="213"/>
      <c r="G57" s="130"/>
      <c r="H57" s="130"/>
      <c r="I57" s="558"/>
    </row>
    <row r="58" spans="1:9" hidden="1">
      <c r="A58" s="87" t="s">
        <v>59</v>
      </c>
      <c r="B58" s="182">
        <v>-114706.9</v>
      </c>
      <c r="C58" s="200">
        <v>141369.9</v>
      </c>
      <c r="D58" s="154">
        <v>72031.8</v>
      </c>
      <c r="E58" s="182">
        <f>-50019.9-1664.5</f>
        <v>-51684.4</v>
      </c>
      <c r="F58" s="213">
        <f t="shared" si="6"/>
        <v>47010.400000000001</v>
      </c>
      <c r="G58" s="130" t="s">
        <v>88</v>
      </c>
      <c r="H58" s="130">
        <v>15000</v>
      </c>
      <c r="I58" s="558">
        <v>32010.400000000001</v>
      </c>
    </row>
    <row r="59" spans="1:9" hidden="1">
      <c r="A59" s="87" t="s">
        <v>40</v>
      </c>
      <c r="B59" s="182">
        <v>-113068.7</v>
      </c>
      <c r="C59" s="200">
        <v>125265.90000000008</v>
      </c>
      <c r="D59" s="154">
        <v>81053</v>
      </c>
      <c r="E59" s="182">
        <f>-53404.9-1507.2</f>
        <v>-54912.1</v>
      </c>
      <c r="F59" s="213">
        <f t="shared" si="6"/>
        <v>38338.100000000086</v>
      </c>
      <c r="G59" s="130" t="s">
        <v>88</v>
      </c>
      <c r="H59" s="130">
        <v>10000</v>
      </c>
      <c r="I59" s="558">
        <v>28338.1</v>
      </c>
    </row>
    <row r="60" spans="1:9" hidden="1">
      <c r="A60" s="87" t="s">
        <v>41</v>
      </c>
      <c r="B60" s="182">
        <v>-112651.3</v>
      </c>
      <c r="C60" s="200">
        <v>105784.5</v>
      </c>
      <c r="D60" s="154">
        <v>86813.2</v>
      </c>
      <c r="E60" s="182">
        <f>-47074.1-1841.9</f>
        <v>-48916</v>
      </c>
      <c r="F60" s="213">
        <f t="shared" si="6"/>
        <v>31030.399999999994</v>
      </c>
      <c r="G60" s="130" t="s">
        <v>88</v>
      </c>
      <c r="H60" s="130">
        <v>8300</v>
      </c>
      <c r="I60" s="558">
        <v>22730.399999999998</v>
      </c>
    </row>
    <row r="61" spans="1:9" hidden="1">
      <c r="A61" s="87" t="s">
        <v>42</v>
      </c>
      <c r="B61" s="182">
        <v>-115183.7</v>
      </c>
      <c r="C61" s="200">
        <v>90877.500000000029</v>
      </c>
      <c r="D61" s="154">
        <v>97639.4</v>
      </c>
      <c r="E61" s="182">
        <f>-45347-2194.5</f>
        <v>-47541.5</v>
      </c>
      <c r="F61" s="213">
        <f t="shared" si="6"/>
        <v>25791.700000000026</v>
      </c>
      <c r="G61" s="130" t="s">
        <v>88</v>
      </c>
      <c r="H61" s="130">
        <v>2300</v>
      </c>
      <c r="I61" s="558">
        <v>23491.7</v>
      </c>
    </row>
    <row r="62" spans="1:9" hidden="1">
      <c r="A62" s="87" t="s">
        <v>43</v>
      </c>
      <c r="B62" s="182">
        <v>-112468.1</v>
      </c>
      <c r="C62" s="200">
        <v>154336.40000000008</v>
      </c>
      <c r="D62" s="154">
        <v>70010.7</v>
      </c>
      <c r="E62" s="182">
        <f>-79868.6-1086</f>
        <v>-80954.600000000006</v>
      </c>
      <c r="F62" s="213">
        <f t="shared" si="6"/>
        <v>30924.400000000067</v>
      </c>
      <c r="G62" s="130" t="s">
        <v>88</v>
      </c>
      <c r="H62" s="130" t="s">
        <v>88</v>
      </c>
      <c r="I62" s="558">
        <v>30924.399999999998</v>
      </c>
    </row>
    <row r="63" spans="1:9" hidden="1">
      <c r="A63" s="87" t="s">
        <v>44</v>
      </c>
      <c r="B63" s="182">
        <v>-120665.4</v>
      </c>
      <c r="C63" s="200">
        <v>148241.90000000002</v>
      </c>
      <c r="D63" s="154">
        <v>92741.8</v>
      </c>
      <c r="E63" s="182">
        <f>-77033.6-2801.4</f>
        <v>-79835</v>
      </c>
      <c r="F63" s="213">
        <f t="shared" si="6"/>
        <v>40483.300000000032</v>
      </c>
      <c r="G63" s="130" t="s">
        <v>88</v>
      </c>
      <c r="H63" s="130" t="s">
        <v>88</v>
      </c>
      <c r="I63" s="558">
        <v>40483.300000000003</v>
      </c>
    </row>
    <row r="64" spans="1:9" hidden="1">
      <c r="A64" s="87" t="s">
        <v>45</v>
      </c>
      <c r="B64" s="182">
        <v>-124675.4</v>
      </c>
      <c r="C64" s="200">
        <v>132152.6</v>
      </c>
      <c r="D64" s="154">
        <v>95710.2</v>
      </c>
      <c r="E64" s="182">
        <f>-77001.9-1509.6</f>
        <v>-78511.5</v>
      </c>
      <c r="F64" s="213">
        <f t="shared" si="6"/>
        <v>24675.900000000009</v>
      </c>
      <c r="G64" s="130" t="s">
        <v>88</v>
      </c>
      <c r="H64" s="130">
        <v>3000</v>
      </c>
      <c r="I64" s="558">
        <v>21675.9</v>
      </c>
    </row>
    <row r="65" spans="1:9" hidden="1">
      <c r="A65" s="87" t="s">
        <v>46</v>
      </c>
      <c r="B65" s="182">
        <v>-124765.5</v>
      </c>
      <c r="C65" s="200">
        <v>115750.00000000003</v>
      </c>
      <c r="D65" s="154">
        <v>111837.1</v>
      </c>
      <c r="E65" s="182">
        <f>-74749.4-1706.2</f>
        <v>-76455.599999999991</v>
      </c>
      <c r="F65" s="213">
        <f t="shared" si="6"/>
        <v>26366.000000000044</v>
      </c>
      <c r="G65" s="130" t="s">
        <v>88</v>
      </c>
      <c r="H65" s="130" t="s">
        <v>88</v>
      </c>
      <c r="I65" s="558">
        <v>26366</v>
      </c>
    </row>
    <row r="66" spans="1:9" hidden="1">
      <c r="A66" s="87" t="s">
        <v>47</v>
      </c>
      <c r="B66" s="199">
        <v>-117851.2</v>
      </c>
      <c r="C66" s="200">
        <v>133943.69999999998</v>
      </c>
      <c r="D66" s="154">
        <v>98007.6</v>
      </c>
      <c r="E66" s="182">
        <f>-75127.5-2015.1</f>
        <v>-77142.600000000006</v>
      </c>
      <c r="F66" s="213">
        <f t="shared" si="6"/>
        <v>36957.499999999985</v>
      </c>
      <c r="G66" s="130" t="s">
        <v>88</v>
      </c>
      <c r="H66" s="130" t="s">
        <v>88</v>
      </c>
      <c r="I66" s="558">
        <v>36957.5</v>
      </c>
    </row>
    <row r="67" spans="1:9" hidden="1">
      <c r="A67" s="87" t="s">
        <v>48</v>
      </c>
      <c r="B67" s="199">
        <v>-119216.8</v>
      </c>
      <c r="C67" s="200">
        <v>129014.59999999998</v>
      </c>
      <c r="D67" s="154">
        <v>103504.7</v>
      </c>
      <c r="E67" s="182">
        <f>-77636.4-1696.9</f>
        <v>-79333.299999999988</v>
      </c>
      <c r="F67" s="213">
        <f t="shared" si="6"/>
        <v>33969.199999999983</v>
      </c>
      <c r="G67" s="130" t="s">
        <v>88</v>
      </c>
      <c r="H67" s="130" t="s">
        <v>88</v>
      </c>
      <c r="I67" s="558">
        <v>33969.200000000004</v>
      </c>
    </row>
    <row r="68" spans="1:9" hidden="1">
      <c r="A68" s="87" t="s">
        <v>49</v>
      </c>
      <c r="B68" s="199">
        <v>-117965.7</v>
      </c>
      <c r="C68" s="200">
        <v>120358.70000000007</v>
      </c>
      <c r="D68" s="154">
        <v>124081.2</v>
      </c>
      <c r="E68" s="182">
        <f>-80663.3-1699.1</f>
        <v>-82362.400000000009</v>
      </c>
      <c r="F68" s="213">
        <f t="shared" si="6"/>
        <v>44111.800000000061</v>
      </c>
      <c r="G68" s="130" t="s">
        <v>88</v>
      </c>
      <c r="H68" s="130">
        <v>6000</v>
      </c>
      <c r="I68" s="558">
        <v>38111.799999999996</v>
      </c>
    </row>
    <row r="69" spans="1:9" hidden="1">
      <c r="A69" s="87" t="s">
        <v>50</v>
      </c>
      <c r="B69" s="199">
        <v>-136206.20000000001</v>
      </c>
      <c r="C69" s="200">
        <v>144966.20000000007</v>
      </c>
      <c r="D69" s="154">
        <v>167752.20000000001</v>
      </c>
      <c r="E69" s="182">
        <f>-105526.2-6080.8</f>
        <v>-111607</v>
      </c>
      <c r="F69" s="213">
        <f>B69+C69+D69+E69</f>
        <v>64905.20000000007</v>
      </c>
      <c r="G69" s="130" t="s">
        <v>88</v>
      </c>
      <c r="H69" s="130">
        <v>10000</v>
      </c>
      <c r="I69" s="558">
        <v>54905.2</v>
      </c>
    </row>
    <row r="70" spans="1:9" hidden="1">
      <c r="A70" s="87"/>
      <c r="B70" s="199"/>
      <c r="C70" s="200"/>
      <c r="D70" s="560"/>
      <c r="E70" s="557"/>
      <c r="F70" s="213"/>
      <c r="G70" s="130"/>
      <c r="H70" s="130"/>
      <c r="I70" s="558"/>
    </row>
    <row r="71" spans="1:9" hidden="1">
      <c r="A71" s="87" t="s">
        <v>58</v>
      </c>
      <c r="B71" s="199">
        <v>-124469.1</v>
      </c>
      <c r="C71" s="200">
        <v>153042.50000000006</v>
      </c>
      <c r="D71" s="154">
        <v>117407.9</v>
      </c>
      <c r="E71" s="182">
        <f>-76930-3431.6</f>
        <v>-80361.600000000006</v>
      </c>
      <c r="F71" s="213">
        <f t="shared" si="6"/>
        <v>65619.700000000041</v>
      </c>
      <c r="G71" s="130" t="s">
        <v>88</v>
      </c>
      <c r="H71" s="130">
        <v>20000</v>
      </c>
      <c r="I71" s="558">
        <v>45619.700000000004</v>
      </c>
    </row>
    <row r="72" spans="1:9" hidden="1">
      <c r="A72" s="87" t="s">
        <v>40</v>
      </c>
      <c r="B72" s="199">
        <v>-125950.7</v>
      </c>
      <c r="C72" s="154">
        <v>150227.50000000009</v>
      </c>
      <c r="D72" s="154">
        <v>117857.3</v>
      </c>
      <c r="E72" s="182">
        <f>-80883.1-1625.9</f>
        <v>-82509</v>
      </c>
      <c r="F72" s="213">
        <f t="shared" si="6"/>
        <v>59625.100000000093</v>
      </c>
      <c r="G72" s="130" t="s">
        <v>88</v>
      </c>
      <c r="H72" s="130">
        <v>16000</v>
      </c>
      <c r="I72" s="558">
        <v>43625.1</v>
      </c>
    </row>
    <row r="73" spans="1:9" hidden="1">
      <c r="A73" s="87" t="s">
        <v>41</v>
      </c>
      <c r="B73" s="199">
        <v>-125349.6</v>
      </c>
      <c r="C73" s="154">
        <v>136213.69999999992</v>
      </c>
      <c r="D73" s="154">
        <v>123302.2</v>
      </c>
      <c r="E73" s="182">
        <f>-82744.7-2028.3</f>
        <v>-84773</v>
      </c>
      <c r="F73" s="213">
        <f t="shared" si="6"/>
        <v>49393.29999999993</v>
      </c>
      <c r="G73" s="130" t="s">
        <v>88</v>
      </c>
      <c r="H73" s="130">
        <v>22100</v>
      </c>
      <c r="I73" s="558">
        <v>27293.299999999996</v>
      </c>
    </row>
    <row r="74" spans="1:9" hidden="1">
      <c r="A74" s="87" t="s">
        <v>42</v>
      </c>
      <c r="B74" s="199">
        <v>-127864.3</v>
      </c>
      <c r="C74" s="154">
        <v>124940.20000000004</v>
      </c>
      <c r="D74" s="154">
        <v>140275.9</v>
      </c>
      <c r="E74" s="182">
        <f>-79841.4-2950.9</f>
        <v>-82792.299999999988</v>
      </c>
      <c r="F74" s="213">
        <f t="shared" si="6"/>
        <v>54559.500000000058</v>
      </c>
      <c r="G74" s="130" t="s">
        <v>88</v>
      </c>
      <c r="H74" s="130">
        <v>10000</v>
      </c>
      <c r="I74" s="558">
        <v>44559.6</v>
      </c>
    </row>
    <row r="75" spans="1:9" hidden="1">
      <c r="A75" s="87" t="s">
        <v>43</v>
      </c>
      <c r="B75" s="199">
        <v>-130114.6</v>
      </c>
      <c r="C75" s="154">
        <v>110538.00000000003</v>
      </c>
      <c r="D75" s="154">
        <v>123904.3</v>
      </c>
      <c r="E75" s="182">
        <f>-83283-3013.4</f>
        <v>-86296.4</v>
      </c>
      <c r="F75" s="213">
        <f t="shared" si="6"/>
        <v>18031.300000000032</v>
      </c>
      <c r="G75" s="130" t="s">
        <v>88</v>
      </c>
      <c r="H75" s="130" t="s">
        <v>88</v>
      </c>
      <c r="I75" s="558">
        <v>18031.3</v>
      </c>
    </row>
    <row r="76" spans="1:9" hidden="1">
      <c r="A76" s="87" t="s">
        <v>44</v>
      </c>
      <c r="B76" s="199">
        <v>-147647.5</v>
      </c>
      <c r="C76" s="154">
        <v>94137.999999999942</v>
      </c>
      <c r="D76" s="154">
        <v>149157.6</v>
      </c>
      <c r="E76" s="182">
        <f>-68787.6-2916</f>
        <v>-71703.600000000006</v>
      </c>
      <c r="F76" s="213">
        <f t="shared" si="6"/>
        <v>23944.499999999942</v>
      </c>
      <c r="G76" s="130" t="s">
        <v>88</v>
      </c>
      <c r="H76" s="130" t="s">
        <v>88</v>
      </c>
      <c r="I76" s="558">
        <v>23944.5</v>
      </c>
    </row>
    <row r="77" spans="1:9" hidden="1">
      <c r="A77" s="87" t="s">
        <v>45</v>
      </c>
      <c r="B77" s="199">
        <v>-163191.5</v>
      </c>
      <c r="C77" s="154">
        <v>91739.900000000052</v>
      </c>
      <c r="D77" s="154">
        <v>167573.5</v>
      </c>
      <c r="E77" s="182">
        <f>-66938.9-3831.2</f>
        <v>-70770.099999999991</v>
      </c>
      <c r="F77" s="213">
        <f t="shared" si="6"/>
        <v>25351.800000000061</v>
      </c>
      <c r="G77" s="130" t="s">
        <v>88</v>
      </c>
      <c r="H77" s="130" t="s">
        <v>88</v>
      </c>
      <c r="I77" s="558">
        <v>25351.8</v>
      </c>
    </row>
    <row r="78" spans="1:9" hidden="1">
      <c r="A78" s="87" t="s">
        <v>46</v>
      </c>
      <c r="B78" s="199">
        <v>-156374.20000000001</v>
      </c>
      <c r="C78" s="154">
        <v>83653.000000000058</v>
      </c>
      <c r="D78" s="154">
        <v>162905.60000000001</v>
      </c>
      <c r="E78" s="182">
        <f>-55019.4-3208.6</f>
        <v>-58228</v>
      </c>
      <c r="F78" s="213">
        <f t="shared" si="6"/>
        <v>31956.400000000052</v>
      </c>
      <c r="G78" s="130">
        <v>598.6</v>
      </c>
      <c r="H78" s="130" t="s">
        <v>88</v>
      </c>
      <c r="I78" s="558">
        <v>32555</v>
      </c>
    </row>
    <row r="79" spans="1:9" hidden="1">
      <c r="A79" s="87" t="s">
        <v>47</v>
      </c>
      <c r="B79" s="199">
        <v>-149317.20000000001</v>
      </c>
      <c r="C79" s="154">
        <v>69547.099999999919</v>
      </c>
      <c r="D79" s="154">
        <v>171436.9</v>
      </c>
      <c r="E79" s="182">
        <f>-55528.6-1750.6</f>
        <v>-57279.199999999997</v>
      </c>
      <c r="F79" s="213">
        <f t="shared" si="6"/>
        <v>34387.599999999904</v>
      </c>
      <c r="G79" s="130" t="s">
        <v>88</v>
      </c>
      <c r="H79" s="130">
        <v>2000</v>
      </c>
      <c r="I79" s="558">
        <v>32387.600000000002</v>
      </c>
    </row>
    <row r="80" spans="1:9" hidden="1">
      <c r="A80" s="87" t="s">
        <v>48</v>
      </c>
      <c r="B80" s="199">
        <v>-145288.6</v>
      </c>
      <c r="C80" s="154">
        <v>66483.800000000047</v>
      </c>
      <c r="D80" s="154">
        <v>149463.9</v>
      </c>
      <c r="E80" s="182">
        <f>-55368.1-934.5</f>
        <v>-56302.6</v>
      </c>
      <c r="F80" s="213">
        <f t="shared" si="6"/>
        <v>14356.500000000036</v>
      </c>
      <c r="G80" s="130">
        <v>3740.2</v>
      </c>
      <c r="H80" s="130" t="s">
        <v>88</v>
      </c>
      <c r="I80" s="558">
        <v>18096.7</v>
      </c>
    </row>
    <row r="81" spans="1:9" hidden="1">
      <c r="A81" s="87" t="s">
        <v>49</v>
      </c>
      <c r="B81" s="199">
        <v>-143026.9</v>
      </c>
      <c r="C81" s="154">
        <v>74650.300000000047</v>
      </c>
      <c r="D81" s="154">
        <v>164159.79999999999</v>
      </c>
      <c r="E81" s="182">
        <f>-58814.4-1498.6</f>
        <v>-60313</v>
      </c>
      <c r="F81" s="213">
        <f t="shared" si="6"/>
        <v>35470.200000000041</v>
      </c>
      <c r="G81" s="130" t="s">
        <v>88</v>
      </c>
      <c r="H81" s="130" t="s">
        <v>88</v>
      </c>
      <c r="I81" s="558">
        <v>35470.199999999997</v>
      </c>
    </row>
    <row r="82" spans="1:9" hidden="1">
      <c r="A82" s="87" t="s">
        <v>50</v>
      </c>
      <c r="B82" s="199">
        <v>-155835.20000000001</v>
      </c>
      <c r="C82" s="154">
        <v>141613.59999999998</v>
      </c>
      <c r="D82" s="154">
        <v>150905.29999999999</v>
      </c>
      <c r="E82" s="182">
        <f>-77089.6-3715.6</f>
        <v>-80805.200000000012</v>
      </c>
      <c r="F82" s="213">
        <f t="shared" si="6"/>
        <v>55878.499999999942</v>
      </c>
      <c r="G82" s="130" t="s">
        <v>88</v>
      </c>
      <c r="H82" s="130">
        <v>7000</v>
      </c>
      <c r="I82" s="558">
        <v>48878.5</v>
      </c>
    </row>
    <row r="83" spans="1:9" hidden="1">
      <c r="A83" s="87"/>
      <c r="B83" s="199"/>
      <c r="C83" s="154"/>
      <c r="D83" s="154"/>
      <c r="E83" s="182"/>
      <c r="F83" s="213"/>
      <c r="G83" s="130"/>
      <c r="H83" s="130"/>
      <c r="I83" s="558"/>
    </row>
    <row r="84" spans="1:9" hidden="1">
      <c r="A84" s="87" t="s">
        <v>57</v>
      </c>
      <c r="B84" s="199">
        <v>-145536.5</v>
      </c>
      <c r="C84" s="154">
        <v>131446.90000000008</v>
      </c>
      <c r="D84" s="154">
        <v>126919.6</v>
      </c>
      <c r="E84" s="182">
        <f>-58917.7-1058.5</f>
        <v>-59976.2</v>
      </c>
      <c r="F84" s="213">
        <f t="shared" si="6"/>
        <v>52853.80000000009</v>
      </c>
      <c r="G84" s="130" t="s">
        <v>88</v>
      </c>
      <c r="H84" s="130">
        <v>8500</v>
      </c>
      <c r="I84" s="558">
        <v>44353.799999999996</v>
      </c>
    </row>
    <row r="85" spans="1:9" hidden="1">
      <c r="A85" s="87" t="s">
        <v>40</v>
      </c>
      <c r="B85" s="199">
        <v>-144843.29999999999</v>
      </c>
      <c r="C85" s="154">
        <v>156264.40000000002</v>
      </c>
      <c r="D85" s="154">
        <v>83321.100000000006</v>
      </c>
      <c r="E85" s="182">
        <f>-61911.6-1470.1</f>
        <v>-63381.7</v>
      </c>
      <c r="F85" s="213">
        <f t="shared" si="6"/>
        <v>31360.500000000044</v>
      </c>
      <c r="G85" s="130">
        <v>1723.4</v>
      </c>
      <c r="H85" s="130">
        <v>3000</v>
      </c>
      <c r="I85" s="558">
        <v>30083.899999999998</v>
      </c>
    </row>
    <row r="86" spans="1:9" hidden="1">
      <c r="A86" s="87" t="s">
        <v>41</v>
      </c>
      <c r="B86" s="199">
        <v>-149827.1</v>
      </c>
      <c r="C86" s="154">
        <v>143339.10000000009</v>
      </c>
      <c r="D86" s="154">
        <v>111050.6</v>
      </c>
      <c r="E86" s="182">
        <f>-60683.1-2811</f>
        <v>-63494.1</v>
      </c>
      <c r="F86" s="213">
        <f t="shared" si="6"/>
        <v>41068.500000000095</v>
      </c>
      <c r="G86" s="130">
        <v>3410.3</v>
      </c>
      <c r="H86" s="130">
        <v>4500</v>
      </c>
      <c r="I86" s="558">
        <v>39978.800000000003</v>
      </c>
    </row>
    <row r="87" spans="1:9" hidden="1">
      <c r="A87" s="87" t="s">
        <v>42</v>
      </c>
      <c r="B87" s="199">
        <v>-154603.9</v>
      </c>
      <c r="C87" s="154">
        <v>151581.59999999998</v>
      </c>
      <c r="D87" s="154">
        <v>102644.5</v>
      </c>
      <c r="E87" s="182">
        <f>-62157.6-6835.9</f>
        <v>-68993.5</v>
      </c>
      <c r="F87" s="213">
        <f t="shared" si="6"/>
        <v>30628.699999999983</v>
      </c>
      <c r="G87" s="130">
        <v>4017</v>
      </c>
      <c r="H87" s="130" t="s">
        <v>88</v>
      </c>
      <c r="I87" s="558">
        <v>34645.699999999997</v>
      </c>
    </row>
    <row r="88" spans="1:9" hidden="1">
      <c r="A88" s="87" t="s">
        <v>43</v>
      </c>
      <c r="B88" s="199">
        <v>-159225.29999999999</v>
      </c>
      <c r="C88" s="154">
        <v>145435.50000000006</v>
      </c>
      <c r="D88" s="154">
        <v>101140.2</v>
      </c>
      <c r="E88" s="182">
        <f>-63598.6-4562.9</f>
        <v>-68161.5</v>
      </c>
      <c r="F88" s="213">
        <f t="shared" si="6"/>
        <v>19188.900000000067</v>
      </c>
      <c r="G88" s="130">
        <v>8670.2999999999993</v>
      </c>
      <c r="H88" s="130" t="s">
        <v>88</v>
      </c>
      <c r="I88" s="558">
        <v>27859.199999999997</v>
      </c>
    </row>
    <row r="89" spans="1:9" hidden="1">
      <c r="A89" s="87" t="s">
        <v>44</v>
      </c>
      <c r="B89" s="199">
        <v>-172348.7</v>
      </c>
      <c r="C89" s="154">
        <v>133383.10000000003</v>
      </c>
      <c r="D89" s="154">
        <v>115763.8</v>
      </c>
      <c r="E89" s="182">
        <f>-65543.2-4533.1</f>
        <v>-70076.3</v>
      </c>
      <c r="F89" s="213">
        <f t="shared" si="6"/>
        <v>6721.9000000000233</v>
      </c>
      <c r="G89" s="130">
        <v>21978.1</v>
      </c>
      <c r="H89" s="130" t="s">
        <v>88</v>
      </c>
      <c r="I89" s="558">
        <v>28700.000000000004</v>
      </c>
    </row>
    <row r="90" spans="1:9" hidden="1">
      <c r="A90" s="87" t="s">
        <v>45</v>
      </c>
      <c r="B90" s="199">
        <v>-186362</v>
      </c>
      <c r="C90" s="154">
        <v>119995.10000000003</v>
      </c>
      <c r="D90" s="154">
        <v>140073</v>
      </c>
      <c r="E90" s="182">
        <f>-68327.7-7623.7</f>
        <v>-75951.399999999994</v>
      </c>
      <c r="F90" s="213">
        <f t="shared" si="6"/>
        <v>-2245.2999999999593</v>
      </c>
      <c r="G90" s="130">
        <v>28323</v>
      </c>
      <c r="H90" s="130" t="s">
        <v>88</v>
      </c>
      <c r="I90" s="558">
        <v>26077.7</v>
      </c>
    </row>
    <row r="91" spans="1:9" hidden="1">
      <c r="A91" s="87" t="s">
        <v>46</v>
      </c>
      <c r="B91" s="199">
        <v>-180063.1</v>
      </c>
      <c r="C91" s="154">
        <v>101092.90000000008</v>
      </c>
      <c r="D91" s="154">
        <v>148332.29999999999</v>
      </c>
      <c r="E91" s="182">
        <f>-59112.9-1938.6</f>
        <v>-61051.5</v>
      </c>
      <c r="F91" s="213">
        <f t="shared" si="6"/>
        <v>8310.600000000064</v>
      </c>
      <c r="G91" s="130">
        <v>30627.200000000001</v>
      </c>
      <c r="H91" s="130" t="s">
        <v>88</v>
      </c>
      <c r="I91" s="558">
        <v>38937.800000000003</v>
      </c>
    </row>
    <row r="92" spans="1:9" hidden="1">
      <c r="A92" s="87" t="s">
        <v>47</v>
      </c>
      <c r="B92" s="199">
        <v>-168466.4</v>
      </c>
      <c r="C92" s="154">
        <v>81241.400000000081</v>
      </c>
      <c r="D92" s="154">
        <v>149815.79999999999</v>
      </c>
      <c r="E92" s="182">
        <f>-67674.6-1392.9</f>
        <v>-69067.5</v>
      </c>
      <c r="F92" s="213">
        <f t="shared" si="6"/>
        <v>-6476.6999999999243</v>
      </c>
      <c r="G92" s="130">
        <v>41214.800000000003</v>
      </c>
      <c r="H92" s="130" t="s">
        <v>88</v>
      </c>
      <c r="I92" s="558">
        <v>34738.100000000006</v>
      </c>
    </row>
    <row r="93" spans="1:9" hidden="1">
      <c r="A93" s="87" t="s">
        <v>48</v>
      </c>
      <c r="B93" s="199">
        <v>-163042.70000000001</v>
      </c>
      <c r="C93" s="154">
        <v>61605.000000000116</v>
      </c>
      <c r="D93" s="154">
        <v>165574.1</v>
      </c>
      <c r="E93" s="182">
        <f>-70840.1-2631.1</f>
        <v>-73471.200000000012</v>
      </c>
      <c r="F93" s="213">
        <f t="shared" si="6"/>
        <v>-9334.799999999901</v>
      </c>
      <c r="G93" s="130">
        <v>33892.300000000003</v>
      </c>
      <c r="H93" s="130" t="s">
        <v>88</v>
      </c>
      <c r="I93" s="558">
        <v>24557.500000000004</v>
      </c>
    </row>
    <row r="94" spans="1:9" hidden="1">
      <c r="A94" s="87" t="s">
        <v>49</v>
      </c>
      <c r="B94" s="199">
        <v>-157871.5</v>
      </c>
      <c r="C94" s="154">
        <v>59710.299999999988</v>
      </c>
      <c r="D94" s="154">
        <v>152674.5</v>
      </c>
      <c r="E94" s="182">
        <f>-70737.2-2686.9</f>
        <v>-73424.099999999991</v>
      </c>
      <c r="F94" s="213">
        <f t="shared" si="6"/>
        <v>-18910.800000000003</v>
      </c>
      <c r="G94" s="130">
        <v>39419.1</v>
      </c>
      <c r="H94" s="130" t="s">
        <v>88</v>
      </c>
      <c r="I94" s="558">
        <v>20508.3</v>
      </c>
    </row>
    <row r="95" spans="1:9" hidden="1">
      <c r="A95" s="87" t="s">
        <v>50</v>
      </c>
      <c r="B95" s="199">
        <v>-170106</v>
      </c>
      <c r="C95" s="154">
        <v>82293.999999999942</v>
      </c>
      <c r="D95" s="154">
        <v>211644.79999999999</v>
      </c>
      <c r="E95" s="182">
        <f>-108854.9-5021.5</f>
        <v>-113876.4</v>
      </c>
      <c r="F95" s="213">
        <f t="shared" si="6"/>
        <v>9956.399999999936</v>
      </c>
      <c r="G95" s="130">
        <v>25301.3</v>
      </c>
      <c r="H95" s="130" t="s">
        <v>88</v>
      </c>
      <c r="I95" s="558">
        <v>35257.700000000004</v>
      </c>
    </row>
    <row r="96" spans="1:9" hidden="1">
      <c r="A96" s="214"/>
      <c r="B96" s="199"/>
      <c r="C96" s="154"/>
      <c r="D96" s="560"/>
      <c r="E96" s="557"/>
      <c r="F96" s="213"/>
      <c r="G96" s="130"/>
      <c r="H96" s="130"/>
      <c r="I96" s="558"/>
    </row>
    <row r="97" spans="1:12" hidden="1">
      <c r="A97" s="87" t="s">
        <v>56</v>
      </c>
      <c r="B97" s="199">
        <v>-162981.5</v>
      </c>
      <c r="C97" s="154">
        <v>112890.80000000005</v>
      </c>
      <c r="D97" s="154">
        <v>137839.4</v>
      </c>
      <c r="E97" s="182">
        <f>-83956.2-2038.7</f>
        <v>-85994.9</v>
      </c>
      <c r="F97" s="213">
        <f t="shared" si="6"/>
        <v>1753.8000000000466</v>
      </c>
      <c r="G97" s="130">
        <v>17713.400000000001</v>
      </c>
      <c r="H97" s="130" t="s">
        <v>88</v>
      </c>
      <c r="I97" s="558">
        <v>19467.2</v>
      </c>
    </row>
    <row r="98" spans="1:12" hidden="1">
      <c r="A98" s="87" t="s">
        <v>40</v>
      </c>
      <c r="B98" s="199">
        <v>-164099.6</v>
      </c>
      <c r="C98" s="154">
        <v>98423.900000000023</v>
      </c>
      <c r="D98" s="154">
        <v>143263.6</v>
      </c>
      <c r="E98" s="182">
        <f>-72848.2-3259.3</f>
        <v>-76107.5</v>
      </c>
      <c r="F98" s="213">
        <f t="shared" si="6"/>
        <v>1480.4000000000233</v>
      </c>
      <c r="G98" s="130">
        <v>29586.1</v>
      </c>
      <c r="H98" s="130" t="s">
        <v>88</v>
      </c>
      <c r="I98" s="558">
        <v>31066.6</v>
      </c>
    </row>
    <row r="99" spans="1:12" hidden="1">
      <c r="A99" s="87" t="s">
        <v>41</v>
      </c>
      <c r="B99" s="199">
        <v>-165509.4</v>
      </c>
      <c r="C99" s="154">
        <v>67729.100000000093</v>
      </c>
      <c r="D99" s="154">
        <v>164340</v>
      </c>
      <c r="E99" s="182">
        <f>-73205.9-1483.9</f>
        <v>-74689.799999999988</v>
      </c>
      <c r="F99" s="213">
        <f t="shared" si="6"/>
        <v>-8130.0999999998894</v>
      </c>
      <c r="G99" s="130">
        <v>31811.4</v>
      </c>
      <c r="H99" s="130" t="s">
        <v>88</v>
      </c>
      <c r="I99" s="558">
        <v>23681.300000000003</v>
      </c>
    </row>
    <row r="100" spans="1:12" hidden="1">
      <c r="A100" s="87" t="s">
        <v>42</v>
      </c>
      <c r="B100" s="199">
        <v>-168178.8</v>
      </c>
      <c r="C100" s="154">
        <v>57855.800000000047</v>
      </c>
      <c r="D100" s="154">
        <v>170991.3</v>
      </c>
      <c r="E100" s="182">
        <f>-73405.9-2692.4</f>
        <v>-76098.299999999988</v>
      </c>
      <c r="F100" s="213">
        <f t="shared" si="6"/>
        <v>-15429.999999999942</v>
      </c>
      <c r="G100" s="130">
        <v>44281</v>
      </c>
      <c r="H100" s="130" t="s">
        <v>88</v>
      </c>
      <c r="I100" s="558">
        <v>28851</v>
      </c>
    </row>
    <row r="101" spans="1:12" hidden="1">
      <c r="A101" s="87" t="s">
        <v>43</v>
      </c>
      <c r="B101" s="199">
        <v>-167039</v>
      </c>
      <c r="C101" s="154">
        <v>60535.400000000023</v>
      </c>
      <c r="D101" s="154">
        <v>164633.70000000001</v>
      </c>
      <c r="E101" s="182">
        <f>-75215.6-6195.7</f>
        <v>-81411.3</v>
      </c>
      <c r="F101" s="213">
        <f t="shared" si="6"/>
        <v>-23281.199999999968</v>
      </c>
      <c r="G101" s="130">
        <v>51288.800000000003</v>
      </c>
      <c r="H101" s="130" t="s">
        <v>88</v>
      </c>
      <c r="I101" s="558">
        <v>28007.600000000002</v>
      </c>
      <c r="L101" s="69" t="s">
        <v>116</v>
      </c>
    </row>
    <row r="102" spans="1:12" hidden="1">
      <c r="A102" s="87" t="s">
        <v>44</v>
      </c>
      <c r="B102" s="199">
        <v>-183642.4</v>
      </c>
      <c r="C102" s="154">
        <v>49308</v>
      </c>
      <c r="D102" s="154">
        <v>186067.6</v>
      </c>
      <c r="E102" s="182">
        <f>-79432.2-3685.5</f>
        <v>-83117.7</v>
      </c>
      <c r="F102" s="213">
        <f t="shared" si="6"/>
        <v>-31384.499999999985</v>
      </c>
      <c r="G102" s="130">
        <v>60598.8</v>
      </c>
      <c r="H102" s="130" t="s">
        <v>88</v>
      </c>
      <c r="I102" s="558">
        <v>29214.3</v>
      </c>
      <c r="L102" s="69" t="s">
        <v>116</v>
      </c>
    </row>
    <row r="103" spans="1:12" hidden="1">
      <c r="A103" s="87" t="s">
        <v>45</v>
      </c>
      <c r="B103" s="199">
        <v>-191205.6</v>
      </c>
      <c r="C103" s="154">
        <v>46872.799999999988</v>
      </c>
      <c r="D103" s="154">
        <v>206962.8</v>
      </c>
      <c r="E103" s="182">
        <f>-77255.6-2770.1</f>
        <v>-80025.700000000012</v>
      </c>
      <c r="F103" s="213">
        <f t="shared" si="6"/>
        <v>-17395.700000000041</v>
      </c>
      <c r="G103" s="130">
        <v>53762</v>
      </c>
      <c r="H103" s="130" t="s">
        <v>88</v>
      </c>
      <c r="I103" s="558">
        <v>36366.299999999996</v>
      </c>
      <c r="L103" s="69" t="s">
        <v>116</v>
      </c>
    </row>
    <row r="104" spans="1:12" hidden="1">
      <c r="A104" s="87" t="s">
        <v>46</v>
      </c>
      <c r="B104" s="199">
        <v>-196035.5</v>
      </c>
      <c r="C104" s="154">
        <v>39580.20000000007</v>
      </c>
      <c r="D104" s="154">
        <v>221346.3</v>
      </c>
      <c r="E104" s="182">
        <f>-72756.6-3216.8</f>
        <v>-75973.400000000009</v>
      </c>
      <c r="F104" s="213">
        <f t="shared" si="6"/>
        <v>-11082.399999999951</v>
      </c>
      <c r="G104" s="130">
        <v>40499.300000000003</v>
      </c>
      <c r="H104" s="130" t="s">
        <v>88</v>
      </c>
      <c r="I104" s="558">
        <v>29416.9</v>
      </c>
      <c r="L104" s="69" t="s">
        <v>116</v>
      </c>
    </row>
    <row r="105" spans="1:12" hidden="1">
      <c r="A105" s="87" t="s">
        <v>47</v>
      </c>
      <c r="B105" s="199">
        <v>-184428.3</v>
      </c>
      <c r="C105" s="154">
        <v>55414.5</v>
      </c>
      <c r="D105" s="154">
        <v>208067.1</v>
      </c>
      <c r="E105" s="182">
        <f>-72773.4-1849.9</f>
        <v>-74623.299999999988</v>
      </c>
      <c r="F105" s="213">
        <f t="shared" si="6"/>
        <v>4430.0000000000291</v>
      </c>
      <c r="G105" s="130">
        <v>29808.6</v>
      </c>
      <c r="H105" s="130" t="s">
        <v>88</v>
      </c>
      <c r="I105" s="558">
        <v>34238.699999999997</v>
      </c>
      <c r="L105" s="69" t="s">
        <v>116</v>
      </c>
    </row>
    <row r="106" spans="1:12" hidden="1">
      <c r="A106" s="87" t="s">
        <v>48</v>
      </c>
      <c r="B106" s="199">
        <v>-180543.7</v>
      </c>
      <c r="C106" s="154">
        <v>50733.300000000047</v>
      </c>
      <c r="D106" s="154">
        <v>233205.7</v>
      </c>
      <c r="E106" s="182">
        <f>-70895.8-6467.9</f>
        <v>-77363.7</v>
      </c>
      <c r="F106" s="213">
        <f t="shared" si="6"/>
        <v>26031.600000000049</v>
      </c>
      <c r="G106" s="130">
        <v>15843.6</v>
      </c>
      <c r="H106" s="130" t="s">
        <v>88</v>
      </c>
      <c r="I106" s="558">
        <v>41875.200000000004</v>
      </c>
      <c r="L106" s="69" t="s">
        <v>116</v>
      </c>
    </row>
    <row r="107" spans="1:12" hidden="1">
      <c r="A107" s="87" t="s">
        <v>49</v>
      </c>
      <c r="B107" s="199">
        <v>-180263.8</v>
      </c>
      <c r="C107" s="154">
        <v>50395.000000000058</v>
      </c>
      <c r="D107" s="154">
        <v>251672.2</v>
      </c>
      <c r="E107" s="182">
        <f>-75663.1-7806.4</f>
        <v>-83469.5</v>
      </c>
      <c r="F107" s="213">
        <f t="shared" si="6"/>
        <v>38333.900000000081</v>
      </c>
      <c r="G107" s="130">
        <v>9108</v>
      </c>
      <c r="H107" s="130" t="s">
        <v>88</v>
      </c>
      <c r="I107" s="558">
        <v>47441.9</v>
      </c>
    </row>
    <row r="108" spans="1:12" hidden="1">
      <c r="A108" s="87" t="s">
        <v>50</v>
      </c>
      <c r="B108" s="199">
        <v>-198246.9</v>
      </c>
      <c r="C108" s="154">
        <v>66928.899999999907</v>
      </c>
      <c r="D108" s="154">
        <v>285507.40000000002</v>
      </c>
      <c r="E108" s="182">
        <f>-101467.7-3214.3</f>
        <v>-104682</v>
      </c>
      <c r="F108" s="213">
        <f t="shared" si="6"/>
        <v>49507.399999999936</v>
      </c>
      <c r="G108" s="130" t="s">
        <v>88</v>
      </c>
      <c r="H108" s="130">
        <v>6800</v>
      </c>
      <c r="I108" s="558">
        <v>42707.4</v>
      </c>
    </row>
    <row r="109" spans="1:12" hidden="1">
      <c r="A109" s="87"/>
      <c r="B109" s="199"/>
      <c r="C109" s="154"/>
      <c r="D109" s="154"/>
      <c r="E109" s="557"/>
      <c r="F109" s="213"/>
      <c r="G109" s="130"/>
      <c r="H109" s="130"/>
      <c r="I109" s="558"/>
    </row>
    <row r="110" spans="1:12" hidden="1">
      <c r="A110" s="87" t="s">
        <v>55</v>
      </c>
      <c r="B110" s="199">
        <v>-182477.4</v>
      </c>
      <c r="C110" s="154">
        <v>55782.700000000012</v>
      </c>
      <c r="D110" s="154">
        <v>246528.5</v>
      </c>
      <c r="E110" s="182">
        <f>+-73113.8-1455.9</f>
        <v>-74569.7</v>
      </c>
      <c r="F110" s="213">
        <f t="shared" si="6"/>
        <v>45264.10000000002</v>
      </c>
      <c r="G110" s="130" t="s">
        <v>88</v>
      </c>
      <c r="H110" s="130" t="s">
        <v>88</v>
      </c>
      <c r="I110" s="558">
        <v>45264.100000000006</v>
      </c>
    </row>
    <row r="111" spans="1:12" hidden="1">
      <c r="A111" s="87" t="s">
        <v>40</v>
      </c>
      <c r="B111" s="199">
        <v>-188192.1</v>
      </c>
      <c r="C111" s="154">
        <v>97419.499999999825</v>
      </c>
      <c r="D111" s="154">
        <v>214938.4</v>
      </c>
      <c r="E111" s="182">
        <f>+-79619.2-6898.7</f>
        <v>-86517.9</v>
      </c>
      <c r="F111" s="213">
        <f t="shared" si="6"/>
        <v>37647.89999999982</v>
      </c>
      <c r="G111" s="130">
        <v>11804.3</v>
      </c>
      <c r="H111" s="130" t="s">
        <v>88</v>
      </c>
      <c r="I111" s="558">
        <v>49452.2</v>
      </c>
    </row>
    <row r="112" spans="1:12" hidden="1">
      <c r="A112" s="87" t="s">
        <v>41</v>
      </c>
      <c r="B112" s="199">
        <v>-189178.2</v>
      </c>
      <c r="C112" s="154">
        <v>48746.900000000023</v>
      </c>
      <c r="D112" s="154">
        <v>264998.8</v>
      </c>
      <c r="E112" s="182">
        <f>+-79059.1-5227</f>
        <v>-84286.1</v>
      </c>
      <c r="F112" s="213">
        <f t="shared" si="6"/>
        <v>40281.399999999994</v>
      </c>
      <c r="G112" s="130">
        <v>7592</v>
      </c>
      <c r="H112" s="130" t="s">
        <v>88</v>
      </c>
      <c r="I112" s="558">
        <v>47873.4</v>
      </c>
    </row>
    <row r="113" spans="1:9" hidden="1">
      <c r="A113" s="87" t="s">
        <v>42</v>
      </c>
      <c r="B113" s="199">
        <v>-192574</v>
      </c>
      <c r="C113" s="154">
        <v>44693.599999999977</v>
      </c>
      <c r="D113" s="154">
        <v>280277.5</v>
      </c>
      <c r="E113" s="182">
        <f>+-67571-7824.6</f>
        <v>-75395.600000000006</v>
      </c>
      <c r="F113" s="213">
        <f t="shared" si="6"/>
        <v>57001.499999999971</v>
      </c>
      <c r="G113" s="130" t="s">
        <v>88</v>
      </c>
      <c r="H113" s="130" t="s">
        <v>88</v>
      </c>
      <c r="I113" s="558">
        <v>57001.5</v>
      </c>
    </row>
    <row r="114" spans="1:9" hidden="1">
      <c r="A114" s="87" t="s">
        <v>43</v>
      </c>
      <c r="B114" s="199">
        <v>-197918.3</v>
      </c>
      <c r="C114" s="154">
        <v>64212.600000000035</v>
      </c>
      <c r="D114" s="154">
        <v>251958.7</v>
      </c>
      <c r="E114" s="182">
        <f>+-61567.7-7238.8</f>
        <v>-68806.5</v>
      </c>
      <c r="F114" s="213">
        <f t="shared" ref="F114:F134" si="7">B114+C114+D114+E114</f>
        <v>49446.500000000058</v>
      </c>
      <c r="G114" s="130" t="s">
        <v>88</v>
      </c>
      <c r="H114" s="130" t="s">
        <v>88</v>
      </c>
      <c r="I114" s="558">
        <v>49446.5</v>
      </c>
    </row>
    <row r="115" spans="1:9" hidden="1">
      <c r="A115" s="87" t="s">
        <v>44</v>
      </c>
      <c r="B115" s="199">
        <v>-205811.8</v>
      </c>
      <c r="C115" s="154">
        <v>56965.400000000081</v>
      </c>
      <c r="D115" s="154">
        <v>273884.2</v>
      </c>
      <c r="E115" s="182">
        <f>+-58391.3-7451.7</f>
        <v>-65843</v>
      </c>
      <c r="F115" s="213">
        <f t="shared" si="7"/>
        <v>59194.800000000105</v>
      </c>
      <c r="G115" s="130" t="s">
        <v>88</v>
      </c>
      <c r="H115" s="130" t="s">
        <v>88</v>
      </c>
      <c r="I115" s="558">
        <v>59194.8</v>
      </c>
    </row>
    <row r="116" spans="1:9" hidden="1">
      <c r="A116" s="87" t="s">
        <v>45</v>
      </c>
      <c r="B116" s="199">
        <v>-205754.8</v>
      </c>
      <c r="C116" s="154">
        <v>88260.700000000012</v>
      </c>
      <c r="D116" s="154">
        <v>211421.3</v>
      </c>
      <c r="E116" s="182">
        <f>+-48569-3719.7</f>
        <v>-52288.7</v>
      </c>
      <c r="F116" s="213">
        <f t="shared" si="7"/>
        <v>41638.500000000015</v>
      </c>
      <c r="G116" s="130">
        <v>2619.6999999999998</v>
      </c>
      <c r="H116" s="130" t="s">
        <v>88</v>
      </c>
      <c r="I116" s="558">
        <v>44258.2</v>
      </c>
    </row>
    <row r="117" spans="1:9" hidden="1">
      <c r="A117" s="87" t="s">
        <v>46</v>
      </c>
      <c r="B117" s="199">
        <v>-207966.5</v>
      </c>
      <c r="C117" s="154">
        <v>79468.300000000047</v>
      </c>
      <c r="D117" s="154">
        <v>254521.3</v>
      </c>
      <c r="E117" s="182">
        <f>+-50376.8-7555.4</f>
        <v>-57932.200000000004</v>
      </c>
      <c r="F117" s="213">
        <f t="shared" si="7"/>
        <v>68090.900000000023</v>
      </c>
      <c r="G117" s="130" t="s">
        <v>88</v>
      </c>
      <c r="H117" s="130" t="s">
        <v>88</v>
      </c>
      <c r="I117" s="558">
        <v>68090.899999999994</v>
      </c>
    </row>
    <row r="118" spans="1:9" hidden="1">
      <c r="A118" s="87" t="s">
        <v>47</v>
      </c>
      <c r="B118" s="199">
        <v>-201031</v>
      </c>
      <c r="C118" s="154">
        <v>78410.800000000105</v>
      </c>
      <c r="D118" s="154">
        <v>243601.6</v>
      </c>
      <c r="E118" s="182">
        <f>+-46532.7-4646.1</f>
        <v>-51178.799999999996</v>
      </c>
      <c r="F118" s="213">
        <f t="shared" si="7"/>
        <v>69802.600000000122</v>
      </c>
      <c r="G118" s="130">
        <v>61.3</v>
      </c>
      <c r="H118" s="130" t="s">
        <v>88</v>
      </c>
      <c r="I118" s="558">
        <v>69863.899999999994</v>
      </c>
    </row>
    <row r="119" spans="1:9" hidden="1">
      <c r="A119" s="87" t="s">
        <v>48</v>
      </c>
      <c r="B119" s="199">
        <v>-202480.1</v>
      </c>
      <c r="C119" s="154">
        <v>98627.29999999993</v>
      </c>
      <c r="D119" s="154">
        <v>234765.3</v>
      </c>
      <c r="E119" s="182">
        <f>+-59102.7-4787.4</f>
        <v>-63890.1</v>
      </c>
      <c r="F119" s="213">
        <f t="shared" si="7"/>
        <v>67022.399999999907</v>
      </c>
      <c r="G119" s="130" t="s">
        <v>88</v>
      </c>
      <c r="H119" s="130" t="s">
        <v>88</v>
      </c>
      <c r="I119" s="558">
        <v>67022.399999999994</v>
      </c>
    </row>
    <row r="120" spans="1:9" hidden="1">
      <c r="A120" s="87" t="s">
        <v>49</v>
      </c>
      <c r="B120" s="199">
        <v>-205821.3</v>
      </c>
      <c r="C120" s="154">
        <v>81256.100000000035</v>
      </c>
      <c r="D120" s="154">
        <v>249308.5</v>
      </c>
      <c r="E120" s="182">
        <f>+-48350-5381.5</f>
        <v>-53731.5</v>
      </c>
      <c r="F120" s="213">
        <f t="shared" si="7"/>
        <v>71011.800000000047</v>
      </c>
      <c r="G120" s="130" t="s">
        <v>88</v>
      </c>
      <c r="H120" s="130" t="s">
        <v>88</v>
      </c>
      <c r="I120" s="558">
        <v>71011.199999999997</v>
      </c>
    </row>
    <row r="121" spans="1:9" hidden="1">
      <c r="A121" s="87" t="s">
        <v>50</v>
      </c>
      <c r="B121" s="199">
        <v>-211683.7</v>
      </c>
      <c r="C121" s="154">
        <v>118133.79999999987</v>
      </c>
      <c r="D121" s="154">
        <v>229474</v>
      </c>
      <c r="E121" s="182">
        <f>+-46993.1-3546.2</f>
        <v>-50539.299999999996</v>
      </c>
      <c r="F121" s="213">
        <f t="shared" si="7"/>
        <v>85384.799999999872</v>
      </c>
      <c r="G121" s="130" t="s">
        <v>88</v>
      </c>
      <c r="H121" s="130" t="s">
        <v>88</v>
      </c>
      <c r="I121" s="558">
        <v>85384.8</v>
      </c>
    </row>
    <row r="122" spans="1:9" hidden="1">
      <c r="A122" s="222"/>
      <c r="B122" s="199"/>
      <c r="C122" s="154"/>
      <c r="D122" s="154"/>
      <c r="E122" s="557"/>
      <c r="F122" s="213"/>
      <c r="G122" s="130"/>
      <c r="H122" s="130"/>
      <c r="I122" s="558"/>
    </row>
    <row r="123" spans="1:9" hidden="1">
      <c r="A123" s="87" t="s">
        <v>54</v>
      </c>
      <c r="B123" s="199">
        <v>-202030.1</v>
      </c>
      <c r="C123" s="154">
        <v>102196.3000000001</v>
      </c>
      <c r="D123" s="154">
        <v>210861.1</v>
      </c>
      <c r="E123" s="182">
        <f>-42832.1-2444.7</f>
        <v>-45276.799999999996</v>
      </c>
      <c r="F123" s="213">
        <f t="shared" si="7"/>
        <v>65750.500000000116</v>
      </c>
      <c r="G123" s="130" t="s">
        <v>88</v>
      </c>
      <c r="H123" s="130" t="s">
        <v>88</v>
      </c>
      <c r="I123" s="558">
        <v>65750.5</v>
      </c>
    </row>
    <row r="124" spans="1:9" hidden="1">
      <c r="A124" s="87" t="s">
        <v>40</v>
      </c>
      <c r="B124" s="199">
        <v>-199255.9</v>
      </c>
      <c r="C124" s="154">
        <f>89941.5+1198.4</f>
        <v>91139.9</v>
      </c>
      <c r="D124" s="154">
        <v>214143.2</v>
      </c>
      <c r="E124" s="182">
        <f>-44019-2918.3</f>
        <v>-46937.3</v>
      </c>
      <c r="F124" s="213">
        <f t="shared" si="7"/>
        <v>59089.900000000009</v>
      </c>
      <c r="G124" s="130">
        <v>2029.8</v>
      </c>
      <c r="H124" s="130" t="s">
        <v>88</v>
      </c>
      <c r="I124" s="558">
        <v>61119.7</v>
      </c>
    </row>
    <row r="125" spans="1:9" hidden="1">
      <c r="A125" s="87" t="s">
        <v>41</v>
      </c>
      <c r="B125" s="199">
        <v>-201300.8</v>
      </c>
      <c r="C125" s="154">
        <f>93820.2+1198.4</f>
        <v>95018.599999999991</v>
      </c>
      <c r="D125" s="154">
        <v>243395.1</v>
      </c>
      <c r="E125" s="182">
        <f>-39099-1021.5</f>
        <v>-40120.5</v>
      </c>
      <c r="F125" s="213">
        <f t="shared" si="7"/>
        <v>96992.400000000023</v>
      </c>
      <c r="G125" s="130">
        <v>2239.9</v>
      </c>
      <c r="H125" s="130">
        <v>27200</v>
      </c>
      <c r="I125" s="558">
        <v>72032.3</v>
      </c>
    </row>
    <row r="126" spans="1:9" hidden="1">
      <c r="A126" s="87" t="s">
        <v>42</v>
      </c>
      <c r="B126" s="199">
        <v>-208491.1</v>
      </c>
      <c r="C126" s="154">
        <v>95155.5</v>
      </c>
      <c r="D126" s="154">
        <v>245992.6</v>
      </c>
      <c r="E126" s="182">
        <f>-40815.4-3099.1</f>
        <v>-43914.5</v>
      </c>
      <c r="F126" s="213">
        <f t="shared" si="7"/>
        <v>88742.5</v>
      </c>
      <c r="G126" s="130">
        <v>1914.8</v>
      </c>
      <c r="H126" s="130" t="s">
        <v>88</v>
      </c>
      <c r="I126" s="558">
        <v>90657.3</v>
      </c>
    </row>
    <row r="127" spans="1:9" hidden="1">
      <c r="A127" s="87" t="s">
        <v>43</v>
      </c>
      <c r="B127" s="199">
        <v>-217664.2</v>
      </c>
      <c r="C127" s="154">
        <v>85924</v>
      </c>
      <c r="D127" s="154">
        <v>267704</v>
      </c>
      <c r="E127" s="182">
        <f>-39102.5-1730.3</f>
        <v>-40832.800000000003</v>
      </c>
      <c r="F127" s="213">
        <f t="shared" si="7"/>
        <v>95130.999999999985</v>
      </c>
      <c r="G127" s="130">
        <v>1914.8</v>
      </c>
      <c r="H127" s="130" t="s">
        <v>88</v>
      </c>
      <c r="I127" s="558">
        <v>97046.7</v>
      </c>
    </row>
    <row r="128" spans="1:9" hidden="1">
      <c r="A128" s="87" t="s">
        <v>44</v>
      </c>
      <c r="B128" s="199">
        <v>-223781.8</v>
      </c>
      <c r="C128" s="154">
        <v>89071.5</v>
      </c>
      <c r="D128" s="154">
        <v>282645.40000000002</v>
      </c>
      <c r="E128" s="182">
        <f>-41531.4-6365</f>
        <v>-47896.4</v>
      </c>
      <c r="F128" s="213">
        <f t="shared" si="7"/>
        <v>100038.70000000004</v>
      </c>
      <c r="G128" s="130">
        <v>1914.8</v>
      </c>
      <c r="H128" s="130" t="s">
        <v>88</v>
      </c>
      <c r="I128" s="558">
        <v>101953.5</v>
      </c>
    </row>
    <row r="129" spans="1:9" hidden="1">
      <c r="A129" s="87" t="s">
        <v>45</v>
      </c>
      <c r="B129" s="199">
        <v>-239726</v>
      </c>
      <c r="C129" s="154">
        <v>70600.399999999994</v>
      </c>
      <c r="D129" s="154">
        <v>301711.59999999998</v>
      </c>
      <c r="E129" s="182">
        <f>-40297.2-6742.7</f>
        <v>-47039.899999999994</v>
      </c>
      <c r="F129" s="213">
        <f t="shared" si="7"/>
        <v>85546.099999999977</v>
      </c>
      <c r="G129" s="130">
        <v>1914.8</v>
      </c>
      <c r="H129" s="130" t="s">
        <v>88</v>
      </c>
      <c r="I129" s="558">
        <v>87460.9</v>
      </c>
    </row>
    <row r="130" spans="1:9" hidden="1">
      <c r="A130" s="87" t="s">
        <v>46</v>
      </c>
      <c r="B130" s="199">
        <v>-234022.8</v>
      </c>
      <c r="C130" s="154">
        <v>82609.899999999994</v>
      </c>
      <c r="D130" s="154">
        <v>286595.5</v>
      </c>
      <c r="E130" s="182">
        <f>-38724.6-2878.3</f>
        <v>-41602.9</v>
      </c>
      <c r="F130" s="213">
        <f t="shared" si="7"/>
        <v>93579.700000000012</v>
      </c>
      <c r="G130" s="130">
        <v>2000</v>
      </c>
      <c r="H130" s="130" t="s">
        <v>88</v>
      </c>
      <c r="I130" s="558">
        <v>95579.7</v>
      </c>
    </row>
    <row r="131" spans="1:9" hidden="1">
      <c r="A131" s="87" t="s">
        <v>47</v>
      </c>
      <c r="B131" s="199">
        <v>-222708</v>
      </c>
      <c r="C131" s="154">
        <v>142837.29999999999</v>
      </c>
      <c r="D131" s="154">
        <v>195393.9</v>
      </c>
      <c r="E131" s="182">
        <f>-32430.9-2133.6</f>
        <v>-34564.5</v>
      </c>
      <c r="F131" s="213">
        <f t="shared" si="7"/>
        <v>80958.699999999983</v>
      </c>
      <c r="G131" s="130">
        <v>2231.9</v>
      </c>
      <c r="H131" s="130" t="s">
        <v>88</v>
      </c>
      <c r="I131" s="558">
        <v>83190.600000000006</v>
      </c>
    </row>
    <row r="132" spans="1:9" hidden="1">
      <c r="A132" s="87" t="s">
        <v>48</v>
      </c>
      <c r="B132" s="199">
        <v>-222327.4</v>
      </c>
      <c r="C132" s="154">
        <v>138959.6</v>
      </c>
      <c r="D132" s="154">
        <v>263497.2</v>
      </c>
      <c r="E132" s="182">
        <f>-39646-5723.4</f>
        <v>-45369.4</v>
      </c>
      <c r="F132" s="213">
        <f t="shared" si="7"/>
        <v>134760.00000000003</v>
      </c>
      <c r="G132" s="130">
        <v>2000</v>
      </c>
      <c r="H132" s="130" t="s">
        <v>88</v>
      </c>
      <c r="I132" s="558">
        <v>136760</v>
      </c>
    </row>
    <row r="133" spans="1:9" hidden="1">
      <c r="A133" s="87" t="s">
        <v>49</v>
      </c>
      <c r="B133" s="199">
        <v>-219197.7</v>
      </c>
      <c r="C133" s="154">
        <v>134061.1</v>
      </c>
      <c r="D133" s="154">
        <v>227911.7</v>
      </c>
      <c r="E133" s="182">
        <f>-36273.6-1651.9</f>
        <v>-37925.5</v>
      </c>
      <c r="F133" s="213">
        <f t="shared" si="7"/>
        <v>104849.60000000001</v>
      </c>
      <c r="G133" s="130">
        <v>2565.8000000000002</v>
      </c>
      <c r="H133" s="130" t="s">
        <v>88</v>
      </c>
      <c r="I133" s="558">
        <v>107415.4</v>
      </c>
    </row>
    <row r="134" spans="1:9" hidden="1">
      <c r="A134" s="87" t="s">
        <v>50</v>
      </c>
      <c r="B134" s="199">
        <v>-227340.9</v>
      </c>
      <c r="C134" s="154">
        <v>128675.9</v>
      </c>
      <c r="D134" s="154">
        <v>263591.09999999998</v>
      </c>
      <c r="E134" s="182">
        <f>-41670.1-3535.9</f>
        <v>-45206</v>
      </c>
      <c r="F134" s="213">
        <f t="shared" si="7"/>
        <v>119720.09999999998</v>
      </c>
      <c r="G134" s="130">
        <v>2000</v>
      </c>
      <c r="H134" s="130" t="s">
        <v>88</v>
      </c>
      <c r="I134" s="558">
        <v>121720.1</v>
      </c>
    </row>
    <row r="135" spans="1:9" hidden="1">
      <c r="A135" s="87"/>
      <c r="B135" s="199"/>
      <c r="C135" s="154"/>
      <c r="D135" s="154"/>
      <c r="E135" s="182"/>
      <c r="F135" s="213"/>
      <c r="G135" s="130"/>
      <c r="H135" s="130"/>
      <c r="I135" s="558"/>
    </row>
    <row r="136" spans="1:9" hidden="1">
      <c r="A136" s="87" t="s">
        <v>51</v>
      </c>
      <c r="B136" s="199">
        <v>-221881.2</v>
      </c>
      <c r="C136" s="154">
        <v>127066.1</v>
      </c>
      <c r="D136" s="154">
        <v>219315.20000000001</v>
      </c>
      <c r="E136" s="182">
        <f>-32786.1-2641.8</f>
        <v>-35427.9</v>
      </c>
      <c r="F136" s="213">
        <f t="shared" ref="F136:F147" si="8">B136+C136+D136+E136</f>
        <v>89072.200000000012</v>
      </c>
      <c r="G136" s="130">
        <v>2463.6999999999998</v>
      </c>
      <c r="H136" s="130" t="s">
        <v>88</v>
      </c>
      <c r="I136" s="558">
        <v>91535.9</v>
      </c>
    </row>
    <row r="137" spans="1:9" hidden="1">
      <c r="A137" s="87" t="s">
        <v>52</v>
      </c>
      <c r="B137" s="199">
        <v>-223869.8</v>
      </c>
      <c r="C137" s="154">
        <v>122551</v>
      </c>
      <c r="D137" s="154">
        <v>266706.90000000002</v>
      </c>
      <c r="E137" s="182">
        <f>-31817.8-4130.5</f>
        <v>-35948.300000000003</v>
      </c>
      <c r="F137" s="213">
        <f t="shared" si="8"/>
        <v>129439.80000000003</v>
      </c>
      <c r="G137" s="130">
        <v>2000</v>
      </c>
      <c r="H137" s="130" t="s">
        <v>88</v>
      </c>
      <c r="I137" s="558">
        <v>131439.79999999999</v>
      </c>
    </row>
    <row r="138" spans="1:9" hidden="1">
      <c r="A138" s="87" t="s">
        <v>53</v>
      </c>
      <c r="B138" s="199">
        <v>-223176.6</v>
      </c>
      <c r="C138" s="154">
        <v>115526.39999999999</v>
      </c>
      <c r="D138" s="154">
        <v>215693.9</v>
      </c>
      <c r="E138" s="182">
        <f>-33506.9-4069.8</f>
        <v>-37576.700000000004</v>
      </c>
      <c r="F138" s="213">
        <f t="shared" si="8"/>
        <v>70466.999999999971</v>
      </c>
      <c r="G138" s="130">
        <v>3178.9</v>
      </c>
      <c r="H138" s="130" t="s">
        <v>88</v>
      </c>
      <c r="I138" s="558">
        <v>73645.899999999994</v>
      </c>
    </row>
    <row r="139" spans="1:9" hidden="1">
      <c r="A139" s="87" t="s">
        <v>603</v>
      </c>
      <c r="B139" s="199">
        <v>-238022.8</v>
      </c>
      <c r="C139" s="154">
        <v>93523.4</v>
      </c>
      <c r="D139" s="154">
        <v>242062.8</v>
      </c>
      <c r="E139" s="182">
        <f>-30729.6-4705.5</f>
        <v>-35435.1</v>
      </c>
      <c r="F139" s="213">
        <f t="shared" si="8"/>
        <v>62128.299999999996</v>
      </c>
      <c r="G139" s="130">
        <v>12000</v>
      </c>
      <c r="H139" s="130" t="s">
        <v>88</v>
      </c>
      <c r="I139" s="558">
        <v>74128.3</v>
      </c>
    </row>
    <row r="140" spans="1:9" hidden="1">
      <c r="A140" s="87" t="s">
        <v>609</v>
      </c>
      <c r="B140" s="199">
        <v>-248023.4</v>
      </c>
      <c r="C140" s="154">
        <v>96969.1</v>
      </c>
      <c r="D140" s="154">
        <v>258484.9</v>
      </c>
      <c r="E140" s="182">
        <f>-33868.9-5077.9</f>
        <v>-38946.800000000003</v>
      </c>
      <c r="F140" s="213">
        <f t="shared" si="8"/>
        <v>68483.8</v>
      </c>
      <c r="G140" s="130">
        <v>2911.5</v>
      </c>
      <c r="H140" s="130" t="s">
        <v>88</v>
      </c>
      <c r="I140" s="558">
        <v>71395.3</v>
      </c>
    </row>
    <row r="141" spans="1:9" hidden="1">
      <c r="A141" s="87" t="s">
        <v>44</v>
      </c>
      <c r="B141" s="199">
        <v>-254961.4</v>
      </c>
      <c r="C141" s="154">
        <v>11927.5</v>
      </c>
      <c r="D141" s="154">
        <v>318199.59999999998</v>
      </c>
      <c r="E141" s="182">
        <f>-27843.4-3620.6</f>
        <v>-31464</v>
      </c>
      <c r="F141" s="213">
        <f t="shared" si="8"/>
        <v>43701.699999999983</v>
      </c>
      <c r="G141" s="130">
        <v>22000</v>
      </c>
      <c r="H141" s="130" t="s">
        <v>88</v>
      </c>
      <c r="I141" s="558">
        <v>65701.7</v>
      </c>
    </row>
    <row r="142" spans="1:9" hidden="1">
      <c r="A142" s="87" t="s">
        <v>617</v>
      </c>
      <c r="B142" s="199">
        <v>-238905.2</v>
      </c>
      <c r="C142" s="154">
        <v>-2305.6</v>
      </c>
      <c r="D142" s="154">
        <v>340759.7</v>
      </c>
      <c r="E142" s="182">
        <f>-21794.4-2912.2</f>
        <v>-24706.600000000002</v>
      </c>
      <c r="F142" s="213">
        <f t="shared" si="8"/>
        <v>74842.299999999988</v>
      </c>
      <c r="G142" s="130">
        <v>8000</v>
      </c>
      <c r="H142" s="130" t="s">
        <v>88</v>
      </c>
      <c r="I142" s="558">
        <v>82842.3</v>
      </c>
    </row>
    <row r="143" spans="1:9" hidden="1">
      <c r="A143" s="87" t="s">
        <v>623</v>
      </c>
      <c r="B143" s="199">
        <v>-230953.7</v>
      </c>
      <c r="C143" s="154">
        <v>-43032.3</v>
      </c>
      <c r="D143" s="154">
        <v>375105.6</v>
      </c>
      <c r="E143" s="182">
        <f>-18758.8-1485.9</f>
        <v>-20244.7</v>
      </c>
      <c r="F143" s="213">
        <f t="shared" si="8"/>
        <v>80874.89999999998</v>
      </c>
      <c r="G143" s="130">
        <v>12000</v>
      </c>
      <c r="H143" s="130" t="s">
        <v>88</v>
      </c>
      <c r="I143" s="558">
        <v>92874.9</v>
      </c>
    </row>
    <row r="144" spans="1:9" hidden="1">
      <c r="A144" s="87" t="s">
        <v>47</v>
      </c>
      <c r="B144" s="199">
        <v>-216072.1</v>
      </c>
      <c r="C144" s="154">
        <v>-77050.100000000006</v>
      </c>
      <c r="D144" s="154">
        <v>398227.1</v>
      </c>
      <c r="E144" s="182">
        <f>-19780.1-8638</f>
        <v>-28418.1</v>
      </c>
      <c r="F144" s="213">
        <f t="shared" si="8"/>
        <v>76686.799999999959</v>
      </c>
      <c r="G144" s="130">
        <v>6840.3</v>
      </c>
      <c r="H144" s="130" t="s">
        <v>88</v>
      </c>
      <c r="I144" s="558">
        <v>83527.100000000006</v>
      </c>
    </row>
    <row r="145" spans="1:9" hidden="1">
      <c r="A145" s="87" t="s">
        <v>631</v>
      </c>
      <c r="B145" s="199">
        <v>-225234.3</v>
      </c>
      <c r="C145" s="154">
        <v>-58413.9</v>
      </c>
      <c r="D145" s="154">
        <v>430637.3</v>
      </c>
      <c r="E145" s="182">
        <f>-27154.1-6395.9</f>
        <v>-33550</v>
      </c>
      <c r="F145" s="213">
        <f t="shared" si="8"/>
        <v>113439.09999999998</v>
      </c>
      <c r="G145" s="130">
        <v>2000</v>
      </c>
      <c r="H145" s="130" t="s">
        <v>88</v>
      </c>
      <c r="I145" s="558">
        <v>115439.1</v>
      </c>
    </row>
    <row r="146" spans="1:9" hidden="1">
      <c r="A146" s="87" t="s">
        <v>654</v>
      </c>
      <c r="B146" s="199">
        <v>-221763.4</v>
      </c>
      <c r="C146" s="154">
        <v>-112837.1</v>
      </c>
      <c r="D146" s="154">
        <v>437738.6</v>
      </c>
      <c r="E146" s="182">
        <f>-24385.6-4726.9</f>
        <v>-29112.5</v>
      </c>
      <c r="F146" s="213">
        <f t="shared" si="8"/>
        <v>74025.599999999977</v>
      </c>
      <c r="G146" s="130">
        <v>18493.2</v>
      </c>
      <c r="H146" s="130" t="s">
        <v>88</v>
      </c>
      <c r="I146" s="558">
        <v>92518.8</v>
      </c>
    </row>
    <row r="147" spans="1:9" hidden="1">
      <c r="A147" s="87" t="s">
        <v>665</v>
      </c>
      <c r="B147" s="199">
        <v>-230723.7</v>
      </c>
      <c r="C147" s="154">
        <v>-132985.60000000001</v>
      </c>
      <c r="D147" s="154">
        <v>452581.6</v>
      </c>
      <c r="E147" s="182">
        <f>-19763.3-4348.5</f>
        <v>-24111.8</v>
      </c>
      <c r="F147" s="213">
        <f t="shared" si="8"/>
        <v>64760.499999999927</v>
      </c>
      <c r="G147" s="130">
        <v>21800</v>
      </c>
      <c r="H147" s="130" t="s">
        <v>88</v>
      </c>
      <c r="I147" s="558">
        <v>86560.5</v>
      </c>
    </row>
    <row r="148" spans="1:9" hidden="1">
      <c r="A148" s="87"/>
      <c r="B148" s="199"/>
      <c r="C148" s="154"/>
      <c r="D148" s="154"/>
      <c r="E148" s="182"/>
      <c r="F148" s="213"/>
      <c r="G148" s="130"/>
      <c r="H148" s="130"/>
      <c r="I148" s="558"/>
    </row>
    <row r="149" spans="1:9" hidden="1">
      <c r="A149" s="87" t="s">
        <v>39</v>
      </c>
      <c r="B149" s="199">
        <v>-226455.9</v>
      </c>
      <c r="C149" s="154">
        <v>-135856</v>
      </c>
      <c r="D149" s="154">
        <v>440990.7</v>
      </c>
      <c r="E149" s="182">
        <f>-17061.6-2382.5</f>
        <v>-19444.099999999999</v>
      </c>
      <c r="F149" s="213">
        <f t="shared" ref="F149:F181" si="9">B149+C149+D149+E149</f>
        <v>59234.69999999999</v>
      </c>
      <c r="G149" s="130">
        <v>39705</v>
      </c>
      <c r="H149" s="130" t="s">
        <v>88</v>
      </c>
      <c r="I149" s="558">
        <v>98939.7</v>
      </c>
    </row>
    <row r="150" spans="1:9" hidden="1">
      <c r="A150" s="87" t="s">
        <v>677</v>
      </c>
      <c r="B150" s="199">
        <v>-228222</v>
      </c>
      <c r="C150" s="154">
        <v>-166598.1</v>
      </c>
      <c r="D150" s="154">
        <v>468504.3</v>
      </c>
      <c r="E150" s="182">
        <f>-25311.4-9144.2</f>
        <v>-34455.600000000006</v>
      </c>
      <c r="F150" s="213">
        <f t="shared" si="9"/>
        <v>39228.600000000006</v>
      </c>
      <c r="G150" s="130">
        <v>45964.800000000003</v>
      </c>
      <c r="H150" s="130" t="s">
        <v>88</v>
      </c>
      <c r="I150" s="558">
        <v>85193.4</v>
      </c>
    </row>
    <row r="151" spans="1:9" hidden="1">
      <c r="A151" s="87" t="s">
        <v>41</v>
      </c>
      <c r="B151" s="199">
        <v>-219964.2</v>
      </c>
      <c r="C151" s="154">
        <v>-194954</v>
      </c>
      <c r="D151" s="154">
        <v>453694.6</v>
      </c>
      <c r="E151" s="182">
        <f>-12796-2793.9</f>
        <v>-15589.9</v>
      </c>
      <c r="F151" s="213">
        <f t="shared" si="9"/>
        <v>23186.499999999964</v>
      </c>
      <c r="G151" s="130">
        <v>73850</v>
      </c>
      <c r="H151" s="130" t="s">
        <v>88</v>
      </c>
      <c r="I151" s="558">
        <v>97036.5</v>
      </c>
    </row>
    <row r="152" spans="1:9" hidden="1">
      <c r="A152" s="87" t="s">
        <v>692</v>
      </c>
      <c r="B152" s="199">
        <v>-230212</v>
      </c>
      <c r="C152" s="154">
        <v>-175516.2</v>
      </c>
      <c r="D152" s="154">
        <v>456044.3</v>
      </c>
      <c r="E152" s="182">
        <f>-6819.1-3167.7</f>
        <v>-9986.7999999999993</v>
      </c>
      <c r="F152" s="213">
        <f t="shared" si="9"/>
        <v>40329.299999999974</v>
      </c>
      <c r="G152" s="130">
        <v>74200</v>
      </c>
      <c r="H152" s="130" t="s">
        <v>88</v>
      </c>
      <c r="I152" s="558">
        <v>114529.3</v>
      </c>
    </row>
    <row r="153" spans="1:9" hidden="1">
      <c r="A153" s="87" t="s">
        <v>701</v>
      </c>
      <c r="B153" s="199">
        <v>-230195.9</v>
      </c>
      <c r="C153" s="154">
        <v>-195743.4</v>
      </c>
      <c r="D153" s="154">
        <v>474258.1</v>
      </c>
      <c r="E153" s="182">
        <f>-16432.5-7690.2</f>
        <v>-24122.7</v>
      </c>
      <c r="F153" s="213">
        <f t="shared" si="9"/>
        <v>24196.099999999988</v>
      </c>
      <c r="G153" s="130">
        <v>84000</v>
      </c>
      <c r="H153" s="130" t="s">
        <v>88</v>
      </c>
      <c r="I153" s="558">
        <v>108196.1</v>
      </c>
    </row>
    <row r="154" spans="1:9" hidden="1">
      <c r="A154" s="87" t="s">
        <v>713</v>
      </c>
      <c r="B154" s="199">
        <v>-255415.5</v>
      </c>
      <c r="C154" s="154">
        <v>-186003.4</v>
      </c>
      <c r="D154" s="154">
        <v>457106.4</v>
      </c>
      <c r="E154" s="182">
        <f>-4287.5-13814.7</f>
        <v>-18102.2</v>
      </c>
      <c r="F154" s="213">
        <f t="shared" si="9"/>
        <v>-2414.7000000000007</v>
      </c>
      <c r="G154" s="130">
        <v>103000</v>
      </c>
      <c r="H154" s="130" t="s">
        <v>88</v>
      </c>
      <c r="I154" s="558">
        <v>100585.3</v>
      </c>
    </row>
    <row r="155" spans="1:9">
      <c r="A155" s="87" t="s">
        <v>735</v>
      </c>
      <c r="B155" s="199">
        <v>-265902.59999999998</v>
      </c>
      <c r="C155" s="154">
        <v>-186226.3</v>
      </c>
      <c r="D155" s="154">
        <v>464133.8</v>
      </c>
      <c r="E155" s="182">
        <f>-5173.3-16530.8</f>
        <v>-21704.1</v>
      </c>
      <c r="F155" s="213">
        <f t="shared" si="9"/>
        <v>-9699.1999999999753</v>
      </c>
      <c r="G155" s="130">
        <v>113437</v>
      </c>
      <c r="H155" s="130" t="s">
        <v>88</v>
      </c>
      <c r="I155" s="558">
        <v>103737.8</v>
      </c>
    </row>
    <row r="156" spans="1:9">
      <c r="A156" s="87" t="s">
        <v>46</v>
      </c>
      <c r="B156" s="199">
        <v>-259211.2</v>
      </c>
      <c r="C156" s="154">
        <v>-192550.6</v>
      </c>
      <c r="D156" s="154">
        <v>464665.4</v>
      </c>
      <c r="E156" s="182">
        <f>-4689.8-12030.1</f>
        <v>-16719.900000000001</v>
      </c>
      <c r="F156" s="213">
        <f t="shared" si="9"/>
        <v>-3816.3000000000247</v>
      </c>
      <c r="G156" s="130">
        <v>103883</v>
      </c>
      <c r="H156" s="130" t="s">
        <v>88</v>
      </c>
      <c r="I156" s="558">
        <v>100066.7</v>
      </c>
    </row>
    <row r="157" spans="1:9">
      <c r="A157" s="87" t="s">
        <v>47</v>
      </c>
      <c r="B157" s="199">
        <v>-254499.1</v>
      </c>
      <c r="C157" s="154">
        <v>-181601</v>
      </c>
      <c r="D157" s="154">
        <v>457923.6</v>
      </c>
      <c r="E157" s="182">
        <f>-4906.1-9322.9</f>
        <v>-14229</v>
      </c>
      <c r="F157" s="213">
        <f t="shared" si="9"/>
        <v>7594.5</v>
      </c>
      <c r="G157" s="130">
        <v>120705</v>
      </c>
      <c r="H157" s="130" t="s">
        <v>88</v>
      </c>
      <c r="I157" s="558">
        <v>128299.5</v>
      </c>
    </row>
    <row r="158" spans="1:9">
      <c r="A158" s="87" t="s">
        <v>48</v>
      </c>
      <c r="B158" s="199">
        <v>-254519.8</v>
      </c>
      <c r="C158" s="154">
        <v>-181634.8</v>
      </c>
      <c r="D158" s="154">
        <v>470608.2</v>
      </c>
      <c r="E158" s="182">
        <f>-3511.1-18135.1</f>
        <v>-21646.199999999997</v>
      </c>
      <c r="F158" s="213">
        <f t="shared" si="9"/>
        <v>12807.400000000038</v>
      </c>
      <c r="G158" s="130">
        <v>103274</v>
      </c>
      <c r="H158" s="130" t="s">
        <v>88</v>
      </c>
      <c r="I158" s="558">
        <v>116081.4</v>
      </c>
    </row>
    <row r="159" spans="1:9">
      <c r="A159" s="87" t="s">
        <v>49</v>
      </c>
      <c r="B159" s="199">
        <v>-255283.4</v>
      </c>
      <c r="C159" s="154">
        <v>-174078</v>
      </c>
      <c r="D159" s="154">
        <v>494743.1</v>
      </c>
      <c r="E159" s="182">
        <f>-8980.1-31229</f>
        <v>-40209.1</v>
      </c>
      <c r="F159" s="213">
        <f t="shared" si="9"/>
        <v>25172.599999999955</v>
      </c>
      <c r="G159" s="130">
        <v>103050</v>
      </c>
      <c r="H159" s="130" t="s">
        <v>88</v>
      </c>
      <c r="I159" s="558">
        <v>128222.6</v>
      </c>
    </row>
    <row r="160" spans="1:9">
      <c r="A160" s="87" t="s">
        <v>50</v>
      </c>
      <c r="B160" s="199">
        <v>-267512.5</v>
      </c>
      <c r="C160" s="154">
        <v>-162073.79999999999</v>
      </c>
      <c r="D160" s="154">
        <v>509226.2</v>
      </c>
      <c r="E160" s="182">
        <f>-6489.8-24271.6</f>
        <v>-30761.399999999998</v>
      </c>
      <c r="F160" s="213">
        <f t="shared" si="9"/>
        <v>48878.500000000029</v>
      </c>
      <c r="G160" s="130">
        <v>89000</v>
      </c>
      <c r="H160" s="130" t="s">
        <v>88</v>
      </c>
      <c r="I160" s="558">
        <v>137878.5</v>
      </c>
    </row>
    <row r="161" spans="1:9">
      <c r="A161" s="87"/>
      <c r="B161" s="199"/>
      <c r="C161" s="154"/>
      <c r="D161" s="154"/>
      <c r="E161" s="182"/>
      <c r="F161" s="213"/>
      <c r="G161" s="130"/>
      <c r="H161" s="130"/>
      <c r="I161" s="558"/>
    </row>
    <row r="162" spans="1:9">
      <c r="A162" s="87" t="s">
        <v>36</v>
      </c>
      <c r="B162" s="199">
        <v>-257413.7</v>
      </c>
      <c r="C162" s="154">
        <v>-140840.69999999992</v>
      </c>
      <c r="D162" s="154">
        <v>518823.9</v>
      </c>
      <c r="E162" s="182">
        <v>-44987.900000000009</v>
      </c>
      <c r="F162" s="213">
        <f t="shared" si="9"/>
        <v>75581.600000000108</v>
      </c>
      <c r="G162" s="130">
        <v>116936.4</v>
      </c>
      <c r="H162" s="130" t="s">
        <v>88</v>
      </c>
      <c r="I162" s="558">
        <v>192526.1</v>
      </c>
    </row>
    <row r="163" spans="1:9">
      <c r="A163" s="87" t="s">
        <v>37</v>
      </c>
      <c r="B163" s="199">
        <v>-258459.9</v>
      </c>
      <c r="C163" s="154">
        <v>-116167.00000000003</v>
      </c>
      <c r="D163" s="154">
        <v>494749</v>
      </c>
      <c r="E163" s="182">
        <v>-49348.899999999965</v>
      </c>
      <c r="F163" s="213">
        <f t="shared" si="9"/>
        <v>70773.200000000012</v>
      </c>
      <c r="G163" s="130">
        <v>96000</v>
      </c>
      <c r="H163" s="130" t="s">
        <v>88</v>
      </c>
      <c r="I163" s="558">
        <v>166781.29999999999</v>
      </c>
    </row>
    <row r="164" spans="1:9">
      <c r="A164" s="87" t="s">
        <v>38</v>
      </c>
      <c r="B164" s="199">
        <v>-267562.40000000002</v>
      </c>
      <c r="C164" s="154">
        <v>-133135.90000000002</v>
      </c>
      <c r="D164" s="154">
        <v>544205.1</v>
      </c>
      <c r="E164" s="182">
        <v>-62097.699999999968</v>
      </c>
      <c r="F164" s="213">
        <f t="shared" si="9"/>
        <v>81409.099999999962</v>
      </c>
      <c r="G164" s="130">
        <v>88840</v>
      </c>
      <c r="H164" s="130" t="s">
        <v>88</v>
      </c>
      <c r="I164" s="558">
        <v>170257.3</v>
      </c>
    </row>
    <row r="165" spans="1:9">
      <c r="A165" s="87" t="s">
        <v>42</v>
      </c>
      <c r="B165" s="199">
        <v>-269369.5</v>
      </c>
      <c r="C165" s="154">
        <v>-140187.20000000004</v>
      </c>
      <c r="D165" s="154">
        <v>534377.29999999993</v>
      </c>
      <c r="E165" s="182">
        <v>-63272.3</v>
      </c>
      <c r="F165" s="213">
        <f t="shared" si="9"/>
        <v>61548.299999999857</v>
      </c>
      <c r="G165" s="130">
        <v>101000</v>
      </c>
      <c r="H165" s="130" t="s">
        <v>88</v>
      </c>
      <c r="I165" s="558">
        <v>162556.5</v>
      </c>
    </row>
    <row r="166" spans="1:9">
      <c r="A166" s="87" t="s">
        <v>606</v>
      </c>
      <c r="B166" s="199">
        <v>-276838.09999999998</v>
      </c>
      <c r="C166" s="154">
        <v>-104424.49999999997</v>
      </c>
      <c r="D166" s="154">
        <v>505175.30000000005</v>
      </c>
      <c r="E166" s="182">
        <v>-71402.700000000012</v>
      </c>
      <c r="F166" s="213">
        <f t="shared" si="9"/>
        <v>52510.000000000058</v>
      </c>
      <c r="G166" s="130">
        <v>101165.4</v>
      </c>
      <c r="H166" s="130" t="s">
        <v>88</v>
      </c>
      <c r="I166" s="558">
        <v>153683.5</v>
      </c>
    </row>
    <row r="167" spans="1:9">
      <c r="A167" s="87" t="s">
        <v>62</v>
      </c>
      <c r="B167" s="199">
        <v>-301775.5</v>
      </c>
      <c r="C167" s="154">
        <v>-140476.99999999997</v>
      </c>
      <c r="D167" s="154">
        <v>542983.60000000009</v>
      </c>
      <c r="E167" s="182">
        <v>-66884.000000000015</v>
      </c>
      <c r="F167" s="213">
        <f t="shared" si="9"/>
        <v>33847.100000000079</v>
      </c>
      <c r="G167" s="130">
        <v>70737.5</v>
      </c>
      <c r="H167" s="130" t="s">
        <v>88</v>
      </c>
      <c r="I167" s="558">
        <v>104584.6</v>
      </c>
    </row>
    <row r="168" spans="1:9">
      <c r="A168" s="87" t="s">
        <v>614</v>
      </c>
      <c r="B168" s="199">
        <v>-304085.59999999998</v>
      </c>
      <c r="C168" s="154">
        <v>-165541.40000000002</v>
      </c>
      <c r="D168" s="154">
        <v>517423.09999999992</v>
      </c>
      <c r="E168" s="182">
        <v>-61611.099999999962</v>
      </c>
      <c r="F168" s="213">
        <f t="shared" si="9"/>
        <v>-13815.000000000044</v>
      </c>
      <c r="G168" s="130">
        <v>112898.5</v>
      </c>
      <c r="H168" s="130" t="s">
        <v>88</v>
      </c>
      <c r="I168" s="558">
        <v>99083.5</v>
      </c>
    </row>
    <row r="169" spans="1:9">
      <c r="A169" s="87" t="s">
        <v>620</v>
      </c>
      <c r="B169" s="199">
        <v>-307668.59999999998</v>
      </c>
      <c r="C169" s="154">
        <v>-141377.29999999999</v>
      </c>
      <c r="D169" s="154">
        <v>527189.89999999991</v>
      </c>
      <c r="E169" s="182">
        <v>-42270.7</v>
      </c>
      <c r="F169" s="213">
        <f t="shared" si="9"/>
        <v>35873.299999999945</v>
      </c>
      <c r="G169" s="130">
        <v>107910</v>
      </c>
      <c r="H169" s="130" t="s">
        <v>88</v>
      </c>
      <c r="I169" s="558">
        <v>143783.29999999999</v>
      </c>
    </row>
    <row r="170" spans="1:9">
      <c r="A170" s="87" t="s">
        <v>63</v>
      </c>
      <c r="B170" s="199">
        <v>-297683.09999999998</v>
      </c>
      <c r="C170" s="154">
        <v>-134023.79999999999</v>
      </c>
      <c r="D170" s="154">
        <v>509123.6</v>
      </c>
      <c r="E170" s="182">
        <v>-41688.6</v>
      </c>
      <c r="F170" s="213">
        <f t="shared" si="9"/>
        <v>35728.100000000013</v>
      </c>
      <c r="G170" s="130">
        <v>123150</v>
      </c>
      <c r="H170" s="130" t="s">
        <v>88</v>
      </c>
      <c r="I170" s="558">
        <v>158878.1</v>
      </c>
    </row>
    <row r="171" spans="1:9">
      <c r="A171" s="87" t="s">
        <v>632</v>
      </c>
      <c r="B171" s="199">
        <v>-289035.90000000002</v>
      </c>
      <c r="C171" s="154">
        <v>-126420.5</v>
      </c>
      <c r="D171" s="154">
        <v>512627.1</v>
      </c>
      <c r="E171" s="182">
        <f>-19812.3-32991</f>
        <v>-52803.3</v>
      </c>
      <c r="F171" s="213">
        <f t="shared" si="9"/>
        <v>44367.399999999951</v>
      </c>
      <c r="G171" s="130">
        <v>118810</v>
      </c>
      <c r="H171" s="130" t="s">
        <v>88</v>
      </c>
      <c r="I171" s="558">
        <v>163177.4</v>
      </c>
    </row>
    <row r="172" spans="1:9">
      <c r="A172" s="87" t="s">
        <v>653</v>
      </c>
      <c r="B172" s="199">
        <v>-290455.59999999998</v>
      </c>
      <c r="C172" s="154">
        <v>-145157.29999999999</v>
      </c>
      <c r="D172" s="154">
        <v>504296.2</v>
      </c>
      <c r="E172" s="182">
        <f>-20699.8-18134.9</f>
        <v>-38834.699999999997</v>
      </c>
      <c r="F172" s="213">
        <f t="shared" si="9"/>
        <v>29848.600000000049</v>
      </c>
      <c r="G172" s="130">
        <v>134100</v>
      </c>
      <c r="H172" s="130" t="s">
        <v>88</v>
      </c>
      <c r="I172" s="558">
        <v>163948.6</v>
      </c>
    </row>
    <row r="173" spans="1:9">
      <c r="A173" s="87" t="s">
        <v>64</v>
      </c>
      <c r="B173" s="199">
        <v>-308146.3</v>
      </c>
      <c r="C173" s="154">
        <v>-144480.4</v>
      </c>
      <c r="D173" s="154">
        <v>528460.39999999991</v>
      </c>
      <c r="E173" s="182">
        <v>-12488.399999999958</v>
      </c>
      <c r="F173" s="213">
        <f t="shared" si="9"/>
        <v>63345.299999999996</v>
      </c>
      <c r="G173" s="130">
        <v>159990</v>
      </c>
      <c r="H173" s="130" t="s">
        <v>88</v>
      </c>
      <c r="I173" s="558">
        <v>223335.3</v>
      </c>
    </row>
    <row r="174" spans="1:9">
      <c r="A174" s="87"/>
      <c r="B174" s="199"/>
      <c r="C174" s="154"/>
      <c r="D174" s="154"/>
      <c r="E174" s="182"/>
      <c r="F174" s="213"/>
      <c r="G174" s="130"/>
      <c r="H174" s="130"/>
      <c r="I174" s="558"/>
    </row>
    <row r="175" spans="1:9">
      <c r="A175" s="552" t="s">
        <v>671</v>
      </c>
      <c r="B175" s="199">
        <v>-293218</v>
      </c>
      <c r="C175" s="154">
        <v>-165010.80000000005</v>
      </c>
      <c r="D175" s="154">
        <v>495587.20000000007</v>
      </c>
      <c r="E175" s="182">
        <v>-6706.9000000000015</v>
      </c>
      <c r="F175" s="213">
        <f t="shared" si="9"/>
        <v>30651.500000000022</v>
      </c>
      <c r="G175" s="130">
        <v>174680</v>
      </c>
      <c r="H175" s="130" t="s">
        <v>88</v>
      </c>
      <c r="I175" s="558">
        <v>205331.5</v>
      </c>
    </row>
    <row r="176" spans="1:9">
      <c r="A176" s="552" t="s">
        <v>37</v>
      </c>
      <c r="B176" s="199">
        <v>-298489.90000000002</v>
      </c>
      <c r="C176" s="154">
        <v>-136269.4</v>
      </c>
      <c r="D176" s="154">
        <v>492047.40000000008</v>
      </c>
      <c r="E176" s="182">
        <v>-38518.900000000031</v>
      </c>
      <c r="F176" s="213">
        <f t="shared" si="9"/>
        <v>18769.200000000004</v>
      </c>
      <c r="G176" s="130">
        <v>172670</v>
      </c>
      <c r="H176" s="130" t="s">
        <v>88</v>
      </c>
      <c r="I176" s="558">
        <v>191439.2</v>
      </c>
    </row>
    <row r="177" spans="1:10">
      <c r="A177" s="552" t="s">
        <v>38</v>
      </c>
      <c r="B177" s="199">
        <v>-302042.8</v>
      </c>
      <c r="C177" s="154">
        <v>-180504.6</v>
      </c>
      <c r="D177" s="154">
        <v>484199.3</v>
      </c>
      <c r="E177" s="182">
        <v>-33650.400000000023</v>
      </c>
      <c r="F177" s="213">
        <f t="shared" si="9"/>
        <v>-31998.500000000058</v>
      </c>
      <c r="G177" s="130">
        <v>185103.2</v>
      </c>
      <c r="H177" s="130" t="s">
        <v>88</v>
      </c>
      <c r="I177" s="558">
        <v>153104.70000000001</v>
      </c>
    </row>
    <row r="178" spans="1:10">
      <c r="A178" s="552" t="s">
        <v>602</v>
      </c>
      <c r="B178" s="199">
        <v>-300253.3</v>
      </c>
      <c r="C178" s="154">
        <v>-152710.89999999997</v>
      </c>
      <c r="D178" s="154">
        <v>440070.80000000005</v>
      </c>
      <c r="E178" s="182">
        <v>-28336.200000000015</v>
      </c>
      <c r="F178" s="213">
        <f t="shared" si="9"/>
        <v>-41229.599999999919</v>
      </c>
      <c r="G178" s="130">
        <v>242832.2</v>
      </c>
      <c r="H178" s="130" t="s">
        <v>88</v>
      </c>
      <c r="I178" s="558">
        <v>201602.6</v>
      </c>
    </row>
    <row r="179" spans="1:10">
      <c r="A179" s="552" t="s">
        <v>606</v>
      </c>
      <c r="B179" s="199">
        <v>-305467.7</v>
      </c>
      <c r="C179" s="154">
        <v>-172751.39999999997</v>
      </c>
      <c r="D179" s="154">
        <v>437935.50000000006</v>
      </c>
      <c r="E179" s="182">
        <v>-12608.9</v>
      </c>
      <c r="F179" s="213">
        <f t="shared" si="9"/>
        <v>-52892.49999999992</v>
      </c>
      <c r="G179" s="130">
        <v>240220</v>
      </c>
      <c r="H179" s="130" t="s">
        <v>88</v>
      </c>
      <c r="I179" s="558">
        <v>187327.5</v>
      </c>
    </row>
    <row r="180" spans="1:10" s="1051" customFormat="1">
      <c r="A180" s="552" t="s">
        <v>62</v>
      </c>
      <c r="B180" s="199">
        <v>-334282.7</v>
      </c>
      <c r="C180" s="154">
        <v>-175279.09999999998</v>
      </c>
      <c r="D180" s="154">
        <v>408472.6</v>
      </c>
      <c r="E180" s="182">
        <v>-18794.399999999994</v>
      </c>
      <c r="F180" s="213">
        <f t="shared" si="9"/>
        <v>-119883.6</v>
      </c>
      <c r="G180" s="130">
        <v>283075.3</v>
      </c>
      <c r="H180" s="130" t="s">
        <v>88</v>
      </c>
      <c r="I180" s="558">
        <v>163191.69999999998</v>
      </c>
    </row>
    <row r="181" spans="1:10" s="1051" customFormat="1">
      <c r="A181" s="552" t="s">
        <v>614</v>
      </c>
      <c r="B181" s="199">
        <v>-333488.59999999998</v>
      </c>
      <c r="C181" s="154">
        <v>-174985.1</v>
      </c>
      <c r="D181" s="154">
        <v>418299.7</v>
      </c>
      <c r="E181" s="182">
        <v>-10622.800000000017</v>
      </c>
      <c r="F181" s="213">
        <f t="shared" si="9"/>
        <v>-100796.79999999996</v>
      </c>
      <c r="G181" s="130">
        <v>290770</v>
      </c>
      <c r="H181" s="130" t="s">
        <v>88</v>
      </c>
      <c r="I181" s="558">
        <v>189973.2</v>
      </c>
    </row>
    <row r="182" spans="1:10">
      <c r="A182" s="87"/>
      <c r="B182" s="1119"/>
      <c r="C182" s="561"/>
      <c r="D182" s="561"/>
      <c r="E182" s="562"/>
      <c r="F182" s="563"/>
      <c r="G182" s="564"/>
      <c r="H182" s="564"/>
      <c r="I182" s="565"/>
    </row>
    <row r="183" spans="1:10">
      <c r="A183" s="510"/>
      <c r="B183" s="96"/>
      <c r="C183" s="364"/>
      <c r="D183" s="364"/>
      <c r="E183" s="364"/>
      <c r="F183" s="525"/>
      <c r="G183" s="96"/>
      <c r="H183" s="96"/>
      <c r="I183" s="98"/>
      <c r="J183" s="566"/>
    </row>
    <row r="184" spans="1:10">
      <c r="A184" s="339" t="s">
        <v>90</v>
      </c>
      <c r="B184" s="71"/>
      <c r="C184" s="376"/>
      <c r="D184" s="376"/>
      <c r="E184" s="376"/>
      <c r="F184" s="214"/>
      <c r="G184" s="71"/>
      <c r="H184" s="71"/>
      <c r="I184" s="82"/>
      <c r="J184" s="566"/>
    </row>
    <row r="185" spans="1:10">
      <c r="A185" s="768"/>
      <c r="B185" s="518"/>
      <c r="C185" s="567"/>
      <c r="D185" s="567"/>
      <c r="E185" s="567"/>
      <c r="F185" s="189"/>
      <c r="G185" s="518"/>
      <c r="H185" s="518"/>
      <c r="I185" s="568"/>
      <c r="J185" s="254"/>
    </row>
    <row r="186" spans="1:10">
      <c r="A186" s="566"/>
      <c r="J186" s="566"/>
    </row>
    <row r="187" spans="1:10">
      <c r="A187" s="566"/>
      <c r="J187" s="566"/>
    </row>
    <row r="188" spans="1:10">
      <c r="A188" s="566"/>
      <c r="J188" s="566"/>
    </row>
    <row r="189" spans="1:10">
      <c r="A189" s="566"/>
      <c r="J189" s="566"/>
    </row>
    <row r="190" spans="1:10">
      <c r="A190" s="566"/>
      <c r="B190" s="566"/>
      <c r="C190" s="569"/>
      <c r="D190" s="569"/>
      <c r="E190" s="569"/>
      <c r="F190" s="544"/>
      <c r="G190" s="566"/>
      <c r="H190" s="566"/>
      <c r="I190" s="566"/>
      <c r="J190" s="566"/>
    </row>
    <row r="191" spans="1:10">
      <c r="A191" s="566"/>
      <c r="B191" s="566"/>
      <c r="C191" s="569"/>
      <c r="D191" s="569"/>
      <c r="E191" s="569"/>
      <c r="F191" s="544"/>
      <c r="G191" s="566"/>
      <c r="H191" s="566"/>
      <c r="I191" s="566"/>
      <c r="J191" s="566"/>
    </row>
  </sheetData>
  <mergeCells count="2">
    <mergeCell ref="B2:H2"/>
    <mergeCell ref="B3:H3"/>
  </mergeCells>
  <pageMargins left="2.4803149606299213" right="0.70866141732283472" top="0.74803149606299213" bottom="0.74803149606299213" header="0.31496062992125984" footer="0.31496062992125984"/>
  <pageSetup paperSize="9" scale="58" orientation="landscape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showGridLines="0" view="pageBreakPreview" topLeftCell="A161" zoomScale="80" zoomScaleNormal="100" zoomScaleSheetLayoutView="80" workbookViewId="0">
      <selection activeCell="B184" sqref="B184:O184"/>
    </sheetView>
  </sheetViews>
  <sheetFormatPr defaultColWidth="8.88671875" defaultRowHeight="15.75"/>
  <cols>
    <col min="1" max="1" width="16.88671875" customWidth="1"/>
    <col min="2" max="2" width="9" bestFit="1" customWidth="1"/>
    <col min="3" max="4" width="9.88671875" bestFit="1" customWidth="1"/>
    <col min="5" max="5" width="8.109375" bestFit="1" customWidth="1"/>
    <col min="6" max="6" width="10.44140625" bestFit="1" customWidth="1"/>
    <col min="7" max="9" width="9" bestFit="1" customWidth="1"/>
    <col min="10" max="11" width="9.88671875" bestFit="1" customWidth="1"/>
    <col min="12" max="12" width="8.109375" bestFit="1" customWidth="1"/>
    <col min="13" max="13" width="10.44140625" bestFit="1" customWidth="1"/>
    <col min="14" max="15" width="9" bestFit="1" customWidth="1"/>
    <col min="16" max="16" width="10.6640625" bestFit="1" customWidth="1"/>
    <col min="18" max="18" width="10.6640625" bestFit="1" customWidth="1"/>
  </cols>
  <sheetData>
    <row r="1" spans="1:15">
      <c r="A1" s="570" t="s">
        <v>0</v>
      </c>
      <c r="B1" s="96"/>
      <c r="C1" s="96"/>
      <c r="D1" s="96"/>
      <c r="E1" s="96"/>
      <c r="F1" s="96"/>
      <c r="G1" s="149"/>
      <c r="H1" s="96"/>
      <c r="I1" s="96"/>
      <c r="J1" s="571"/>
      <c r="K1" s="96"/>
      <c r="L1" s="96"/>
      <c r="M1" s="96"/>
      <c r="N1" s="149"/>
      <c r="O1" s="572"/>
    </row>
    <row r="2" spans="1:15">
      <c r="A2" s="573"/>
      <c r="B2" s="1234" t="s">
        <v>416</v>
      </c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574" t="s">
        <v>399</v>
      </c>
    </row>
    <row r="3" spans="1:15">
      <c r="A3" s="573"/>
      <c r="B3" s="1238" t="s">
        <v>417</v>
      </c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575"/>
    </row>
    <row r="4" spans="1:15">
      <c r="A4" s="555"/>
      <c r="B4" s="518"/>
      <c r="C4" s="518"/>
      <c r="D4" s="518"/>
      <c r="E4" s="518"/>
      <c r="F4" s="518"/>
      <c r="G4" s="576"/>
      <c r="H4" s="518"/>
      <c r="I4" s="518"/>
      <c r="J4" s="577"/>
      <c r="K4" s="518"/>
      <c r="L4" s="518"/>
      <c r="M4" s="518"/>
      <c r="N4" s="576"/>
      <c r="O4" s="568"/>
    </row>
    <row r="5" spans="1:15">
      <c r="A5" s="578"/>
      <c r="B5" s="95"/>
      <c r="C5" s="96"/>
      <c r="D5" s="96"/>
      <c r="E5" s="96"/>
      <c r="F5" s="96"/>
      <c r="G5" s="149"/>
      <c r="H5" s="98"/>
      <c r="I5" s="95"/>
      <c r="J5" s="96"/>
      <c r="K5" s="96"/>
      <c r="L5" s="96"/>
      <c r="M5" s="96"/>
      <c r="N5" s="149"/>
      <c r="O5" s="98"/>
    </row>
    <row r="6" spans="1:15">
      <c r="A6" s="84" t="s">
        <v>327</v>
      </c>
      <c r="B6" s="1239" t="s">
        <v>424</v>
      </c>
      <c r="C6" s="1240"/>
      <c r="D6" s="1240"/>
      <c r="E6" s="1240"/>
      <c r="F6" s="1240"/>
      <c r="G6" s="1240"/>
      <c r="H6" s="1241"/>
      <c r="I6" s="1233" t="s">
        <v>423</v>
      </c>
      <c r="J6" s="1234"/>
      <c r="K6" s="1234"/>
      <c r="L6" s="1234"/>
      <c r="M6" s="1234"/>
      <c r="N6" s="1234"/>
      <c r="O6" s="1235"/>
    </row>
    <row r="7" spans="1:15">
      <c r="A7" s="579"/>
      <c r="B7" s="555"/>
      <c r="C7" s="518"/>
      <c r="D7" s="518"/>
      <c r="E7" s="518"/>
      <c r="F7" s="518"/>
      <c r="G7" s="576"/>
      <c r="H7" s="568"/>
      <c r="I7" s="555"/>
      <c r="J7" s="518"/>
      <c r="K7" s="518"/>
      <c r="L7" s="518"/>
      <c r="M7" s="518"/>
      <c r="N7" s="576"/>
      <c r="O7" s="568"/>
    </row>
    <row r="8" spans="1:15">
      <c r="A8" s="94"/>
      <c r="B8" s="100"/>
      <c r="C8" s="98"/>
      <c r="D8" s="98"/>
      <c r="E8" s="100"/>
      <c r="F8" s="100"/>
      <c r="G8" s="100"/>
      <c r="H8" s="98"/>
      <c r="I8" s="100"/>
      <c r="J8" s="98"/>
      <c r="K8" s="100"/>
      <c r="L8" s="100"/>
      <c r="M8" s="100"/>
      <c r="N8" s="278"/>
      <c r="O8" s="100"/>
    </row>
    <row r="9" spans="1:15">
      <c r="A9" s="94"/>
      <c r="B9" s="485" t="s">
        <v>419</v>
      </c>
      <c r="C9" s="580" t="s">
        <v>344</v>
      </c>
      <c r="D9" s="580" t="s">
        <v>108</v>
      </c>
      <c r="E9" s="485" t="s">
        <v>111</v>
      </c>
      <c r="F9" s="485" t="s">
        <v>111</v>
      </c>
      <c r="G9" s="485" t="s">
        <v>144</v>
      </c>
      <c r="H9" s="580" t="s">
        <v>9</v>
      </c>
      <c r="I9" s="485" t="s">
        <v>419</v>
      </c>
      <c r="J9" s="580" t="s">
        <v>344</v>
      </c>
      <c r="K9" s="580" t="s">
        <v>108</v>
      </c>
      <c r="L9" s="485" t="s">
        <v>111</v>
      </c>
      <c r="M9" s="485" t="s">
        <v>111</v>
      </c>
      <c r="N9" s="485" t="s">
        <v>144</v>
      </c>
      <c r="O9" s="485" t="s">
        <v>9</v>
      </c>
    </row>
    <row r="10" spans="1:15">
      <c r="A10" s="94" t="s">
        <v>34</v>
      </c>
      <c r="B10" s="80"/>
      <c r="C10" s="580" t="s">
        <v>425</v>
      </c>
      <c r="D10" s="580" t="s">
        <v>110</v>
      </c>
      <c r="E10" s="485" t="s">
        <v>422</v>
      </c>
      <c r="F10" s="485" t="s">
        <v>141</v>
      </c>
      <c r="G10" s="120" t="s">
        <v>143</v>
      </c>
      <c r="H10" s="82"/>
      <c r="I10" s="80"/>
      <c r="J10" s="580" t="s">
        <v>425</v>
      </c>
      <c r="K10" s="580" t="s">
        <v>110</v>
      </c>
      <c r="L10" s="485" t="s">
        <v>422</v>
      </c>
      <c r="M10" s="485" t="s">
        <v>141</v>
      </c>
      <c r="N10" s="120" t="s">
        <v>143</v>
      </c>
      <c r="O10" s="80"/>
    </row>
    <row r="11" spans="1:15">
      <c r="A11" s="94"/>
      <c r="B11" s="80"/>
      <c r="C11" s="83" t="s">
        <v>109</v>
      </c>
      <c r="D11" s="580" t="s">
        <v>109</v>
      </c>
      <c r="E11" s="80"/>
      <c r="F11" s="120" t="s">
        <v>175</v>
      </c>
      <c r="G11" s="80"/>
      <c r="H11" s="82"/>
      <c r="I11" s="80"/>
      <c r="J11" s="83" t="s">
        <v>109</v>
      </c>
      <c r="K11" s="580" t="s">
        <v>109</v>
      </c>
      <c r="L11" s="80"/>
      <c r="M11" s="120" t="s">
        <v>175</v>
      </c>
      <c r="N11" s="80"/>
      <c r="O11" s="80"/>
    </row>
    <row r="12" spans="1:15">
      <c r="A12" s="555"/>
      <c r="B12" s="556"/>
      <c r="C12" s="568"/>
      <c r="D12" s="568"/>
      <c r="E12" s="556"/>
      <c r="F12" s="556"/>
      <c r="G12" s="581"/>
      <c r="H12" s="568"/>
      <c r="I12" s="80"/>
      <c r="J12" s="82"/>
      <c r="K12" s="580"/>
      <c r="L12" s="80"/>
      <c r="M12" s="80"/>
      <c r="N12" s="80"/>
      <c r="O12" s="121"/>
    </row>
    <row r="13" spans="1:15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1:15" hidden="1">
      <c r="A14" s="461" t="s">
        <v>119</v>
      </c>
      <c r="B14" s="925">
        <v>103932.4</v>
      </c>
      <c r="C14" s="1068">
        <v>40671.000000000007</v>
      </c>
      <c r="D14" s="1068">
        <v>21363.199999999997</v>
      </c>
      <c r="E14" s="1068">
        <v>39031.300000000003</v>
      </c>
      <c r="F14" s="1068">
        <v>1730.5</v>
      </c>
      <c r="G14" s="1068">
        <v>333.5</v>
      </c>
      <c r="H14" s="1068">
        <f t="shared" ref="H14:H15" si="0">SUM(B14:G14)</f>
        <v>207061.89999999997</v>
      </c>
      <c r="I14" s="1068">
        <v>63450.8</v>
      </c>
      <c r="J14" s="1068">
        <v>11550.8</v>
      </c>
      <c r="K14" s="1068">
        <v>9384.2000000000007</v>
      </c>
      <c r="L14" s="1068">
        <v>14877.299999999997</v>
      </c>
      <c r="M14" s="1068">
        <v>550</v>
      </c>
      <c r="N14" s="1068">
        <v>25.9</v>
      </c>
      <c r="O14" s="1068">
        <f t="shared" ref="O14:O15" si="1">SUM(I14:N14)</f>
        <v>99839</v>
      </c>
    </row>
    <row r="15" spans="1:15" hidden="1">
      <c r="A15" s="461" t="s">
        <v>120</v>
      </c>
      <c r="B15" s="925">
        <v>135849.70000000001</v>
      </c>
      <c r="C15" s="1068">
        <v>48040.500000000007</v>
      </c>
      <c r="D15" s="1068">
        <v>16952.3</v>
      </c>
      <c r="E15" s="1068">
        <v>42146.000000000007</v>
      </c>
      <c r="F15" s="1068">
        <v>2249</v>
      </c>
      <c r="G15" s="1068">
        <v>973.4000000000002</v>
      </c>
      <c r="H15" s="1068">
        <f t="shared" si="0"/>
        <v>246210.9</v>
      </c>
      <c r="I15" s="1068">
        <v>79802.900000000009</v>
      </c>
      <c r="J15" s="1068">
        <v>15644.599999999999</v>
      </c>
      <c r="K15" s="1068">
        <v>9351.7999999999993</v>
      </c>
      <c r="L15" s="1068">
        <v>11732.1</v>
      </c>
      <c r="M15" s="1068">
        <v>400</v>
      </c>
      <c r="N15" s="1068">
        <v>6.5</v>
      </c>
      <c r="O15" s="1068">
        <f t="shared" si="1"/>
        <v>116937.90000000001</v>
      </c>
    </row>
    <row r="16" spans="1:15" hidden="1">
      <c r="A16" s="461" t="s">
        <v>89</v>
      </c>
      <c r="B16" s="925">
        <v>182432.2</v>
      </c>
      <c r="C16" s="1068">
        <v>68245.215502999999</v>
      </c>
      <c r="D16" s="1068">
        <v>21443.200000000001</v>
      </c>
      <c r="E16" s="1068">
        <v>50561.200000000004</v>
      </c>
      <c r="F16" s="1068">
        <v>2545.3000000000002</v>
      </c>
      <c r="G16" s="1068">
        <v>420.3</v>
      </c>
      <c r="H16" s="1068">
        <v>325647.41550300003</v>
      </c>
      <c r="I16" s="1068">
        <v>105708.2</v>
      </c>
      <c r="J16" s="1068">
        <v>19048.699999999997</v>
      </c>
      <c r="K16" s="1068">
        <v>13557.199999999999</v>
      </c>
      <c r="L16" s="1068">
        <v>14190.7</v>
      </c>
      <c r="M16" s="1068">
        <v>530</v>
      </c>
      <c r="N16" s="1068">
        <v>7.9</v>
      </c>
      <c r="O16" s="1068">
        <v>153042.70000000001</v>
      </c>
    </row>
    <row r="17" spans="1:15" ht="16.5" hidden="1">
      <c r="A17" s="461" t="s">
        <v>400</v>
      </c>
      <c r="B17" s="925">
        <v>191401.36666666667</v>
      </c>
      <c r="C17" s="1068">
        <v>57811.200000000004</v>
      </c>
      <c r="D17" s="1068">
        <v>21500.100000000002</v>
      </c>
      <c r="E17" s="1068">
        <v>51949.600000000006</v>
      </c>
      <c r="F17" s="1068">
        <v>848.1</v>
      </c>
      <c r="G17" s="1068">
        <v>723.5</v>
      </c>
      <c r="H17" s="1068">
        <v>324233.8666666667</v>
      </c>
      <c r="I17" s="1068">
        <v>114948.2</v>
      </c>
      <c r="J17" s="1068">
        <v>34009.299999999996</v>
      </c>
      <c r="K17" s="1068">
        <v>23138</v>
      </c>
      <c r="L17" s="1068">
        <v>18041.5</v>
      </c>
      <c r="M17" s="1068">
        <v>230</v>
      </c>
      <c r="N17" s="1068">
        <v>5.4</v>
      </c>
      <c r="O17" s="1068">
        <v>190372.4</v>
      </c>
    </row>
    <row r="18" spans="1:15" ht="16.5" hidden="1">
      <c r="A18" s="461" t="s">
        <v>347</v>
      </c>
      <c r="B18" s="925">
        <v>197659.1</v>
      </c>
      <c r="C18" s="1068">
        <v>82976.299999999988</v>
      </c>
      <c r="D18" s="1068">
        <v>16096.800000000001</v>
      </c>
      <c r="E18" s="1068">
        <v>50600.800000000003</v>
      </c>
      <c r="F18" s="1068">
        <v>3398.2000000000003</v>
      </c>
      <c r="G18" s="1068">
        <v>482.40000000000003</v>
      </c>
      <c r="H18" s="1068">
        <v>351213.60000000003</v>
      </c>
      <c r="I18" s="1068">
        <v>142420.1</v>
      </c>
      <c r="J18" s="1068">
        <v>22695.800000000003</v>
      </c>
      <c r="K18" s="1068">
        <v>24065.600000000002</v>
      </c>
      <c r="L18" s="1068">
        <v>31377.000000000004</v>
      </c>
      <c r="M18" s="1068">
        <v>430</v>
      </c>
      <c r="N18" s="1068">
        <v>48.2</v>
      </c>
      <c r="O18" s="1068">
        <v>221036.70000000004</v>
      </c>
    </row>
    <row r="19" spans="1:15" s="69" customFormat="1">
      <c r="A19" s="461" t="s">
        <v>348</v>
      </c>
      <c r="B19" s="925">
        <v>193291.8</v>
      </c>
      <c r="C19" s="1068">
        <v>90279.8</v>
      </c>
      <c r="D19" s="1068">
        <v>25706.699999999997</v>
      </c>
      <c r="E19" s="1068">
        <v>88838.999999999985</v>
      </c>
      <c r="F19" s="1068">
        <v>3308.7</v>
      </c>
      <c r="G19" s="1068">
        <v>998.5</v>
      </c>
      <c r="H19" s="1068">
        <v>402424.5</v>
      </c>
      <c r="I19" s="1068">
        <v>157966.30000000002</v>
      </c>
      <c r="J19" s="1068">
        <v>24661.4</v>
      </c>
      <c r="K19" s="1068">
        <v>21172.699999999997</v>
      </c>
      <c r="L19" s="1068">
        <v>59774.700000000012</v>
      </c>
      <c r="M19" s="1068">
        <v>430</v>
      </c>
      <c r="N19" s="1068">
        <v>18.2</v>
      </c>
      <c r="O19" s="1068">
        <v>264023.30000000005</v>
      </c>
    </row>
    <row r="20" spans="1:15" s="69" customFormat="1">
      <c r="A20" s="461" t="s">
        <v>349</v>
      </c>
      <c r="B20" s="925">
        <v>214646.89999999997</v>
      </c>
      <c r="C20" s="1068">
        <v>115720.39999999998</v>
      </c>
      <c r="D20" s="1068">
        <v>18060.499999999996</v>
      </c>
      <c r="E20" s="1068">
        <v>105125.2</v>
      </c>
      <c r="F20" s="1068">
        <v>2610.1</v>
      </c>
      <c r="G20" s="1068">
        <v>2147.5</v>
      </c>
      <c r="H20" s="1068">
        <v>458310.59999999992</v>
      </c>
      <c r="I20" s="1068">
        <v>172190.69999999998</v>
      </c>
      <c r="J20" s="1068">
        <v>34605.5</v>
      </c>
      <c r="K20" s="1068">
        <v>13712.8</v>
      </c>
      <c r="L20" s="1068">
        <v>67840.399999999994</v>
      </c>
      <c r="M20" s="1068">
        <v>230</v>
      </c>
      <c r="N20" s="1068">
        <v>14.9</v>
      </c>
      <c r="O20" s="1068">
        <v>288594.3</v>
      </c>
    </row>
    <row r="21" spans="1:15" s="69" customFormat="1">
      <c r="A21" s="461" t="s">
        <v>350</v>
      </c>
      <c r="B21" s="925">
        <v>216304.20000000004</v>
      </c>
      <c r="C21" s="1068">
        <v>123242.6</v>
      </c>
      <c r="D21" s="1068">
        <v>22953.299999999996</v>
      </c>
      <c r="E21" s="1068">
        <v>69022.7</v>
      </c>
      <c r="F21" s="1068">
        <v>7505.3000000000011</v>
      </c>
      <c r="G21" s="1068">
        <v>1823.1000000000001</v>
      </c>
      <c r="H21" s="1068">
        <v>440851.20000000001</v>
      </c>
      <c r="I21" s="1068">
        <v>191015.59999999998</v>
      </c>
      <c r="J21" s="1068">
        <v>60016.999999999993</v>
      </c>
      <c r="K21" s="1068">
        <v>21013.400000000005</v>
      </c>
      <c r="L21" s="1068">
        <v>45981.000000000007</v>
      </c>
      <c r="M21" s="1068">
        <v>8529.9</v>
      </c>
      <c r="N21" s="1068">
        <v>831.7</v>
      </c>
      <c r="O21" s="1068">
        <v>327388.60000000003</v>
      </c>
    </row>
    <row r="22" spans="1:15" s="69" customFormat="1">
      <c r="A22" s="461" t="s">
        <v>401</v>
      </c>
      <c r="B22" s="925">
        <v>276775.09999999998</v>
      </c>
      <c r="C22" s="1068">
        <v>198178.40000000002</v>
      </c>
      <c r="D22" s="1068">
        <v>26859.1</v>
      </c>
      <c r="E22" s="1068">
        <v>67498.89999999998</v>
      </c>
      <c r="F22" s="1068">
        <v>6477.2000000000007</v>
      </c>
      <c r="G22" s="1068">
        <v>3304.7</v>
      </c>
      <c r="H22" s="1068">
        <v>579093.39999999991</v>
      </c>
      <c r="I22" s="1068">
        <v>161611.09999999998</v>
      </c>
      <c r="J22" s="1068">
        <v>54656.3</v>
      </c>
      <c r="K22" s="1068">
        <v>13533.6</v>
      </c>
      <c r="L22" s="1068">
        <v>44297.299999999988</v>
      </c>
      <c r="M22" s="1068">
        <v>8653.0000000000018</v>
      </c>
      <c r="N22" s="1068">
        <v>33.299999999999997</v>
      </c>
      <c r="O22" s="1068">
        <v>282784.59999999992</v>
      </c>
    </row>
    <row r="23" spans="1:15" s="69" customFormat="1">
      <c r="A23" s="461" t="s">
        <v>675</v>
      </c>
      <c r="B23" s="929">
        <v>315808.90000000002</v>
      </c>
      <c r="C23" s="814">
        <v>298377.40000000002</v>
      </c>
      <c r="D23" s="814">
        <v>34852.6</v>
      </c>
      <c r="E23" s="814">
        <v>73007.899999999994</v>
      </c>
      <c r="F23" s="814">
        <v>6295.8</v>
      </c>
      <c r="G23" s="814">
        <v>3799.1</v>
      </c>
      <c r="H23" s="814">
        <v>732141.70000000007</v>
      </c>
      <c r="I23" s="814">
        <v>181441.80000000002</v>
      </c>
      <c r="J23" s="814">
        <v>91317.1</v>
      </c>
      <c r="K23" s="814">
        <v>14651.7</v>
      </c>
      <c r="L23" s="814">
        <v>49010.9</v>
      </c>
      <c r="M23" s="814">
        <v>8711.4</v>
      </c>
      <c r="N23" s="814">
        <v>51.1</v>
      </c>
      <c r="O23" s="814">
        <v>345184.00000000006</v>
      </c>
    </row>
    <row r="24" spans="1:15" s="1051" customFormat="1" ht="12.75" hidden="1">
      <c r="A24" s="461"/>
      <c r="B24" s="929"/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</row>
    <row r="25" spans="1:15" s="69" customFormat="1" ht="12.75" hidden="1">
      <c r="A25" s="87" t="s">
        <v>61</v>
      </c>
      <c r="B25" s="925">
        <v>184412.39999999997</v>
      </c>
      <c r="C25" s="1068">
        <v>91318.2</v>
      </c>
      <c r="D25" s="1068">
        <v>20251.600000000002</v>
      </c>
      <c r="E25" s="1068">
        <v>84410.89999999998</v>
      </c>
      <c r="F25" s="1068">
        <v>1510.2</v>
      </c>
      <c r="G25" s="1068">
        <v>1109.8</v>
      </c>
      <c r="H25" s="1068">
        <v>383013.09999999992</v>
      </c>
      <c r="I25" s="1068">
        <v>165320.25</v>
      </c>
      <c r="J25" s="1068">
        <v>32302.6</v>
      </c>
      <c r="K25" s="1068">
        <v>17130.7</v>
      </c>
      <c r="L25" s="1068">
        <v>70410.399999999994</v>
      </c>
      <c r="M25" s="1068">
        <v>430</v>
      </c>
      <c r="N25" s="1068">
        <v>19.2</v>
      </c>
      <c r="O25" s="1068">
        <v>285613.15000000002</v>
      </c>
    </row>
    <row r="26" spans="1:15" s="69" customFormat="1" ht="12.75" hidden="1">
      <c r="A26" s="87" t="s">
        <v>62</v>
      </c>
      <c r="B26" s="925">
        <v>196788.2</v>
      </c>
      <c r="C26" s="1068">
        <v>105983.59999999999</v>
      </c>
      <c r="D26" s="1068">
        <v>26298.3</v>
      </c>
      <c r="E26" s="1068">
        <v>89871.799999999988</v>
      </c>
      <c r="F26" s="1068">
        <v>2518.1000000000004</v>
      </c>
      <c r="G26" s="1068">
        <v>881.6</v>
      </c>
      <c r="H26" s="1068">
        <v>422341.59999999992</v>
      </c>
      <c r="I26" s="1068">
        <v>170705.9</v>
      </c>
      <c r="J26" s="1068">
        <v>30605.7</v>
      </c>
      <c r="K26" s="1068">
        <v>13836.3</v>
      </c>
      <c r="L26" s="1068">
        <v>74925.499999999985</v>
      </c>
      <c r="M26" s="1068">
        <v>250</v>
      </c>
      <c r="N26" s="1068">
        <v>8.6</v>
      </c>
      <c r="O26" s="1068">
        <v>290331.99999999994</v>
      </c>
    </row>
    <row r="27" spans="1:15" s="69" customFormat="1" ht="12.75" hidden="1">
      <c r="A27" s="87" t="s">
        <v>63</v>
      </c>
      <c r="B27" s="925">
        <v>201725.0527777778</v>
      </c>
      <c r="C27" s="1068">
        <v>107153.4</v>
      </c>
      <c r="D27" s="1068">
        <v>17472.499999999996</v>
      </c>
      <c r="E27" s="1068">
        <v>98736.89999999998</v>
      </c>
      <c r="F27" s="1068">
        <v>3842.0999999999995</v>
      </c>
      <c r="G27" s="1068">
        <v>1429.1</v>
      </c>
      <c r="H27" s="1068">
        <v>430359.05277777772</v>
      </c>
      <c r="I27" s="1068">
        <v>179574.86111111112</v>
      </c>
      <c r="J27" s="1068">
        <v>30194.699999999993</v>
      </c>
      <c r="K27" s="1068">
        <v>14230.400000000001</v>
      </c>
      <c r="L27" s="1068">
        <v>62123.100000000006</v>
      </c>
      <c r="M27" s="1068">
        <v>230</v>
      </c>
      <c r="N27" s="1068">
        <v>8.9</v>
      </c>
      <c r="O27" s="1068">
        <v>286361.9611111111</v>
      </c>
    </row>
    <row r="28" spans="1:15" s="69" customFormat="1" ht="12.75" hidden="1">
      <c r="A28" s="87" t="s">
        <v>64</v>
      </c>
      <c r="B28" s="925">
        <v>214646.89999999997</v>
      </c>
      <c r="C28" s="1068">
        <v>115720.39999999998</v>
      </c>
      <c r="D28" s="1068">
        <v>18060.499999999996</v>
      </c>
      <c r="E28" s="1068">
        <v>105125.2</v>
      </c>
      <c r="F28" s="1068">
        <v>2610.1</v>
      </c>
      <c r="G28" s="1068">
        <v>2147.5</v>
      </c>
      <c r="H28" s="1068">
        <v>458310.59999999992</v>
      </c>
      <c r="I28" s="1068">
        <v>172190.69999999998</v>
      </c>
      <c r="J28" s="1068">
        <v>34605.5</v>
      </c>
      <c r="K28" s="1068">
        <v>13712.8</v>
      </c>
      <c r="L28" s="1068">
        <v>67840.399999999994</v>
      </c>
      <c r="M28" s="1068">
        <v>230</v>
      </c>
      <c r="N28" s="1068">
        <v>14.9</v>
      </c>
      <c r="O28" s="1068">
        <v>288594.3</v>
      </c>
    </row>
    <row r="29" spans="1:15" s="69" customFormat="1" ht="12.75">
      <c r="A29" s="87"/>
      <c r="B29" s="925"/>
      <c r="C29" s="1068"/>
      <c r="D29" s="1068"/>
      <c r="E29" s="1068"/>
      <c r="F29" s="1068"/>
      <c r="G29" s="1068"/>
      <c r="H29" s="1068"/>
      <c r="I29" s="1068"/>
      <c r="J29" s="1068"/>
      <c r="K29" s="1068"/>
      <c r="L29" s="1068"/>
      <c r="M29" s="1068"/>
      <c r="N29" s="1068"/>
      <c r="O29" s="1068"/>
    </row>
    <row r="30" spans="1:15" s="69" customFormat="1" ht="12.75">
      <c r="A30" s="87" t="s">
        <v>53</v>
      </c>
      <c r="B30" s="925">
        <v>206633.24999999997</v>
      </c>
      <c r="C30" s="1068">
        <v>83726.099999999977</v>
      </c>
      <c r="D30" s="1068">
        <v>18307.5</v>
      </c>
      <c r="E30" s="1068">
        <v>105775.4</v>
      </c>
      <c r="F30" s="1068">
        <v>2390.1999999999998</v>
      </c>
      <c r="G30" s="1068">
        <v>1300.5999999999999</v>
      </c>
      <c r="H30" s="1068">
        <v>418133.05</v>
      </c>
      <c r="I30" s="1068">
        <v>180372.3</v>
      </c>
      <c r="J30" s="1068">
        <v>34935.800000000003</v>
      </c>
      <c r="K30" s="1068">
        <v>11454.400000000001</v>
      </c>
      <c r="L30" s="1068">
        <v>77757.699999999983</v>
      </c>
      <c r="M30" s="1068">
        <v>1483.6</v>
      </c>
      <c r="N30" s="1068">
        <v>15.4</v>
      </c>
      <c r="O30" s="1068">
        <v>306019.19999999995</v>
      </c>
    </row>
    <row r="31" spans="1:15" s="69" customFormat="1" ht="12.75">
      <c r="A31" s="87" t="s">
        <v>44</v>
      </c>
      <c r="B31" s="925">
        <v>206399.89999999997</v>
      </c>
      <c r="C31" s="1068">
        <v>100016.20000000001</v>
      </c>
      <c r="D31" s="1068">
        <v>22315.500000000007</v>
      </c>
      <c r="E31" s="1068">
        <v>94373.2</v>
      </c>
      <c r="F31" s="1068">
        <v>7055.2000000000007</v>
      </c>
      <c r="G31" s="1068">
        <v>1101.1000000000004</v>
      </c>
      <c r="H31" s="1068">
        <v>431261.1</v>
      </c>
      <c r="I31" s="1068">
        <v>202393.09999999995</v>
      </c>
      <c r="J31" s="1068">
        <v>32873.4</v>
      </c>
      <c r="K31" s="1068">
        <v>9908.8000000000011</v>
      </c>
      <c r="L31" s="1068">
        <v>67670.000000000015</v>
      </c>
      <c r="M31" s="1068">
        <v>2203.8000000000002</v>
      </c>
      <c r="N31" s="1068">
        <v>15.5</v>
      </c>
      <c r="O31" s="1068">
        <v>315064.59999999992</v>
      </c>
    </row>
    <row r="32" spans="1:15" s="69" customFormat="1" ht="12.75">
      <c r="A32" s="87" t="s">
        <v>47</v>
      </c>
      <c r="B32" s="925">
        <v>199551.41111111111</v>
      </c>
      <c r="C32" s="1068">
        <v>121700.4</v>
      </c>
      <c r="D32" s="1068">
        <v>31042.799999999999</v>
      </c>
      <c r="E32" s="1068">
        <v>96731.6</v>
      </c>
      <c r="F32" s="1068">
        <v>8434.4000000000015</v>
      </c>
      <c r="G32" s="1068">
        <v>1008.4999999999999</v>
      </c>
      <c r="H32" s="1068">
        <v>458469.11111111112</v>
      </c>
      <c r="I32" s="1068">
        <v>217814.17500000002</v>
      </c>
      <c r="J32" s="1068">
        <v>30544.599999999995</v>
      </c>
      <c r="K32" s="1068">
        <v>12074.600000000002</v>
      </c>
      <c r="L32" s="1068">
        <v>59122.6</v>
      </c>
      <c r="M32" s="1068">
        <v>2466.6999999999998</v>
      </c>
      <c r="N32" s="1068">
        <v>19.399999999999999</v>
      </c>
      <c r="O32" s="1068">
        <v>322042.07500000007</v>
      </c>
    </row>
    <row r="33" spans="1:15" s="69" customFormat="1" ht="12.75">
      <c r="A33" s="87" t="s">
        <v>50</v>
      </c>
      <c r="B33" s="925">
        <v>216304.20000000004</v>
      </c>
      <c r="C33" s="1068">
        <v>123242.6</v>
      </c>
      <c r="D33" s="1068">
        <v>22953.299999999996</v>
      </c>
      <c r="E33" s="1068">
        <v>69022.7</v>
      </c>
      <c r="F33" s="1068">
        <v>7505.3000000000011</v>
      </c>
      <c r="G33" s="1068">
        <v>1823.1000000000001</v>
      </c>
      <c r="H33" s="1068">
        <v>440851.20000000001</v>
      </c>
      <c r="I33" s="1068">
        <v>191015.59999999998</v>
      </c>
      <c r="J33" s="1068">
        <v>60016.999999999993</v>
      </c>
      <c r="K33" s="1068">
        <v>21013.400000000005</v>
      </c>
      <c r="L33" s="1068">
        <v>45981.000000000007</v>
      </c>
      <c r="M33" s="1068">
        <v>8529.9</v>
      </c>
      <c r="N33" s="1068">
        <v>831.7</v>
      </c>
      <c r="O33" s="1068">
        <v>327388.60000000003</v>
      </c>
    </row>
    <row r="34" spans="1:15" s="69" customFormat="1" ht="12.75">
      <c r="A34" s="87"/>
      <c r="B34" s="925"/>
      <c r="C34" s="1068"/>
      <c r="D34" s="1068"/>
      <c r="E34" s="1068"/>
      <c r="F34" s="1068"/>
      <c r="G34" s="1068"/>
      <c r="H34" s="1068"/>
      <c r="I34" s="1068"/>
      <c r="J34" s="1068"/>
      <c r="K34" s="1068"/>
      <c r="L34" s="1068"/>
      <c r="M34" s="1068"/>
      <c r="N34" s="1068"/>
      <c r="O34" s="1068"/>
    </row>
    <row r="35" spans="1:15" s="69" customFormat="1" ht="12.75">
      <c r="A35" s="87" t="s">
        <v>65</v>
      </c>
      <c r="B35" s="925">
        <v>225176.45</v>
      </c>
      <c r="C35" s="1068">
        <v>126774.20000000001</v>
      </c>
      <c r="D35" s="1068">
        <v>18832.599999999999</v>
      </c>
      <c r="E35" s="1068">
        <v>83643.5</v>
      </c>
      <c r="F35" s="1068">
        <v>8109</v>
      </c>
      <c r="G35" s="1068">
        <v>1014.9</v>
      </c>
      <c r="H35" s="1068">
        <v>463550.65</v>
      </c>
      <c r="I35" s="1068">
        <v>174234.39999999997</v>
      </c>
      <c r="J35" s="1068">
        <v>57290.499999999993</v>
      </c>
      <c r="K35" s="1068">
        <v>21043.8</v>
      </c>
      <c r="L35" s="1068">
        <v>47487.200000000012</v>
      </c>
      <c r="M35" s="1068">
        <v>8565.2000000000007</v>
      </c>
      <c r="N35" s="1068">
        <v>39.200000000000003</v>
      </c>
      <c r="O35" s="1068">
        <v>308660.3</v>
      </c>
    </row>
    <row r="36" spans="1:15" s="69" customFormat="1" ht="12.75">
      <c r="A36" s="87" t="s">
        <v>44</v>
      </c>
      <c r="B36" s="925">
        <v>264826.10000000003</v>
      </c>
      <c r="C36" s="1068">
        <v>136168.4</v>
      </c>
      <c r="D36" s="1068">
        <v>21219.1</v>
      </c>
      <c r="E36" s="1068">
        <v>67156.299999999988</v>
      </c>
      <c r="F36" s="1068">
        <v>3656.3</v>
      </c>
      <c r="G36" s="1068">
        <v>650.9</v>
      </c>
      <c r="H36" s="1068">
        <v>493677.1</v>
      </c>
      <c r="I36" s="1068">
        <v>155532.29999999999</v>
      </c>
      <c r="J36" s="1068">
        <v>63241</v>
      </c>
      <c r="K36" s="1068">
        <v>13861.7</v>
      </c>
      <c r="L36" s="1068">
        <v>48992</v>
      </c>
      <c r="M36" s="1068">
        <v>8610.4000000000015</v>
      </c>
      <c r="N36" s="1068">
        <v>56.1</v>
      </c>
      <c r="O36" s="1068">
        <v>290293.5</v>
      </c>
    </row>
    <row r="37" spans="1:15" s="69" customFormat="1" ht="12.75">
      <c r="A37" s="800" t="s">
        <v>47</v>
      </c>
      <c r="B37" s="925">
        <v>241776.9</v>
      </c>
      <c r="C37" s="1068">
        <v>182350.69999999998</v>
      </c>
      <c r="D37" s="1068">
        <v>21167.800000000003</v>
      </c>
      <c r="E37" s="1068">
        <v>68642.399999999994</v>
      </c>
      <c r="F37" s="1068">
        <v>7192.6</v>
      </c>
      <c r="G37" s="1068">
        <v>1581.5</v>
      </c>
      <c r="H37" s="1068">
        <v>522711.89999999991</v>
      </c>
      <c r="I37" s="1068">
        <v>154005.20000000001</v>
      </c>
      <c r="J37" s="1068">
        <v>64394.299999999996</v>
      </c>
      <c r="K37" s="1068">
        <v>13957.1</v>
      </c>
      <c r="L37" s="1068">
        <v>46693.7</v>
      </c>
      <c r="M37" s="1068">
        <v>9113.9</v>
      </c>
      <c r="N37" s="1068">
        <v>40.299999999999997</v>
      </c>
      <c r="O37" s="1068">
        <v>288204.5</v>
      </c>
    </row>
    <row r="38" spans="1:15" s="69" customFormat="1" ht="12.75">
      <c r="A38" s="800" t="s">
        <v>50</v>
      </c>
      <c r="B38" s="925">
        <v>276775.09999999998</v>
      </c>
      <c r="C38" s="1068">
        <v>198178.40000000002</v>
      </c>
      <c r="D38" s="1068">
        <v>26859.1</v>
      </c>
      <c r="E38" s="1068">
        <v>67498.89999999998</v>
      </c>
      <c r="F38" s="1068">
        <v>6477.2000000000007</v>
      </c>
      <c r="G38" s="1068">
        <v>3304.7</v>
      </c>
      <c r="H38" s="1068">
        <v>579093.39999999991</v>
      </c>
      <c r="I38" s="1068">
        <v>161611.09999999998</v>
      </c>
      <c r="J38" s="1068">
        <v>54656.3</v>
      </c>
      <c r="K38" s="1068">
        <v>13533.6</v>
      </c>
      <c r="L38" s="1068">
        <v>44297.299999999988</v>
      </c>
      <c r="M38" s="1068">
        <v>8653.0000000000018</v>
      </c>
      <c r="N38" s="1068">
        <v>33.299999999999997</v>
      </c>
      <c r="O38" s="1068">
        <v>282784.59999999992</v>
      </c>
    </row>
    <row r="39" spans="1:15" s="69" customFormat="1" ht="12.75">
      <c r="A39" s="87"/>
      <c r="B39" s="925"/>
      <c r="C39" s="1068"/>
      <c r="D39" s="1068"/>
      <c r="E39" s="1068"/>
      <c r="F39" s="1068"/>
      <c r="G39" s="1068"/>
      <c r="H39" s="1068"/>
      <c r="I39" s="1068"/>
      <c r="J39" s="1068"/>
      <c r="K39" s="1068"/>
      <c r="L39" s="1068"/>
      <c r="M39" s="1068"/>
      <c r="N39" s="1068"/>
      <c r="O39" s="1068"/>
    </row>
    <row r="40" spans="1:15" s="69" customFormat="1" ht="12.75">
      <c r="A40" s="800" t="s">
        <v>66</v>
      </c>
      <c r="B40" s="929">
        <v>303595.94999999995</v>
      </c>
      <c r="C40" s="814">
        <v>215862.2</v>
      </c>
      <c r="D40" s="814">
        <v>32453.199999999997</v>
      </c>
      <c r="E40" s="814">
        <v>80924.800000000003</v>
      </c>
      <c r="F40" s="814">
        <v>7333.4</v>
      </c>
      <c r="G40" s="814">
        <v>2300.1</v>
      </c>
      <c r="H40" s="814">
        <v>642469.65</v>
      </c>
      <c r="I40" s="814">
        <v>168282.15</v>
      </c>
      <c r="J40" s="814">
        <v>70629.700000000012</v>
      </c>
      <c r="K40" s="814">
        <v>16122.800000000001</v>
      </c>
      <c r="L40" s="814">
        <v>42960.000000000015</v>
      </c>
      <c r="M40" s="814">
        <v>8556.9</v>
      </c>
      <c r="N40" s="814">
        <v>33</v>
      </c>
      <c r="O40" s="814">
        <v>306584.55000000005</v>
      </c>
    </row>
    <row r="41" spans="1:15" s="69" customFormat="1" ht="12.75">
      <c r="A41" s="800" t="s">
        <v>627</v>
      </c>
      <c r="B41" s="929">
        <v>334021.90000000002</v>
      </c>
      <c r="C41" s="814">
        <v>246582.9</v>
      </c>
      <c r="D41" s="814">
        <v>24307.3</v>
      </c>
      <c r="E41" s="814">
        <v>91412.099999999991</v>
      </c>
      <c r="F41" s="814">
        <v>7254.9</v>
      </c>
      <c r="G41" s="814">
        <v>1859.6</v>
      </c>
      <c r="H41" s="814">
        <v>705438.70000000007</v>
      </c>
      <c r="I41" s="814">
        <v>174931.9</v>
      </c>
      <c r="J41" s="814">
        <v>70180.100000000006</v>
      </c>
      <c r="K41" s="814">
        <v>14047.3</v>
      </c>
      <c r="L41" s="814">
        <v>43319.900000000009</v>
      </c>
      <c r="M41" s="814">
        <v>6586</v>
      </c>
      <c r="N41" s="814">
        <v>31.5</v>
      </c>
      <c r="O41" s="814">
        <v>309096.7</v>
      </c>
    </row>
    <row r="42" spans="1:15" s="69" customFormat="1" ht="12.75">
      <c r="A42" s="800" t="s">
        <v>630</v>
      </c>
      <c r="B42" s="929">
        <v>313422.55000000005</v>
      </c>
      <c r="C42" s="814">
        <v>267209.2</v>
      </c>
      <c r="D42" s="814">
        <v>42162.6</v>
      </c>
      <c r="E42" s="814">
        <v>83887.9</v>
      </c>
      <c r="F42" s="814">
        <v>5644.7999999999993</v>
      </c>
      <c r="G42" s="814">
        <v>1378.4</v>
      </c>
      <c r="H42" s="814">
        <v>713705.45000000007</v>
      </c>
      <c r="I42" s="814">
        <v>175562.6</v>
      </c>
      <c r="J42" s="814">
        <v>81194.999999999985</v>
      </c>
      <c r="K42" s="814">
        <v>13768.4</v>
      </c>
      <c r="L42" s="814">
        <v>42804.3</v>
      </c>
      <c r="M42" s="814">
        <v>8703.6</v>
      </c>
      <c r="N42" s="814">
        <v>51.7</v>
      </c>
      <c r="O42" s="814">
        <v>322085.59999999998</v>
      </c>
    </row>
    <row r="43" spans="1:15" s="69" customFormat="1" ht="12.75">
      <c r="A43" s="800" t="s">
        <v>663</v>
      </c>
      <c r="B43" s="929">
        <v>315808.90000000002</v>
      </c>
      <c r="C43" s="814">
        <v>298377.40000000002</v>
      </c>
      <c r="D43" s="814">
        <v>34852.6</v>
      </c>
      <c r="E43" s="814">
        <v>73007.899999999994</v>
      </c>
      <c r="F43" s="814">
        <v>6295.8</v>
      </c>
      <c r="G43" s="814">
        <v>3799.1</v>
      </c>
      <c r="H43" s="814">
        <v>732141.70000000007</v>
      </c>
      <c r="I43" s="814">
        <v>181441.80000000002</v>
      </c>
      <c r="J43" s="814">
        <v>91317.1</v>
      </c>
      <c r="K43" s="814">
        <v>14651.7</v>
      </c>
      <c r="L43" s="814">
        <v>49010.9</v>
      </c>
      <c r="M43" s="814">
        <v>8711.4</v>
      </c>
      <c r="N43" s="814">
        <v>51.1</v>
      </c>
      <c r="O43" s="814">
        <v>345184.00000000006</v>
      </c>
    </row>
    <row r="44" spans="1:15" s="69" customFormat="1" ht="12.75">
      <c r="A44" s="800"/>
      <c r="B44" s="929"/>
      <c r="C44" s="814"/>
      <c r="D44" s="814"/>
      <c r="E44" s="814"/>
      <c r="F44" s="814"/>
      <c r="G44" s="814"/>
      <c r="H44" s="814"/>
      <c r="I44" s="814"/>
      <c r="J44" s="814"/>
      <c r="K44" s="814"/>
      <c r="L44" s="814"/>
      <c r="M44" s="814"/>
      <c r="N44" s="814"/>
      <c r="O44" s="814"/>
    </row>
    <row r="45" spans="1:15" s="69" customFormat="1" ht="12.75">
      <c r="A45" s="800" t="s">
        <v>684</v>
      </c>
      <c r="B45" s="929">
        <v>332798.10000000003</v>
      </c>
      <c r="C45" s="814">
        <v>317796.3</v>
      </c>
      <c r="D45" s="814">
        <v>43165.8</v>
      </c>
      <c r="E45" s="814">
        <v>76525.2</v>
      </c>
      <c r="F45" s="814">
        <v>4100.6000000000004</v>
      </c>
      <c r="G45" s="814">
        <v>4087.8</v>
      </c>
      <c r="H45" s="814">
        <v>778473.8</v>
      </c>
      <c r="I45" s="814">
        <v>192904.4</v>
      </c>
      <c r="J45" s="814">
        <v>102529.5</v>
      </c>
      <c r="K45" s="814">
        <v>14719.3</v>
      </c>
      <c r="L45" s="814">
        <v>47980.3</v>
      </c>
      <c r="M45" s="814">
        <v>8758.7999999999993</v>
      </c>
      <c r="N45" s="814">
        <v>35.6</v>
      </c>
      <c r="O45" s="814">
        <v>366927.89999999997</v>
      </c>
    </row>
    <row r="46" spans="1:15" s="1051" customFormat="1" ht="12.75">
      <c r="A46" s="800" t="s">
        <v>729</v>
      </c>
      <c r="B46" s="929">
        <v>354118.2</v>
      </c>
      <c r="C46" s="814">
        <v>313165.09999999998</v>
      </c>
      <c r="D46" s="814">
        <v>36089.300000000003</v>
      </c>
      <c r="E46" s="814">
        <v>100790.6</v>
      </c>
      <c r="F46" s="814">
        <v>4881.3</v>
      </c>
      <c r="G46" s="814">
        <v>1422.4</v>
      </c>
      <c r="H46" s="814">
        <v>810466.90000000014</v>
      </c>
      <c r="I46" s="814">
        <v>193109.4</v>
      </c>
      <c r="J46" s="814">
        <v>103266.7</v>
      </c>
      <c r="K46" s="814">
        <v>18828.599999999999</v>
      </c>
      <c r="L46" s="814">
        <v>57737.5</v>
      </c>
      <c r="M46" s="814">
        <v>8806</v>
      </c>
      <c r="N46" s="814">
        <v>42.2</v>
      </c>
      <c r="O46" s="814">
        <v>381790.39999999997</v>
      </c>
    </row>
    <row r="47" spans="1:15" s="69" customFormat="1" ht="12.75">
      <c r="A47" s="87"/>
      <c r="B47" s="925"/>
      <c r="C47" s="1068"/>
      <c r="D47" s="1068"/>
      <c r="E47" s="1068"/>
      <c r="F47" s="1068"/>
      <c r="G47" s="1068"/>
      <c r="H47" s="1068"/>
      <c r="I47" s="1068"/>
      <c r="J47" s="1068"/>
      <c r="K47" s="1068"/>
      <c r="L47" s="1068"/>
      <c r="M47" s="1068"/>
      <c r="N47" s="1068"/>
      <c r="O47" s="1068"/>
    </row>
    <row r="48" spans="1:15" s="69" customFormat="1" ht="12.75" hidden="1">
      <c r="A48" s="87" t="s">
        <v>60</v>
      </c>
      <c r="B48" s="925">
        <v>83676</v>
      </c>
      <c r="C48" s="1068">
        <v>29542.6</v>
      </c>
      <c r="D48" s="1068">
        <v>13204.1</v>
      </c>
      <c r="E48" s="1068">
        <v>28295.9</v>
      </c>
      <c r="F48" s="1068">
        <v>1396.6</v>
      </c>
      <c r="G48" s="1068">
        <v>590.79999999999995</v>
      </c>
      <c r="H48" s="1068">
        <f t="shared" ref="H48:H116" si="2">SUM(B48:G48)</f>
        <v>156706</v>
      </c>
      <c r="I48" s="1068">
        <v>55681.9</v>
      </c>
      <c r="J48" s="1068">
        <v>12579.199999999999</v>
      </c>
      <c r="K48" s="1068">
        <v>4522.7</v>
      </c>
      <c r="L48" s="1068">
        <v>13115.199999999999</v>
      </c>
      <c r="M48" s="1068">
        <v>44</v>
      </c>
      <c r="N48" s="1068">
        <v>20.5</v>
      </c>
      <c r="O48" s="1068">
        <f t="shared" ref="O48:O116" si="3">SUM(I48:N48)</f>
        <v>85963.5</v>
      </c>
    </row>
    <row r="49" spans="1:15" s="69" customFormat="1" ht="12.75" hidden="1">
      <c r="A49" s="87" t="s">
        <v>40</v>
      </c>
      <c r="B49" s="925">
        <v>78128.899999999994</v>
      </c>
      <c r="C49" s="1068">
        <v>33565.599999999999</v>
      </c>
      <c r="D49" s="1068">
        <v>13664.900000000001</v>
      </c>
      <c r="E49" s="1068">
        <v>28028.399999999998</v>
      </c>
      <c r="F49" s="1068">
        <v>3051.2</v>
      </c>
      <c r="G49" s="1068">
        <v>525.79999999999995</v>
      </c>
      <c r="H49" s="1068">
        <f t="shared" si="2"/>
        <v>156964.79999999999</v>
      </c>
      <c r="I49" s="1068">
        <v>55703.8</v>
      </c>
      <c r="J49" s="1068">
        <v>16088.6</v>
      </c>
      <c r="K49" s="1068">
        <v>5543.2</v>
      </c>
      <c r="L49" s="1068">
        <v>11487</v>
      </c>
      <c r="M49" s="1068">
        <v>294</v>
      </c>
      <c r="N49" s="1068">
        <v>20.2</v>
      </c>
      <c r="O49" s="1068">
        <f t="shared" si="3"/>
        <v>89136.8</v>
      </c>
    </row>
    <row r="50" spans="1:15" s="69" customFormat="1" ht="12.75" hidden="1">
      <c r="A50" s="87" t="s">
        <v>41</v>
      </c>
      <c r="B50" s="925">
        <v>80105.399999999994</v>
      </c>
      <c r="C50" s="1068">
        <v>34274.400000000001</v>
      </c>
      <c r="D50" s="1068">
        <v>19149.599999999999</v>
      </c>
      <c r="E50" s="1068">
        <v>32743.3</v>
      </c>
      <c r="F50" s="1068">
        <v>2190.1999999999998</v>
      </c>
      <c r="G50" s="1068">
        <v>469.40000000000003</v>
      </c>
      <c r="H50" s="1068">
        <f t="shared" si="2"/>
        <v>168932.3</v>
      </c>
      <c r="I50" s="1068">
        <v>56164</v>
      </c>
      <c r="J50" s="1068">
        <v>13744.9</v>
      </c>
      <c r="K50" s="1068">
        <v>6064.5</v>
      </c>
      <c r="L50" s="1068">
        <v>12795.9</v>
      </c>
      <c r="M50" s="1068">
        <v>294</v>
      </c>
      <c r="N50" s="1068">
        <v>20.2</v>
      </c>
      <c r="O50" s="1068">
        <f t="shared" si="3"/>
        <v>89083.499999999985</v>
      </c>
    </row>
    <row r="51" spans="1:15" s="69" customFormat="1" ht="12.75" hidden="1">
      <c r="A51" s="87" t="s">
        <v>42</v>
      </c>
      <c r="B51" s="925">
        <v>80417.899999999994</v>
      </c>
      <c r="C51" s="1068">
        <v>35784.299999999996</v>
      </c>
      <c r="D51" s="1068">
        <v>15644.500000000002</v>
      </c>
      <c r="E51" s="1068">
        <v>29869.8</v>
      </c>
      <c r="F51" s="1068">
        <v>2679</v>
      </c>
      <c r="G51" s="1068">
        <v>380</v>
      </c>
      <c r="H51" s="1068">
        <f t="shared" si="2"/>
        <v>164775.49999999997</v>
      </c>
      <c r="I51" s="1068">
        <v>56964.9</v>
      </c>
      <c r="J51" s="1068">
        <v>13887.099999999999</v>
      </c>
      <c r="K51" s="1068">
        <v>5045.2</v>
      </c>
      <c r="L51" s="1068">
        <v>12201.499999999998</v>
      </c>
      <c r="M51" s="1068">
        <v>294</v>
      </c>
      <c r="N51" s="1068">
        <v>20.399999999999999</v>
      </c>
      <c r="O51" s="1068">
        <f t="shared" si="3"/>
        <v>88413.099999999991</v>
      </c>
    </row>
    <row r="52" spans="1:15" s="69" customFormat="1" ht="12.75" hidden="1">
      <c r="A52" s="87" t="s">
        <v>43</v>
      </c>
      <c r="B52" s="925">
        <v>74950.700000000012</v>
      </c>
      <c r="C52" s="1068">
        <v>32884.5</v>
      </c>
      <c r="D52" s="1068">
        <v>14710.599999999999</v>
      </c>
      <c r="E52" s="1068">
        <v>31168.5</v>
      </c>
      <c r="F52" s="1068">
        <v>2287.6</v>
      </c>
      <c r="G52" s="1068">
        <v>460.9</v>
      </c>
      <c r="H52" s="1068">
        <f t="shared" si="2"/>
        <v>156462.80000000002</v>
      </c>
      <c r="I52" s="1068">
        <v>56922.200000000004</v>
      </c>
      <c r="J52" s="1068">
        <v>13838.300000000001</v>
      </c>
      <c r="K52" s="1068">
        <v>5589.7</v>
      </c>
      <c r="L52" s="1068">
        <v>12985.7</v>
      </c>
      <c r="M52" s="1068">
        <v>294</v>
      </c>
      <c r="N52" s="1068">
        <v>20.399999999999999</v>
      </c>
      <c r="O52" s="1068">
        <f t="shared" si="3"/>
        <v>89650.299999999988</v>
      </c>
    </row>
    <row r="53" spans="1:15" s="69" customFormat="1" ht="12.75" hidden="1">
      <c r="A53" s="87" t="s">
        <v>44</v>
      </c>
      <c r="B53" s="925">
        <v>78501.300000000017</v>
      </c>
      <c r="C53" s="1068">
        <v>36647.800000000003</v>
      </c>
      <c r="D53" s="1068">
        <v>16425.8</v>
      </c>
      <c r="E53" s="1068">
        <v>32079.4</v>
      </c>
      <c r="F53" s="1068">
        <v>2745.9000000000005</v>
      </c>
      <c r="G53" s="1068">
        <v>631.70000000000005</v>
      </c>
      <c r="H53" s="1068">
        <f t="shared" si="2"/>
        <v>167031.90000000002</v>
      </c>
      <c r="I53" s="1068">
        <v>54282</v>
      </c>
      <c r="J53" s="1068">
        <v>13208.199999999999</v>
      </c>
      <c r="K53" s="1068">
        <v>5389.2999999999993</v>
      </c>
      <c r="L53" s="1068">
        <v>13698.4</v>
      </c>
      <c r="M53" s="1068">
        <v>250</v>
      </c>
      <c r="N53" s="1068">
        <v>20.7</v>
      </c>
      <c r="O53" s="1068">
        <f t="shared" si="3"/>
        <v>86848.599999999991</v>
      </c>
    </row>
    <row r="54" spans="1:15" s="69" customFormat="1" ht="12.75" hidden="1">
      <c r="A54" s="87" t="s">
        <v>45</v>
      </c>
      <c r="B54" s="925">
        <v>81612.999999999985</v>
      </c>
      <c r="C54" s="1068">
        <v>36525.599999999999</v>
      </c>
      <c r="D54" s="1068">
        <v>14267.000000000002</v>
      </c>
      <c r="E54" s="1068">
        <v>33669.599999999999</v>
      </c>
      <c r="F54" s="1068">
        <v>1906.8999999999999</v>
      </c>
      <c r="G54" s="1068">
        <v>623.29999999999995</v>
      </c>
      <c r="H54" s="1068">
        <f t="shared" si="2"/>
        <v>168605.39999999997</v>
      </c>
      <c r="I54" s="1068">
        <v>57375.4</v>
      </c>
      <c r="J54" s="1068">
        <v>12182.200000000003</v>
      </c>
      <c r="K54" s="1068">
        <v>7829.1</v>
      </c>
      <c r="L54" s="1068">
        <v>12960.599999999999</v>
      </c>
      <c r="M54" s="1068">
        <v>844</v>
      </c>
      <c r="N54" s="1068">
        <v>19.899999999999999</v>
      </c>
      <c r="O54" s="1068">
        <f t="shared" si="3"/>
        <v>91211.200000000012</v>
      </c>
    </row>
    <row r="55" spans="1:15" s="69" customFormat="1" ht="12.75" hidden="1">
      <c r="A55" s="87" t="s">
        <v>46</v>
      </c>
      <c r="B55" s="925">
        <v>82561.599999999991</v>
      </c>
      <c r="C55" s="1068">
        <v>41761.699999999997</v>
      </c>
      <c r="D55" s="1068">
        <v>13902.8</v>
      </c>
      <c r="E55" s="1068">
        <v>36383.9</v>
      </c>
      <c r="F55" s="1068">
        <v>1927</v>
      </c>
      <c r="G55" s="1068">
        <v>534.5</v>
      </c>
      <c r="H55" s="1068">
        <f t="shared" si="2"/>
        <v>177071.49999999997</v>
      </c>
      <c r="I55" s="1068">
        <v>55962.400000000009</v>
      </c>
      <c r="J55" s="1068">
        <v>12724.3</v>
      </c>
      <c r="K55" s="1068">
        <v>8819.4</v>
      </c>
      <c r="L55" s="1068">
        <v>14379.7</v>
      </c>
      <c r="M55" s="1068">
        <v>900</v>
      </c>
      <c r="N55" s="1068">
        <v>20.099999999999998</v>
      </c>
      <c r="O55" s="1068">
        <f t="shared" si="3"/>
        <v>92805.900000000009</v>
      </c>
    </row>
    <row r="56" spans="1:15" s="69" customFormat="1" ht="12.75" hidden="1">
      <c r="A56" s="87" t="s">
        <v>47</v>
      </c>
      <c r="B56" s="925">
        <v>87265.7</v>
      </c>
      <c r="C56" s="1068">
        <v>42839</v>
      </c>
      <c r="D56" s="1068">
        <v>15153.500000000002</v>
      </c>
      <c r="E56" s="1068">
        <v>37224.699999999997</v>
      </c>
      <c r="F56" s="1068">
        <v>1820</v>
      </c>
      <c r="G56" s="1068">
        <v>534.70000000000005</v>
      </c>
      <c r="H56" s="1068">
        <f t="shared" si="2"/>
        <v>184837.60000000003</v>
      </c>
      <c r="I56" s="1068">
        <v>58563.700000000004</v>
      </c>
      <c r="J56" s="1068">
        <v>12029.800000000001</v>
      </c>
      <c r="K56" s="1068">
        <v>8505.6</v>
      </c>
      <c r="L56" s="1068">
        <v>14850.7</v>
      </c>
      <c r="M56" s="1068">
        <v>550</v>
      </c>
      <c r="N56" s="1068">
        <v>20.099999999999998</v>
      </c>
      <c r="O56" s="1068">
        <f t="shared" si="3"/>
        <v>94519.900000000009</v>
      </c>
    </row>
    <row r="57" spans="1:15" s="69" customFormat="1" ht="12.75" hidden="1">
      <c r="A57" s="87" t="s">
        <v>48</v>
      </c>
      <c r="B57" s="925">
        <v>89849.8</v>
      </c>
      <c r="C57" s="1068">
        <v>40843.300000000003</v>
      </c>
      <c r="D57" s="1068">
        <v>18895.999999999996</v>
      </c>
      <c r="E57" s="1068">
        <v>35123.299999999996</v>
      </c>
      <c r="F57" s="1068">
        <v>2347.2999999999997</v>
      </c>
      <c r="G57" s="1068">
        <v>430.30000000000007</v>
      </c>
      <c r="H57" s="1068">
        <f t="shared" si="2"/>
        <v>187489.99999999997</v>
      </c>
      <c r="I57" s="1068">
        <v>59651.9</v>
      </c>
      <c r="J57" s="1068">
        <v>12154.3</v>
      </c>
      <c r="K57" s="1068">
        <v>9789.1</v>
      </c>
      <c r="L57" s="1068">
        <v>14347.900000000001</v>
      </c>
      <c r="M57" s="1068">
        <v>550</v>
      </c>
      <c r="N57" s="1068">
        <v>20.2</v>
      </c>
      <c r="O57" s="1068">
        <f t="shared" si="3"/>
        <v>96513.400000000009</v>
      </c>
    </row>
    <row r="58" spans="1:15" s="69" customFormat="1" ht="12.75" hidden="1">
      <c r="A58" s="87" t="s">
        <v>49</v>
      </c>
      <c r="B58" s="925">
        <v>92275.000000000015</v>
      </c>
      <c r="C58" s="1068">
        <v>39465.100000000006</v>
      </c>
      <c r="D58" s="1068">
        <v>17696.600000000002</v>
      </c>
      <c r="E58" s="1068">
        <v>35466.199999999997</v>
      </c>
      <c r="F58" s="1068">
        <v>1238.7</v>
      </c>
      <c r="G58" s="1068">
        <v>420.7</v>
      </c>
      <c r="H58" s="1068">
        <f t="shared" si="2"/>
        <v>186562.30000000005</v>
      </c>
      <c r="I58" s="1068">
        <v>61460.7</v>
      </c>
      <c r="J58" s="1068">
        <v>12387.600000000002</v>
      </c>
      <c r="K58" s="1068">
        <v>9616.1</v>
      </c>
      <c r="L58" s="1068">
        <v>15146.2</v>
      </c>
      <c r="M58" s="1068">
        <v>550</v>
      </c>
      <c r="N58" s="1068">
        <v>20.299999999999997</v>
      </c>
      <c r="O58" s="1068">
        <f t="shared" si="3"/>
        <v>99180.900000000009</v>
      </c>
    </row>
    <row r="59" spans="1:15" s="69" customFormat="1" ht="12.75" hidden="1">
      <c r="A59" s="87" t="s">
        <v>50</v>
      </c>
      <c r="B59" s="925">
        <v>103932.4</v>
      </c>
      <c r="C59" s="1068">
        <v>40671.000000000007</v>
      </c>
      <c r="D59" s="1068">
        <v>21363.199999999997</v>
      </c>
      <c r="E59" s="1068">
        <v>39031.300000000003</v>
      </c>
      <c r="F59" s="1068">
        <v>1730.5</v>
      </c>
      <c r="G59" s="1068">
        <v>333.5</v>
      </c>
      <c r="H59" s="1068">
        <f t="shared" si="2"/>
        <v>207061.89999999997</v>
      </c>
      <c r="I59" s="1068">
        <v>63450.8</v>
      </c>
      <c r="J59" s="1068">
        <v>11550.8</v>
      </c>
      <c r="K59" s="1068">
        <v>9384.2000000000007</v>
      </c>
      <c r="L59" s="1068">
        <v>14877.299999999997</v>
      </c>
      <c r="M59" s="1068">
        <v>550</v>
      </c>
      <c r="N59" s="1068">
        <v>25.9</v>
      </c>
      <c r="O59" s="1068">
        <f t="shared" si="3"/>
        <v>99839</v>
      </c>
    </row>
    <row r="60" spans="1:15" s="69" customFormat="1" ht="12.75" hidden="1">
      <c r="A60" s="222"/>
      <c r="B60" s="925"/>
      <c r="C60" s="1068"/>
      <c r="D60" s="1068"/>
      <c r="E60" s="1068"/>
      <c r="F60" s="1068"/>
      <c r="G60" s="1068"/>
      <c r="H60" s="1068"/>
      <c r="I60" s="1068"/>
      <c r="J60" s="1068"/>
      <c r="K60" s="1068"/>
      <c r="L60" s="1068"/>
      <c r="M60" s="1068"/>
      <c r="N60" s="1068"/>
      <c r="O60" s="1068"/>
    </row>
    <row r="61" spans="1:15" s="69" customFormat="1" ht="12.75" hidden="1">
      <c r="A61" s="87" t="s">
        <v>59</v>
      </c>
      <c r="B61" s="925">
        <v>100318</v>
      </c>
      <c r="C61" s="1068">
        <v>39964.300000000003</v>
      </c>
      <c r="D61" s="1068">
        <v>16798.000000000004</v>
      </c>
      <c r="E61" s="1068">
        <v>40749.9</v>
      </c>
      <c r="F61" s="1068">
        <v>1639.7</v>
      </c>
      <c r="G61" s="1068">
        <v>303.89999999999998</v>
      </c>
      <c r="H61" s="1068">
        <f t="shared" si="2"/>
        <v>199773.8</v>
      </c>
      <c r="I61" s="1068">
        <v>61687.6</v>
      </c>
      <c r="J61" s="1068">
        <v>13367.499999999998</v>
      </c>
      <c r="K61" s="1068">
        <v>10833.2</v>
      </c>
      <c r="L61" s="1068">
        <v>12348.8</v>
      </c>
      <c r="M61" s="1068">
        <v>250</v>
      </c>
      <c r="N61" s="1068">
        <v>37.9</v>
      </c>
      <c r="O61" s="1068">
        <f t="shared" si="3"/>
        <v>98524.999999999985</v>
      </c>
    </row>
    <row r="62" spans="1:15" s="69" customFormat="1" ht="12.75" hidden="1">
      <c r="A62" s="87" t="s">
        <v>40</v>
      </c>
      <c r="B62" s="925">
        <v>102915.4</v>
      </c>
      <c r="C62" s="1068">
        <v>38831.799999999996</v>
      </c>
      <c r="D62" s="1068">
        <v>17193.7</v>
      </c>
      <c r="E62" s="1068">
        <v>34826.6</v>
      </c>
      <c r="F62" s="1068">
        <v>1217.0999999999999</v>
      </c>
      <c r="G62" s="1068">
        <v>163</v>
      </c>
      <c r="H62" s="1068">
        <f t="shared" si="2"/>
        <v>195147.6</v>
      </c>
      <c r="I62" s="1068">
        <v>63509.200000000004</v>
      </c>
      <c r="J62" s="1068">
        <v>10754.2</v>
      </c>
      <c r="K62" s="1068">
        <v>10488.400000000001</v>
      </c>
      <c r="L62" s="1068">
        <v>15282.3</v>
      </c>
      <c r="M62" s="1068">
        <v>250</v>
      </c>
      <c r="N62" s="1068">
        <v>25.6</v>
      </c>
      <c r="O62" s="1068">
        <f t="shared" si="3"/>
        <v>100309.70000000003</v>
      </c>
    </row>
    <row r="63" spans="1:15" s="69" customFormat="1" ht="12.75" hidden="1">
      <c r="A63" s="87" t="s">
        <v>41</v>
      </c>
      <c r="B63" s="925">
        <v>103519.59999999998</v>
      </c>
      <c r="C63" s="1068">
        <v>36016.199999999997</v>
      </c>
      <c r="D63" s="1068">
        <v>16601.900000000001</v>
      </c>
      <c r="E63" s="1068">
        <v>46042.600000000006</v>
      </c>
      <c r="F63" s="1068">
        <v>1079.1999999999998</v>
      </c>
      <c r="G63" s="1068">
        <v>338.8</v>
      </c>
      <c r="H63" s="1068">
        <f t="shared" si="2"/>
        <v>203598.3</v>
      </c>
      <c r="I63" s="1068">
        <v>64357.499999999993</v>
      </c>
      <c r="J63" s="1068">
        <v>11339.100000000002</v>
      </c>
      <c r="K63" s="1068">
        <v>9096.5</v>
      </c>
      <c r="L63" s="1068">
        <v>14524.6</v>
      </c>
      <c r="M63" s="1068">
        <v>650</v>
      </c>
      <c r="N63" s="1068">
        <v>25.9</v>
      </c>
      <c r="O63" s="1068">
        <f t="shared" si="3"/>
        <v>99993.599999999991</v>
      </c>
    </row>
    <row r="64" spans="1:15" s="69" customFormat="1" ht="12.75" hidden="1">
      <c r="A64" s="87" t="s">
        <v>42</v>
      </c>
      <c r="B64" s="925">
        <v>109338.30000000002</v>
      </c>
      <c r="C64" s="1068">
        <v>37772.799999999996</v>
      </c>
      <c r="D64" s="1068">
        <v>15613.699999999999</v>
      </c>
      <c r="E64" s="1068">
        <v>36961.800000000003</v>
      </c>
      <c r="F64" s="1068">
        <v>946.2</v>
      </c>
      <c r="G64" s="1068">
        <v>188.1</v>
      </c>
      <c r="H64" s="1068">
        <f t="shared" si="2"/>
        <v>200820.90000000005</v>
      </c>
      <c r="I64" s="1068">
        <v>65108.200000000004</v>
      </c>
      <c r="J64" s="1068">
        <v>10386.299999999999</v>
      </c>
      <c r="K64" s="1068">
        <v>10526</v>
      </c>
      <c r="L64" s="1068">
        <v>16348.099999999999</v>
      </c>
      <c r="M64" s="1068">
        <v>250</v>
      </c>
      <c r="N64" s="1068">
        <v>26</v>
      </c>
      <c r="O64" s="1068">
        <f t="shared" si="3"/>
        <v>102644.6</v>
      </c>
    </row>
    <row r="65" spans="1:15" s="69" customFormat="1" ht="12.75" hidden="1">
      <c r="A65" s="87" t="s">
        <v>43</v>
      </c>
      <c r="B65" s="925">
        <v>103729.09999999999</v>
      </c>
      <c r="C65" s="1068">
        <v>40619.799999999996</v>
      </c>
      <c r="D65" s="1068">
        <v>13233.900000000001</v>
      </c>
      <c r="E65" s="1068">
        <v>37366.099999999991</v>
      </c>
      <c r="F65" s="1068">
        <v>904.40000000000009</v>
      </c>
      <c r="G65" s="1068">
        <v>191.7</v>
      </c>
      <c r="H65" s="1068">
        <f t="shared" si="2"/>
        <v>196044.99999999997</v>
      </c>
      <c r="I65" s="1068">
        <v>67749.2</v>
      </c>
      <c r="J65" s="1068">
        <v>10147.300000000001</v>
      </c>
      <c r="K65" s="1068">
        <v>10424.099999999999</v>
      </c>
      <c r="L65" s="1068">
        <v>16823.7</v>
      </c>
      <c r="M65" s="1068">
        <v>250</v>
      </c>
      <c r="N65" s="1068">
        <v>21.900000000000002</v>
      </c>
      <c r="O65" s="1068">
        <f t="shared" si="3"/>
        <v>105416.2</v>
      </c>
    </row>
    <row r="66" spans="1:15" s="69" customFormat="1" ht="12.75" hidden="1">
      <c r="A66" s="87" t="s">
        <v>44</v>
      </c>
      <c r="B66" s="925">
        <v>107846.5</v>
      </c>
      <c r="C66" s="1068">
        <v>41764.899999999994</v>
      </c>
      <c r="D66" s="1068">
        <v>14119.099999999997</v>
      </c>
      <c r="E66" s="1068">
        <v>37440.5</v>
      </c>
      <c r="F66" s="1068">
        <v>1345.2</v>
      </c>
      <c r="G66" s="1068">
        <v>205.59999999999997</v>
      </c>
      <c r="H66" s="1068">
        <f t="shared" si="2"/>
        <v>202721.80000000002</v>
      </c>
      <c r="I66" s="1068">
        <v>69651.399999999994</v>
      </c>
      <c r="J66" s="1068">
        <v>11601.8</v>
      </c>
      <c r="K66" s="1068">
        <v>10286.799999999999</v>
      </c>
      <c r="L66" s="1068">
        <v>15119.4</v>
      </c>
      <c r="M66" s="1068">
        <v>250</v>
      </c>
      <c r="N66" s="1068">
        <v>6.2</v>
      </c>
      <c r="O66" s="1068">
        <f t="shared" si="3"/>
        <v>106915.59999999999</v>
      </c>
    </row>
    <row r="67" spans="1:15" s="69" customFormat="1" ht="12.75" hidden="1">
      <c r="A67" s="87" t="s">
        <v>45</v>
      </c>
      <c r="B67" s="925">
        <v>104268.7</v>
      </c>
      <c r="C67" s="1068">
        <v>40159.19999999999</v>
      </c>
      <c r="D67" s="1068">
        <v>13548.9</v>
      </c>
      <c r="E67" s="1068">
        <v>37773.9</v>
      </c>
      <c r="F67" s="1068">
        <v>618.1</v>
      </c>
      <c r="G67" s="1068">
        <v>282.60000000000002</v>
      </c>
      <c r="H67" s="1068">
        <f t="shared" si="2"/>
        <v>196651.4</v>
      </c>
      <c r="I67" s="1068">
        <v>68774.7</v>
      </c>
      <c r="J67" s="1068">
        <v>12408.900000000001</v>
      </c>
      <c r="K67" s="1068">
        <v>9773.3999999999978</v>
      </c>
      <c r="L67" s="1068">
        <v>16260.9</v>
      </c>
      <c r="M67" s="1068">
        <v>250</v>
      </c>
      <c r="N67" s="1068">
        <v>6.5</v>
      </c>
      <c r="O67" s="1068">
        <f t="shared" si="3"/>
        <v>107474.4</v>
      </c>
    </row>
    <row r="68" spans="1:15" s="69" customFormat="1" ht="12.75" hidden="1">
      <c r="A68" s="87" t="s">
        <v>46</v>
      </c>
      <c r="B68" s="925">
        <v>107737.8</v>
      </c>
      <c r="C68" s="1068">
        <v>42012.1</v>
      </c>
      <c r="D68" s="1068">
        <v>13748.999999999998</v>
      </c>
      <c r="E68" s="1068">
        <v>41189.699999999997</v>
      </c>
      <c r="F68" s="1068">
        <v>874.90000000000009</v>
      </c>
      <c r="G68" s="1068">
        <v>230.89999999999998</v>
      </c>
      <c r="H68" s="1068">
        <f t="shared" si="2"/>
        <v>205794.39999999997</v>
      </c>
      <c r="I68" s="1068">
        <v>69235.399999999994</v>
      </c>
      <c r="J68" s="1068">
        <v>11935.300000000001</v>
      </c>
      <c r="K68" s="1068">
        <v>11096.8</v>
      </c>
      <c r="L68" s="1068">
        <v>12767.800000000001</v>
      </c>
      <c r="M68" s="1068">
        <v>250</v>
      </c>
      <c r="N68" s="1068">
        <v>6.6</v>
      </c>
      <c r="O68" s="1068">
        <f t="shared" si="3"/>
        <v>105291.90000000001</v>
      </c>
    </row>
    <row r="69" spans="1:15" s="69" customFormat="1" ht="12.75" hidden="1">
      <c r="A69" s="87" t="s">
        <v>47</v>
      </c>
      <c r="B69" s="925">
        <v>112286.00000000001</v>
      </c>
      <c r="C69" s="1068">
        <v>46851.799999999996</v>
      </c>
      <c r="D69" s="1068">
        <v>16743.099999999999</v>
      </c>
      <c r="E69" s="1068">
        <v>51077.9</v>
      </c>
      <c r="F69" s="1068">
        <v>1385.7</v>
      </c>
      <c r="G69" s="1068">
        <v>492.1</v>
      </c>
      <c r="H69" s="1068">
        <f t="shared" si="2"/>
        <v>228836.60000000003</v>
      </c>
      <c r="I69" s="1068">
        <v>69047.299999999988</v>
      </c>
      <c r="J69" s="1068">
        <v>12566.5</v>
      </c>
      <c r="K69" s="1068">
        <v>8850.7000000000007</v>
      </c>
      <c r="L69" s="1068">
        <v>10803.599999999997</v>
      </c>
      <c r="M69" s="1068">
        <v>250</v>
      </c>
      <c r="N69" s="1068">
        <v>6.8000000000000007</v>
      </c>
      <c r="O69" s="1068">
        <f t="shared" si="3"/>
        <v>101524.89999999998</v>
      </c>
    </row>
    <row r="70" spans="1:15" s="69" customFormat="1" ht="12.75" hidden="1">
      <c r="A70" s="87" t="s">
        <v>48</v>
      </c>
      <c r="B70" s="925">
        <v>116031.29999999999</v>
      </c>
      <c r="C70" s="1068">
        <v>45037.599999999991</v>
      </c>
      <c r="D70" s="1068">
        <v>15812.5</v>
      </c>
      <c r="E70" s="1068">
        <v>39818.899999999994</v>
      </c>
      <c r="F70" s="1068">
        <v>1623.6</v>
      </c>
      <c r="G70" s="1068">
        <v>591.6</v>
      </c>
      <c r="H70" s="1068">
        <f t="shared" si="2"/>
        <v>218915.49999999997</v>
      </c>
      <c r="I70" s="1068">
        <v>73659.8</v>
      </c>
      <c r="J70" s="1068">
        <v>14396.400000000001</v>
      </c>
      <c r="K70" s="1068">
        <v>8743.6999999999989</v>
      </c>
      <c r="L70" s="1068">
        <v>13280.099999999999</v>
      </c>
      <c r="M70" s="1068">
        <v>250</v>
      </c>
      <c r="N70" s="1068">
        <v>6.7</v>
      </c>
      <c r="O70" s="1068">
        <f t="shared" si="3"/>
        <v>110336.7</v>
      </c>
    </row>
    <row r="71" spans="1:15" s="69" customFormat="1" ht="12.75" hidden="1">
      <c r="A71" s="87" t="s">
        <v>49</v>
      </c>
      <c r="B71" s="925">
        <v>113923.90000000002</v>
      </c>
      <c r="C71" s="1068">
        <v>39842.9</v>
      </c>
      <c r="D71" s="1068">
        <v>13702.2</v>
      </c>
      <c r="E71" s="1068">
        <v>40051.599999999999</v>
      </c>
      <c r="F71" s="1068">
        <v>1941.6999999999998</v>
      </c>
      <c r="G71" s="1068">
        <v>877.9</v>
      </c>
      <c r="H71" s="1068">
        <f t="shared" si="2"/>
        <v>210340.20000000004</v>
      </c>
      <c r="I71" s="1068">
        <v>77590.5</v>
      </c>
      <c r="J71" s="1068">
        <v>14261</v>
      </c>
      <c r="K71" s="1068">
        <v>9845.2999999999993</v>
      </c>
      <c r="L71" s="1068">
        <v>13793.599999999999</v>
      </c>
      <c r="M71" s="1068">
        <v>250</v>
      </c>
      <c r="N71" s="1068">
        <v>6.7</v>
      </c>
      <c r="O71" s="1068">
        <f t="shared" si="3"/>
        <v>115747.09999999999</v>
      </c>
    </row>
    <row r="72" spans="1:15" s="69" customFormat="1" ht="12.75" hidden="1">
      <c r="A72" s="87" t="s">
        <v>50</v>
      </c>
      <c r="B72" s="925">
        <v>135849.70000000001</v>
      </c>
      <c r="C72" s="1068">
        <v>48040.500000000007</v>
      </c>
      <c r="D72" s="1068">
        <v>16952.3</v>
      </c>
      <c r="E72" s="1068">
        <v>42146.000000000007</v>
      </c>
      <c r="F72" s="1068">
        <v>2249</v>
      </c>
      <c r="G72" s="1068">
        <v>973.4000000000002</v>
      </c>
      <c r="H72" s="1068">
        <f t="shared" si="2"/>
        <v>246210.9</v>
      </c>
      <c r="I72" s="1068">
        <v>79802.900000000009</v>
      </c>
      <c r="J72" s="1068">
        <v>15644.599999999999</v>
      </c>
      <c r="K72" s="1068">
        <v>9351.7999999999993</v>
      </c>
      <c r="L72" s="1068">
        <v>11732.1</v>
      </c>
      <c r="M72" s="1068">
        <v>400</v>
      </c>
      <c r="N72" s="1068">
        <v>6.5</v>
      </c>
      <c r="O72" s="1068">
        <f t="shared" si="3"/>
        <v>116937.90000000001</v>
      </c>
    </row>
    <row r="73" spans="1:15" s="69" customFormat="1" ht="12.75" hidden="1">
      <c r="A73" s="87"/>
      <c r="B73" s="925"/>
      <c r="C73" s="1068"/>
      <c r="D73" s="1068"/>
      <c r="E73" s="1068"/>
      <c r="F73" s="1068"/>
      <c r="G73" s="1068"/>
      <c r="H73" s="1068"/>
      <c r="I73" s="1068"/>
      <c r="J73" s="1068"/>
      <c r="K73" s="1068"/>
      <c r="L73" s="1068"/>
      <c r="M73" s="1068"/>
      <c r="N73" s="1068"/>
      <c r="O73" s="1068"/>
    </row>
    <row r="74" spans="1:15" s="69" customFormat="1" ht="12.75" hidden="1">
      <c r="A74" s="87" t="s">
        <v>58</v>
      </c>
      <c r="B74" s="925">
        <v>128631.1</v>
      </c>
      <c r="C74" s="1068">
        <v>50186.400000000001</v>
      </c>
      <c r="D74" s="1068">
        <v>16738</v>
      </c>
      <c r="E74" s="1068">
        <v>43394.700000000004</v>
      </c>
      <c r="F74" s="1068">
        <v>2048.6000000000004</v>
      </c>
      <c r="G74" s="1068">
        <v>598.80000000000007</v>
      </c>
      <c r="H74" s="1068">
        <f t="shared" si="2"/>
        <v>241597.6</v>
      </c>
      <c r="I74" s="1068">
        <v>79703.700000000012</v>
      </c>
      <c r="J74" s="1068">
        <v>15721.300000000001</v>
      </c>
      <c r="K74" s="1068">
        <v>8493.4</v>
      </c>
      <c r="L74" s="1068">
        <v>11067.900000000001</v>
      </c>
      <c r="M74" s="1068">
        <v>700</v>
      </c>
      <c r="N74" s="1068">
        <v>47.20000000000001</v>
      </c>
      <c r="O74" s="1068">
        <f t="shared" si="3"/>
        <v>115733.50000000001</v>
      </c>
    </row>
    <row r="75" spans="1:15" s="69" customFormat="1" ht="12.75" hidden="1">
      <c r="A75" s="87" t="s">
        <v>40</v>
      </c>
      <c r="B75" s="925">
        <v>132827.1</v>
      </c>
      <c r="C75" s="1068">
        <v>53163.3</v>
      </c>
      <c r="D75" s="1068">
        <v>15195.5</v>
      </c>
      <c r="E75" s="1068">
        <v>39828.5</v>
      </c>
      <c r="F75" s="1068">
        <v>3054.8</v>
      </c>
      <c r="G75" s="1068">
        <v>698.4</v>
      </c>
      <c r="H75" s="1068">
        <f t="shared" si="2"/>
        <v>244767.6</v>
      </c>
      <c r="I75" s="1068">
        <v>78923.399999999994</v>
      </c>
      <c r="J75" s="1068">
        <v>16005.2</v>
      </c>
      <c r="K75" s="1068">
        <v>9308.8999999999978</v>
      </c>
      <c r="L75" s="1068">
        <v>12115.2</v>
      </c>
      <c r="M75" s="1068">
        <v>700</v>
      </c>
      <c r="N75" s="1068">
        <v>35.5</v>
      </c>
      <c r="O75" s="1068">
        <f t="shared" si="3"/>
        <v>117088.19999999998</v>
      </c>
    </row>
    <row r="76" spans="1:15" s="69" customFormat="1" ht="12.75" hidden="1">
      <c r="A76" s="87" t="s">
        <v>41</v>
      </c>
      <c r="B76" s="925">
        <v>135664.9</v>
      </c>
      <c r="C76" s="1068">
        <v>53144.6</v>
      </c>
      <c r="D76" s="1068">
        <v>13697.300000000001</v>
      </c>
      <c r="E76" s="1068">
        <v>51067.199999999997</v>
      </c>
      <c r="F76" s="1068">
        <v>3089.7</v>
      </c>
      <c r="G76" s="1068">
        <v>965.09999999999991</v>
      </c>
      <c r="H76" s="1068">
        <f t="shared" si="2"/>
        <v>257628.80000000002</v>
      </c>
      <c r="I76" s="1068">
        <v>79263.200000000012</v>
      </c>
      <c r="J76" s="1068">
        <v>17826.300000000003</v>
      </c>
      <c r="K76" s="1068">
        <v>9883.4</v>
      </c>
      <c r="L76" s="1068">
        <v>14258.4</v>
      </c>
      <c r="M76" s="1068">
        <v>700</v>
      </c>
      <c r="N76" s="1068">
        <v>32.700000000000003</v>
      </c>
      <c r="O76" s="1068">
        <f t="shared" si="3"/>
        <v>121964</v>
      </c>
    </row>
    <row r="77" spans="1:15" s="69" customFormat="1" ht="12.75" hidden="1">
      <c r="A77" s="87" t="s">
        <v>42</v>
      </c>
      <c r="B77" s="925">
        <v>135708.19999999998</v>
      </c>
      <c r="C77" s="1068">
        <v>51093.799999999996</v>
      </c>
      <c r="D77" s="1068">
        <v>15904.699999999999</v>
      </c>
      <c r="E77" s="1068">
        <v>43907.799999999996</v>
      </c>
      <c r="F77" s="1068">
        <v>1963.4999999999998</v>
      </c>
      <c r="G77" s="1068">
        <v>1073.3000000000002</v>
      </c>
      <c r="H77" s="1068">
        <f t="shared" si="2"/>
        <v>249651.29999999996</v>
      </c>
      <c r="I77" s="1068">
        <v>80479.700000000012</v>
      </c>
      <c r="J77" s="1068">
        <v>16098.2</v>
      </c>
      <c r="K77" s="1068">
        <v>12021.699999999999</v>
      </c>
      <c r="L77" s="1068">
        <v>15928.599999999999</v>
      </c>
      <c r="M77" s="1068">
        <v>1050</v>
      </c>
      <c r="N77" s="1068">
        <v>34.200000000000003</v>
      </c>
      <c r="O77" s="1068">
        <f t="shared" si="3"/>
        <v>125612.40000000001</v>
      </c>
    </row>
    <row r="78" spans="1:15" s="69" customFormat="1" ht="12.75" hidden="1">
      <c r="A78" s="87" t="s">
        <v>43</v>
      </c>
      <c r="B78" s="925">
        <v>132781.90000000002</v>
      </c>
      <c r="C78" s="1068">
        <v>42458</v>
      </c>
      <c r="D78" s="1068">
        <v>18397.100000000002</v>
      </c>
      <c r="E78" s="1068">
        <v>42728</v>
      </c>
      <c r="F78" s="1068">
        <v>1862.6</v>
      </c>
      <c r="G78" s="1068">
        <v>480.90000000000003</v>
      </c>
      <c r="H78" s="1068">
        <f t="shared" si="2"/>
        <v>238708.50000000003</v>
      </c>
      <c r="I78" s="1068">
        <v>83314.7</v>
      </c>
      <c r="J78" s="1068">
        <v>15940.699999999999</v>
      </c>
      <c r="K78" s="1068">
        <v>8410.6999999999989</v>
      </c>
      <c r="L78" s="1068">
        <v>13825.300000000001</v>
      </c>
      <c r="M78" s="1068">
        <v>1550</v>
      </c>
      <c r="N78" s="1068">
        <v>24.9</v>
      </c>
      <c r="O78" s="1068">
        <f t="shared" si="3"/>
        <v>123066.29999999999</v>
      </c>
    </row>
    <row r="79" spans="1:15" s="69" customFormat="1" ht="12.75" hidden="1">
      <c r="A79" s="87" t="s">
        <v>44</v>
      </c>
      <c r="B79" s="925">
        <v>142462.1</v>
      </c>
      <c r="C79" s="1068">
        <v>49844.608999999997</v>
      </c>
      <c r="D79" s="1068">
        <v>12756.699999999999</v>
      </c>
      <c r="E79" s="1068">
        <v>45754.291000000005</v>
      </c>
      <c r="F79" s="1068">
        <v>1791.8</v>
      </c>
      <c r="G79" s="1068">
        <v>668.4</v>
      </c>
      <c r="H79" s="1068">
        <f t="shared" si="2"/>
        <v>253277.9</v>
      </c>
      <c r="I79" s="1068">
        <v>83970.4</v>
      </c>
      <c r="J79" s="1068">
        <v>16086.6</v>
      </c>
      <c r="K79" s="1068">
        <v>11377.8</v>
      </c>
      <c r="L79" s="1068">
        <v>14581.1</v>
      </c>
      <c r="M79" s="1068">
        <v>1050</v>
      </c>
      <c r="N79" s="1068">
        <v>11.899999999999999</v>
      </c>
      <c r="O79" s="1068">
        <f t="shared" si="3"/>
        <v>127077.8</v>
      </c>
    </row>
    <row r="80" spans="1:15" s="69" customFormat="1" ht="12.75" hidden="1">
      <c r="A80" s="87" t="s">
        <v>45</v>
      </c>
      <c r="B80" s="925">
        <v>151397.69999999998</v>
      </c>
      <c r="C80" s="1068">
        <v>53973.708999999995</v>
      </c>
      <c r="D80" s="1068">
        <v>11127.5</v>
      </c>
      <c r="E80" s="1068">
        <v>44436.091</v>
      </c>
      <c r="F80" s="1068">
        <v>2679.2</v>
      </c>
      <c r="G80" s="1068">
        <v>468.99999999999994</v>
      </c>
      <c r="H80" s="1068">
        <f t="shared" si="2"/>
        <v>264083.20000000001</v>
      </c>
      <c r="I80" s="1068">
        <v>85868.3</v>
      </c>
      <c r="J80" s="1068">
        <v>16974.5</v>
      </c>
      <c r="K80" s="1068">
        <v>13593.4</v>
      </c>
      <c r="L80" s="1068">
        <v>13516.800000000001</v>
      </c>
      <c r="M80" s="1068">
        <v>1450</v>
      </c>
      <c r="N80" s="1068">
        <v>12</v>
      </c>
      <c r="O80" s="1068">
        <f t="shared" si="3"/>
        <v>131415</v>
      </c>
    </row>
    <row r="81" spans="1:15" s="69" customFormat="1" ht="12.75" hidden="1">
      <c r="A81" s="87" t="s">
        <v>46</v>
      </c>
      <c r="B81" s="925">
        <v>146368.79999999999</v>
      </c>
      <c r="C81" s="1068">
        <v>67101.409</v>
      </c>
      <c r="D81" s="1068">
        <v>14798.199999999999</v>
      </c>
      <c r="E81" s="1068">
        <v>46249.991000000002</v>
      </c>
      <c r="F81" s="1068">
        <v>2221.4</v>
      </c>
      <c r="G81" s="1068">
        <v>395</v>
      </c>
      <c r="H81" s="1068">
        <f t="shared" si="2"/>
        <v>277134.8</v>
      </c>
      <c r="I81" s="1068">
        <v>87966.200000000012</v>
      </c>
      <c r="J81" s="1068">
        <v>18738.3</v>
      </c>
      <c r="K81" s="1068">
        <v>14217.300000000001</v>
      </c>
      <c r="L81" s="1068">
        <v>13324.1</v>
      </c>
      <c r="M81" s="1068">
        <v>950</v>
      </c>
      <c r="N81" s="1068">
        <v>20</v>
      </c>
      <c r="O81" s="1068">
        <f t="shared" si="3"/>
        <v>135215.90000000002</v>
      </c>
    </row>
    <row r="82" spans="1:15" s="69" customFormat="1" ht="12.75" hidden="1">
      <c r="A82" s="87" t="s">
        <v>47</v>
      </c>
      <c r="B82" s="925">
        <v>147778.80000000002</v>
      </c>
      <c r="C82" s="1068">
        <v>68967.608999999997</v>
      </c>
      <c r="D82" s="1068">
        <v>13568.899999999998</v>
      </c>
      <c r="E82" s="1068">
        <v>47258.391000000003</v>
      </c>
      <c r="F82" s="1068">
        <v>3568.1000000000004</v>
      </c>
      <c r="G82" s="1068">
        <v>298.89999999999998</v>
      </c>
      <c r="H82" s="1068">
        <f t="shared" si="2"/>
        <v>281440.7</v>
      </c>
      <c r="I82" s="1068">
        <v>86859.1</v>
      </c>
      <c r="J82" s="1068">
        <v>18036.099999999999</v>
      </c>
      <c r="K82" s="1068">
        <v>15823.8</v>
      </c>
      <c r="L82" s="1068">
        <v>14222.1</v>
      </c>
      <c r="M82" s="1068">
        <v>550</v>
      </c>
      <c r="N82" s="1068">
        <v>5.6000000000000005</v>
      </c>
      <c r="O82" s="1068">
        <f t="shared" si="3"/>
        <v>135496.70000000001</v>
      </c>
    </row>
    <row r="83" spans="1:15" s="69" customFormat="1" ht="12.75" hidden="1">
      <c r="A83" s="87" t="s">
        <v>48</v>
      </c>
      <c r="B83" s="925">
        <v>145277.9</v>
      </c>
      <c r="C83" s="1068">
        <v>62945.308999999994</v>
      </c>
      <c r="D83" s="1068">
        <v>12563.300000000001</v>
      </c>
      <c r="E83" s="1068">
        <v>49615.891000000003</v>
      </c>
      <c r="F83" s="1068">
        <v>3509.4</v>
      </c>
      <c r="G83" s="1068">
        <v>263.5</v>
      </c>
      <c r="H83" s="1068">
        <f t="shared" si="2"/>
        <v>274175.3</v>
      </c>
      <c r="I83" s="1068">
        <v>89904.4</v>
      </c>
      <c r="J83" s="1068">
        <v>19066.300000000003</v>
      </c>
      <c r="K83" s="1068">
        <v>15867.7</v>
      </c>
      <c r="L83" s="1068">
        <v>13822.600000000002</v>
      </c>
      <c r="M83" s="1068">
        <v>610</v>
      </c>
      <c r="N83" s="1068">
        <v>13.100000000000001</v>
      </c>
      <c r="O83" s="1068">
        <f t="shared" si="3"/>
        <v>139284.1</v>
      </c>
    </row>
    <row r="84" spans="1:15" s="69" customFormat="1" ht="12.75" hidden="1">
      <c r="A84" s="87" t="s">
        <v>49</v>
      </c>
      <c r="B84" s="925">
        <v>148828.40000000002</v>
      </c>
      <c r="C84" s="1068">
        <v>71129.008999999991</v>
      </c>
      <c r="D84" s="1068">
        <v>17922.400000000001</v>
      </c>
      <c r="E84" s="1068">
        <v>44410.290999999997</v>
      </c>
      <c r="F84" s="1068">
        <v>5429.8</v>
      </c>
      <c r="G84" s="1068">
        <v>389.5</v>
      </c>
      <c r="H84" s="1068">
        <f t="shared" si="2"/>
        <v>288109.39999999997</v>
      </c>
      <c r="I84" s="1068">
        <v>89257.5</v>
      </c>
      <c r="J84" s="1068">
        <v>17785.3</v>
      </c>
      <c r="K84" s="1068">
        <v>14920.1</v>
      </c>
      <c r="L84" s="1068">
        <v>14428.1</v>
      </c>
      <c r="M84" s="1068">
        <v>610</v>
      </c>
      <c r="N84" s="1068">
        <v>13.2</v>
      </c>
      <c r="O84" s="1068">
        <f t="shared" si="3"/>
        <v>137014.20000000001</v>
      </c>
    </row>
    <row r="85" spans="1:15" s="69" customFormat="1" ht="12.75" hidden="1">
      <c r="A85" s="783" t="s">
        <v>50</v>
      </c>
      <c r="B85" s="925">
        <v>182432.2</v>
      </c>
      <c r="C85" s="1068">
        <v>68245.215502999999</v>
      </c>
      <c r="D85" s="1068">
        <v>21443.200000000001</v>
      </c>
      <c r="E85" s="1068">
        <v>50561.200000000004</v>
      </c>
      <c r="F85" s="1068">
        <v>2545.3000000000002</v>
      </c>
      <c r="G85" s="1068">
        <v>420.3</v>
      </c>
      <c r="H85" s="1068">
        <f>SUM(B85:G85)</f>
        <v>325647.41550300003</v>
      </c>
      <c r="I85" s="1068">
        <v>105708.2</v>
      </c>
      <c r="J85" s="1068">
        <v>19048.699999999997</v>
      </c>
      <c r="K85" s="1068">
        <v>13557.199999999999</v>
      </c>
      <c r="L85" s="1068">
        <v>14190.7</v>
      </c>
      <c r="M85" s="1068">
        <v>530</v>
      </c>
      <c r="N85" s="1068">
        <v>7.9</v>
      </c>
      <c r="O85" s="1068">
        <f t="shared" si="3"/>
        <v>153042.70000000001</v>
      </c>
    </row>
    <row r="86" spans="1:15" s="69" customFormat="1" ht="12.75" hidden="1">
      <c r="A86" s="783"/>
      <c r="B86" s="925"/>
      <c r="C86" s="1068"/>
      <c r="D86" s="1068"/>
      <c r="E86" s="1068"/>
      <c r="F86" s="1068"/>
      <c r="G86" s="1068"/>
      <c r="H86" s="1068"/>
      <c r="I86" s="1068"/>
      <c r="J86" s="1068"/>
      <c r="K86" s="1068"/>
      <c r="L86" s="1068"/>
      <c r="M86" s="1068"/>
      <c r="N86" s="1068"/>
      <c r="O86" s="1068"/>
    </row>
    <row r="87" spans="1:15" s="69" customFormat="1" ht="12.75" hidden="1">
      <c r="A87" s="87" t="s">
        <v>57</v>
      </c>
      <c r="B87" s="925">
        <v>173276.56666666665</v>
      </c>
      <c r="C87" s="1068">
        <v>70259.381567999997</v>
      </c>
      <c r="D87" s="1068">
        <v>23495.200000000001</v>
      </c>
      <c r="E87" s="1068">
        <v>51617.499999999985</v>
      </c>
      <c r="F87" s="1068">
        <v>2749.9</v>
      </c>
      <c r="G87" s="1068">
        <v>711.40000000000009</v>
      </c>
      <c r="H87" s="1068">
        <f t="shared" si="2"/>
        <v>322109.94823466672</v>
      </c>
      <c r="I87" s="1068">
        <v>106690.35833333334</v>
      </c>
      <c r="J87" s="1068">
        <v>20561.100000000002</v>
      </c>
      <c r="K87" s="1068">
        <v>10619</v>
      </c>
      <c r="L87" s="1068">
        <v>12061.8</v>
      </c>
      <c r="M87" s="1068">
        <v>230</v>
      </c>
      <c r="N87" s="1068">
        <v>5.8000000000000007</v>
      </c>
      <c r="O87" s="1068">
        <f t="shared" si="3"/>
        <v>150168.05833333332</v>
      </c>
    </row>
    <row r="88" spans="1:15" s="69" customFormat="1" ht="12.75" hidden="1">
      <c r="A88" s="87" t="s">
        <v>40</v>
      </c>
      <c r="B88" s="925">
        <v>170997.13333333336</v>
      </c>
      <c r="C88" s="1068">
        <v>79919.3</v>
      </c>
      <c r="D88" s="1068">
        <v>17038.8</v>
      </c>
      <c r="E88" s="1068">
        <v>47487.199999999997</v>
      </c>
      <c r="F88" s="1068">
        <v>2844.3</v>
      </c>
      <c r="G88" s="1068">
        <v>683.80000000000007</v>
      </c>
      <c r="H88" s="1068">
        <f t="shared" si="2"/>
        <v>318970.53333333333</v>
      </c>
      <c r="I88" s="1068">
        <v>106073.91666666667</v>
      </c>
      <c r="J88" s="1068">
        <v>19595.899999999998</v>
      </c>
      <c r="K88" s="1068">
        <v>11777.099999999999</v>
      </c>
      <c r="L88" s="1068">
        <v>12234.600000000002</v>
      </c>
      <c r="M88" s="1068">
        <v>230</v>
      </c>
      <c r="N88" s="1068">
        <v>5.8000000000000007</v>
      </c>
      <c r="O88" s="1068">
        <f t="shared" si="3"/>
        <v>149917.31666666665</v>
      </c>
    </row>
    <row r="89" spans="1:15" s="69" customFormat="1" ht="12.75" hidden="1">
      <c r="A89" s="87" t="s">
        <v>41</v>
      </c>
      <c r="B89" s="925">
        <v>175797.9</v>
      </c>
      <c r="C89" s="1068">
        <v>65314.316288000002</v>
      </c>
      <c r="D89" s="1068">
        <v>19329.5</v>
      </c>
      <c r="E89" s="1068">
        <v>69369.39999999998</v>
      </c>
      <c r="F89" s="1068">
        <v>1890.4</v>
      </c>
      <c r="G89" s="1068">
        <v>728</v>
      </c>
      <c r="H89" s="1068">
        <f t="shared" si="2"/>
        <v>332429.51628799998</v>
      </c>
      <c r="I89" s="1068">
        <v>109895.27499999999</v>
      </c>
      <c r="J89" s="1068">
        <v>22563.599999999999</v>
      </c>
      <c r="K89" s="1068">
        <v>9694.9999999999982</v>
      </c>
      <c r="L89" s="1068">
        <v>12820.500000000002</v>
      </c>
      <c r="M89" s="1068">
        <v>230</v>
      </c>
      <c r="N89" s="1068">
        <v>7.5000000000000009</v>
      </c>
      <c r="O89" s="1068">
        <f t="shared" si="3"/>
        <v>155211.875</v>
      </c>
    </row>
    <row r="90" spans="1:15" s="69" customFormat="1" ht="12.75" hidden="1">
      <c r="A90" s="87" t="s">
        <v>42</v>
      </c>
      <c r="B90" s="925">
        <v>187589.96666666667</v>
      </c>
      <c r="C90" s="1068">
        <v>67581.2</v>
      </c>
      <c r="D90" s="1068">
        <v>26949.699999999993</v>
      </c>
      <c r="E90" s="1068">
        <v>49368.299999999996</v>
      </c>
      <c r="F90" s="1068">
        <v>2570.3999999999996</v>
      </c>
      <c r="G90" s="1068">
        <v>640.59999999999991</v>
      </c>
      <c r="H90" s="1068">
        <f t="shared" si="2"/>
        <v>334700.16666666669</v>
      </c>
      <c r="I90" s="1068">
        <v>107783.63333333332</v>
      </c>
      <c r="J90" s="1068">
        <v>20826.899999999998</v>
      </c>
      <c r="K90" s="1068">
        <v>11249.199999999999</v>
      </c>
      <c r="L90" s="1068">
        <v>14296.000000000002</v>
      </c>
      <c r="M90" s="1068">
        <v>230</v>
      </c>
      <c r="N90" s="1068">
        <v>8.6999999999999993</v>
      </c>
      <c r="O90" s="1068">
        <f t="shared" si="3"/>
        <v>154394.43333333332</v>
      </c>
    </row>
    <row r="91" spans="1:15" s="69" customFormat="1" ht="12.75" hidden="1">
      <c r="A91" s="87" t="s">
        <v>43</v>
      </c>
      <c r="B91" s="925">
        <v>189446.83333333331</v>
      </c>
      <c r="C91" s="1068">
        <v>64712.316288000009</v>
      </c>
      <c r="D91" s="1068">
        <v>25363.799999999996</v>
      </c>
      <c r="E91" s="1068">
        <v>48788.600000000006</v>
      </c>
      <c r="F91" s="1068">
        <v>2591.6999999999998</v>
      </c>
      <c r="G91" s="1068">
        <v>744.6</v>
      </c>
      <c r="H91" s="1068">
        <f t="shared" si="2"/>
        <v>331647.84962133336</v>
      </c>
      <c r="I91" s="1068">
        <v>107918.69166666667</v>
      </c>
      <c r="J91" s="1068">
        <v>23722.6</v>
      </c>
      <c r="K91" s="1068">
        <v>14347.5</v>
      </c>
      <c r="L91" s="1068">
        <v>13019.200000000003</v>
      </c>
      <c r="M91" s="1068">
        <v>230</v>
      </c>
      <c r="N91" s="1068">
        <v>8.8000000000000007</v>
      </c>
      <c r="O91" s="1068">
        <f t="shared" si="3"/>
        <v>159246.79166666666</v>
      </c>
    </row>
    <row r="92" spans="1:15" s="69" customFormat="1" ht="12.75" hidden="1">
      <c r="A92" s="87" t="s">
        <v>44</v>
      </c>
      <c r="B92" s="925">
        <v>189726.1</v>
      </c>
      <c r="C92" s="1068">
        <v>62727.208724999997</v>
      </c>
      <c r="D92" s="1068">
        <v>23321.100000000002</v>
      </c>
      <c r="E92" s="1068">
        <v>50074.100000000006</v>
      </c>
      <c r="F92" s="1068">
        <v>2967.5</v>
      </c>
      <c r="G92" s="1068">
        <v>640.9</v>
      </c>
      <c r="H92" s="1068">
        <f t="shared" si="2"/>
        <v>329456.90872499999</v>
      </c>
      <c r="I92" s="1068">
        <v>108526.45</v>
      </c>
      <c r="J92" s="1068">
        <v>24376</v>
      </c>
      <c r="K92" s="1068">
        <v>20506.300000000003</v>
      </c>
      <c r="L92" s="1068">
        <v>14579.100000000002</v>
      </c>
      <c r="M92" s="1068">
        <v>230</v>
      </c>
      <c r="N92" s="1068">
        <v>8.8000000000000007</v>
      </c>
      <c r="O92" s="1068">
        <f t="shared" si="3"/>
        <v>168226.65</v>
      </c>
    </row>
    <row r="93" spans="1:15" s="69" customFormat="1" ht="12.75" hidden="1">
      <c r="A93" s="87" t="s">
        <v>45</v>
      </c>
      <c r="B93" s="925">
        <v>191442.79444444444</v>
      </c>
      <c r="C93" s="1068">
        <v>63759.547308999994</v>
      </c>
      <c r="D93" s="1068">
        <v>27019.599999999999</v>
      </c>
      <c r="E93" s="1068">
        <v>48225.7</v>
      </c>
      <c r="F93" s="1068">
        <v>1563.1</v>
      </c>
      <c r="G93" s="1068">
        <v>596.69999999999993</v>
      </c>
      <c r="H93" s="1068">
        <f t="shared" si="2"/>
        <v>332607.44175344444</v>
      </c>
      <c r="I93" s="1068">
        <v>107201.575</v>
      </c>
      <c r="J93" s="1068">
        <v>31877.100000000002</v>
      </c>
      <c r="K93" s="1068">
        <v>21554.9</v>
      </c>
      <c r="L93" s="1068">
        <v>13047.4</v>
      </c>
      <c r="M93" s="1068">
        <v>230</v>
      </c>
      <c r="N93" s="1068">
        <v>8.8000000000000007</v>
      </c>
      <c r="O93" s="1068">
        <f t="shared" si="3"/>
        <v>173919.77499999997</v>
      </c>
    </row>
    <row r="94" spans="1:15" s="69" customFormat="1" ht="12.75" hidden="1">
      <c r="A94" s="87" t="s">
        <v>46</v>
      </c>
      <c r="B94" s="925">
        <v>185892.08888888889</v>
      </c>
      <c r="C94" s="1068">
        <v>68073.516918999987</v>
      </c>
      <c r="D94" s="1068">
        <v>21789.299999999996</v>
      </c>
      <c r="E94" s="1068">
        <v>51238</v>
      </c>
      <c r="F94" s="1068">
        <v>2275.4</v>
      </c>
      <c r="G94" s="1068">
        <v>663.90000000000009</v>
      </c>
      <c r="H94" s="1068">
        <f t="shared" si="2"/>
        <v>329932.20580788894</v>
      </c>
      <c r="I94" s="1068">
        <v>113591.9</v>
      </c>
      <c r="J94" s="1068">
        <v>26336</v>
      </c>
      <c r="K94" s="1068">
        <v>22489</v>
      </c>
      <c r="L94" s="1068">
        <v>18481.999999999996</v>
      </c>
      <c r="M94" s="1068">
        <v>230</v>
      </c>
      <c r="N94" s="1068">
        <v>15</v>
      </c>
      <c r="O94" s="1068">
        <f t="shared" si="3"/>
        <v>181143.9</v>
      </c>
    </row>
    <row r="95" spans="1:15" s="69" customFormat="1" ht="12.75" hidden="1">
      <c r="A95" s="87" t="s">
        <v>47</v>
      </c>
      <c r="B95" s="925">
        <v>179931.68333333332</v>
      </c>
      <c r="C95" s="1068">
        <v>57747.700000000004</v>
      </c>
      <c r="D95" s="1068">
        <v>18754.2</v>
      </c>
      <c r="E95" s="1068">
        <v>49143.8</v>
      </c>
      <c r="F95" s="1068">
        <v>3422.7</v>
      </c>
      <c r="G95" s="1068">
        <v>630.69999999999993</v>
      </c>
      <c r="H95" s="1068">
        <f t="shared" si="2"/>
        <v>309630.78333333338</v>
      </c>
      <c r="I95" s="1068">
        <v>111159.02499999999</v>
      </c>
      <c r="J95" s="1068">
        <v>30341.100000000002</v>
      </c>
      <c r="K95" s="1068">
        <v>24591.899999999994</v>
      </c>
      <c r="L95" s="1068">
        <v>17257.999999999996</v>
      </c>
      <c r="M95" s="1068">
        <v>230</v>
      </c>
      <c r="N95" s="1068">
        <v>15</v>
      </c>
      <c r="O95" s="1068">
        <f t="shared" si="3"/>
        <v>183595.02499999999</v>
      </c>
    </row>
    <row r="96" spans="1:15" s="69" customFormat="1" ht="12.75" hidden="1">
      <c r="A96" s="87" t="s">
        <v>48</v>
      </c>
      <c r="B96" s="925">
        <v>185269.57777777777</v>
      </c>
      <c r="C96" s="1068">
        <v>57605.176397999996</v>
      </c>
      <c r="D96" s="1068">
        <v>16083.599999999999</v>
      </c>
      <c r="E96" s="1068">
        <v>58035.899999999994</v>
      </c>
      <c r="F96" s="1068">
        <v>2162.6999999999998</v>
      </c>
      <c r="G96" s="1068">
        <v>678.5</v>
      </c>
      <c r="H96" s="1068">
        <f t="shared" si="2"/>
        <v>319835.45417577779</v>
      </c>
      <c r="I96" s="1068">
        <v>108731.34999999999</v>
      </c>
      <c r="J96" s="1068">
        <v>29593.300000000007</v>
      </c>
      <c r="K96" s="1068">
        <v>25946.399999999998</v>
      </c>
      <c r="L96" s="1068">
        <v>18668.999999999996</v>
      </c>
      <c r="M96" s="1068">
        <v>230</v>
      </c>
      <c r="N96" s="1068">
        <v>15</v>
      </c>
      <c r="O96" s="1068">
        <f t="shared" si="3"/>
        <v>183185.05</v>
      </c>
    </row>
    <row r="97" spans="1:15" s="69" customFormat="1" ht="12.75" hidden="1">
      <c r="A97" s="87" t="s">
        <v>49</v>
      </c>
      <c r="B97" s="925">
        <v>182231.77222222221</v>
      </c>
      <c r="C97" s="1068">
        <v>53362.606783999996</v>
      </c>
      <c r="D97" s="1068">
        <v>16704.400000000001</v>
      </c>
      <c r="E97" s="1068">
        <v>48662.3</v>
      </c>
      <c r="F97" s="1068">
        <v>1547.9</v>
      </c>
      <c r="G97" s="1068">
        <v>728.30000000000007</v>
      </c>
      <c r="H97" s="1068">
        <f t="shared" si="2"/>
        <v>303237.2790062222</v>
      </c>
      <c r="I97" s="1068">
        <v>111420.17499999999</v>
      </c>
      <c r="J97" s="1068">
        <v>30989.100000000006</v>
      </c>
      <c r="K97" s="1068">
        <v>23387.1</v>
      </c>
      <c r="L97" s="1068">
        <v>21880.000000000004</v>
      </c>
      <c r="M97" s="1068">
        <v>230</v>
      </c>
      <c r="N97" s="1068">
        <v>5.6999999999999993</v>
      </c>
      <c r="O97" s="1068">
        <f t="shared" si="3"/>
        <v>187912.07500000001</v>
      </c>
    </row>
    <row r="98" spans="1:15" s="69" customFormat="1" ht="12.75" hidden="1">
      <c r="A98" s="87" t="s">
        <v>50</v>
      </c>
      <c r="B98" s="925">
        <v>191401.36666666667</v>
      </c>
      <c r="C98" s="1068">
        <v>57811.200000000004</v>
      </c>
      <c r="D98" s="1068">
        <v>21500.100000000002</v>
      </c>
      <c r="E98" s="1068">
        <v>51949.600000000006</v>
      </c>
      <c r="F98" s="1068">
        <v>848.1</v>
      </c>
      <c r="G98" s="1068">
        <v>723.5</v>
      </c>
      <c r="H98" s="1068">
        <f t="shared" si="2"/>
        <v>324233.8666666667</v>
      </c>
      <c r="I98" s="1068">
        <v>114948.2</v>
      </c>
      <c r="J98" s="1068">
        <v>34009.299999999996</v>
      </c>
      <c r="K98" s="1068">
        <v>23138</v>
      </c>
      <c r="L98" s="1068">
        <v>18041.5</v>
      </c>
      <c r="M98" s="1068">
        <v>230</v>
      </c>
      <c r="N98" s="1068">
        <v>5.4</v>
      </c>
      <c r="O98" s="1068">
        <f t="shared" si="3"/>
        <v>190372.4</v>
      </c>
    </row>
    <row r="99" spans="1:15" s="69" customFormat="1" ht="12.75" hidden="1">
      <c r="A99" s="87"/>
      <c r="B99" s="925"/>
      <c r="C99" s="1068"/>
      <c r="D99" s="1068"/>
      <c r="E99" s="1068"/>
      <c r="F99" s="1068"/>
      <c r="G99" s="1068"/>
      <c r="H99" s="1068"/>
      <c r="I99" s="1068"/>
      <c r="J99" s="1068"/>
      <c r="K99" s="1068"/>
      <c r="L99" s="1068"/>
      <c r="M99" s="1068"/>
      <c r="N99" s="1068"/>
      <c r="O99" s="1068"/>
    </row>
    <row r="100" spans="1:15" s="69" customFormat="1" ht="12.75" hidden="1">
      <c r="A100" s="87" t="s">
        <v>56</v>
      </c>
      <c r="B100" s="925">
        <v>195833.70277777777</v>
      </c>
      <c r="C100" s="1068">
        <v>60866.331158999987</v>
      </c>
      <c r="D100" s="1068">
        <v>19839.599999999999</v>
      </c>
      <c r="E100" s="1068">
        <v>50336.400000000009</v>
      </c>
      <c r="F100" s="1068">
        <v>1398.9</v>
      </c>
      <c r="G100" s="1068">
        <v>1300.7</v>
      </c>
      <c r="H100" s="1068">
        <f t="shared" si="2"/>
        <v>329575.63393677783</v>
      </c>
      <c r="I100" s="1068">
        <v>111275.11666666667</v>
      </c>
      <c r="J100" s="1068">
        <v>22126.2</v>
      </c>
      <c r="K100" s="1068">
        <v>23627.899999999998</v>
      </c>
      <c r="L100" s="1068">
        <v>23502.799999999999</v>
      </c>
      <c r="M100" s="1068">
        <v>230</v>
      </c>
      <c r="N100" s="1068">
        <v>6.6999999999999993</v>
      </c>
      <c r="O100" s="1068">
        <f t="shared" si="3"/>
        <v>180768.71666666667</v>
      </c>
    </row>
    <row r="101" spans="1:15" s="69" customFormat="1" ht="12.75" hidden="1">
      <c r="A101" s="87" t="s">
        <v>40</v>
      </c>
      <c r="B101" s="925">
        <v>194578.73888888888</v>
      </c>
      <c r="C101" s="1068">
        <v>55959.637975999998</v>
      </c>
      <c r="D101" s="1068">
        <v>21644.6</v>
      </c>
      <c r="E101" s="1068">
        <v>50592.3</v>
      </c>
      <c r="F101" s="1068">
        <v>2281.6000000000004</v>
      </c>
      <c r="G101" s="1068">
        <v>619.1</v>
      </c>
      <c r="H101" s="1068">
        <f t="shared" si="2"/>
        <v>325675.9768648888</v>
      </c>
      <c r="I101" s="1068">
        <v>116796.83333333333</v>
      </c>
      <c r="J101" s="1068">
        <v>22060.5</v>
      </c>
      <c r="K101" s="1068">
        <v>22353.200000000001</v>
      </c>
      <c r="L101" s="1068">
        <v>18947.599999999999</v>
      </c>
      <c r="M101" s="1068">
        <v>230</v>
      </c>
      <c r="N101" s="1068">
        <v>3.7</v>
      </c>
      <c r="O101" s="1068">
        <f t="shared" si="3"/>
        <v>180391.83333333334</v>
      </c>
    </row>
    <row r="102" spans="1:15" s="69" customFormat="1" ht="12.75" hidden="1">
      <c r="A102" s="87" t="s">
        <v>41</v>
      </c>
      <c r="B102" s="925">
        <v>185360.17499999999</v>
      </c>
      <c r="C102" s="1068">
        <v>56490.400000000009</v>
      </c>
      <c r="D102" s="1068">
        <v>19824</v>
      </c>
      <c r="E102" s="1068">
        <v>52638.700000000019</v>
      </c>
      <c r="F102" s="1068">
        <v>1198.3999999999999</v>
      </c>
      <c r="G102" s="1068">
        <v>609.29999999999995</v>
      </c>
      <c r="H102" s="1068">
        <f t="shared" si="2"/>
        <v>316120.97500000003</v>
      </c>
      <c r="I102" s="1068">
        <v>120351.15000000001</v>
      </c>
      <c r="J102" s="1068">
        <v>27998.900000000005</v>
      </c>
      <c r="K102" s="1068">
        <v>22373.699999999997</v>
      </c>
      <c r="L102" s="1068">
        <v>16107.800000000003</v>
      </c>
      <c r="M102" s="1068">
        <v>230</v>
      </c>
      <c r="N102" s="1068">
        <v>3.8</v>
      </c>
      <c r="O102" s="1068">
        <f t="shared" si="3"/>
        <v>187065.34999999998</v>
      </c>
    </row>
    <row r="103" spans="1:15" s="69" customFormat="1" ht="12.75" hidden="1">
      <c r="A103" s="87" t="s">
        <v>42</v>
      </c>
      <c r="B103" s="925">
        <v>186619.61111111112</v>
      </c>
      <c r="C103" s="1068">
        <v>62741.017701000004</v>
      </c>
      <c r="D103" s="1068">
        <v>20564.599999999999</v>
      </c>
      <c r="E103" s="1068">
        <v>45295.8</v>
      </c>
      <c r="F103" s="1068">
        <v>1153.6999999999998</v>
      </c>
      <c r="G103" s="1068">
        <v>481.50000000000006</v>
      </c>
      <c r="H103" s="1068">
        <f t="shared" si="2"/>
        <v>316856.22881211113</v>
      </c>
      <c r="I103" s="1068">
        <v>122186.66666666667</v>
      </c>
      <c r="J103" s="1068">
        <v>25940.000000000004</v>
      </c>
      <c r="K103" s="1068">
        <v>21544.6</v>
      </c>
      <c r="L103" s="1068">
        <v>19537.300000000003</v>
      </c>
      <c r="M103" s="1068">
        <v>230</v>
      </c>
      <c r="N103" s="1068">
        <v>3.9</v>
      </c>
      <c r="O103" s="1068">
        <f t="shared" si="3"/>
        <v>189442.4666666667</v>
      </c>
    </row>
    <row r="104" spans="1:15" s="69" customFormat="1" ht="12.75" hidden="1">
      <c r="A104" s="87" t="s">
        <v>43</v>
      </c>
      <c r="B104" s="925">
        <v>181430.24722222221</v>
      </c>
      <c r="C104" s="1068">
        <v>66747.434687999994</v>
      </c>
      <c r="D104" s="1068">
        <v>22618.899999999998</v>
      </c>
      <c r="E104" s="1068">
        <v>44780.1</v>
      </c>
      <c r="F104" s="1068">
        <v>1791.6</v>
      </c>
      <c r="G104" s="1068">
        <v>449.6</v>
      </c>
      <c r="H104" s="1068">
        <f t="shared" si="2"/>
        <v>317817.88191022218</v>
      </c>
      <c r="I104" s="1068">
        <v>109983.68333333332</v>
      </c>
      <c r="J104" s="1068">
        <v>18222.100000000002</v>
      </c>
      <c r="K104" s="1068">
        <v>22776.5</v>
      </c>
      <c r="L104" s="1068">
        <v>31054.900000000005</v>
      </c>
      <c r="M104" s="1068">
        <v>1230</v>
      </c>
      <c r="N104" s="1068">
        <v>4</v>
      </c>
      <c r="O104" s="1068">
        <f t="shared" si="3"/>
        <v>183271.18333333332</v>
      </c>
    </row>
    <row r="105" spans="1:15" s="69" customFormat="1" ht="12.75" hidden="1">
      <c r="A105" s="87" t="s">
        <v>44</v>
      </c>
      <c r="B105" s="925">
        <v>187227.68333333335</v>
      </c>
      <c r="C105" s="1068">
        <v>63555.436183999998</v>
      </c>
      <c r="D105" s="1068">
        <v>17763.7</v>
      </c>
      <c r="E105" s="1068">
        <v>41429</v>
      </c>
      <c r="F105" s="1068">
        <v>2701.9</v>
      </c>
      <c r="G105" s="1068">
        <v>440.90000000000003</v>
      </c>
      <c r="H105" s="1068">
        <f t="shared" si="2"/>
        <v>313118.6195173334</v>
      </c>
      <c r="I105" s="1068">
        <v>112501.9</v>
      </c>
      <c r="J105" s="1068">
        <v>19632.399999999998</v>
      </c>
      <c r="K105" s="1068">
        <v>22280.2</v>
      </c>
      <c r="L105" s="1068">
        <v>32897.799999999996</v>
      </c>
      <c r="M105" s="1068">
        <v>730</v>
      </c>
      <c r="N105" s="1068">
        <v>4</v>
      </c>
      <c r="O105" s="1068">
        <f t="shared" si="3"/>
        <v>188046.3</v>
      </c>
    </row>
    <row r="106" spans="1:15" s="69" customFormat="1" ht="12.75" hidden="1">
      <c r="A106" s="87" t="s">
        <v>45</v>
      </c>
      <c r="B106" s="925">
        <v>177822.53611111111</v>
      </c>
      <c r="C106" s="1068">
        <v>72882.319455999997</v>
      </c>
      <c r="D106" s="1068">
        <v>18152.599999999999</v>
      </c>
      <c r="E106" s="1068">
        <v>44733.500000000015</v>
      </c>
      <c r="F106" s="1068">
        <v>2804.7</v>
      </c>
      <c r="G106" s="1068">
        <v>422.6</v>
      </c>
      <c r="H106" s="1068">
        <f t="shared" si="2"/>
        <v>316818.25556711107</v>
      </c>
      <c r="I106" s="1068">
        <v>113954.7</v>
      </c>
      <c r="J106" s="1068">
        <v>19487.899999999998</v>
      </c>
      <c r="K106" s="1068">
        <v>20748</v>
      </c>
      <c r="L106" s="1068">
        <v>34623.599999999999</v>
      </c>
      <c r="M106" s="1068">
        <v>730</v>
      </c>
      <c r="N106" s="1068">
        <v>4.0999999999999996</v>
      </c>
      <c r="O106" s="1068">
        <f t="shared" si="3"/>
        <v>189548.30000000002</v>
      </c>
    </row>
    <row r="107" spans="1:15" s="69" customFormat="1" ht="12.75" hidden="1">
      <c r="A107" s="87" t="s">
        <v>46</v>
      </c>
      <c r="B107" s="925">
        <v>178260.68888888889</v>
      </c>
      <c r="C107" s="1068">
        <v>82664.646432000009</v>
      </c>
      <c r="D107" s="1068">
        <v>19013</v>
      </c>
      <c r="E107" s="1068">
        <v>44955.199999999997</v>
      </c>
      <c r="F107" s="1068">
        <v>1282</v>
      </c>
      <c r="G107" s="1068">
        <v>472.3</v>
      </c>
      <c r="H107" s="1068">
        <f t="shared" si="2"/>
        <v>326647.8353208889</v>
      </c>
      <c r="I107" s="1068">
        <v>113591.20000000001</v>
      </c>
      <c r="J107" s="1068">
        <v>22242.600000000002</v>
      </c>
      <c r="K107" s="1068">
        <v>20294.099999999995</v>
      </c>
      <c r="L107" s="1068">
        <v>35943.799999999988</v>
      </c>
      <c r="M107" s="1068">
        <v>730</v>
      </c>
      <c r="N107" s="1068">
        <v>3.8000000000000003</v>
      </c>
      <c r="O107" s="1068">
        <f t="shared" si="3"/>
        <v>192805.5</v>
      </c>
    </row>
    <row r="108" spans="1:15" s="69" customFormat="1" ht="12.75" hidden="1">
      <c r="A108" s="87" t="s">
        <v>47</v>
      </c>
      <c r="B108" s="925">
        <v>179746.34166666667</v>
      </c>
      <c r="C108" s="1068">
        <v>78968.499999999985</v>
      </c>
      <c r="D108" s="1068">
        <v>15858.113999999998</v>
      </c>
      <c r="E108" s="1068">
        <v>49787.200000000004</v>
      </c>
      <c r="F108" s="1068">
        <v>1188.7</v>
      </c>
      <c r="G108" s="1068">
        <v>427.89999999999992</v>
      </c>
      <c r="H108" s="1068">
        <f t="shared" si="2"/>
        <v>325976.75566666672</v>
      </c>
      <c r="I108" s="1068">
        <v>117485.7</v>
      </c>
      <c r="J108" s="1068">
        <v>18717.3</v>
      </c>
      <c r="K108" s="1068">
        <v>19966.899999999998</v>
      </c>
      <c r="L108" s="1068">
        <v>35986.9</v>
      </c>
      <c r="M108" s="1068">
        <v>500</v>
      </c>
      <c r="N108" s="1068">
        <v>3.9</v>
      </c>
      <c r="O108" s="1068">
        <f t="shared" si="3"/>
        <v>192660.69999999998</v>
      </c>
    </row>
    <row r="109" spans="1:15" s="69" customFormat="1" ht="12.75" hidden="1">
      <c r="A109" s="87" t="s">
        <v>48</v>
      </c>
      <c r="B109" s="925">
        <v>183185.89444444445</v>
      </c>
      <c r="C109" s="1068">
        <v>74333.099999999991</v>
      </c>
      <c r="D109" s="1068">
        <v>17611.5</v>
      </c>
      <c r="E109" s="1068">
        <v>51183.199999999983</v>
      </c>
      <c r="F109" s="1068">
        <v>2797.5</v>
      </c>
      <c r="G109" s="1068">
        <v>441.8</v>
      </c>
      <c r="H109" s="1068">
        <f t="shared" si="2"/>
        <v>329552.99444444437</v>
      </c>
      <c r="I109" s="1068">
        <v>127558.9</v>
      </c>
      <c r="J109" s="1068">
        <v>21395.200000000001</v>
      </c>
      <c r="K109" s="1068">
        <v>21683.1</v>
      </c>
      <c r="L109" s="1068">
        <v>28749.4</v>
      </c>
      <c r="M109" s="1068">
        <v>730</v>
      </c>
      <c r="N109" s="1068">
        <v>6.3</v>
      </c>
      <c r="O109" s="1068">
        <f t="shared" si="3"/>
        <v>200122.9</v>
      </c>
    </row>
    <row r="110" spans="1:15" s="69" customFormat="1" ht="12.75" hidden="1">
      <c r="A110" s="87" t="s">
        <v>49</v>
      </c>
      <c r="B110" s="925">
        <v>184917.64722222221</v>
      </c>
      <c r="C110" s="1068">
        <v>76400.3</v>
      </c>
      <c r="D110" s="1068">
        <v>21771.399999999998</v>
      </c>
      <c r="E110" s="1068">
        <v>45761.69999999999</v>
      </c>
      <c r="F110" s="1068">
        <v>4113.7999999999993</v>
      </c>
      <c r="G110" s="1068">
        <v>608.9</v>
      </c>
      <c r="H110" s="1068">
        <f t="shared" si="2"/>
        <v>333573.74722222227</v>
      </c>
      <c r="I110" s="1068">
        <v>134197.4</v>
      </c>
      <c r="J110" s="1068">
        <v>21454.400000000001</v>
      </c>
      <c r="K110" s="1068">
        <v>20612.099999999999</v>
      </c>
      <c r="L110" s="1068">
        <v>34167.899999999987</v>
      </c>
      <c r="M110" s="1068">
        <v>430</v>
      </c>
      <c r="N110" s="1068">
        <v>46.9</v>
      </c>
      <c r="O110" s="1068">
        <f t="shared" si="3"/>
        <v>210908.69999999998</v>
      </c>
    </row>
    <row r="111" spans="1:15" s="69" customFormat="1" ht="12.75" hidden="1">
      <c r="A111" s="87" t="s">
        <v>50</v>
      </c>
      <c r="B111" s="925">
        <v>197659.1</v>
      </c>
      <c r="C111" s="1068">
        <v>82976.299999999988</v>
      </c>
      <c r="D111" s="1068">
        <v>16096.800000000001</v>
      </c>
      <c r="E111" s="1068">
        <v>50600.800000000003</v>
      </c>
      <c r="F111" s="1068">
        <v>3398.2000000000003</v>
      </c>
      <c r="G111" s="1068">
        <v>482.40000000000003</v>
      </c>
      <c r="H111" s="1068">
        <f t="shared" si="2"/>
        <v>351213.60000000003</v>
      </c>
      <c r="I111" s="1068">
        <v>142420.1</v>
      </c>
      <c r="J111" s="1068">
        <v>22695.800000000003</v>
      </c>
      <c r="K111" s="1068">
        <v>24065.600000000002</v>
      </c>
      <c r="L111" s="1068">
        <v>31377.000000000004</v>
      </c>
      <c r="M111" s="1068">
        <v>430</v>
      </c>
      <c r="N111" s="1068">
        <v>48.2</v>
      </c>
      <c r="O111" s="1068">
        <f t="shared" si="3"/>
        <v>221036.70000000004</v>
      </c>
    </row>
    <row r="112" spans="1:15" s="69" customFormat="1" ht="12.75" hidden="1">
      <c r="A112" s="87"/>
      <c r="B112" s="925"/>
      <c r="C112" s="1068"/>
      <c r="D112" s="1068"/>
      <c r="E112" s="1068"/>
      <c r="F112" s="1068"/>
      <c r="G112" s="1068"/>
      <c r="H112" s="1068"/>
      <c r="I112" s="1068"/>
      <c r="J112" s="1068"/>
      <c r="K112" s="1068"/>
      <c r="L112" s="1068"/>
      <c r="M112" s="1068"/>
      <c r="N112" s="1068"/>
      <c r="O112" s="1068"/>
    </row>
    <row r="113" spans="1:15" s="69" customFormat="1" ht="12.75" hidden="1">
      <c r="A113" s="87" t="s">
        <v>55</v>
      </c>
      <c r="B113" s="925">
        <v>200653.01666666666</v>
      </c>
      <c r="C113" s="1068">
        <v>73167</v>
      </c>
      <c r="D113" s="1068">
        <v>14107</v>
      </c>
      <c r="E113" s="1068">
        <v>53816.399999999994</v>
      </c>
      <c r="F113" s="1068">
        <v>3524.1000000000004</v>
      </c>
      <c r="G113" s="1068">
        <v>524.1</v>
      </c>
      <c r="H113" s="1068">
        <f t="shared" si="2"/>
        <v>345791.61666666658</v>
      </c>
      <c r="I113" s="1068">
        <v>143197.34166666665</v>
      </c>
      <c r="J113" s="1068">
        <v>24211.300000000003</v>
      </c>
      <c r="K113" s="1068">
        <v>23741.9</v>
      </c>
      <c r="L113" s="1068">
        <v>31691.5</v>
      </c>
      <c r="M113" s="1068">
        <v>1430</v>
      </c>
      <c r="N113" s="1068">
        <v>48.2</v>
      </c>
      <c r="O113" s="1068">
        <f t="shared" si="3"/>
        <v>224320.24166666667</v>
      </c>
    </row>
    <row r="114" spans="1:15" s="69" customFormat="1" ht="12.75" hidden="1">
      <c r="A114" s="87" t="s">
        <v>40</v>
      </c>
      <c r="B114" s="925">
        <v>168387.93333333332</v>
      </c>
      <c r="C114" s="1068">
        <v>75833.10000000002</v>
      </c>
      <c r="D114" s="1068">
        <v>21370.500000000004</v>
      </c>
      <c r="E114" s="1068">
        <v>86701.400000000009</v>
      </c>
      <c r="F114" s="1068">
        <v>2443.7999999999997</v>
      </c>
      <c r="G114" s="1068">
        <v>414.99999999999994</v>
      </c>
      <c r="H114" s="1068">
        <f t="shared" si="2"/>
        <v>355151.73333333334</v>
      </c>
      <c r="I114" s="1068">
        <v>127157.98333333332</v>
      </c>
      <c r="J114" s="1068">
        <v>23723.8</v>
      </c>
      <c r="K114" s="1068">
        <v>24182.100000000002</v>
      </c>
      <c r="L114" s="1068">
        <v>46528.000000000007</v>
      </c>
      <c r="M114" s="1068">
        <v>1430</v>
      </c>
      <c r="N114" s="1068">
        <v>49.2</v>
      </c>
      <c r="O114" s="1068">
        <f t="shared" si="3"/>
        <v>223071.08333333334</v>
      </c>
    </row>
    <row r="115" spans="1:15" s="69" customFormat="1" ht="12.75" hidden="1">
      <c r="A115" s="87" t="s">
        <v>41</v>
      </c>
      <c r="B115" s="925">
        <v>178428.74999999997</v>
      </c>
      <c r="C115" s="1068">
        <v>68620.400000000009</v>
      </c>
      <c r="D115" s="1068">
        <v>21604.9</v>
      </c>
      <c r="E115" s="1068">
        <v>84828.800000000003</v>
      </c>
      <c r="F115" s="1068">
        <v>1931</v>
      </c>
      <c r="G115" s="1068">
        <v>948.7</v>
      </c>
      <c r="H115" s="1068">
        <f t="shared" si="2"/>
        <v>356362.55</v>
      </c>
      <c r="I115" s="1068">
        <v>139653.125</v>
      </c>
      <c r="J115" s="1068">
        <v>26058.3</v>
      </c>
      <c r="K115" s="1068">
        <v>24791.8</v>
      </c>
      <c r="L115" s="1068">
        <v>39040.800000000003</v>
      </c>
      <c r="M115" s="1068">
        <v>1430</v>
      </c>
      <c r="N115" s="1068">
        <v>42.7</v>
      </c>
      <c r="O115" s="1068">
        <f t="shared" si="3"/>
        <v>231016.72499999998</v>
      </c>
    </row>
    <row r="116" spans="1:15" s="69" customFormat="1" ht="12.75" hidden="1">
      <c r="A116" s="87" t="s">
        <v>42</v>
      </c>
      <c r="B116" s="925">
        <v>183407.56666666665</v>
      </c>
      <c r="C116" s="1068">
        <v>74972.099999999991</v>
      </c>
      <c r="D116" s="1068">
        <v>23200.600000000002</v>
      </c>
      <c r="E116" s="1068">
        <v>80466.640000000014</v>
      </c>
      <c r="F116" s="1068">
        <v>2840.3</v>
      </c>
      <c r="G116" s="1068">
        <v>670.90000000000009</v>
      </c>
      <c r="H116" s="1068">
        <f t="shared" si="2"/>
        <v>365558.10666666663</v>
      </c>
      <c r="I116" s="1068">
        <v>147236.76666666669</v>
      </c>
      <c r="J116" s="1068">
        <v>24220.2</v>
      </c>
      <c r="K116" s="1068">
        <v>23959.199999999997</v>
      </c>
      <c r="L116" s="1068">
        <v>46665.000000000007</v>
      </c>
      <c r="M116" s="1068">
        <v>430</v>
      </c>
      <c r="N116" s="1068">
        <v>43.2</v>
      </c>
      <c r="O116" s="1068">
        <f t="shared" si="3"/>
        <v>242554.3666666667</v>
      </c>
    </row>
    <row r="117" spans="1:15" s="69" customFormat="1" ht="12.75" hidden="1">
      <c r="A117" s="87" t="s">
        <v>43</v>
      </c>
      <c r="B117" s="925">
        <v>185430.08333333334</v>
      </c>
      <c r="C117" s="1068">
        <v>77589.600000000006</v>
      </c>
      <c r="D117" s="1068">
        <v>21476.7</v>
      </c>
      <c r="E117" s="1068">
        <v>84615.000000000015</v>
      </c>
      <c r="F117" s="1068">
        <v>2882.6000000000004</v>
      </c>
      <c r="G117" s="1068">
        <v>917.5</v>
      </c>
      <c r="H117" s="1068">
        <f t="shared" ref="H117:H137" si="4">SUM(B117:G117)</f>
        <v>372911.48333333334</v>
      </c>
      <c r="I117" s="1068">
        <v>148007.30833333335</v>
      </c>
      <c r="J117" s="1068">
        <v>26115.799999999996</v>
      </c>
      <c r="K117" s="1068">
        <v>23533.1</v>
      </c>
      <c r="L117" s="1068">
        <v>44937.4</v>
      </c>
      <c r="M117" s="1068">
        <v>430</v>
      </c>
      <c r="N117" s="1068">
        <v>43.8</v>
      </c>
      <c r="O117" s="1068">
        <f t="shared" ref="O117:O137" si="5">SUM(I117:N117)</f>
        <v>243067.40833333333</v>
      </c>
    </row>
    <row r="118" spans="1:15" s="69" customFormat="1" ht="12.75" hidden="1">
      <c r="A118" s="87" t="s">
        <v>44</v>
      </c>
      <c r="B118" s="925">
        <v>188593.5</v>
      </c>
      <c r="C118" s="1068">
        <v>71022.3</v>
      </c>
      <c r="D118" s="1068">
        <v>22204</v>
      </c>
      <c r="E118" s="1068">
        <v>84073.499999999985</v>
      </c>
      <c r="F118" s="1068">
        <v>3057.5</v>
      </c>
      <c r="G118" s="1068">
        <v>742.1</v>
      </c>
      <c r="H118" s="1068">
        <f t="shared" si="4"/>
        <v>369692.89999999997</v>
      </c>
      <c r="I118" s="1068">
        <v>145339.55000000002</v>
      </c>
      <c r="J118" s="1068">
        <v>28731.599999999995</v>
      </c>
      <c r="K118" s="1068">
        <v>21937.199999999997</v>
      </c>
      <c r="L118" s="1068">
        <v>46736.3</v>
      </c>
      <c r="M118" s="1068">
        <v>1904.8</v>
      </c>
      <c r="N118" s="1068">
        <v>44.5</v>
      </c>
      <c r="O118" s="1068">
        <f t="shared" si="5"/>
        <v>244693.95</v>
      </c>
    </row>
    <row r="119" spans="1:15" s="69" customFormat="1" ht="12.75" hidden="1">
      <c r="A119" s="87" t="s">
        <v>45</v>
      </c>
      <c r="B119" s="925">
        <v>177938.51666666669</v>
      </c>
      <c r="C119" s="1068">
        <v>83558.599999999991</v>
      </c>
      <c r="D119" s="1068">
        <v>20884.599999999999</v>
      </c>
      <c r="E119" s="1068">
        <v>85666.499999999985</v>
      </c>
      <c r="F119" s="1068">
        <v>2202.6</v>
      </c>
      <c r="G119" s="1068">
        <v>868.80000000000007</v>
      </c>
      <c r="H119" s="1068">
        <f t="shared" si="4"/>
        <v>371119.61666666664</v>
      </c>
      <c r="I119" s="1068">
        <v>144487.47500000001</v>
      </c>
      <c r="J119" s="1068">
        <v>26367.5</v>
      </c>
      <c r="K119" s="1068">
        <v>18010.400000000001</v>
      </c>
      <c r="L119" s="1068">
        <v>51550.799999999988</v>
      </c>
      <c r="M119" s="1068">
        <v>1930</v>
      </c>
      <c r="N119" s="1068">
        <v>25.200000000000003</v>
      </c>
      <c r="O119" s="1068">
        <f t="shared" si="5"/>
        <v>242371.375</v>
      </c>
    </row>
    <row r="120" spans="1:15" s="69" customFormat="1" ht="12.75" hidden="1">
      <c r="A120" s="87" t="s">
        <v>46</v>
      </c>
      <c r="B120" s="925">
        <v>186024.93333333338</v>
      </c>
      <c r="C120" s="1068">
        <v>92912</v>
      </c>
      <c r="D120" s="1068">
        <v>25913.600000000002</v>
      </c>
      <c r="E120" s="1068">
        <v>84300.900000000009</v>
      </c>
      <c r="F120" s="1068">
        <v>2824.1000000000004</v>
      </c>
      <c r="G120" s="1068">
        <v>828.10000000000014</v>
      </c>
      <c r="H120" s="1068">
        <f t="shared" si="4"/>
        <v>392803.6333333333</v>
      </c>
      <c r="I120" s="1068">
        <v>146420.20000000001</v>
      </c>
      <c r="J120" s="1068">
        <v>23922.600000000002</v>
      </c>
      <c r="K120" s="1068">
        <v>20897.999999999996</v>
      </c>
      <c r="L120" s="1068">
        <v>57361.9</v>
      </c>
      <c r="M120" s="1068">
        <v>430</v>
      </c>
      <c r="N120" s="1068">
        <v>22</v>
      </c>
      <c r="O120" s="1068">
        <f t="shared" si="5"/>
        <v>249054.7</v>
      </c>
    </row>
    <row r="121" spans="1:15" s="69" customFormat="1" ht="12.75" hidden="1">
      <c r="A121" s="87" t="s">
        <v>47</v>
      </c>
      <c r="B121" s="925">
        <v>192893.44999999998</v>
      </c>
      <c r="C121" s="1068">
        <v>86568</v>
      </c>
      <c r="D121" s="1068">
        <v>23146.6</v>
      </c>
      <c r="E121" s="1068">
        <v>84685</v>
      </c>
      <c r="F121" s="1068">
        <v>4808.5</v>
      </c>
      <c r="G121" s="1068">
        <v>936.70000000000016</v>
      </c>
      <c r="H121" s="1068">
        <f t="shared" si="4"/>
        <v>393038.24999999994</v>
      </c>
      <c r="I121" s="1068">
        <v>150746.02499999999</v>
      </c>
      <c r="J121" s="1068">
        <v>22586.799999999999</v>
      </c>
      <c r="K121" s="1068">
        <v>23132.3</v>
      </c>
      <c r="L121" s="1068">
        <v>60160.6</v>
      </c>
      <c r="M121" s="1068">
        <v>200</v>
      </c>
      <c r="N121" s="1068">
        <v>12.7</v>
      </c>
      <c r="O121" s="1068">
        <f t="shared" si="5"/>
        <v>256838.42499999999</v>
      </c>
    </row>
    <row r="122" spans="1:15" s="69" customFormat="1" ht="12.75" hidden="1">
      <c r="A122" s="87" t="s">
        <v>48</v>
      </c>
      <c r="B122" s="925">
        <v>187920.8666666667</v>
      </c>
      <c r="C122" s="1068">
        <v>93729.300000000017</v>
      </c>
      <c r="D122" s="1068">
        <v>23666.099999999995</v>
      </c>
      <c r="E122" s="1068">
        <v>81303.600000000006</v>
      </c>
      <c r="F122" s="1068">
        <v>3969.1000000000004</v>
      </c>
      <c r="G122" s="1068">
        <v>807.30000000000007</v>
      </c>
      <c r="H122" s="1068">
        <f t="shared" si="4"/>
        <v>391396.26666666666</v>
      </c>
      <c r="I122" s="1068">
        <v>148294.25</v>
      </c>
      <c r="J122" s="1068">
        <v>25034.899999999998</v>
      </c>
      <c r="K122" s="1068">
        <v>22377.199999999997</v>
      </c>
      <c r="L122" s="1068">
        <v>61059.30000000001</v>
      </c>
      <c r="M122" s="1068">
        <v>430</v>
      </c>
      <c r="N122" s="1068">
        <v>19.700000000000003</v>
      </c>
      <c r="O122" s="1068">
        <f t="shared" si="5"/>
        <v>257215.35</v>
      </c>
    </row>
    <row r="123" spans="1:15" s="69" customFormat="1" ht="12.75" hidden="1">
      <c r="A123" s="87" t="s">
        <v>49</v>
      </c>
      <c r="B123" s="925">
        <v>190551.98333333334</v>
      </c>
      <c r="C123" s="1068">
        <v>85657.5</v>
      </c>
      <c r="D123" s="1068">
        <v>27260.700000000004</v>
      </c>
      <c r="E123" s="1068">
        <v>81714.299999999988</v>
      </c>
      <c r="F123" s="1068">
        <v>3077.7</v>
      </c>
      <c r="G123" s="1068">
        <v>1140</v>
      </c>
      <c r="H123" s="1068">
        <f t="shared" si="4"/>
        <v>389402.18333333335</v>
      </c>
      <c r="I123" s="1068">
        <v>154010.17499999999</v>
      </c>
      <c r="J123" s="1068">
        <v>26129.200000000001</v>
      </c>
      <c r="K123" s="1068">
        <v>21890.799999999999</v>
      </c>
      <c r="L123" s="1068">
        <v>61267.700000000004</v>
      </c>
      <c r="M123" s="1068">
        <v>430</v>
      </c>
      <c r="N123" s="1068">
        <v>19.8</v>
      </c>
      <c r="O123" s="1068">
        <f t="shared" si="5"/>
        <v>263747.67499999999</v>
      </c>
    </row>
    <row r="124" spans="1:15" s="69" customFormat="1" ht="12.75" hidden="1">
      <c r="A124" s="87" t="s">
        <v>50</v>
      </c>
      <c r="B124" s="925">
        <v>193291.8</v>
      </c>
      <c r="C124" s="1068">
        <v>90279.8</v>
      </c>
      <c r="D124" s="1068">
        <v>25706.699999999997</v>
      </c>
      <c r="E124" s="1068">
        <v>88838.999999999985</v>
      </c>
      <c r="F124" s="1068">
        <v>3308.7</v>
      </c>
      <c r="G124" s="1068">
        <v>998.5</v>
      </c>
      <c r="H124" s="1068">
        <f t="shared" si="4"/>
        <v>402424.5</v>
      </c>
      <c r="I124" s="1068">
        <v>157966.30000000002</v>
      </c>
      <c r="J124" s="1068">
        <v>24661.4</v>
      </c>
      <c r="K124" s="1068">
        <v>21172.699999999997</v>
      </c>
      <c r="L124" s="1068">
        <v>59774.700000000012</v>
      </c>
      <c r="M124" s="1068">
        <v>430</v>
      </c>
      <c r="N124" s="1068">
        <v>18.2</v>
      </c>
      <c r="O124" s="1068">
        <f t="shared" si="5"/>
        <v>264023.30000000005</v>
      </c>
    </row>
    <row r="125" spans="1:15" s="69" customFormat="1" ht="12.75" hidden="1">
      <c r="A125" s="222"/>
      <c r="B125" s="925"/>
      <c r="C125" s="1068"/>
      <c r="D125" s="1068"/>
      <c r="E125" s="1068"/>
      <c r="F125" s="1068"/>
      <c r="G125" s="1068"/>
      <c r="H125" s="1068"/>
      <c r="I125" s="1068"/>
      <c r="J125" s="1068"/>
      <c r="K125" s="1068"/>
      <c r="L125" s="1068"/>
      <c r="M125" s="1068"/>
      <c r="N125" s="1068"/>
      <c r="O125" s="1068"/>
    </row>
    <row r="126" spans="1:15" s="69" customFormat="1" ht="12.75" hidden="1">
      <c r="A126" s="87" t="s">
        <v>54</v>
      </c>
      <c r="B126" s="925">
        <v>190992.30000000002</v>
      </c>
      <c r="C126" s="1068">
        <v>88264.39999999998</v>
      </c>
      <c r="D126" s="1068">
        <v>19263.7</v>
      </c>
      <c r="E126" s="1068">
        <v>83945.7</v>
      </c>
      <c r="F126" s="1068">
        <v>2438</v>
      </c>
      <c r="G126" s="1068">
        <v>1212.1000000000001</v>
      </c>
      <c r="H126" s="1068">
        <f t="shared" si="4"/>
        <v>386116.2</v>
      </c>
      <c r="I126" s="1068">
        <v>163101.84999999998</v>
      </c>
      <c r="J126" s="1068">
        <v>33209.000000000007</v>
      </c>
      <c r="K126" s="1068">
        <v>16722.899999999998</v>
      </c>
      <c r="L126" s="1068">
        <v>55210.2</v>
      </c>
      <c r="M126" s="1068">
        <v>430</v>
      </c>
      <c r="N126" s="1068">
        <v>21.2</v>
      </c>
      <c r="O126" s="1068">
        <f t="shared" si="5"/>
        <v>268695.14999999997</v>
      </c>
    </row>
    <row r="127" spans="1:15" s="69" customFormat="1" ht="12.75" hidden="1">
      <c r="A127" s="87" t="s">
        <v>40</v>
      </c>
      <c r="B127" s="925">
        <v>187248.8</v>
      </c>
      <c r="C127" s="1068">
        <v>82144.099999999991</v>
      </c>
      <c r="D127" s="1068">
        <v>20840.399999999998</v>
      </c>
      <c r="E127" s="1068">
        <v>80317.200000000012</v>
      </c>
      <c r="F127" s="1068">
        <v>2146.3000000000002</v>
      </c>
      <c r="G127" s="1068">
        <v>1018.9999999999999</v>
      </c>
      <c r="H127" s="1068">
        <f t="shared" si="4"/>
        <v>373715.8</v>
      </c>
      <c r="I127" s="1068">
        <v>163723.5</v>
      </c>
      <c r="J127" s="1068">
        <v>31998.999999999996</v>
      </c>
      <c r="K127" s="1068">
        <v>17308.5</v>
      </c>
      <c r="L127" s="1068">
        <v>70940.5</v>
      </c>
      <c r="M127" s="1068">
        <v>430</v>
      </c>
      <c r="N127" s="1068">
        <v>19.2</v>
      </c>
      <c r="O127" s="1068">
        <f t="shared" si="5"/>
        <v>284420.7</v>
      </c>
    </row>
    <row r="128" spans="1:15" s="69" customFormat="1" ht="12.75" hidden="1">
      <c r="A128" s="87" t="s">
        <v>41</v>
      </c>
      <c r="B128" s="925">
        <v>184412.39999999997</v>
      </c>
      <c r="C128" s="1068">
        <v>91318.2</v>
      </c>
      <c r="D128" s="1068">
        <v>20251.600000000002</v>
      </c>
      <c r="E128" s="1068">
        <v>84410.89999999998</v>
      </c>
      <c r="F128" s="1068">
        <v>1510.2</v>
      </c>
      <c r="G128" s="1068">
        <v>1109.8</v>
      </c>
      <c r="H128" s="1068">
        <f t="shared" si="4"/>
        <v>383013.09999999992</v>
      </c>
      <c r="I128" s="1068">
        <v>165320.25</v>
      </c>
      <c r="J128" s="1068">
        <v>32302.6</v>
      </c>
      <c r="K128" s="1068">
        <v>17130.7</v>
      </c>
      <c r="L128" s="1068">
        <v>70410.399999999994</v>
      </c>
      <c r="M128" s="1068">
        <v>430</v>
      </c>
      <c r="N128" s="1068">
        <v>19.2</v>
      </c>
      <c r="O128" s="1068">
        <f t="shared" si="5"/>
        <v>285613.15000000002</v>
      </c>
    </row>
    <row r="129" spans="1:15" s="69" customFormat="1" ht="12.75" hidden="1">
      <c r="A129" s="87" t="s">
        <v>42</v>
      </c>
      <c r="B129" s="925">
        <v>195179.59999999998</v>
      </c>
      <c r="C129" s="1068">
        <v>93493.7</v>
      </c>
      <c r="D129" s="1068">
        <v>24939.7</v>
      </c>
      <c r="E129" s="1068">
        <v>84639.8</v>
      </c>
      <c r="F129" s="1068">
        <v>2351</v>
      </c>
      <c r="G129" s="1068">
        <v>875.3</v>
      </c>
      <c r="H129" s="1068">
        <f t="shared" si="4"/>
        <v>401479.1</v>
      </c>
      <c r="I129" s="1068">
        <v>166739.69999999998</v>
      </c>
      <c r="J129" s="1068">
        <v>32303.9</v>
      </c>
      <c r="K129" s="1068">
        <v>16038.199999999999</v>
      </c>
      <c r="L129" s="1068">
        <v>75135.799999999988</v>
      </c>
      <c r="M129" s="1068">
        <v>430</v>
      </c>
      <c r="N129" s="1068">
        <v>19.299999999999997</v>
      </c>
      <c r="O129" s="1068">
        <f t="shared" si="5"/>
        <v>290666.89999999997</v>
      </c>
    </row>
    <row r="130" spans="1:15" s="69" customFormat="1" ht="12.75" hidden="1">
      <c r="A130" s="87" t="s">
        <v>43</v>
      </c>
      <c r="B130" s="925">
        <v>192672.2</v>
      </c>
      <c r="C130" s="1068">
        <v>95638.6</v>
      </c>
      <c r="D130" s="1068">
        <v>23059.9</v>
      </c>
      <c r="E130" s="1068">
        <v>82417.7</v>
      </c>
      <c r="F130" s="1068">
        <v>2446</v>
      </c>
      <c r="G130" s="1068">
        <v>1108.5</v>
      </c>
      <c r="H130" s="1068">
        <f t="shared" si="4"/>
        <v>397342.90000000008</v>
      </c>
      <c r="I130" s="1068">
        <v>170024.05000000002</v>
      </c>
      <c r="J130" s="1068">
        <v>33214.700000000004</v>
      </c>
      <c r="K130" s="1068">
        <v>13906.3</v>
      </c>
      <c r="L130" s="1068">
        <v>75494.899999999994</v>
      </c>
      <c r="M130" s="1068">
        <v>480</v>
      </c>
      <c r="N130" s="1068">
        <v>8.3000000000000007</v>
      </c>
      <c r="O130" s="1068">
        <f t="shared" si="5"/>
        <v>293128.25</v>
      </c>
    </row>
    <row r="131" spans="1:15" s="69" customFormat="1" ht="12.75" hidden="1">
      <c r="A131" s="87" t="s">
        <v>44</v>
      </c>
      <c r="B131" s="925">
        <v>196788.2</v>
      </c>
      <c r="C131" s="1068">
        <v>105983.59999999999</v>
      </c>
      <c r="D131" s="1068">
        <v>26298.3</v>
      </c>
      <c r="E131" s="1068">
        <v>89871.799999999988</v>
      </c>
      <c r="F131" s="1068">
        <v>2518.1000000000004</v>
      </c>
      <c r="G131" s="1068">
        <v>881.6</v>
      </c>
      <c r="H131" s="1068">
        <f t="shared" si="4"/>
        <v>422341.59999999992</v>
      </c>
      <c r="I131" s="1068">
        <v>170705.9</v>
      </c>
      <c r="J131" s="1068">
        <v>30605.7</v>
      </c>
      <c r="K131" s="1068">
        <v>13836.3</v>
      </c>
      <c r="L131" s="1068">
        <v>74925.499999999985</v>
      </c>
      <c r="M131" s="1068">
        <v>250</v>
      </c>
      <c r="N131" s="1068">
        <v>8.6</v>
      </c>
      <c r="O131" s="1068">
        <f t="shared" si="5"/>
        <v>290331.99999999994</v>
      </c>
    </row>
    <row r="132" spans="1:15" s="69" customFormat="1" ht="12.75" hidden="1">
      <c r="A132" s="87" t="s">
        <v>45</v>
      </c>
      <c r="B132" s="925">
        <v>199157.61666666667</v>
      </c>
      <c r="C132" s="1068">
        <v>120283.49999999999</v>
      </c>
      <c r="D132" s="1068">
        <v>24183.3</v>
      </c>
      <c r="E132" s="1068">
        <v>85121.1</v>
      </c>
      <c r="F132" s="1068">
        <v>2400.5</v>
      </c>
      <c r="G132" s="1068">
        <v>886.5</v>
      </c>
      <c r="H132" s="1068">
        <f t="shared" si="4"/>
        <v>432032.5166666666</v>
      </c>
      <c r="I132" s="1068">
        <v>178659.15</v>
      </c>
      <c r="J132" s="1068">
        <v>30859.699999999997</v>
      </c>
      <c r="K132" s="1068">
        <v>15793.099999999999</v>
      </c>
      <c r="L132" s="1068">
        <v>73099.399999999994</v>
      </c>
      <c r="M132" s="1068">
        <v>280</v>
      </c>
      <c r="N132" s="1068">
        <v>8.6</v>
      </c>
      <c r="O132" s="1068">
        <f t="shared" si="5"/>
        <v>298699.94999999995</v>
      </c>
    </row>
    <row r="133" spans="1:15" s="69" customFormat="1" ht="12.75" hidden="1">
      <c r="A133" s="87" t="s">
        <v>46</v>
      </c>
      <c r="B133" s="925">
        <v>204729.39444444442</v>
      </c>
      <c r="C133" s="1068">
        <v>122969.19999999998</v>
      </c>
      <c r="D133" s="1068">
        <v>20977.100000000006</v>
      </c>
      <c r="E133" s="1068">
        <v>84289.2</v>
      </c>
      <c r="F133" s="1068">
        <v>2309.6</v>
      </c>
      <c r="G133" s="1068">
        <v>1542.2</v>
      </c>
      <c r="H133" s="1068">
        <f t="shared" si="4"/>
        <v>436816.69444444438</v>
      </c>
      <c r="I133" s="1068">
        <v>186237.24444444446</v>
      </c>
      <c r="J133" s="1068">
        <v>35426.399999999994</v>
      </c>
      <c r="K133" s="1068">
        <v>15531.199999999999</v>
      </c>
      <c r="L133" s="1068">
        <v>61803.8</v>
      </c>
      <c r="M133" s="1068">
        <v>280</v>
      </c>
      <c r="N133" s="1068">
        <v>8.6</v>
      </c>
      <c r="O133" s="1068">
        <f t="shared" si="5"/>
        <v>299287.24444444443</v>
      </c>
    </row>
    <row r="134" spans="1:15" s="69" customFormat="1" ht="12.75" hidden="1">
      <c r="A134" s="87" t="s">
        <v>47</v>
      </c>
      <c r="B134" s="925">
        <v>201725.0527777778</v>
      </c>
      <c r="C134" s="1068">
        <v>107153.4</v>
      </c>
      <c r="D134" s="1068">
        <v>17472.499999999996</v>
      </c>
      <c r="E134" s="1068">
        <v>98736.89999999998</v>
      </c>
      <c r="F134" s="1068">
        <v>3842.0999999999995</v>
      </c>
      <c r="G134" s="1068">
        <v>1429.1</v>
      </c>
      <c r="H134" s="1068">
        <f t="shared" si="4"/>
        <v>430359.05277777772</v>
      </c>
      <c r="I134" s="1068">
        <v>179574.86111111112</v>
      </c>
      <c r="J134" s="1068">
        <v>30194.699999999993</v>
      </c>
      <c r="K134" s="1068">
        <v>14230.400000000001</v>
      </c>
      <c r="L134" s="1068">
        <v>62123.100000000006</v>
      </c>
      <c r="M134" s="1068">
        <v>230</v>
      </c>
      <c r="N134" s="1068">
        <v>8.9</v>
      </c>
      <c r="O134" s="1068">
        <f t="shared" si="5"/>
        <v>286361.9611111111</v>
      </c>
    </row>
    <row r="135" spans="1:15" s="69" customFormat="1" ht="12.75" hidden="1">
      <c r="A135" s="87" t="s">
        <v>48</v>
      </c>
      <c r="B135" s="925">
        <v>213888.69814814813</v>
      </c>
      <c r="C135" s="1068">
        <v>132062.6</v>
      </c>
      <c r="D135" s="1068">
        <v>18619.5</v>
      </c>
      <c r="E135" s="1068">
        <v>89968.5</v>
      </c>
      <c r="F135" s="1068">
        <v>3804.1000000000004</v>
      </c>
      <c r="G135" s="1068">
        <v>1297.0999999999997</v>
      </c>
      <c r="H135" s="1068">
        <f t="shared" si="4"/>
        <v>459640.49814814806</v>
      </c>
      <c r="I135" s="1068">
        <v>173074.0259259259</v>
      </c>
      <c r="J135" s="1068">
        <v>37296.199999999997</v>
      </c>
      <c r="K135" s="1068">
        <v>14404.699999999999</v>
      </c>
      <c r="L135" s="1068">
        <v>60761.299999999988</v>
      </c>
      <c r="M135" s="1068">
        <v>230</v>
      </c>
      <c r="N135" s="1068">
        <v>8.9</v>
      </c>
      <c r="O135" s="1068">
        <f t="shared" si="5"/>
        <v>285775.12592592591</v>
      </c>
    </row>
    <row r="136" spans="1:15" s="69" customFormat="1" ht="12.75" hidden="1">
      <c r="A136" s="87" t="s">
        <v>49</v>
      </c>
      <c r="B136" s="925">
        <v>209134.60154320984</v>
      </c>
      <c r="C136" s="1068">
        <v>119980.2</v>
      </c>
      <c r="D136" s="1068">
        <v>15798.8</v>
      </c>
      <c r="E136" s="1068">
        <v>91141.699999999983</v>
      </c>
      <c r="F136" s="1068">
        <v>2993.9</v>
      </c>
      <c r="G136" s="1068">
        <v>1194.5</v>
      </c>
      <c r="H136" s="1068">
        <f t="shared" si="4"/>
        <v>440243.70154320984</v>
      </c>
      <c r="I136" s="1068">
        <v>168611.68950617284</v>
      </c>
      <c r="J136" s="1068">
        <v>37164.9</v>
      </c>
      <c r="K136" s="1068">
        <v>15466.5</v>
      </c>
      <c r="L136" s="1068">
        <v>63176.7</v>
      </c>
      <c r="M136" s="1068">
        <v>230</v>
      </c>
      <c r="N136" s="1068">
        <v>9</v>
      </c>
      <c r="O136" s="1068">
        <f t="shared" si="5"/>
        <v>284658.78950617282</v>
      </c>
    </row>
    <row r="137" spans="1:15" s="69" customFormat="1" ht="12.75" hidden="1">
      <c r="A137" s="87" t="s">
        <v>50</v>
      </c>
      <c r="B137" s="925">
        <v>214646.89999999997</v>
      </c>
      <c r="C137" s="1068">
        <v>115720.39999999998</v>
      </c>
      <c r="D137" s="1068">
        <v>18060.499999999996</v>
      </c>
      <c r="E137" s="1068">
        <v>105125.2</v>
      </c>
      <c r="F137" s="1068">
        <v>2610.1</v>
      </c>
      <c r="G137" s="1068">
        <v>2147.5</v>
      </c>
      <c r="H137" s="1068">
        <f t="shared" si="4"/>
        <v>458310.59999999992</v>
      </c>
      <c r="I137" s="1068">
        <v>172190.69999999998</v>
      </c>
      <c r="J137" s="1068">
        <v>34605.5</v>
      </c>
      <c r="K137" s="1068">
        <v>13712.8</v>
      </c>
      <c r="L137" s="1068">
        <v>67840.399999999994</v>
      </c>
      <c r="M137" s="1068">
        <v>230</v>
      </c>
      <c r="N137" s="1068">
        <v>14.9</v>
      </c>
      <c r="O137" s="1068">
        <f t="shared" si="5"/>
        <v>288594.3</v>
      </c>
    </row>
    <row r="138" spans="1:15" s="69" customFormat="1" ht="12.75" hidden="1">
      <c r="A138" s="87"/>
      <c r="B138" s="925"/>
      <c r="C138" s="1068"/>
      <c r="D138" s="1068"/>
      <c r="E138" s="1068"/>
      <c r="F138" s="1068"/>
      <c r="G138" s="1068"/>
      <c r="H138" s="1068"/>
      <c r="I138" s="1068"/>
      <c r="J138" s="1068"/>
      <c r="K138" s="1068"/>
      <c r="L138" s="1068"/>
      <c r="M138" s="1068"/>
      <c r="N138" s="1068"/>
      <c r="O138" s="1068"/>
    </row>
    <row r="139" spans="1:15" s="69" customFormat="1" ht="12.75" hidden="1">
      <c r="A139" s="87" t="s">
        <v>51</v>
      </c>
      <c r="B139" s="925">
        <v>218133.48333333334</v>
      </c>
      <c r="C139" s="1068">
        <v>111738.49999999999</v>
      </c>
      <c r="D139" s="1068">
        <v>18024.5</v>
      </c>
      <c r="E139" s="1068">
        <v>92058.10000000002</v>
      </c>
      <c r="F139" s="1068">
        <v>1825.3000000000002</v>
      </c>
      <c r="G139" s="1068">
        <v>1250.3999999999999</v>
      </c>
      <c r="H139" s="1068">
        <f t="shared" ref="H139" si="6">SUM(B139:G139)</f>
        <v>443030.28333333338</v>
      </c>
      <c r="I139" s="1068">
        <v>168725.3</v>
      </c>
      <c r="J139" s="1068">
        <v>33864.9</v>
      </c>
      <c r="K139" s="1068">
        <v>11793.899999999998</v>
      </c>
      <c r="L139" s="1068">
        <v>75574.400000000009</v>
      </c>
      <c r="M139" s="1068">
        <v>730</v>
      </c>
      <c r="N139" s="1068">
        <v>98</v>
      </c>
      <c r="O139" s="1068">
        <f t="shared" ref="O139:O148" si="7">SUM(I139:N139)</f>
        <v>290786.5</v>
      </c>
    </row>
    <row r="140" spans="1:15" s="69" customFormat="1" ht="12.75" hidden="1">
      <c r="A140" s="87" t="s">
        <v>52</v>
      </c>
      <c r="B140" s="925">
        <v>213164.86666666664</v>
      </c>
      <c r="C140" s="1068">
        <v>104843.70000000001</v>
      </c>
      <c r="D140" s="1068">
        <v>18329.5</v>
      </c>
      <c r="E140" s="1068">
        <v>105540.1</v>
      </c>
      <c r="F140" s="1068">
        <v>3400.3</v>
      </c>
      <c r="G140" s="1068">
        <v>1147.6999999999998</v>
      </c>
      <c r="H140" s="1068">
        <f>SUM(B140:G140)</f>
        <v>446426.16666666663</v>
      </c>
      <c r="I140" s="1068">
        <v>177728.53333333333</v>
      </c>
      <c r="J140" s="1068">
        <v>35955.799999999996</v>
      </c>
      <c r="K140" s="1068">
        <v>11192.000000000002</v>
      </c>
      <c r="L140" s="1068">
        <v>72975.299999999988</v>
      </c>
      <c r="M140" s="1068">
        <v>630</v>
      </c>
      <c r="N140" s="1068">
        <v>97.399999999999991</v>
      </c>
      <c r="O140" s="1068">
        <f t="shared" si="7"/>
        <v>298579.03333333333</v>
      </c>
    </row>
    <row r="141" spans="1:15" s="69" customFormat="1" ht="12.75" hidden="1">
      <c r="A141" s="87" t="s">
        <v>53</v>
      </c>
      <c r="B141" s="925">
        <v>206633.24999999997</v>
      </c>
      <c r="C141" s="1068">
        <v>83726.099999999977</v>
      </c>
      <c r="D141" s="1068">
        <v>18307.5</v>
      </c>
      <c r="E141" s="1068">
        <v>105775.4</v>
      </c>
      <c r="F141" s="1068">
        <v>2390.1999999999998</v>
      </c>
      <c r="G141" s="1068">
        <v>1300.5999999999999</v>
      </c>
      <c r="H141" s="1068">
        <f>SUM(B141:G141)</f>
        <v>418133.05</v>
      </c>
      <c r="I141" s="1068">
        <v>180372.3</v>
      </c>
      <c r="J141" s="1068">
        <v>34935.800000000003</v>
      </c>
      <c r="K141" s="1068">
        <v>11454.400000000001</v>
      </c>
      <c r="L141" s="1068">
        <v>77757.699999999983</v>
      </c>
      <c r="M141" s="1068">
        <v>1483.6</v>
      </c>
      <c r="N141" s="1068">
        <v>15.4</v>
      </c>
      <c r="O141" s="1068">
        <f t="shared" si="7"/>
        <v>306019.19999999995</v>
      </c>
    </row>
    <row r="142" spans="1:15" s="69" customFormat="1" ht="12.75" hidden="1">
      <c r="A142" s="87" t="s">
        <v>603</v>
      </c>
      <c r="B142" s="925">
        <v>213479.73333333334</v>
      </c>
      <c r="C142" s="1068">
        <v>91822.800000000017</v>
      </c>
      <c r="D142" s="1068">
        <v>20817.400000000001</v>
      </c>
      <c r="E142" s="1068">
        <v>100236.2</v>
      </c>
      <c r="F142" s="1068">
        <v>5883.6</v>
      </c>
      <c r="G142" s="1068">
        <v>1374.8</v>
      </c>
      <c r="H142" s="1068">
        <f>SUM(B142:G142)</f>
        <v>433614.53333333333</v>
      </c>
      <c r="I142" s="1068">
        <v>195940.76666666669</v>
      </c>
      <c r="J142" s="1068">
        <v>36127.399999999994</v>
      </c>
      <c r="K142" s="1068">
        <v>10091.800000000001</v>
      </c>
      <c r="L142" s="1068">
        <v>65689.500000000015</v>
      </c>
      <c r="M142" s="1068">
        <v>930</v>
      </c>
      <c r="N142" s="1068">
        <v>15.1</v>
      </c>
      <c r="O142" s="1068">
        <f t="shared" si="7"/>
        <v>308794.56666666665</v>
      </c>
    </row>
    <row r="143" spans="1:15" s="69" customFormat="1" ht="12.75" hidden="1">
      <c r="A143" s="87" t="s">
        <v>609</v>
      </c>
      <c r="B143" s="925">
        <v>220532.81666666668</v>
      </c>
      <c r="C143" s="1068">
        <v>105928</v>
      </c>
      <c r="D143" s="1068">
        <v>22861.599999999999</v>
      </c>
      <c r="E143" s="1068">
        <v>99154.5</v>
      </c>
      <c r="F143" s="1068">
        <v>7423</v>
      </c>
      <c r="G143" s="1068">
        <v>1365</v>
      </c>
      <c r="H143" s="1068">
        <f>SUM(B143:G143)</f>
        <v>457264.91666666663</v>
      </c>
      <c r="I143" s="1068">
        <v>199147.6333333333</v>
      </c>
      <c r="J143" s="1068">
        <v>34665.200000000004</v>
      </c>
      <c r="K143" s="1068">
        <v>9870.2000000000007</v>
      </c>
      <c r="L143" s="1068">
        <v>65207.899999999987</v>
      </c>
      <c r="M143" s="1068">
        <v>1433.8</v>
      </c>
      <c r="N143" s="1068">
        <v>15.5</v>
      </c>
      <c r="O143" s="1068">
        <f t="shared" si="7"/>
        <v>310340.23333333328</v>
      </c>
    </row>
    <row r="144" spans="1:15" s="69" customFormat="1" ht="12.75" hidden="1">
      <c r="A144" s="87" t="s">
        <v>44</v>
      </c>
      <c r="B144" s="925">
        <v>206399.89999999997</v>
      </c>
      <c r="C144" s="1068">
        <v>100016.20000000001</v>
      </c>
      <c r="D144" s="1068">
        <v>22315.500000000007</v>
      </c>
      <c r="E144" s="1068">
        <v>94373.2</v>
      </c>
      <c r="F144" s="1068">
        <v>7055.2000000000007</v>
      </c>
      <c r="G144" s="1068">
        <v>1101.1000000000004</v>
      </c>
      <c r="H144" s="1068">
        <f>SUM(B144:G144)</f>
        <v>431261.1</v>
      </c>
      <c r="I144" s="1068">
        <v>202393.09999999995</v>
      </c>
      <c r="J144" s="1068">
        <v>32873.4</v>
      </c>
      <c r="K144" s="1068">
        <v>9908.8000000000011</v>
      </c>
      <c r="L144" s="1068">
        <v>67670.000000000015</v>
      </c>
      <c r="M144" s="1068">
        <v>2203.8000000000002</v>
      </c>
      <c r="N144" s="1068">
        <v>15.5</v>
      </c>
      <c r="O144" s="1068">
        <f t="shared" si="7"/>
        <v>315064.59999999992</v>
      </c>
    </row>
    <row r="145" spans="1:15" s="69" customFormat="1" ht="12.75" hidden="1">
      <c r="A145" s="87" t="s">
        <v>618</v>
      </c>
      <c r="B145" s="925">
        <v>201639.05000000005</v>
      </c>
      <c r="C145" s="1068">
        <v>110109.49999999997</v>
      </c>
      <c r="D145" s="1068">
        <v>19456.5</v>
      </c>
      <c r="E145" s="1068">
        <v>95950.8</v>
      </c>
      <c r="F145" s="1068">
        <v>5746.2</v>
      </c>
      <c r="G145" s="1068">
        <v>1036.7</v>
      </c>
      <c r="H145" s="1068">
        <f t="shared" ref="H145:H148" si="8">SUM(B145:G145)</f>
        <v>433938.75000000006</v>
      </c>
      <c r="I145" s="1068">
        <v>211332.85</v>
      </c>
      <c r="J145" s="1068">
        <v>34500.700000000004</v>
      </c>
      <c r="K145" s="1068">
        <v>9821.4</v>
      </c>
      <c r="L145" s="1068">
        <v>62865.1</v>
      </c>
      <c r="M145" s="1068">
        <v>2433.9</v>
      </c>
      <c r="N145" s="1068">
        <v>15.5</v>
      </c>
      <c r="O145" s="1068">
        <f t="shared" si="7"/>
        <v>320969.45</v>
      </c>
    </row>
    <row r="146" spans="1:15" s="69" customFormat="1" ht="12.75" hidden="1">
      <c r="A146" s="87" t="s">
        <v>624</v>
      </c>
      <c r="B146" s="925">
        <v>208634.54444444444</v>
      </c>
      <c r="C146" s="1068">
        <v>119618.20000000001</v>
      </c>
      <c r="D146" s="1068">
        <v>18392.2</v>
      </c>
      <c r="E146" s="1068">
        <v>89050.8</v>
      </c>
      <c r="F146" s="1068">
        <v>9123.2000000000007</v>
      </c>
      <c r="G146" s="1068">
        <v>952.7</v>
      </c>
      <c r="H146" s="1068">
        <f t="shared" si="8"/>
        <v>445771.64444444445</v>
      </c>
      <c r="I146" s="1068">
        <v>211956.94999999998</v>
      </c>
      <c r="J146" s="1068">
        <v>33380.6</v>
      </c>
      <c r="K146" s="1068">
        <v>12048.900000000001</v>
      </c>
      <c r="L146" s="1068">
        <v>58901.500000000007</v>
      </c>
      <c r="M146" s="1068">
        <v>2434.6</v>
      </c>
      <c r="N146" s="1068">
        <v>17.899999999999999</v>
      </c>
      <c r="O146" s="1068">
        <f t="shared" si="7"/>
        <v>318740.45</v>
      </c>
    </row>
    <row r="147" spans="1:15" s="69" customFormat="1" ht="12.75" hidden="1">
      <c r="A147" s="87" t="s">
        <v>47</v>
      </c>
      <c r="B147" s="925">
        <v>199551.41111111111</v>
      </c>
      <c r="C147" s="1068">
        <v>121700.4</v>
      </c>
      <c r="D147" s="1068">
        <v>31042.799999999999</v>
      </c>
      <c r="E147" s="1068">
        <v>96731.6</v>
      </c>
      <c r="F147" s="1068">
        <v>8434.4000000000015</v>
      </c>
      <c r="G147" s="1068">
        <v>1008.4999999999999</v>
      </c>
      <c r="H147" s="1068">
        <f t="shared" si="8"/>
        <v>458469.11111111112</v>
      </c>
      <c r="I147" s="1068">
        <v>217814.17500000002</v>
      </c>
      <c r="J147" s="1068">
        <v>30544.599999999995</v>
      </c>
      <c r="K147" s="1068">
        <v>12074.600000000002</v>
      </c>
      <c r="L147" s="1068">
        <v>59122.6</v>
      </c>
      <c r="M147" s="1068">
        <v>2466.6999999999998</v>
      </c>
      <c r="N147" s="1068">
        <v>19.399999999999999</v>
      </c>
      <c r="O147" s="1068">
        <f t="shared" si="7"/>
        <v>322042.07500000007</v>
      </c>
    </row>
    <row r="148" spans="1:15" s="69" customFormat="1" ht="12.75" hidden="1">
      <c r="A148" s="87" t="s">
        <v>634</v>
      </c>
      <c r="B148" s="925">
        <v>227526.42592592593</v>
      </c>
      <c r="C148" s="1068">
        <v>133957.70000000001</v>
      </c>
      <c r="D148" s="1068">
        <v>22178</v>
      </c>
      <c r="E148" s="1068">
        <v>95756.500000000015</v>
      </c>
      <c r="F148" s="1068">
        <v>7497.7000000000007</v>
      </c>
      <c r="G148" s="1068">
        <v>800.2</v>
      </c>
      <c r="H148" s="1068">
        <f t="shared" si="8"/>
        <v>487716.52592592593</v>
      </c>
      <c r="I148" s="1068">
        <v>216827.98333333337</v>
      </c>
      <c r="J148" s="1068">
        <v>33318.1</v>
      </c>
      <c r="K148" s="1068">
        <v>16410.8</v>
      </c>
      <c r="L148" s="1068">
        <v>58825.5</v>
      </c>
      <c r="M148" s="1068">
        <v>2471.1</v>
      </c>
      <c r="N148" s="1068">
        <v>16.700000000000003</v>
      </c>
      <c r="O148" s="1068">
        <f t="shared" si="7"/>
        <v>327870.18333333335</v>
      </c>
    </row>
    <row r="149" spans="1:15" s="69" customFormat="1" ht="12.75" hidden="1">
      <c r="A149" s="87" t="s">
        <v>654</v>
      </c>
      <c r="B149" s="925">
        <v>201718.53950617285</v>
      </c>
      <c r="C149" s="1068">
        <v>123300.9</v>
      </c>
      <c r="D149" s="1068">
        <v>32505.599999999999</v>
      </c>
      <c r="E149" s="1068">
        <f>56316.2+14117.3</f>
        <v>70433.5</v>
      </c>
      <c r="F149" s="1068">
        <v>5397.2999999999993</v>
      </c>
      <c r="G149" s="1068">
        <v>1252.1999999999998</v>
      </c>
      <c r="H149" s="1068">
        <f>SUM(B149:G149)</f>
        <v>434608.03950617282</v>
      </c>
      <c r="I149" s="1068">
        <v>188787.4</v>
      </c>
      <c r="J149" s="1068">
        <v>52085.200000000004</v>
      </c>
      <c r="K149" s="1068">
        <v>22125.700000000004</v>
      </c>
      <c r="L149" s="1068">
        <f>47880.8+1200</f>
        <v>49080.800000000003</v>
      </c>
      <c r="M149" s="1068">
        <v>7496.9</v>
      </c>
      <c r="N149" s="1068">
        <v>1300.0999999999999</v>
      </c>
      <c r="O149" s="1068">
        <f t="shared" ref="O149:O150" si="9">SUM(I149:N149)</f>
        <v>320876.09999999998</v>
      </c>
    </row>
    <row r="150" spans="1:15" s="69" customFormat="1" ht="12.75" hidden="1">
      <c r="A150" s="87" t="s">
        <v>665</v>
      </c>
      <c r="B150" s="925">
        <v>216304.20000000004</v>
      </c>
      <c r="C150" s="1068">
        <v>123242.6</v>
      </c>
      <c r="D150" s="1068">
        <v>22953.299999999996</v>
      </c>
      <c r="E150" s="1068">
        <v>69022.7</v>
      </c>
      <c r="F150" s="1068">
        <v>7505.3000000000011</v>
      </c>
      <c r="G150" s="1068">
        <v>1823.1000000000001</v>
      </c>
      <c r="H150" s="1068">
        <f>SUM(B150:G150)</f>
        <v>440851.20000000001</v>
      </c>
      <c r="I150" s="1068">
        <v>191015.59999999998</v>
      </c>
      <c r="J150" s="1068">
        <v>60016.999999999993</v>
      </c>
      <c r="K150" s="1068">
        <v>21013.400000000005</v>
      </c>
      <c r="L150" s="1068">
        <v>45981.000000000007</v>
      </c>
      <c r="M150" s="1068">
        <v>8529.9</v>
      </c>
      <c r="N150" s="1068">
        <v>831.7</v>
      </c>
      <c r="O150" s="1068">
        <f t="shared" si="9"/>
        <v>327388.60000000003</v>
      </c>
    </row>
    <row r="151" spans="1:15" s="69" customFormat="1" ht="12.75" hidden="1">
      <c r="A151" s="800"/>
      <c r="B151" s="925"/>
      <c r="C151" s="1068"/>
      <c r="D151" s="1068"/>
      <c r="E151" s="1068"/>
      <c r="F151" s="1068"/>
      <c r="G151" s="1068"/>
      <c r="H151" s="1068"/>
      <c r="I151" s="1068"/>
      <c r="J151" s="1068"/>
      <c r="K151" s="1068"/>
      <c r="L151" s="1068"/>
      <c r="M151" s="1068"/>
      <c r="N151" s="1068"/>
      <c r="O151" s="1068"/>
    </row>
    <row r="152" spans="1:15" s="69" customFormat="1" ht="12.75" hidden="1">
      <c r="A152" s="800" t="s">
        <v>39</v>
      </c>
      <c r="B152" s="925">
        <v>218300.41666666669</v>
      </c>
      <c r="C152" s="1068">
        <v>131968.29999999999</v>
      </c>
      <c r="D152" s="1068">
        <v>17787.2</v>
      </c>
      <c r="E152" s="1068">
        <v>68946</v>
      </c>
      <c r="F152" s="1068">
        <v>4999.5</v>
      </c>
      <c r="G152" s="1068">
        <v>1308.6999999999998</v>
      </c>
      <c r="H152" s="1068">
        <f t="shared" ref="H152:H163" si="10">SUM(B152:G152)</f>
        <v>443310.1166666667</v>
      </c>
      <c r="I152" s="1068">
        <v>185717.19999999998</v>
      </c>
      <c r="J152" s="1068">
        <v>51507.6</v>
      </c>
      <c r="K152" s="1068">
        <v>21254.400000000001</v>
      </c>
      <c r="L152" s="1068">
        <v>49416.1</v>
      </c>
      <c r="M152" s="1068">
        <v>8541.4</v>
      </c>
      <c r="N152" s="1068">
        <v>66.099999999999994</v>
      </c>
      <c r="O152" s="1068">
        <f t="shared" ref="O152:O163" si="11">SUM(I152:N152)</f>
        <v>316502.8</v>
      </c>
    </row>
    <row r="153" spans="1:15" s="69" customFormat="1" ht="12.75" hidden="1">
      <c r="A153" s="800" t="s">
        <v>681</v>
      </c>
      <c r="B153" s="925">
        <v>222355.13333333336</v>
      </c>
      <c r="C153" s="1068">
        <v>138356.70000000001</v>
      </c>
      <c r="D153" s="1068">
        <v>32042.799999999999</v>
      </c>
      <c r="E153" s="1068">
        <v>74519.3</v>
      </c>
      <c r="F153" s="1068">
        <v>6645</v>
      </c>
      <c r="G153" s="1068">
        <v>1089.1000000000001</v>
      </c>
      <c r="H153" s="1068">
        <f t="shared" si="10"/>
        <v>475008.03333333333</v>
      </c>
      <c r="I153" s="1068">
        <v>182600</v>
      </c>
      <c r="J153" s="1068">
        <v>47567.5</v>
      </c>
      <c r="K153" s="1068">
        <v>18934.800000000003</v>
      </c>
      <c r="L153" s="1068">
        <v>44975.100000000006</v>
      </c>
      <c r="M153" s="1068">
        <v>8535.4</v>
      </c>
      <c r="N153" s="1068">
        <v>65.5</v>
      </c>
      <c r="O153" s="1068">
        <f t="shared" si="11"/>
        <v>302678.30000000005</v>
      </c>
    </row>
    <row r="154" spans="1:15" s="69" customFormat="1" ht="12.75" hidden="1">
      <c r="A154" s="800" t="s">
        <v>41</v>
      </c>
      <c r="B154" s="925">
        <v>225176.45</v>
      </c>
      <c r="C154" s="1068">
        <v>126774.20000000001</v>
      </c>
      <c r="D154" s="1068">
        <v>18832.599999999999</v>
      </c>
      <c r="E154" s="1068">
        <v>83643.5</v>
      </c>
      <c r="F154" s="1068">
        <v>8109</v>
      </c>
      <c r="G154" s="1068">
        <v>1014.9</v>
      </c>
      <c r="H154" s="1068">
        <f t="shared" si="10"/>
        <v>463550.65</v>
      </c>
      <c r="I154" s="1068">
        <v>174234.39999999997</v>
      </c>
      <c r="J154" s="1068">
        <v>57290.499999999993</v>
      </c>
      <c r="K154" s="1068">
        <v>21043.8</v>
      </c>
      <c r="L154" s="1068">
        <v>47487.200000000012</v>
      </c>
      <c r="M154" s="1068">
        <v>8565.2000000000007</v>
      </c>
      <c r="N154" s="1068">
        <v>39.200000000000003</v>
      </c>
      <c r="O154" s="1068">
        <f t="shared" si="11"/>
        <v>308660.3</v>
      </c>
    </row>
    <row r="155" spans="1:15" s="69" customFormat="1" ht="12.75" hidden="1">
      <c r="A155" s="800" t="s">
        <v>692</v>
      </c>
      <c r="B155" s="925">
        <v>241766.56666666665</v>
      </c>
      <c r="C155" s="1068">
        <v>141642.1</v>
      </c>
      <c r="D155" s="1068">
        <v>17062.399999999998</v>
      </c>
      <c r="E155" s="1068">
        <v>73219.199999999983</v>
      </c>
      <c r="F155" s="1068">
        <v>6132.2</v>
      </c>
      <c r="G155" s="1068">
        <v>707.90000000000009</v>
      </c>
      <c r="H155" s="1068">
        <f t="shared" si="10"/>
        <v>480530.36666666664</v>
      </c>
      <c r="I155" s="1068">
        <v>176422.59999999998</v>
      </c>
      <c r="J155" s="1068">
        <v>53414</v>
      </c>
      <c r="K155" s="1068">
        <v>16004.9</v>
      </c>
      <c r="L155" s="1068">
        <v>47443.9</v>
      </c>
      <c r="M155" s="1068">
        <v>9276.3000000000011</v>
      </c>
      <c r="N155" s="1068">
        <v>56.400000000000134</v>
      </c>
      <c r="O155" s="1068">
        <f t="shared" si="11"/>
        <v>302618.09999999998</v>
      </c>
    </row>
    <row r="156" spans="1:15" s="69" customFormat="1" ht="12.75" hidden="1">
      <c r="A156" s="800" t="s">
        <v>701</v>
      </c>
      <c r="B156" s="925">
        <v>250080.58333333331</v>
      </c>
      <c r="C156" s="1068">
        <v>138632</v>
      </c>
      <c r="D156" s="1068">
        <v>25309.4</v>
      </c>
      <c r="E156" s="1068">
        <v>69963.599999999977</v>
      </c>
      <c r="F156" s="1068">
        <v>5944</v>
      </c>
      <c r="G156" s="1068">
        <v>780.5</v>
      </c>
      <c r="H156" s="1068">
        <f t="shared" si="10"/>
        <v>490710.08333333331</v>
      </c>
      <c r="I156" s="1068">
        <v>165811.59999999998</v>
      </c>
      <c r="J156" s="1068">
        <v>61253.2</v>
      </c>
      <c r="K156" s="1068">
        <v>20694.3</v>
      </c>
      <c r="L156" s="1068">
        <v>46885.699999999983</v>
      </c>
      <c r="M156" s="1068">
        <v>9295.2000000000007</v>
      </c>
      <c r="N156" s="1068">
        <v>56.3</v>
      </c>
      <c r="O156" s="1068">
        <f t="shared" si="11"/>
        <v>303996.29999999993</v>
      </c>
    </row>
    <row r="157" spans="1:15" s="69" customFormat="1" ht="12.75" hidden="1">
      <c r="A157" s="800" t="s">
        <v>713</v>
      </c>
      <c r="B157" s="925">
        <v>264826.10000000003</v>
      </c>
      <c r="C157" s="1068">
        <v>136168.4</v>
      </c>
      <c r="D157" s="1068">
        <v>21219.1</v>
      </c>
      <c r="E157" s="1068">
        <v>67156.299999999988</v>
      </c>
      <c r="F157" s="1068">
        <v>3656.3</v>
      </c>
      <c r="G157" s="1068">
        <v>650.9</v>
      </c>
      <c r="H157" s="1068">
        <f t="shared" si="10"/>
        <v>493677.1</v>
      </c>
      <c r="I157" s="1068">
        <v>155532.29999999999</v>
      </c>
      <c r="J157" s="1068">
        <v>63241</v>
      </c>
      <c r="K157" s="1068">
        <v>13861.7</v>
      </c>
      <c r="L157" s="1068">
        <v>48992</v>
      </c>
      <c r="M157" s="1068">
        <v>8610.4000000000015</v>
      </c>
      <c r="N157" s="1068">
        <v>56.1</v>
      </c>
      <c r="O157" s="1068">
        <f t="shared" si="11"/>
        <v>290293.5</v>
      </c>
    </row>
    <row r="158" spans="1:15" s="69" customFormat="1" ht="12.75">
      <c r="A158" s="800" t="s">
        <v>735</v>
      </c>
      <c r="B158" s="925">
        <v>262876.83333333331</v>
      </c>
      <c r="C158" s="1068">
        <v>145944.00000000003</v>
      </c>
      <c r="D158" s="1068">
        <v>19470.800000000003</v>
      </c>
      <c r="E158" s="1068">
        <v>69351.5</v>
      </c>
      <c r="F158" s="1068">
        <v>3770.7</v>
      </c>
      <c r="G158" s="1068">
        <v>764.80000000000007</v>
      </c>
      <c r="H158" s="1068">
        <f t="shared" si="10"/>
        <v>502178.63333333336</v>
      </c>
      <c r="I158" s="1068">
        <v>156214.23333333337</v>
      </c>
      <c r="J158" s="1068">
        <v>57269.4</v>
      </c>
      <c r="K158" s="1068">
        <v>15549.5</v>
      </c>
      <c r="L158" s="1068">
        <v>43799.400000000009</v>
      </c>
      <c r="M158" s="1068">
        <v>9780.1999999999989</v>
      </c>
      <c r="N158" s="1068">
        <v>81.8</v>
      </c>
      <c r="O158" s="1068">
        <f t="shared" si="11"/>
        <v>282694.53333333338</v>
      </c>
    </row>
    <row r="159" spans="1:15" s="69" customFormat="1" ht="12.75">
      <c r="A159" s="800" t="s">
        <v>46</v>
      </c>
      <c r="B159" s="925">
        <v>252780.86666666667</v>
      </c>
      <c r="C159" s="1068">
        <v>164482.89999999997</v>
      </c>
      <c r="D159" s="1068">
        <v>33718.899999999994</v>
      </c>
      <c r="E159" s="1068">
        <v>68547.299999999988</v>
      </c>
      <c r="F159" s="1068">
        <v>5742.2999999999993</v>
      </c>
      <c r="G159" s="1068">
        <v>937.9</v>
      </c>
      <c r="H159" s="1068">
        <f t="shared" si="10"/>
        <v>526210.16666666663</v>
      </c>
      <c r="I159" s="1068">
        <v>155196.16666666669</v>
      </c>
      <c r="J159" s="1068">
        <v>60746.299999999996</v>
      </c>
      <c r="K159" s="1068">
        <v>6281.2</v>
      </c>
      <c r="L159" s="1068">
        <v>48243.299999999996</v>
      </c>
      <c r="M159" s="1068">
        <v>9844.6</v>
      </c>
      <c r="N159" s="1068">
        <v>42.8</v>
      </c>
      <c r="O159" s="1068">
        <f t="shared" si="11"/>
        <v>280354.36666666664</v>
      </c>
    </row>
    <row r="160" spans="1:15" s="69" customFormat="1" ht="12.75">
      <c r="A160" s="800" t="s">
        <v>47</v>
      </c>
      <c r="B160" s="925">
        <v>241776.9</v>
      </c>
      <c r="C160" s="1068">
        <v>182350.69999999998</v>
      </c>
      <c r="D160" s="1068">
        <v>21167.800000000003</v>
      </c>
      <c r="E160" s="1068">
        <v>68642.399999999994</v>
      </c>
      <c r="F160" s="1068">
        <v>7192.6</v>
      </c>
      <c r="G160" s="1068">
        <v>1581.5</v>
      </c>
      <c r="H160" s="1068">
        <f t="shared" si="10"/>
        <v>522711.89999999991</v>
      </c>
      <c r="I160" s="1068">
        <v>154005.20000000001</v>
      </c>
      <c r="J160" s="1068">
        <v>64394.299999999996</v>
      </c>
      <c r="K160" s="1068">
        <v>13957.1</v>
      </c>
      <c r="L160" s="1068">
        <v>46693.7</v>
      </c>
      <c r="M160" s="1068">
        <v>9113.9</v>
      </c>
      <c r="N160" s="1068">
        <v>40.299999999999997</v>
      </c>
      <c r="O160" s="1068">
        <f t="shared" si="11"/>
        <v>288204.5</v>
      </c>
    </row>
    <row r="161" spans="1:15" s="69" customFormat="1" ht="12.75">
      <c r="A161" s="800" t="s">
        <v>48</v>
      </c>
      <c r="B161" s="925">
        <v>241311.33333333331</v>
      </c>
      <c r="C161" s="1068">
        <v>186066.4</v>
      </c>
      <c r="D161" s="1068">
        <v>26060.499999999993</v>
      </c>
      <c r="E161" s="1068">
        <v>68571.100000000006</v>
      </c>
      <c r="F161" s="1068">
        <v>6002.4</v>
      </c>
      <c r="G161" s="1068">
        <v>943.80000000000007</v>
      </c>
      <c r="H161" s="1068">
        <f t="shared" si="10"/>
        <v>528955.53333333333</v>
      </c>
      <c r="I161" s="1068">
        <v>159652.16666666666</v>
      </c>
      <c r="J161" s="1068">
        <v>65451.499999999993</v>
      </c>
      <c r="K161" s="1068">
        <v>13267.900000000001</v>
      </c>
      <c r="L161" s="1068">
        <v>45403.200000000004</v>
      </c>
      <c r="M161" s="1068">
        <v>9018.9</v>
      </c>
      <c r="N161" s="1068">
        <v>42.199999999999996</v>
      </c>
      <c r="O161" s="1068">
        <f t="shared" si="11"/>
        <v>292835.8666666667</v>
      </c>
    </row>
    <row r="162" spans="1:15" s="69" customFormat="1" ht="12.75">
      <c r="A162" s="800" t="s">
        <v>49</v>
      </c>
      <c r="B162" s="925">
        <v>248136.3</v>
      </c>
      <c r="C162" s="1068">
        <v>200721.2</v>
      </c>
      <c r="D162" s="1068">
        <v>33547.5</v>
      </c>
      <c r="E162" s="1068">
        <v>69980.299999999974</v>
      </c>
      <c r="F162" s="1068">
        <v>4866.9000000000005</v>
      </c>
      <c r="G162" s="1068">
        <v>2173.1</v>
      </c>
      <c r="H162" s="1068">
        <f t="shared" si="10"/>
        <v>559425.29999999993</v>
      </c>
      <c r="I162" s="1068">
        <v>157427.85555555552</v>
      </c>
      <c r="J162" s="1068">
        <v>61717.299999999988</v>
      </c>
      <c r="K162" s="1068">
        <v>13783.6</v>
      </c>
      <c r="L162" s="1068">
        <v>43326.400000000009</v>
      </c>
      <c r="M162" s="1068">
        <v>10236</v>
      </c>
      <c r="N162" s="1068">
        <v>767.5</v>
      </c>
      <c r="O162" s="1068">
        <f t="shared" si="11"/>
        <v>287258.65555555554</v>
      </c>
    </row>
    <row r="163" spans="1:15" s="69" customFormat="1" ht="12.75">
      <c r="A163" s="800" t="s">
        <v>50</v>
      </c>
      <c r="B163" s="925">
        <v>276775.09999999998</v>
      </c>
      <c r="C163" s="1068">
        <v>198178.40000000002</v>
      </c>
      <c r="D163" s="1068">
        <v>26859.1</v>
      </c>
      <c r="E163" s="1068">
        <v>67498.89999999998</v>
      </c>
      <c r="F163" s="1068">
        <v>6477.2000000000007</v>
      </c>
      <c r="G163" s="1068">
        <v>3304.7</v>
      </c>
      <c r="H163" s="1068">
        <f t="shared" si="10"/>
        <v>579093.39999999991</v>
      </c>
      <c r="I163" s="1068">
        <v>161611.09999999998</v>
      </c>
      <c r="J163" s="1068">
        <v>54656.3</v>
      </c>
      <c r="K163" s="1068">
        <v>13533.6</v>
      </c>
      <c r="L163" s="1068">
        <v>44297.299999999988</v>
      </c>
      <c r="M163" s="1068">
        <v>8653.0000000000018</v>
      </c>
      <c r="N163" s="1068">
        <v>33.299999999999997</v>
      </c>
      <c r="O163" s="1068">
        <f t="shared" si="11"/>
        <v>282784.59999999992</v>
      </c>
    </row>
    <row r="164" spans="1:15" s="69" customFormat="1" ht="12.75">
      <c r="A164" s="800"/>
      <c r="B164" s="925"/>
      <c r="C164" s="1068"/>
      <c r="D164" s="1068"/>
      <c r="E164" s="1068"/>
      <c r="F164" s="1068"/>
      <c r="G164" s="1068"/>
      <c r="H164" s="1068"/>
      <c r="I164" s="1068"/>
      <c r="J164" s="1068"/>
      <c r="K164" s="1068"/>
      <c r="L164" s="1068"/>
      <c r="M164" s="1068"/>
      <c r="N164" s="1068"/>
      <c r="O164" s="1068"/>
    </row>
    <row r="165" spans="1:15" s="69" customFormat="1" ht="12.75">
      <c r="A165" s="800" t="s">
        <v>36</v>
      </c>
      <c r="B165" s="929">
        <v>273627.1166666667</v>
      </c>
      <c r="C165" s="814">
        <v>210631.30000000002</v>
      </c>
      <c r="D165" s="814">
        <v>28167.300000000003</v>
      </c>
      <c r="E165" s="814">
        <v>70328.100000000006</v>
      </c>
      <c r="F165" s="814">
        <v>4436.8999999999996</v>
      </c>
      <c r="G165" s="814">
        <v>2551.8999999999992</v>
      </c>
      <c r="H165" s="814">
        <f t="shared" ref="H165:H184" si="12">SUM(B165:G165)</f>
        <v>589742.61666666681</v>
      </c>
      <c r="I165" s="814">
        <v>182464.51666666666</v>
      </c>
      <c r="J165" s="814">
        <v>48188.400000000009</v>
      </c>
      <c r="K165" s="814">
        <v>15050.500000000002</v>
      </c>
      <c r="L165" s="814">
        <v>45225.4</v>
      </c>
      <c r="M165" s="814">
        <v>8500.7999999999993</v>
      </c>
      <c r="N165" s="814">
        <v>33.6</v>
      </c>
      <c r="O165" s="814">
        <f t="shared" ref="O165:O184" si="13">SUM(I165:N165)</f>
        <v>299463.21666666667</v>
      </c>
    </row>
    <row r="166" spans="1:15" s="69" customFormat="1" ht="12.75">
      <c r="A166" s="800" t="s">
        <v>263</v>
      </c>
      <c r="B166" s="929">
        <v>288175.33333333331</v>
      </c>
      <c r="C166" s="814">
        <v>225322.3</v>
      </c>
      <c r="D166" s="814">
        <v>30646.9</v>
      </c>
      <c r="E166" s="814">
        <v>72190.699999999983</v>
      </c>
      <c r="F166" s="814">
        <v>4910</v>
      </c>
      <c r="G166" s="814">
        <v>1344.5</v>
      </c>
      <c r="H166" s="814">
        <f t="shared" si="12"/>
        <v>622589.73333333328</v>
      </c>
      <c r="I166" s="814">
        <v>166489.93333333335</v>
      </c>
      <c r="J166" s="814">
        <v>60003.9</v>
      </c>
      <c r="K166" s="814">
        <v>14401.4</v>
      </c>
      <c r="L166" s="814">
        <v>44545.100000000006</v>
      </c>
      <c r="M166" s="814">
        <v>8526.2000000000007</v>
      </c>
      <c r="N166" s="814">
        <v>32.200000000000003</v>
      </c>
      <c r="O166" s="814">
        <f t="shared" si="13"/>
        <v>293998.7333333334</v>
      </c>
    </row>
    <row r="167" spans="1:15" s="69" customFormat="1" ht="12.75">
      <c r="A167" s="800" t="s">
        <v>41</v>
      </c>
      <c r="B167" s="929">
        <v>303595.94999999995</v>
      </c>
      <c r="C167" s="814">
        <v>215862.2</v>
      </c>
      <c r="D167" s="814">
        <v>32453.199999999997</v>
      </c>
      <c r="E167" s="814">
        <v>80924.800000000003</v>
      </c>
      <c r="F167" s="814">
        <v>7333.4</v>
      </c>
      <c r="G167" s="814">
        <v>2300.1</v>
      </c>
      <c r="H167" s="814">
        <f t="shared" si="12"/>
        <v>642469.65</v>
      </c>
      <c r="I167" s="814">
        <v>168282.15</v>
      </c>
      <c r="J167" s="814">
        <v>70629.700000000012</v>
      </c>
      <c r="K167" s="814">
        <v>16122.800000000001</v>
      </c>
      <c r="L167" s="814">
        <v>42960.000000000015</v>
      </c>
      <c r="M167" s="814">
        <v>8556.9</v>
      </c>
      <c r="N167" s="814">
        <v>33</v>
      </c>
      <c r="O167" s="814">
        <f t="shared" si="13"/>
        <v>306584.55000000005</v>
      </c>
    </row>
    <row r="168" spans="1:15" s="69" customFormat="1" ht="12.75">
      <c r="A168" s="800" t="s">
        <v>42</v>
      </c>
      <c r="B168" s="1120">
        <v>314448.5</v>
      </c>
      <c r="C168" s="815">
        <v>242727.5</v>
      </c>
      <c r="D168" s="815">
        <v>26627.7</v>
      </c>
      <c r="E168" s="815">
        <v>85284.799999999988</v>
      </c>
      <c r="F168" s="815">
        <v>7464.5</v>
      </c>
      <c r="G168" s="815">
        <v>1571.2000000000003</v>
      </c>
      <c r="H168" s="815">
        <f t="shared" si="12"/>
        <v>678124.2</v>
      </c>
      <c r="I168" s="815">
        <v>170186.83333333331</v>
      </c>
      <c r="J168" s="815">
        <v>63535.7</v>
      </c>
      <c r="K168" s="815">
        <v>14929.6</v>
      </c>
      <c r="L168" s="815">
        <v>40828.80000000001</v>
      </c>
      <c r="M168" s="815">
        <v>8568.9</v>
      </c>
      <c r="N168" s="815">
        <v>34</v>
      </c>
      <c r="O168" s="815">
        <f t="shared" si="13"/>
        <v>298083.83333333337</v>
      </c>
    </row>
    <row r="169" spans="1:15" s="69" customFormat="1" ht="12.75">
      <c r="A169" s="800" t="s">
        <v>43</v>
      </c>
      <c r="B169" s="929">
        <v>332451.35000000003</v>
      </c>
      <c r="C169" s="814">
        <v>248128.59999999998</v>
      </c>
      <c r="D169" s="814">
        <v>28432.899999999998</v>
      </c>
      <c r="E169" s="814">
        <v>77651.399999999994</v>
      </c>
      <c r="F169" s="814">
        <v>8244.7999999999993</v>
      </c>
      <c r="G169" s="814">
        <v>2263.0000000000005</v>
      </c>
      <c r="H169" s="814">
        <f t="shared" si="12"/>
        <v>697172.05</v>
      </c>
      <c r="I169" s="814">
        <v>173621.21666666667</v>
      </c>
      <c r="J169" s="814">
        <v>55007.3</v>
      </c>
      <c r="K169" s="814">
        <v>18801.399999999998</v>
      </c>
      <c r="L169" s="814">
        <v>43528.200000000004</v>
      </c>
      <c r="M169" s="814">
        <v>8608.2999999999993</v>
      </c>
      <c r="N169" s="814">
        <v>36.200000000000003</v>
      </c>
      <c r="O169" s="814">
        <f t="shared" si="13"/>
        <v>299602.61666666664</v>
      </c>
    </row>
    <row r="170" spans="1:15" s="69" customFormat="1" ht="12.75">
      <c r="A170" s="800" t="s">
        <v>44</v>
      </c>
      <c r="B170" s="929">
        <v>334021.90000000002</v>
      </c>
      <c r="C170" s="814">
        <v>246582.9</v>
      </c>
      <c r="D170" s="814">
        <v>24307.3</v>
      </c>
      <c r="E170" s="814">
        <v>91412.099999999991</v>
      </c>
      <c r="F170" s="814">
        <v>7254.9</v>
      </c>
      <c r="G170" s="814">
        <v>1859.6</v>
      </c>
      <c r="H170" s="814">
        <f t="shared" si="12"/>
        <v>705438.70000000007</v>
      </c>
      <c r="I170" s="814">
        <v>174931.9</v>
      </c>
      <c r="J170" s="814">
        <v>70180.100000000006</v>
      </c>
      <c r="K170" s="814">
        <v>14047.3</v>
      </c>
      <c r="L170" s="814">
        <v>43319.900000000009</v>
      </c>
      <c r="M170" s="814">
        <v>6586</v>
      </c>
      <c r="N170" s="814">
        <v>31.5</v>
      </c>
      <c r="O170" s="814">
        <f t="shared" si="13"/>
        <v>309096.7</v>
      </c>
    </row>
    <row r="171" spans="1:15" s="69" customFormat="1" ht="12.75">
      <c r="A171" s="800" t="s">
        <v>619</v>
      </c>
      <c r="B171" s="929">
        <v>336144.44999999995</v>
      </c>
      <c r="C171" s="814">
        <v>234194.5</v>
      </c>
      <c r="D171" s="814">
        <v>31510.7</v>
      </c>
      <c r="E171" s="814">
        <v>81539.699999999983</v>
      </c>
      <c r="F171" s="814">
        <v>7104.7000000000007</v>
      </c>
      <c r="G171" s="814">
        <v>1813</v>
      </c>
      <c r="H171" s="814">
        <f t="shared" si="12"/>
        <v>692307.04999999981</v>
      </c>
      <c r="I171" s="814">
        <v>176165.73333333334</v>
      </c>
      <c r="J171" s="814">
        <v>78583</v>
      </c>
      <c r="K171" s="814">
        <v>14396.600000000002</v>
      </c>
      <c r="L171" s="814">
        <v>44743.3</v>
      </c>
      <c r="M171" s="814">
        <v>7675.7999999999993</v>
      </c>
      <c r="N171" s="814">
        <v>31.7</v>
      </c>
      <c r="O171" s="814">
        <f t="shared" si="13"/>
        <v>321596.1333333333</v>
      </c>
    </row>
    <row r="172" spans="1:15" s="69" customFormat="1" ht="12.75">
      <c r="A172" s="800" t="s">
        <v>46</v>
      </c>
      <c r="B172" s="929">
        <v>328507.2</v>
      </c>
      <c r="C172" s="814">
        <v>256333.10000000003</v>
      </c>
      <c r="D172" s="814">
        <v>30460.9</v>
      </c>
      <c r="E172" s="814">
        <v>81710.399999999994</v>
      </c>
      <c r="F172" s="814">
        <v>5224.8</v>
      </c>
      <c r="G172" s="814">
        <v>1567.4</v>
      </c>
      <c r="H172" s="814">
        <f t="shared" si="12"/>
        <v>703803.80000000016</v>
      </c>
      <c r="I172" s="814">
        <v>178132.26666666666</v>
      </c>
      <c r="J172" s="814">
        <v>78312.199999999968</v>
      </c>
      <c r="K172" s="814">
        <v>13463.200000000003</v>
      </c>
      <c r="L172" s="814">
        <v>43392.900000000009</v>
      </c>
      <c r="M172" s="814">
        <v>7620.8</v>
      </c>
      <c r="N172" s="814">
        <v>49.4</v>
      </c>
      <c r="O172" s="814">
        <f t="shared" si="13"/>
        <v>320970.76666666666</v>
      </c>
    </row>
    <row r="173" spans="1:15" s="69" customFormat="1" ht="12.75">
      <c r="A173" s="800" t="s">
        <v>47</v>
      </c>
      <c r="B173" s="929">
        <v>313422.55000000005</v>
      </c>
      <c r="C173" s="814">
        <v>267209.2</v>
      </c>
      <c r="D173" s="814">
        <v>42162.6</v>
      </c>
      <c r="E173" s="814">
        <v>83887.9</v>
      </c>
      <c r="F173" s="814">
        <v>5644.7999999999993</v>
      </c>
      <c r="G173" s="814">
        <v>1378.4</v>
      </c>
      <c r="H173" s="814">
        <f t="shared" si="12"/>
        <v>713705.45000000007</v>
      </c>
      <c r="I173" s="814">
        <v>175562.6</v>
      </c>
      <c r="J173" s="814">
        <v>81194.999999999985</v>
      </c>
      <c r="K173" s="814">
        <v>13768.4</v>
      </c>
      <c r="L173" s="814">
        <v>42804.3</v>
      </c>
      <c r="M173" s="814">
        <v>8703.6</v>
      </c>
      <c r="N173" s="814">
        <v>51.7</v>
      </c>
      <c r="O173" s="814">
        <f t="shared" si="13"/>
        <v>322085.59999999998</v>
      </c>
    </row>
    <row r="174" spans="1:15" s="69" customFormat="1" ht="12.75">
      <c r="A174" s="800" t="s">
        <v>48</v>
      </c>
      <c r="B174" s="929">
        <v>316481.53333333333</v>
      </c>
      <c r="C174" s="814">
        <v>258545.70000000004</v>
      </c>
      <c r="D174" s="814">
        <v>41166.600000000006</v>
      </c>
      <c r="E174" s="814">
        <v>78221.3</v>
      </c>
      <c r="F174" s="814">
        <v>5148.1000000000004</v>
      </c>
      <c r="G174" s="814">
        <v>3124.2</v>
      </c>
      <c r="H174" s="814">
        <f t="shared" si="12"/>
        <v>702687.43333333335</v>
      </c>
      <c r="I174" s="814">
        <v>179973.86666666667</v>
      </c>
      <c r="J174" s="814">
        <v>91504.000000000015</v>
      </c>
      <c r="K174" s="814">
        <v>16776.3</v>
      </c>
      <c r="L174" s="814">
        <v>44535.6</v>
      </c>
      <c r="M174" s="814">
        <v>8669.7999999999993</v>
      </c>
      <c r="N174" s="814">
        <v>58.2</v>
      </c>
      <c r="O174" s="814">
        <f t="shared" si="13"/>
        <v>341517.76666666666</v>
      </c>
    </row>
    <row r="175" spans="1:15" s="69" customFormat="1" ht="12.75">
      <c r="A175" s="800" t="s">
        <v>49</v>
      </c>
      <c r="B175" s="929">
        <v>307491.31666666665</v>
      </c>
      <c r="C175" s="814">
        <v>275645</v>
      </c>
      <c r="D175" s="814">
        <v>35747.5</v>
      </c>
      <c r="E175" s="814">
        <v>78629.199999999983</v>
      </c>
      <c r="F175" s="814">
        <v>6410</v>
      </c>
      <c r="G175" s="814">
        <v>1987.4</v>
      </c>
      <c r="H175" s="814">
        <f t="shared" si="12"/>
        <v>705910.41666666663</v>
      </c>
      <c r="I175" s="814">
        <v>176897.83333333331</v>
      </c>
      <c r="J175" s="814">
        <v>97651.1</v>
      </c>
      <c r="K175" s="814">
        <v>16990.400000000001</v>
      </c>
      <c r="L175" s="814">
        <v>48141</v>
      </c>
      <c r="M175" s="814">
        <v>8696.7000000000007</v>
      </c>
      <c r="N175" s="814">
        <v>41.9</v>
      </c>
      <c r="O175" s="814">
        <f t="shared" si="13"/>
        <v>348418.93333333341</v>
      </c>
    </row>
    <row r="176" spans="1:15" s="69" customFormat="1" ht="12.75">
      <c r="A176" s="800" t="s">
        <v>50</v>
      </c>
      <c r="B176" s="929">
        <v>315808.90000000002</v>
      </c>
      <c r="C176" s="814">
        <v>298377.40000000002</v>
      </c>
      <c r="D176" s="814">
        <v>34852.6</v>
      </c>
      <c r="E176" s="814">
        <v>73007.899999999994</v>
      </c>
      <c r="F176" s="814">
        <v>6295.8</v>
      </c>
      <c r="G176" s="814">
        <v>3799.1</v>
      </c>
      <c r="H176" s="814">
        <f t="shared" si="12"/>
        <v>732141.70000000007</v>
      </c>
      <c r="I176" s="814">
        <v>181441.80000000002</v>
      </c>
      <c r="J176" s="814">
        <v>91317.1</v>
      </c>
      <c r="K176" s="814">
        <v>14651.7</v>
      </c>
      <c r="L176" s="814">
        <v>49010.9</v>
      </c>
      <c r="M176" s="814">
        <v>8711.4</v>
      </c>
      <c r="N176" s="814">
        <v>51.1</v>
      </c>
      <c r="O176" s="814">
        <f t="shared" si="13"/>
        <v>345184.00000000006</v>
      </c>
    </row>
    <row r="177" spans="1:15" s="69" customFormat="1" ht="12.75">
      <c r="A177" s="800"/>
      <c r="B177" s="929"/>
      <c r="C177" s="814"/>
      <c r="D177" s="814"/>
      <c r="E177" s="814"/>
      <c r="F177" s="814"/>
      <c r="G177" s="814"/>
      <c r="H177" s="814"/>
      <c r="I177" s="814"/>
      <c r="J177" s="814"/>
      <c r="K177" s="814"/>
      <c r="L177" s="814"/>
      <c r="M177" s="814"/>
      <c r="N177" s="814"/>
      <c r="O177" s="814"/>
    </row>
    <row r="178" spans="1:15" s="69" customFormat="1">
      <c r="A178" s="800" t="s">
        <v>705</v>
      </c>
      <c r="B178" s="929">
        <v>326007.46666666667</v>
      </c>
      <c r="C178" s="814">
        <v>306803</v>
      </c>
      <c r="D178" s="814">
        <v>37883.9</v>
      </c>
      <c r="E178" s="814">
        <v>86723.4</v>
      </c>
      <c r="F178" s="814">
        <v>5116.3999999999996</v>
      </c>
      <c r="G178" s="814">
        <v>1896.1000000000001</v>
      </c>
      <c r="H178" s="814">
        <f t="shared" si="12"/>
        <v>764430.26666666672</v>
      </c>
      <c r="I178" s="814">
        <v>188012.98333333331</v>
      </c>
      <c r="J178" s="814">
        <v>94532.800000000003</v>
      </c>
      <c r="K178" s="814">
        <v>16150.699999999999</v>
      </c>
      <c r="L178" s="814">
        <v>48317.700000000004</v>
      </c>
      <c r="M178" s="814">
        <v>8734.4</v>
      </c>
      <c r="N178" s="814">
        <v>34.6</v>
      </c>
      <c r="O178" s="814">
        <f t="shared" si="13"/>
        <v>355783.18333333335</v>
      </c>
    </row>
    <row r="179" spans="1:15" s="69" customFormat="1">
      <c r="A179" s="800" t="s">
        <v>687</v>
      </c>
      <c r="B179" s="929">
        <v>330904.03333333338</v>
      </c>
      <c r="C179" s="814">
        <v>310825.5</v>
      </c>
      <c r="D179" s="814">
        <v>38386.200000000004</v>
      </c>
      <c r="E179" s="814">
        <v>82123.100000000006</v>
      </c>
      <c r="F179" s="814">
        <v>8866.4</v>
      </c>
      <c r="G179" s="814">
        <v>2846.4</v>
      </c>
      <c r="H179" s="814">
        <f t="shared" si="12"/>
        <v>773951.63333333342</v>
      </c>
      <c r="I179" s="814">
        <v>185440.3666666667</v>
      </c>
      <c r="J179" s="814">
        <v>108394.2</v>
      </c>
      <c r="K179" s="814">
        <v>14536.1</v>
      </c>
      <c r="L179" s="814">
        <v>48751.7</v>
      </c>
      <c r="M179" s="814">
        <v>8746.7000000000007</v>
      </c>
      <c r="N179" s="814">
        <v>36.5</v>
      </c>
      <c r="O179" s="814">
        <f t="shared" si="13"/>
        <v>365905.56666666671</v>
      </c>
    </row>
    <row r="180" spans="1:15" s="69" customFormat="1">
      <c r="A180" s="800" t="s">
        <v>688</v>
      </c>
      <c r="B180" s="929">
        <v>332798.10000000003</v>
      </c>
      <c r="C180" s="814">
        <v>317796.3</v>
      </c>
      <c r="D180" s="814">
        <v>43165.8</v>
      </c>
      <c r="E180" s="814">
        <f>63685.6+12839.6</f>
        <v>76525.2</v>
      </c>
      <c r="F180" s="814">
        <v>4100.6000000000004</v>
      </c>
      <c r="G180" s="814">
        <v>4087.8</v>
      </c>
      <c r="H180" s="814">
        <f t="shared" si="12"/>
        <v>778473.8</v>
      </c>
      <c r="I180" s="814">
        <v>192904.4</v>
      </c>
      <c r="J180" s="814">
        <v>102529.5</v>
      </c>
      <c r="K180" s="814">
        <v>14719.3</v>
      </c>
      <c r="L180" s="814">
        <v>47980.3</v>
      </c>
      <c r="M180" s="814">
        <v>8758.7999999999993</v>
      </c>
      <c r="N180" s="814">
        <v>35.6</v>
      </c>
      <c r="O180" s="814">
        <f t="shared" si="13"/>
        <v>366927.89999999997</v>
      </c>
    </row>
    <row r="181" spans="1:15" s="69" customFormat="1" ht="12.75">
      <c r="A181" s="800" t="s">
        <v>725</v>
      </c>
      <c r="B181" s="929">
        <v>341148.10000000003</v>
      </c>
      <c r="C181" s="814">
        <v>320568.60000000003</v>
      </c>
      <c r="D181" s="814">
        <v>31566.800000000003</v>
      </c>
      <c r="E181" s="814">
        <f>64312.5+28451.1</f>
        <v>92763.6</v>
      </c>
      <c r="F181" s="814">
        <v>5173.1000000000004</v>
      </c>
      <c r="G181" s="814">
        <v>2831.1000000000004</v>
      </c>
      <c r="H181" s="814">
        <f t="shared" si="12"/>
        <v>794051.3</v>
      </c>
      <c r="I181" s="814">
        <v>194119.6</v>
      </c>
      <c r="J181" s="814">
        <v>100886.7</v>
      </c>
      <c r="K181" s="814">
        <v>15643.600000000002</v>
      </c>
      <c r="L181" s="814">
        <v>45692.799999999996</v>
      </c>
      <c r="M181" s="814">
        <v>8777.5999999999985</v>
      </c>
      <c r="N181" s="814">
        <v>37.9</v>
      </c>
      <c r="O181" s="814">
        <f t="shared" si="13"/>
        <v>365158.19999999995</v>
      </c>
    </row>
    <row r="182" spans="1:15" s="69" customFormat="1" ht="12.75">
      <c r="A182" s="800" t="s">
        <v>726</v>
      </c>
      <c r="B182" s="929">
        <v>343383.10000000003</v>
      </c>
      <c r="C182" s="814">
        <v>332018.80000000005</v>
      </c>
      <c r="D182" s="814">
        <v>28244.200000000004</v>
      </c>
      <c r="E182" s="814">
        <f>67001.4+21144.8</f>
        <v>88146.2</v>
      </c>
      <c r="F182" s="814">
        <v>6533.7999999999993</v>
      </c>
      <c r="G182" s="814">
        <v>1917.0000000000002</v>
      </c>
      <c r="H182" s="814">
        <f t="shared" si="12"/>
        <v>800243.10000000009</v>
      </c>
      <c r="I182" s="814">
        <v>187113.69999999998</v>
      </c>
      <c r="J182" s="814">
        <v>112591.1</v>
      </c>
      <c r="K182" s="814">
        <v>18289.599999999999</v>
      </c>
      <c r="L182" s="814">
        <v>56017.400000000009</v>
      </c>
      <c r="M182" s="814">
        <v>8795.8000000000011</v>
      </c>
      <c r="N182" s="814">
        <v>38.9</v>
      </c>
      <c r="O182" s="814">
        <f t="shared" si="13"/>
        <v>382846.5</v>
      </c>
    </row>
    <row r="183" spans="1:15" s="1051" customFormat="1" ht="12.75">
      <c r="A183" s="800" t="s">
        <v>727</v>
      </c>
      <c r="B183" s="929">
        <v>354118.2</v>
      </c>
      <c r="C183" s="814">
        <v>313165.09999999998</v>
      </c>
      <c r="D183" s="814">
        <v>36089.300000000003</v>
      </c>
      <c r="E183" s="814">
        <v>100790.6</v>
      </c>
      <c r="F183" s="814">
        <v>4881.3</v>
      </c>
      <c r="G183" s="814">
        <v>1422.4</v>
      </c>
      <c r="H183" s="814">
        <f t="shared" si="12"/>
        <v>810466.90000000014</v>
      </c>
      <c r="I183" s="814">
        <v>193109.4</v>
      </c>
      <c r="J183" s="814">
        <v>103266.7</v>
      </c>
      <c r="K183" s="814">
        <v>18828.599999999999</v>
      </c>
      <c r="L183" s="814">
        <v>57737.5</v>
      </c>
      <c r="M183" s="814">
        <v>8806</v>
      </c>
      <c r="N183" s="814">
        <v>42.2</v>
      </c>
      <c r="O183" s="814">
        <f t="shared" si="13"/>
        <v>381790.39999999997</v>
      </c>
    </row>
    <row r="184" spans="1:15" s="1051" customFormat="1" ht="12.75">
      <c r="A184" s="800" t="s">
        <v>737</v>
      </c>
      <c r="B184" s="292">
        <v>369513.39999999997</v>
      </c>
      <c r="C184" s="1167">
        <v>340347.8</v>
      </c>
      <c r="D184" s="814">
        <v>28541.300000000003</v>
      </c>
      <c r="E184" s="814">
        <v>76617.3</v>
      </c>
      <c r="F184" s="814">
        <v>3889.6000000000004</v>
      </c>
      <c r="G184" s="814">
        <v>2280.8000000000002</v>
      </c>
      <c r="H184" s="814">
        <f t="shared" si="12"/>
        <v>821190.20000000007</v>
      </c>
      <c r="I184" s="814">
        <v>191897.9</v>
      </c>
      <c r="J184" s="814">
        <v>115563.6</v>
      </c>
      <c r="K184" s="814">
        <v>16071</v>
      </c>
      <c r="L184" s="814">
        <v>59517.7</v>
      </c>
      <c r="M184" s="814">
        <v>8827.9</v>
      </c>
      <c r="N184" s="814">
        <v>41.5</v>
      </c>
      <c r="O184" s="814">
        <f t="shared" si="13"/>
        <v>391919.60000000003</v>
      </c>
    </row>
    <row r="185" spans="1:15" s="69" customFormat="1" ht="12.75">
      <c r="A185" s="552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1:15" s="69" customFormat="1" ht="6.75" customHeight="1">
      <c r="A186" s="463"/>
      <c r="B186" s="96"/>
      <c r="C186" s="96"/>
      <c r="D186" s="96"/>
      <c r="E186" s="96"/>
      <c r="F186" s="96"/>
      <c r="G186" s="149"/>
      <c r="H186" s="96"/>
      <c r="I186" s="96"/>
      <c r="J186" s="96"/>
      <c r="K186" s="96"/>
      <c r="L186" s="96"/>
      <c r="M186" s="96"/>
      <c r="N186" s="149"/>
      <c r="O186" s="98"/>
    </row>
    <row r="187" spans="1:15" s="69" customFormat="1" ht="12.75" hidden="1">
      <c r="A187" s="270" t="s">
        <v>605</v>
      </c>
      <c r="B187" s="104"/>
      <c r="C187" s="104"/>
      <c r="D187" s="104"/>
      <c r="E187" s="104"/>
      <c r="F187" s="104"/>
      <c r="G187" s="301"/>
      <c r="H187" s="104"/>
      <c r="I187" s="104"/>
      <c r="J187" s="104"/>
      <c r="K187" s="104"/>
      <c r="L187" s="104"/>
      <c r="M187" s="104"/>
      <c r="N187" s="301"/>
      <c r="O187" s="122"/>
    </row>
    <row r="188" spans="1:15" s="69" customFormat="1" ht="12.75">
      <c r="A188" s="270" t="s">
        <v>660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22"/>
    </row>
  </sheetData>
  <mergeCells count="4">
    <mergeCell ref="B2:N2"/>
    <mergeCell ref="B3:N3"/>
    <mergeCell ref="I6:O6"/>
    <mergeCell ref="B6:H6"/>
  </mergeCells>
  <pageMargins left="2.4803149606299213" right="0.70866141732283472" top="0.74803149606299213" bottom="0.74803149606299213" header="0.31496062992125984" footer="0.31496062992125984"/>
  <pageSetup paperSize="9" scale="48" orientation="landscape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showGridLines="0" view="pageBreakPreview" topLeftCell="A48" zoomScale="70" zoomScaleNormal="100" zoomScaleSheetLayoutView="70" workbookViewId="0">
      <selection activeCell="B24" sqref="B24:M185"/>
    </sheetView>
  </sheetViews>
  <sheetFormatPr defaultColWidth="8.88671875" defaultRowHeight="12.75"/>
  <cols>
    <col min="1" max="1" width="16.21875" style="1051" customWidth="1"/>
    <col min="2" max="2" width="8.88671875" style="1051"/>
    <col min="3" max="3" width="9.44140625" style="1051" bestFit="1" customWidth="1"/>
    <col min="4" max="4" width="9.109375" style="1051" bestFit="1" customWidth="1"/>
    <col min="5" max="5" width="7.88671875" style="1051" bestFit="1" customWidth="1"/>
    <col min="6" max="6" width="8.6640625" style="1051" bestFit="1" customWidth="1"/>
    <col min="7" max="7" width="10.21875" style="1051" bestFit="1" customWidth="1"/>
    <col min="8" max="9" width="8.88671875" style="1051"/>
    <col min="10" max="11" width="9.109375" style="1051" bestFit="1" customWidth="1"/>
    <col min="12" max="12" width="6.88671875" style="1051" bestFit="1" customWidth="1"/>
    <col min="13" max="13" width="7.88671875" style="1051" bestFit="1" customWidth="1"/>
    <col min="14" max="15" width="8.88671875" style="1051"/>
    <col min="16" max="16" width="18.109375" style="1051" customWidth="1"/>
    <col min="17" max="16384" width="8.88671875" style="1051"/>
  </cols>
  <sheetData>
    <row r="1" spans="1:13">
      <c r="A1" s="570" t="s">
        <v>0</v>
      </c>
      <c r="B1" s="1063"/>
      <c r="C1" s="1063"/>
      <c r="D1" s="1063"/>
      <c r="E1" s="1063"/>
      <c r="F1" s="1063"/>
      <c r="G1" s="1063"/>
      <c r="H1" s="1063"/>
      <c r="I1" s="1063"/>
      <c r="J1" s="571"/>
      <c r="K1" s="1063"/>
      <c r="L1" s="1063"/>
      <c r="M1" s="1062"/>
    </row>
    <row r="2" spans="1:13">
      <c r="A2" s="1052"/>
      <c r="B2" s="1234" t="s">
        <v>427</v>
      </c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574" t="s">
        <v>426</v>
      </c>
    </row>
    <row r="3" spans="1:13">
      <c r="A3" s="1052"/>
      <c r="B3" s="1234" t="s">
        <v>417</v>
      </c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575"/>
    </row>
    <row r="4" spans="1:13">
      <c r="A4" s="555"/>
      <c r="B4" s="518"/>
      <c r="C4" s="518"/>
      <c r="D4" s="518"/>
      <c r="E4" s="518"/>
      <c r="F4" s="518"/>
      <c r="G4" s="518"/>
      <c r="H4" s="518"/>
      <c r="I4" s="518"/>
      <c r="J4" s="577"/>
      <c r="K4" s="518"/>
      <c r="L4" s="518"/>
      <c r="M4" s="568"/>
    </row>
    <row r="5" spans="1:13">
      <c r="A5" s="578"/>
      <c r="B5" s="1064"/>
      <c r="C5" s="1063"/>
      <c r="D5" s="1063"/>
      <c r="E5" s="1063"/>
      <c r="F5" s="1063"/>
      <c r="G5" s="1063"/>
      <c r="H5" s="1062"/>
      <c r="I5" s="1064"/>
      <c r="J5" s="1063"/>
      <c r="K5" s="1063"/>
      <c r="L5" s="1063"/>
      <c r="M5" s="1062"/>
    </row>
    <row r="6" spans="1:13">
      <c r="A6" s="84" t="s">
        <v>91</v>
      </c>
      <c r="B6" s="1239" t="s">
        <v>418</v>
      </c>
      <c r="C6" s="1240"/>
      <c r="D6" s="1240"/>
      <c r="E6" s="1240"/>
      <c r="F6" s="1240"/>
      <c r="G6" s="1240"/>
      <c r="H6" s="1241"/>
      <c r="I6" s="1233" t="s">
        <v>423</v>
      </c>
      <c r="J6" s="1234"/>
      <c r="K6" s="1234"/>
      <c r="L6" s="1234"/>
      <c r="M6" s="1235"/>
    </row>
    <row r="7" spans="1:13">
      <c r="A7" s="579"/>
      <c r="B7" s="555"/>
      <c r="C7" s="518"/>
      <c r="D7" s="518"/>
      <c r="E7" s="518"/>
      <c r="F7" s="518"/>
      <c r="G7" s="518"/>
      <c r="H7" s="568"/>
      <c r="I7" s="555"/>
      <c r="J7" s="518"/>
      <c r="K7" s="518"/>
      <c r="L7" s="518"/>
      <c r="M7" s="568"/>
    </row>
    <row r="8" spans="1:13">
      <c r="A8" s="84"/>
      <c r="B8" s="1056"/>
      <c r="C8" s="1054"/>
      <c r="D8" s="1053"/>
      <c r="E8" s="1052"/>
      <c r="F8" s="1052"/>
      <c r="G8" s="1052"/>
      <c r="H8" s="1060"/>
      <c r="I8" s="1054"/>
      <c r="J8" s="1053"/>
      <c r="K8" s="1052"/>
      <c r="L8" s="1052"/>
      <c r="M8" s="1056"/>
    </row>
    <row r="9" spans="1:13">
      <c r="A9" s="84"/>
      <c r="B9" s="485" t="s">
        <v>419</v>
      </c>
      <c r="C9" s="937" t="s">
        <v>344</v>
      </c>
      <c r="D9" s="1025" t="s">
        <v>108</v>
      </c>
      <c r="E9" s="936" t="s">
        <v>111</v>
      </c>
      <c r="F9" s="936" t="s">
        <v>144</v>
      </c>
      <c r="G9" s="936" t="s">
        <v>111</v>
      </c>
      <c r="H9" s="485" t="s">
        <v>9</v>
      </c>
      <c r="I9" s="937" t="s">
        <v>419</v>
      </c>
      <c r="J9" s="937" t="s">
        <v>344</v>
      </c>
      <c r="K9" s="1025" t="s">
        <v>108</v>
      </c>
      <c r="L9" s="936" t="s">
        <v>111</v>
      </c>
      <c r="M9" s="485" t="s">
        <v>9</v>
      </c>
    </row>
    <row r="10" spans="1:13">
      <c r="A10" s="84"/>
      <c r="B10" s="1056"/>
      <c r="C10" s="937" t="s">
        <v>425</v>
      </c>
      <c r="D10" s="1025" t="s">
        <v>110</v>
      </c>
      <c r="E10" s="936" t="s">
        <v>422</v>
      </c>
      <c r="F10" s="936" t="s">
        <v>143</v>
      </c>
      <c r="G10" s="936" t="s">
        <v>141</v>
      </c>
      <c r="H10" s="1056"/>
      <c r="I10" s="1054"/>
      <c r="J10" s="937" t="s">
        <v>420</v>
      </c>
      <c r="K10" s="1025" t="s">
        <v>421</v>
      </c>
      <c r="L10" s="936" t="s">
        <v>422</v>
      </c>
      <c r="M10" s="1056"/>
    </row>
    <row r="11" spans="1:13">
      <c r="A11" s="84"/>
      <c r="B11" s="1056"/>
      <c r="C11" s="83" t="s">
        <v>109</v>
      </c>
      <c r="D11" s="1025" t="s">
        <v>109</v>
      </c>
      <c r="E11" s="1052"/>
      <c r="F11" s="1052"/>
      <c r="G11" s="327" t="s">
        <v>175</v>
      </c>
      <c r="H11" s="1056"/>
      <c r="I11" s="1054"/>
      <c r="J11" s="83" t="s">
        <v>109</v>
      </c>
      <c r="K11" s="1025" t="s">
        <v>109</v>
      </c>
      <c r="L11" s="1052"/>
      <c r="M11" s="1056"/>
    </row>
    <row r="12" spans="1:13">
      <c r="A12" s="84" t="s">
        <v>34</v>
      </c>
      <c r="B12" s="1056"/>
      <c r="C12" s="1054"/>
      <c r="D12" s="1025"/>
      <c r="E12" s="1052"/>
      <c r="F12" s="1052"/>
      <c r="G12" s="1052"/>
      <c r="H12" s="1056"/>
      <c r="I12" s="1054"/>
      <c r="J12" s="1025"/>
      <c r="K12" s="1052"/>
      <c r="L12" s="1052"/>
      <c r="M12" s="1056"/>
    </row>
    <row r="13" spans="1:13">
      <c r="A13" s="556"/>
      <c r="B13" s="556"/>
      <c r="C13" s="568"/>
      <c r="D13" s="518"/>
      <c r="E13" s="555"/>
      <c r="F13" s="555"/>
      <c r="G13" s="555"/>
      <c r="H13" s="556"/>
      <c r="I13" s="518"/>
      <c r="J13" s="556"/>
      <c r="K13" s="518"/>
      <c r="L13" s="556"/>
      <c r="M13" s="556"/>
    </row>
    <row r="14" spans="1:13">
      <c r="A14" s="1064"/>
      <c r="B14" s="1060"/>
      <c r="C14" s="1060"/>
      <c r="D14" s="1060"/>
      <c r="E14" s="1060"/>
      <c r="F14" s="1060"/>
      <c r="G14" s="1060"/>
      <c r="H14" s="1060"/>
      <c r="I14" s="1060"/>
      <c r="J14" s="1060"/>
      <c r="K14" s="1060"/>
      <c r="L14" s="1060"/>
      <c r="M14" s="1060"/>
    </row>
    <row r="15" spans="1:13" hidden="1">
      <c r="A15" s="461" t="s">
        <v>4</v>
      </c>
      <c r="B15" s="130">
        <v>48853.799999999988</v>
      </c>
      <c r="C15" s="129">
        <v>8337</v>
      </c>
      <c r="D15" s="130">
        <v>2918.1</v>
      </c>
      <c r="E15" s="133">
        <v>393.90000000000003</v>
      </c>
      <c r="F15" s="140"/>
      <c r="G15" s="130" t="s">
        <v>88</v>
      </c>
      <c r="H15" s="129">
        <f>SUM(B15:G15)</f>
        <v>60502.799999999988</v>
      </c>
      <c r="I15" s="130">
        <v>1405.3000000000002</v>
      </c>
      <c r="J15" s="129">
        <v>1111.5</v>
      </c>
      <c r="K15" s="130" t="s">
        <v>88</v>
      </c>
      <c r="L15" s="130">
        <v>54.1</v>
      </c>
      <c r="M15" s="128">
        <f>SUM(I15:L15)</f>
        <v>2570.9</v>
      </c>
    </row>
    <row r="16" spans="1:13" hidden="1">
      <c r="A16" s="461" t="s">
        <v>5</v>
      </c>
      <c r="B16" s="130">
        <v>66475</v>
      </c>
      <c r="C16" s="129">
        <v>13061.3</v>
      </c>
      <c r="D16" s="130">
        <v>1209.6999999999998</v>
      </c>
      <c r="E16" s="129">
        <v>6.6999999999999993</v>
      </c>
      <c r="F16" s="130"/>
      <c r="G16" s="130" t="s">
        <v>88</v>
      </c>
      <c r="H16" s="129">
        <f>SUM(B16:G16)</f>
        <v>80752.7</v>
      </c>
      <c r="I16" s="130">
        <v>246.59999999999982</v>
      </c>
      <c r="J16" s="129">
        <v>246.1</v>
      </c>
      <c r="K16" s="130" t="s">
        <v>88</v>
      </c>
      <c r="L16" s="130" t="s">
        <v>88</v>
      </c>
      <c r="M16" s="128">
        <f>SUM(I16:L16)</f>
        <v>492.69999999999982</v>
      </c>
    </row>
    <row r="17" spans="1:13" hidden="1">
      <c r="A17" s="461" t="s">
        <v>89</v>
      </c>
      <c r="B17" s="140">
        <v>70181.000000000015</v>
      </c>
      <c r="C17" s="133">
        <v>17575.099999999999</v>
      </c>
      <c r="D17" s="140">
        <v>1715.3</v>
      </c>
      <c r="E17" s="133">
        <v>47</v>
      </c>
      <c r="F17" s="140">
        <v>0</v>
      </c>
      <c r="G17" s="140">
        <v>11.5</v>
      </c>
      <c r="H17" s="133">
        <v>89529.900000000009</v>
      </c>
      <c r="I17" s="140">
        <v>90</v>
      </c>
      <c r="J17" s="140">
        <v>0</v>
      </c>
      <c r="K17" s="140">
        <v>0</v>
      </c>
      <c r="L17" s="140">
        <v>0</v>
      </c>
      <c r="M17" s="219">
        <v>90</v>
      </c>
    </row>
    <row r="18" spans="1:13" hidden="1">
      <c r="A18" s="461" t="s">
        <v>8</v>
      </c>
      <c r="B18" s="130">
        <v>59291.700000000004</v>
      </c>
      <c r="C18" s="129">
        <v>18735.400000000001</v>
      </c>
      <c r="D18" s="130">
        <v>6439.5</v>
      </c>
      <c r="E18" s="129">
        <v>0.59999999999999987</v>
      </c>
      <c r="F18" s="130">
        <v>0</v>
      </c>
      <c r="G18" s="130">
        <v>0</v>
      </c>
      <c r="H18" s="129">
        <v>84467.200000000012</v>
      </c>
      <c r="I18" s="130">
        <v>49.099999999999994</v>
      </c>
      <c r="J18" s="129">
        <v>4615.1000000000004</v>
      </c>
      <c r="K18" s="130">
        <v>0</v>
      </c>
      <c r="L18" s="130">
        <v>0</v>
      </c>
      <c r="M18" s="128">
        <v>4664.2000000000007</v>
      </c>
    </row>
    <row r="19" spans="1:13" hidden="1">
      <c r="A19" s="461" t="s">
        <v>10</v>
      </c>
      <c r="B19" s="130">
        <v>99717.200000000012</v>
      </c>
      <c r="C19" s="129">
        <v>21633.800000000003</v>
      </c>
      <c r="D19" s="130">
        <v>9205</v>
      </c>
      <c r="E19" s="129">
        <v>746.09999999999991</v>
      </c>
      <c r="F19" s="130">
        <v>0</v>
      </c>
      <c r="G19" s="130">
        <v>1230.3</v>
      </c>
      <c r="H19" s="129">
        <v>132532.4</v>
      </c>
      <c r="I19" s="130">
        <v>1474.8999999999999</v>
      </c>
      <c r="J19" s="130">
        <v>0</v>
      </c>
      <c r="K19" s="130">
        <v>0</v>
      </c>
      <c r="L19" s="130">
        <v>0</v>
      </c>
      <c r="M19" s="128">
        <v>1474.8999999999999</v>
      </c>
    </row>
    <row r="20" spans="1:13">
      <c r="A20" s="461" t="s">
        <v>11</v>
      </c>
      <c r="B20" s="130">
        <v>103026.79999999999</v>
      </c>
      <c r="C20" s="129">
        <v>21355.599999999999</v>
      </c>
      <c r="D20" s="130">
        <v>6290.5</v>
      </c>
      <c r="E20" s="129">
        <v>723.10000000000014</v>
      </c>
      <c r="F20" s="130">
        <v>0</v>
      </c>
      <c r="G20" s="130">
        <v>811.8</v>
      </c>
      <c r="H20" s="129">
        <v>132207.79999999999</v>
      </c>
      <c r="I20" s="130">
        <v>3888.3999999999996</v>
      </c>
      <c r="J20" s="130">
        <v>0</v>
      </c>
      <c r="K20" s="130">
        <v>0</v>
      </c>
      <c r="L20" s="130">
        <v>0</v>
      </c>
      <c r="M20" s="128">
        <f t="shared" ref="M20:M23" si="0">SUM(I20:L20)</f>
        <v>3888.3999999999996</v>
      </c>
    </row>
    <row r="21" spans="1:13">
      <c r="A21" s="461" t="s">
        <v>13</v>
      </c>
      <c r="B21" s="130">
        <v>73871.700000000012</v>
      </c>
      <c r="C21" s="129">
        <v>33637.5</v>
      </c>
      <c r="D21" s="130">
        <v>6898.7999999999993</v>
      </c>
      <c r="E21" s="129">
        <v>43029.1</v>
      </c>
      <c r="F21" s="130">
        <v>0</v>
      </c>
      <c r="G21" s="130">
        <v>684.1</v>
      </c>
      <c r="H21" s="129">
        <v>158121.20000000001</v>
      </c>
      <c r="I21" s="130">
        <v>3824.5</v>
      </c>
      <c r="J21" s="129">
        <v>1323</v>
      </c>
      <c r="K21" s="130">
        <v>255.3</v>
      </c>
      <c r="L21" s="130">
        <v>1102.7</v>
      </c>
      <c r="M21" s="128">
        <f t="shared" si="0"/>
        <v>6505.5</v>
      </c>
    </row>
    <row r="22" spans="1:13">
      <c r="A22" s="461" t="s">
        <v>14</v>
      </c>
      <c r="B22" s="130">
        <v>53895.1</v>
      </c>
      <c r="C22" s="129">
        <v>41922.499999999993</v>
      </c>
      <c r="D22" s="130">
        <v>2805.9999999999995</v>
      </c>
      <c r="E22" s="129">
        <v>21108.899999999998</v>
      </c>
      <c r="F22" s="130">
        <v>42.2</v>
      </c>
      <c r="G22" s="130">
        <v>69.900000000000006</v>
      </c>
      <c r="H22" s="129">
        <v>119844.59999999998</v>
      </c>
      <c r="I22" s="130">
        <v>4997.8</v>
      </c>
      <c r="J22" s="129">
        <v>7233.0999999999995</v>
      </c>
      <c r="K22" s="130">
        <v>1770.9</v>
      </c>
      <c r="L22" s="130">
        <v>1405.4</v>
      </c>
      <c r="M22" s="128">
        <f t="shared" si="0"/>
        <v>15407.199999999999</v>
      </c>
    </row>
    <row r="23" spans="1:13">
      <c r="A23" s="461" t="s">
        <v>15</v>
      </c>
      <c r="B23" s="130">
        <v>44907.199999999997</v>
      </c>
      <c r="C23" s="129">
        <v>27568.199999999997</v>
      </c>
      <c r="D23" s="130">
        <v>1049.2999999999997</v>
      </c>
      <c r="E23" s="129">
        <v>7985.4999999999991</v>
      </c>
      <c r="F23" s="130">
        <v>0.30000000000000004</v>
      </c>
      <c r="G23" s="130">
        <v>70.5</v>
      </c>
      <c r="H23" s="129">
        <v>81581</v>
      </c>
      <c r="I23" s="130">
        <v>4011.7</v>
      </c>
      <c r="J23" s="129">
        <v>6054.4000000000005</v>
      </c>
      <c r="K23" s="130">
        <v>1281.8</v>
      </c>
      <c r="L23" s="130">
        <v>1041.0999999999999</v>
      </c>
      <c r="M23" s="128">
        <f t="shared" si="0"/>
        <v>12389</v>
      </c>
    </row>
    <row r="24" spans="1:13">
      <c r="A24" s="461" t="s">
        <v>669</v>
      </c>
      <c r="B24" s="130">
        <v>66612</v>
      </c>
      <c r="C24" s="129">
        <v>28529.8</v>
      </c>
      <c r="D24" s="130">
        <v>13099.1</v>
      </c>
      <c r="E24" s="129">
        <v>32573.599999999999</v>
      </c>
      <c r="F24" s="822">
        <v>1.4</v>
      </c>
      <c r="G24" s="822">
        <v>0</v>
      </c>
      <c r="H24" s="129">
        <v>140815.9</v>
      </c>
      <c r="I24" s="130">
        <v>5119</v>
      </c>
      <c r="J24" s="129">
        <v>13718.7</v>
      </c>
      <c r="K24" s="130">
        <v>145.19999999999999</v>
      </c>
      <c r="L24" s="130">
        <v>710.9</v>
      </c>
      <c r="M24" s="128">
        <f t="shared" ref="M24:M87" si="1">SUM(I24:L24)</f>
        <v>19693.800000000003</v>
      </c>
    </row>
    <row r="25" spans="1:13" hidden="1">
      <c r="A25" s="552"/>
      <c r="B25" s="130"/>
      <c r="C25" s="129"/>
      <c r="D25" s="130"/>
      <c r="E25" s="129"/>
      <c r="F25" s="822"/>
      <c r="G25" s="822"/>
      <c r="H25" s="129"/>
      <c r="I25" s="130"/>
      <c r="J25" s="129"/>
      <c r="K25" s="130"/>
      <c r="L25" s="130"/>
      <c r="M25" s="128"/>
    </row>
    <row r="26" spans="1:13" hidden="1">
      <c r="A26" s="1021" t="s">
        <v>61</v>
      </c>
      <c r="B26" s="130">
        <v>105568.00000000001</v>
      </c>
      <c r="C26" s="129">
        <v>31952.2</v>
      </c>
      <c r="D26" s="130">
        <v>6564.4000000000005</v>
      </c>
      <c r="E26" s="129">
        <v>580.49999999999989</v>
      </c>
      <c r="F26" s="130">
        <v>0</v>
      </c>
      <c r="G26" s="130">
        <v>790.3</v>
      </c>
      <c r="H26" s="129">
        <v>145455.4</v>
      </c>
      <c r="I26" s="130">
        <v>3485.9</v>
      </c>
      <c r="J26" s="129">
        <v>1060</v>
      </c>
      <c r="K26" s="130">
        <v>59.1</v>
      </c>
      <c r="L26" s="130">
        <v>0</v>
      </c>
      <c r="M26" s="128">
        <f t="shared" si="1"/>
        <v>4605</v>
      </c>
    </row>
    <row r="27" spans="1:13" hidden="1">
      <c r="A27" s="1021" t="s">
        <v>62</v>
      </c>
      <c r="B27" s="130">
        <v>107807</v>
      </c>
      <c r="C27" s="129">
        <v>24122.300000000003</v>
      </c>
      <c r="D27" s="130">
        <v>5605.2999999999993</v>
      </c>
      <c r="E27" s="129">
        <v>557</v>
      </c>
      <c r="F27" s="130">
        <v>0</v>
      </c>
      <c r="G27" s="130">
        <v>769.2</v>
      </c>
      <c r="H27" s="129">
        <v>138860.79999999999</v>
      </c>
      <c r="I27" s="130">
        <v>4982.3999999999996</v>
      </c>
      <c r="J27" s="129">
        <v>2069.8000000000002</v>
      </c>
      <c r="K27" s="130">
        <v>58.7</v>
      </c>
      <c r="L27" s="130">
        <v>0</v>
      </c>
      <c r="M27" s="128">
        <f t="shared" si="1"/>
        <v>7110.9</v>
      </c>
    </row>
    <row r="28" spans="1:13" hidden="1">
      <c r="A28" s="1021" t="s">
        <v>63</v>
      </c>
      <c r="B28" s="130">
        <v>111847.69999999998</v>
      </c>
      <c r="C28" s="129">
        <v>22312.7</v>
      </c>
      <c r="D28" s="130">
        <v>8018.4999999999991</v>
      </c>
      <c r="E28" s="129">
        <v>682.7</v>
      </c>
      <c r="F28" s="130">
        <v>0</v>
      </c>
      <c r="G28" s="130">
        <v>692.7</v>
      </c>
      <c r="H28" s="129">
        <v>143554.30000000002</v>
      </c>
      <c r="I28" s="130">
        <v>4788.6000000000004</v>
      </c>
      <c r="J28" s="129">
        <v>1018.3</v>
      </c>
      <c r="K28" s="130">
        <v>0.2</v>
      </c>
      <c r="L28" s="130">
        <v>0</v>
      </c>
      <c r="M28" s="128">
        <f t="shared" si="1"/>
        <v>5807.1</v>
      </c>
    </row>
    <row r="29" spans="1:13" hidden="1">
      <c r="A29" s="1021" t="s">
        <v>64</v>
      </c>
      <c r="B29" s="130">
        <v>73871.700000000012</v>
      </c>
      <c r="C29" s="129">
        <v>33637.5</v>
      </c>
      <c r="D29" s="130">
        <v>6898.7999999999993</v>
      </c>
      <c r="E29" s="129">
        <v>43029.1</v>
      </c>
      <c r="F29" s="130">
        <v>0</v>
      </c>
      <c r="G29" s="130">
        <v>684.1</v>
      </c>
      <c r="H29" s="129">
        <v>158121.20000000001</v>
      </c>
      <c r="I29" s="130">
        <v>3824.5</v>
      </c>
      <c r="J29" s="129">
        <v>1323</v>
      </c>
      <c r="K29" s="130">
        <v>255.3</v>
      </c>
      <c r="L29" s="130">
        <v>1102.7</v>
      </c>
      <c r="M29" s="128">
        <f t="shared" si="1"/>
        <v>6505.5</v>
      </c>
    </row>
    <row r="30" spans="1:13">
      <c r="A30" s="1021"/>
      <c r="B30" s="130"/>
      <c r="C30" s="129"/>
      <c r="D30" s="130"/>
      <c r="E30" s="129"/>
      <c r="F30" s="130"/>
      <c r="G30" s="130"/>
      <c r="H30" s="129"/>
      <c r="I30" s="130"/>
      <c r="J30" s="129"/>
      <c r="K30" s="130"/>
      <c r="L30" s="130"/>
      <c r="M30" s="128">
        <f t="shared" si="1"/>
        <v>0</v>
      </c>
    </row>
    <row r="31" spans="1:13">
      <c r="A31" s="1021" t="s">
        <v>53</v>
      </c>
      <c r="B31" s="130">
        <v>70730.2</v>
      </c>
      <c r="C31" s="129">
        <v>22711.200000000001</v>
      </c>
      <c r="D31" s="130">
        <v>7761.5</v>
      </c>
      <c r="E31" s="129">
        <v>42388.5</v>
      </c>
      <c r="F31" s="130" t="s">
        <v>88</v>
      </c>
      <c r="G31" s="130">
        <v>684.1</v>
      </c>
      <c r="H31" s="129">
        <v>144275.5</v>
      </c>
      <c r="I31" s="130">
        <v>3744.7000000000003</v>
      </c>
      <c r="J31" s="129">
        <v>198.8</v>
      </c>
      <c r="K31" s="130">
        <v>238.1</v>
      </c>
      <c r="L31" s="130">
        <v>1104.4000000000001</v>
      </c>
      <c r="M31" s="128">
        <f t="shared" si="1"/>
        <v>5286</v>
      </c>
    </row>
    <row r="32" spans="1:13">
      <c r="A32" s="1021" t="s">
        <v>44</v>
      </c>
      <c r="B32" s="130">
        <v>73692.7</v>
      </c>
      <c r="C32" s="129">
        <v>21336.9</v>
      </c>
      <c r="D32" s="130">
        <v>5543</v>
      </c>
      <c r="E32" s="129">
        <v>30067.399999999998</v>
      </c>
      <c r="F32" s="130" t="s">
        <v>88</v>
      </c>
      <c r="G32" s="130">
        <v>8</v>
      </c>
      <c r="H32" s="129">
        <v>130648</v>
      </c>
      <c r="I32" s="130">
        <v>3908.8999999999996</v>
      </c>
      <c r="J32" s="129">
        <v>244.1</v>
      </c>
      <c r="K32" s="130">
        <v>30.8</v>
      </c>
      <c r="L32" s="130">
        <v>1409.8</v>
      </c>
      <c r="M32" s="128">
        <f t="shared" si="1"/>
        <v>5593.6</v>
      </c>
    </row>
    <row r="33" spans="1:13">
      <c r="A33" s="1021" t="s">
        <v>47</v>
      </c>
      <c r="B33" s="130">
        <v>74071.8</v>
      </c>
      <c r="C33" s="129">
        <v>23412.3</v>
      </c>
      <c r="D33" s="130">
        <v>3366.2000000000007</v>
      </c>
      <c r="E33" s="129">
        <v>34361.1</v>
      </c>
      <c r="F33" s="130" t="s">
        <v>88</v>
      </c>
      <c r="G33" s="130">
        <v>8</v>
      </c>
      <c r="H33" s="129">
        <v>135219.4</v>
      </c>
      <c r="I33" s="130">
        <v>3757.9000000000005</v>
      </c>
      <c r="J33" s="130" t="s">
        <v>88</v>
      </c>
      <c r="K33" s="130" t="s">
        <v>88</v>
      </c>
      <c r="L33" s="130">
        <v>1717.8</v>
      </c>
      <c r="M33" s="128">
        <f t="shared" si="1"/>
        <v>5475.7000000000007</v>
      </c>
    </row>
    <row r="34" spans="1:13">
      <c r="A34" s="1021" t="s">
        <v>50</v>
      </c>
      <c r="B34" s="130">
        <v>53895.1</v>
      </c>
      <c r="C34" s="129">
        <v>41922.499999999993</v>
      </c>
      <c r="D34" s="130">
        <v>2805.9999999999995</v>
      </c>
      <c r="E34" s="129">
        <v>21108.899999999998</v>
      </c>
      <c r="F34" s="130">
        <v>42.2</v>
      </c>
      <c r="G34" s="130">
        <v>69.900000000000006</v>
      </c>
      <c r="H34" s="129">
        <v>119844.59999999998</v>
      </c>
      <c r="I34" s="130">
        <v>4997.8</v>
      </c>
      <c r="J34" s="129">
        <v>7233.0999999999995</v>
      </c>
      <c r="K34" s="130">
        <v>1770.9</v>
      </c>
      <c r="L34" s="130">
        <v>1405.4</v>
      </c>
      <c r="M34" s="128">
        <f>SUM(I34:L34)</f>
        <v>15407.199999999999</v>
      </c>
    </row>
    <row r="35" spans="1:13">
      <c r="A35" s="1021"/>
      <c r="B35" s="130"/>
      <c r="C35" s="129"/>
      <c r="D35" s="130"/>
      <c r="E35" s="129"/>
      <c r="F35" s="130"/>
      <c r="G35" s="130"/>
      <c r="H35" s="129"/>
      <c r="I35" s="130"/>
      <c r="J35" s="129"/>
      <c r="K35" s="130"/>
      <c r="L35" s="130"/>
      <c r="M35" s="128"/>
    </row>
    <row r="36" spans="1:13">
      <c r="A36" s="1021" t="s">
        <v>65</v>
      </c>
      <c r="B36" s="130">
        <v>55437.3</v>
      </c>
      <c r="C36" s="129">
        <v>31312.5</v>
      </c>
      <c r="D36" s="130">
        <v>1348.6000000000001</v>
      </c>
      <c r="E36" s="129">
        <v>12206.4</v>
      </c>
      <c r="F36" s="130">
        <v>0.2</v>
      </c>
      <c r="G36" s="130">
        <v>72.800000000000011</v>
      </c>
      <c r="H36" s="129">
        <v>100377.8</v>
      </c>
      <c r="I36" s="130">
        <v>3783.4</v>
      </c>
      <c r="J36" s="129">
        <v>2757.4</v>
      </c>
      <c r="K36" s="130">
        <v>6063.3</v>
      </c>
      <c r="L36" s="130">
        <v>5432.6</v>
      </c>
      <c r="M36" s="128">
        <f t="shared" si="1"/>
        <v>18036.7</v>
      </c>
    </row>
    <row r="37" spans="1:13">
      <c r="A37" s="1021" t="s">
        <v>44</v>
      </c>
      <c r="B37" s="130">
        <v>57067.9</v>
      </c>
      <c r="C37" s="129">
        <v>29529</v>
      </c>
      <c r="D37" s="130">
        <v>2371.3999999999996</v>
      </c>
      <c r="E37" s="129">
        <v>9249.5</v>
      </c>
      <c r="F37" s="130">
        <v>40.799999999999997</v>
      </c>
      <c r="G37" s="130">
        <v>72.5</v>
      </c>
      <c r="H37" s="129">
        <v>98331.099999999991</v>
      </c>
      <c r="I37" s="130">
        <v>3647.6000000000004</v>
      </c>
      <c r="J37" s="129">
        <v>6265.9</v>
      </c>
      <c r="K37" s="130">
        <v>5734.7</v>
      </c>
      <c r="L37" s="130">
        <v>2.7</v>
      </c>
      <c r="M37" s="128">
        <f t="shared" si="1"/>
        <v>15650.900000000001</v>
      </c>
    </row>
    <row r="38" spans="1:13">
      <c r="A38" s="1021" t="s">
        <v>47</v>
      </c>
      <c r="B38" s="130">
        <v>35650.699999999997</v>
      </c>
      <c r="C38" s="129">
        <v>45148.800000000003</v>
      </c>
      <c r="D38" s="130">
        <v>2606.0000000000005</v>
      </c>
      <c r="E38" s="129">
        <v>11505.2</v>
      </c>
      <c r="F38" s="130">
        <v>0.30000000000000104</v>
      </c>
      <c r="G38" s="130">
        <v>74.3</v>
      </c>
      <c r="H38" s="129">
        <v>94985.3</v>
      </c>
      <c r="I38" s="130">
        <v>3580.3999999999996</v>
      </c>
      <c r="J38" s="129">
        <v>5977.8</v>
      </c>
      <c r="K38" s="130">
        <v>723.7</v>
      </c>
      <c r="L38" s="130">
        <v>1785.1</v>
      </c>
      <c r="M38" s="128">
        <f t="shared" si="1"/>
        <v>12067.000000000002</v>
      </c>
    </row>
    <row r="39" spans="1:13">
      <c r="A39" s="1021" t="s">
        <v>50</v>
      </c>
      <c r="B39" s="130">
        <v>44907.199999999997</v>
      </c>
      <c r="C39" s="129">
        <v>27568.199999999997</v>
      </c>
      <c r="D39" s="130">
        <v>1049.2999999999997</v>
      </c>
      <c r="E39" s="129">
        <v>7985.4999999999991</v>
      </c>
      <c r="F39" s="130">
        <v>0.30000000000000004</v>
      </c>
      <c r="G39" s="130">
        <v>70.5</v>
      </c>
      <c r="H39" s="129">
        <v>81581</v>
      </c>
      <c r="I39" s="130">
        <v>4011.7</v>
      </c>
      <c r="J39" s="129">
        <v>6054.4000000000005</v>
      </c>
      <c r="K39" s="130">
        <v>1281.8</v>
      </c>
      <c r="L39" s="130">
        <v>1041.0999999999999</v>
      </c>
      <c r="M39" s="128">
        <f t="shared" si="1"/>
        <v>12389</v>
      </c>
    </row>
    <row r="40" spans="1:13">
      <c r="A40" s="1021"/>
      <c r="B40" s="130"/>
      <c r="C40" s="129"/>
      <c r="D40" s="130"/>
      <c r="E40" s="129"/>
      <c r="F40" s="130"/>
      <c r="G40" s="130"/>
      <c r="H40" s="129"/>
      <c r="I40" s="130"/>
      <c r="J40" s="129"/>
      <c r="K40" s="130"/>
      <c r="L40" s="130"/>
      <c r="M40" s="128"/>
    </row>
    <row r="41" spans="1:13">
      <c r="A41" s="1021" t="s">
        <v>66</v>
      </c>
      <c r="B41" s="130">
        <v>52038.700000000004</v>
      </c>
      <c r="C41" s="129">
        <v>28593.099999999995</v>
      </c>
      <c r="D41" s="130">
        <v>5683.5</v>
      </c>
      <c r="E41" s="129">
        <v>24177.1</v>
      </c>
      <c r="F41" s="130">
        <v>1.3</v>
      </c>
      <c r="G41" s="130">
        <v>63.8</v>
      </c>
      <c r="H41" s="129">
        <v>110557.5</v>
      </c>
      <c r="I41" s="130">
        <v>3681.2999999999997</v>
      </c>
      <c r="J41" s="129">
        <v>6397.9000000000005</v>
      </c>
      <c r="K41" s="130">
        <v>582.29999999999995</v>
      </c>
      <c r="L41" s="130">
        <v>28.4</v>
      </c>
      <c r="M41" s="128">
        <f t="shared" si="1"/>
        <v>10689.9</v>
      </c>
    </row>
    <row r="42" spans="1:13">
      <c r="A42" s="1021" t="s">
        <v>62</v>
      </c>
      <c r="B42" s="130">
        <v>55237.500000000007</v>
      </c>
      <c r="C42" s="129">
        <v>28654.1</v>
      </c>
      <c r="D42" s="130">
        <v>11090.9</v>
      </c>
      <c r="E42" s="129">
        <v>30793.7</v>
      </c>
      <c r="F42" s="130">
        <v>1.3</v>
      </c>
      <c r="G42" s="130">
        <v>0</v>
      </c>
      <c r="H42" s="129">
        <v>125777.5</v>
      </c>
      <c r="I42" s="130">
        <v>3362.3</v>
      </c>
      <c r="J42" s="129">
        <v>11046.400000000001</v>
      </c>
      <c r="K42" s="130">
        <v>600.79999999999995</v>
      </c>
      <c r="L42" s="130">
        <v>28.8</v>
      </c>
      <c r="M42" s="128">
        <f t="shared" si="1"/>
        <v>15038.3</v>
      </c>
    </row>
    <row r="43" spans="1:13">
      <c r="A43" s="1021" t="s">
        <v>63</v>
      </c>
      <c r="B43" s="130">
        <v>42045.5</v>
      </c>
      <c r="C43" s="130">
        <v>40638.899999999994</v>
      </c>
      <c r="D43" s="130">
        <v>13509.300000000001</v>
      </c>
      <c r="E43" s="130">
        <v>32220.5</v>
      </c>
      <c r="F43" s="822">
        <v>1.4</v>
      </c>
      <c r="G43" s="822">
        <v>0</v>
      </c>
      <c r="H43" s="129">
        <v>128415.59999999999</v>
      </c>
      <c r="I43" s="130">
        <v>4093.4</v>
      </c>
      <c r="J43" s="130">
        <v>8373.6</v>
      </c>
      <c r="K43" s="130">
        <v>318.2</v>
      </c>
      <c r="L43" s="130">
        <v>1027.8999999999999</v>
      </c>
      <c r="M43" s="128">
        <f t="shared" si="1"/>
        <v>13813.1</v>
      </c>
    </row>
    <row r="44" spans="1:13">
      <c r="A44" s="1021" t="s">
        <v>64</v>
      </c>
      <c r="B44" s="130">
        <v>66612</v>
      </c>
      <c r="C44" s="129">
        <v>28529.8</v>
      </c>
      <c r="D44" s="130">
        <v>13115.6</v>
      </c>
      <c r="E44" s="129">
        <v>30633.7</v>
      </c>
      <c r="F44" s="822">
        <v>1.4</v>
      </c>
      <c r="G44" s="822">
        <v>0</v>
      </c>
      <c r="H44" s="129">
        <f t="shared" ref="H44" si="2">SUM(B44:G44)</f>
        <v>138892.5</v>
      </c>
      <c r="I44" s="130">
        <v>5119</v>
      </c>
      <c r="J44" s="129">
        <v>13718.7</v>
      </c>
      <c r="K44" s="130">
        <v>145.19999999999999</v>
      </c>
      <c r="L44" s="130">
        <v>710.9</v>
      </c>
      <c r="M44" s="128">
        <f t="shared" si="1"/>
        <v>19693.800000000003</v>
      </c>
    </row>
    <row r="45" spans="1:13">
      <c r="A45" s="1021"/>
      <c r="B45" s="130"/>
      <c r="C45" s="129"/>
      <c r="D45" s="130"/>
      <c r="E45" s="129"/>
      <c r="F45" s="822"/>
      <c r="G45" s="822"/>
      <c r="H45" s="129"/>
      <c r="I45" s="130"/>
      <c r="J45" s="129"/>
      <c r="K45" s="130"/>
      <c r="L45" s="130"/>
      <c r="M45" s="128"/>
    </row>
    <row r="46" spans="1:13">
      <c r="A46" s="1021" t="s">
        <v>684</v>
      </c>
      <c r="B46" s="130">
        <v>68486.100000000006</v>
      </c>
      <c r="C46" s="129">
        <v>39956.9</v>
      </c>
      <c r="D46" s="130">
        <v>7111.5</v>
      </c>
      <c r="E46" s="129">
        <v>34787</v>
      </c>
      <c r="F46" s="822">
        <v>1.4</v>
      </c>
      <c r="G46" s="822">
        <v>0</v>
      </c>
      <c r="H46" s="129">
        <v>150342.9</v>
      </c>
      <c r="I46" s="130">
        <v>6081.2000000000007</v>
      </c>
      <c r="J46" s="129">
        <v>12964.600000000002</v>
      </c>
      <c r="K46" s="130">
        <v>64.900000000000006</v>
      </c>
      <c r="L46" s="130">
        <v>1787</v>
      </c>
      <c r="M46" s="128">
        <v>20897.700000000004</v>
      </c>
    </row>
    <row r="47" spans="1:13">
      <c r="A47" s="1021" t="s">
        <v>44</v>
      </c>
      <c r="B47" s="130">
        <v>69476.700000000012</v>
      </c>
      <c r="C47" s="129">
        <v>31744.300000000003</v>
      </c>
      <c r="D47" s="130">
        <v>5620.2</v>
      </c>
      <c r="E47" s="129">
        <v>31055</v>
      </c>
      <c r="F47" s="822">
        <v>0.4</v>
      </c>
      <c r="G47" s="822">
        <v>0</v>
      </c>
      <c r="H47" s="129">
        <v>137896.6</v>
      </c>
      <c r="I47" s="130">
        <v>7809.0999999999995</v>
      </c>
      <c r="J47" s="129">
        <v>11140.9</v>
      </c>
      <c r="K47" s="130">
        <v>63.099999999999994</v>
      </c>
      <c r="L47" s="130">
        <v>730.4</v>
      </c>
      <c r="M47" s="128">
        <v>19743.5</v>
      </c>
    </row>
    <row r="48" spans="1:13">
      <c r="A48" s="1021"/>
      <c r="B48" s="130"/>
      <c r="C48" s="129"/>
      <c r="D48" s="130"/>
      <c r="E48" s="129"/>
      <c r="F48" s="130" t="s">
        <v>88</v>
      </c>
      <c r="G48" s="130"/>
      <c r="H48" s="129"/>
      <c r="I48" s="130"/>
      <c r="J48" s="129"/>
      <c r="K48" s="130"/>
      <c r="L48" s="130"/>
      <c r="M48" s="128"/>
    </row>
    <row r="49" spans="1:13" hidden="1">
      <c r="A49" s="1021" t="s">
        <v>60</v>
      </c>
      <c r="B49" s="130">
        <v>33212.100000000006</v>
      </c>
      <c r="C49" s="129">
        <v>5845.7999999999993</v>
      </c>
      <c r="D49" s="130">
        <v>1131</v>
      </c>
      <c r="E49" s="129">
        <v>952.1</v>
      </c>
      <c r="F49" s="130" t="s">
        <v>88</v>
      </c>
      <c r="G49" s="130" t="s">
        <v>88</v>
      </c>
      <c r="H49" s="129">
        <f t="shared" ref="H49:H60" si="3">SUM(B49:G49)</f>
        <v>41141.000000000007</v>
      </c>
      <c r="I49" s="130">
        <v>1193.3</v>
      </c>
      <c r="J49" s="129">
        <v>810</v>
      </c>
      <c r="K49" s="130" t="s">
        <v>88</v>
      </c>
      <c r="L49" s="130">
        <v>52.9</v>
      </c>
      <c r="M49" s="128">
        <f t="shared" si="1"/>
        <v>2056.1999999999998</v>
      </c>
    </row>
    <row r="50" spans="1:13" hidden="1">
      <c r="A50" s="1021" t="s">
        <v>40</v>
      </c>
      <c r="B50" s="130">
        <v>39511.600000000006</v>
      </c>
      <c r="C50" s="129">
        <v>7956.2</v>
      </c>
      <c r="D50" s="130">
        <v>1121.7</v>
      </c>
      <c r="E50" s="129">
        <v>1218.5</v>
      </c>
      <c r="F50" s="130" t="s">
        <v>88</v>
      </c>
      <c r="G50" s="130" t="s">
        <v>88</v>
      </c>
      <c r="H50" s="129">
        <f t="shared" si="3"/>
        <v>49808</v>
      </c>
      <c r="I50" s="130">
        <v>950.4</v>
      </c>
      <c r="J50" s="129">
        <v>1046.2</v>
      </c>
      <c r="K50" s="130" t="s">
        <v>88</v>
      </c>
      <c r="L50" s="130">
        <v>54</v>
      </c>
      <c r="M50" s="128">
        <f t="shared" si="1"/>
        <v>2050.6</v>
      </c>
    </row>
    <row r="51" spans="1:13" hidden="1">
      <c r="A51" s="1021" t="s">
        <v>41</v>
      </c>
      <c r="B51" s="130">
        <v>47610.3</v>
      </c>
      <c r="C51" s="129">
        <v>9075.2999999999993</v>
      </c>
      <c r="D51" s="130">
        <v>1259.5999999999999</v>
      </c>
      <c r="E51" s="129">
        <v>653.20000000000005</v>
      </c>
      <c r="F51" s="130" t="s">
        <v>88</v>
      </c>
      <c r="G51" s="130" t="s">
        <v>88</v>
      </c>
      <c r="H51" s="129">
        <f t="shared" si="3"/>
        <v>58598.400000000001</v>
      </c>
      <c r="I51" s="130">
        <v>947.7000000000005</v>
      </c>
      <c r="J51" s="130" t="s">
        <v>88</v>
      </c>
      <c r="K51" s="130" t="s">
        <v>88</v>
      </c>
      <c r="L51" s="130">
        <v>56.5</v>
      </c>
      <c r="M51" s="128">
        <f t="shared" si="1"/>
        <v>1004.2000000000005</v>
      </c>
    </row>
    <row r="52" spans="1:13" hidden="1">
      <c r="A52" s="1021" t="s">
        <v>42</v>
      </c>
      <c r="B52" s="130">
        <v>42029.5</v>
      </c>
      <c r="C52" s="129">
        <v>8858.9000000000015</v>
      </c>
      <c r="D52" s="130">
        <v>1200.5999999999999</v>
      </c>
      <c r="E52" s="129">
        <v>392.20000000000005</v>
      </c>
      <c r="F52" s="130" t="s">
        <v>88</v>
      </c>
      <c r="G52" s="130" t="s">
        <v>88</v>
      </c>
      <c r="H52" s="129">
        <f t="shared" si="3"/>
        <v>52481.2</v>
      </c>
      <c r="I52" s="130">
        <v>1115.5000000000005</v>
      </c>
      <c r="J52" s="129">
        <v>821.2</v>
      </c>
      <c r="K52" s="130" t="s">
        <v>88</v>
      </c>
      <c r="L52" s="130">
        <v>55.6</v>
      </c>
      <c r="M52" s="128">
        <f t="shared" si="1"/>
        <v>1992.3000000000004</v>
      </c>
    </row>
    <row r="53" spans="1:13" hidden="1">
      <c r="A53" s="1021" t="s">
        <v>43</v>
      </c>
      <c r="B53" s="130">
        <v>39178</v>
      </c>
      <c r="C53" s="129">
        <v>8339.4000000000015</v>
      </c>
      <c r="D53" s="130">
        <v>1173.1770000000001</v>
      </c>
      <c r="E53" s="129">
        <v>687.80000000000007</v>
      </c>
      <c r="F53" s="130" t="s">
        <v>88</v>
      </c>
      <c r="G53" s="130" t="s">
        <v>88</v>
      </c>
      <c r="H53" s="129">
        <f t="shared" si="3"/>
        <v>49378.377000000008</v>
      </c>
      <c r="I53" s="130">
        <v>1104.0000000000002</v>
      </c>
      <c r="J53" s="129">
        <v>1061.5</v>
      </c>
      <c r="K53" s="130" t="s">
        <v>88</v>
      </c>
      <c r="L53" s="130">
        <v>55.8</v>
      </c>
      <c r="M53" s="128">
        <f t="shared" si="1"/>
        <v>2221.3000000000002</v>
      </c>
    </row>
    <row r="54" spans="1:13" hidden="1">
      <c r="A54" s="1021" t="s">
        <v>44</v>
      </c>
      <c r="B54" s="130">
        <v>39632.1</v>
      </c>
      <c r="C54" s="129">
        <v>9404.2999999999993</v>
      </c>
      <c r="D54" s="130">
        <v>1317.8</v>
      </c>
      <c r="E54" s="129">
        <v>1026.5</v>
      </c>
      <c r="F54" s="130" t="s">
        <v>88</v>
      </c>
      <c r="G54" s="130" t="s">
        <v>88</v>
      </c>
      <c r="H54" s="129">
        <f t="shared" si="3"/>
        <v>51380.7</v>
      </c>
      <c r="I54" s="130">
        <v>985.00000000000023</v>
      </c>
      <c r="J54" s="129">
        <v>1075</v>
      </c>
      <c r="K54" s="130" t="s">
        <v>88</v>
      </c>
      <c r="L54" s="130">
        <v>57.2</v>
      </c>
      <c r="M54" s="128">
        <f t="shared" si="1"/>
        <v>2117.1999999999998</v>
      </c>
    </row>
    <row r="55" spans="1:13" hidden="1">
      <c r="A55" s="1021" t="s">
        <v>45</v>
      </c>
      <c r="B55" s="130">
        <v>38044.199999999997</v>
      </c>
      <c r="C55" s="129">
        <v>11031.5</v>
      </c>
      <c r="D55" s="130">
        <v>1522.8000000000002</v>
      </c>
      <c r="E55" s="129">
        <v>579.20000000000005</v>
      </c>
      <c r="F55" s="130" t="s">
        <v>88</v>
      </c>
      <c r="G55" s="130" t="s">
        <v>88</v>
      </c>
      <c r="H55" s="129">
        <f t="shared" si="3"/>
        <v>51177.7</v>
      </c>
      <c r="I55" s="130">
        <v>1154.4000000000003</v>
      </c>
      <c r="J55" s="129">
        <v>1070.4000000000001</v>
      </c>
      <c r="K55" s="130" t="s">
        <v>88</v>
      </c>
      <c r="L55" s="130">
        <v>56.4</v>
      </c>
      <c r="M55" s="128">
        <f t="shared" si="1"/>
        <v>2281.2000000000003</v>
      </c>
    </row>
    <row r="56" spans="1:13" hidden="1">
      <c r="A56" s="1021" t="s">
        <v>46</v>
      </c>
      <c r="B56" s="130">
        <v>43055.9</v>
      </c>
      <c r="C56" s="129">
        <v>10260.799999999999</v>
      </c>
      <c r="D56" s="130">
        <v>1617.6</v>
      </c>
      <c r="E56" s="129">
        <v>1450</v>
      </c>
      <c r="F56" s="130" t="s">
        <v>88</v>
      </c>
      <c r="G56" s="130" t="s">
        <v>88</v>
      </c>
      <c r="H56" s="129">
        <f t="shared" si="3"/>
        <v>56384.299999999996</v>
      </c>
      <c r="I56" s="130">
        <v>1259.7000000000003</v>
      </c>
      <c r="J56" s="129">
        <v>1106.7</v>
      </c>
      <c r="K56" s="130" t="s">
        <v>88</v>
      </c>
      <c r="L56" s="130">
        <v>53.5</v>
      </c>
      <c r="M56" s="128">
        <f t="shared" si="1"/>
        <v>2419.9000000000005</v>
      </c>
    </row>
    <row r="57" spans="1:13" hidden="1">
      <c r="A57" s="1021" t="s">
        <v>47</v>
      </c>
      <c r="B57" s="130">
        <v>48462.2</v>
      </c>
      <c r="C57" s="129">
        <v>8670.6</v>
      </c>
      <c r="D57" s="130">
        <v>2664.1</v>
      </c>
      <c r="E57" s="129">
        <v>1154.9000000000001</v>
      </c>
      <c r="F57" s="130" t="s">
        <v>88</v>
      </c>
      <c r="G57" s="130" t="s">
        <v>88</v>
      </c>
      <c r="H57" s="129">
        <f t="shared" si="3"/>
        <v>60951.799999999996</v>
      </c>
      <c r="I57" s="130">
        <v>1241.0999999999999</v>
      </c>
      <c r="J57" s="129">
        <v>1077.2</v>
      </c>
      <c r="K57" s="130" t="s">
        <v>88</v>
      </c>
      <c r="L57" s="130">
        <v>52.5</v>
      </c>
      <c r="M57" s="128">
        <f t="shared" si="1"/>
        <v>2370.8000000000002</v>
      </c>
    </row>
    <row r="58" spans="1:13" hidden="1">
      <c r="A58" s="1021" t="s">
        <v>48</v>
      </c>
      <c r="B58" s="130">
        <v>45462.7</v>
      </c>
      <c r="C58" s="129">
        <v>8294.7000000000007</v>
      </c>
      <c r="D58" s="130">
        <v>2701</v>
      </c>
      <c r="E58" s="129">
        <v>706.40000000000009</v>
      </c>
      <c r="F58" s="130" t="s">
        <v>88</v>
      </c>
      <c r="G58" s="130" t="s">
        <v>88</v>
      </c>
      <c r="H58" s="129">
        <f t="shared" si="3"/>
        <v>57164.799999999996</v>
      </c>
      <c r="I58" s="130">
        <v>1420.9999999999995</v>
      </c>
      <c r="J58" s="129">
        <v>1090</v>
      </c>
      <c r="K58" s="130" t="s">
        <v>88</v>
      </c>
      <c r="L58" s="130">
        <v>49.4</v>
      </c>
      <c r="M58" s="128">
        <f t="shared" si="1"/>
        <v>2560.3999999999996</v>
      </c>
    </row>
    <row r="59" spans="1:13" hidden="1">
      <c r="A59" s="1021" t="s">
        <v>49</v>
      </c>
      <c r="B59" s="130">
        <v>48182.100000000006</v>
      </c>
      <c r="C59" s="129">
        <v>7808.1999999999989</v>
      </c>
      <c r="D59" s="130">
        <v>3519.1000000000004</v>
      </c>
      <c r="E59" s="129">
        <v>1162.7999999999997</v>
      </c>
      <c r="F59" s="130" t="s">
        <v>88</v>
      </c>
      <c r="G59" s="130" t="s">
        <v>88</v>
      </c>
      <c r="H59" s="129">
        <f t="shared" si="3"/>
        <v>60672.200000000004</v>
      </c>
      <c r="I59" s="130">
        <v>1381.1999999999998</v>
      </c>
      <c r="J59" s="129">
        <v>1112.8</v>
      </c>
      <c r="K59" s="130" t="s">
        <v>88</v>
      </c>
      <c r="L59" s="130">
        <v>50.7</v>
      </c>
      <c r="M59" s="128">
        <f t="shared" si="1"/>
        <v>2544.6999999999998</v>
      </c>
    </row>
    <row r="60" spans="1:13" hidden="1">
      <c r="A60" s="1021" t="s">
        <v>50</v>
      </c>
      <c r="B60" s="130">
        <v>48853.799999999988</v>
      </c>
      <c r="C60" s="129">
        <v>8337</v>
      </c>
      <c r="D60" s="130">
        <v>2918.1</v>
      </c>
      <c r="E60" s="133">
        <v>393.90000000000003</v>
      </c>
      <c r="F60" s="130" t="s">
        <v>88</v>
      </c>
      <c r="G60" s="130" t="s">
        <v>88</v>
      </c>
      <c r="H60" s="129">
        <f t="shared" si="3"/>
        <v>60502.799999999988</v>
      </c>
      <c r="I60" s="130">
        <v>1405.3000000000002</v>
      </c>
      <c r="J60" s="129">
        <v>1111.5</v>
      </c>
      <c r="K60" s="130" t="s">
        <v>88</v>
      </c>
      <c r="L60" s="130">
        <v>54.1</v>
      </c>
      <c r="M60" s="128">
        <f t="shared" si="1"/>
        <v>2570.9</v>
      </c>
    </row>
    <row r="61" spans="1:13" hidden="1">
      <c r="A61" s="222"/>
      <c r="B61" s="130"/>
      <c r="C61" s="129"/>
      <c r="D61" s="130"/>
      <c r="E61" s="133"/>
      <c r="F61" s="130" t="s">
        <v>88</v>
      </c>
      <c r="G61" s="130"/>
      <c r="H61" s="129"/>
      <c r="I61" s="130"/>
      <c r="J61" s="129"/>
      <c r="K61" s="130"/>
      <c r="L61" s="130"/>
      <c r="M61" s="128">
        <f t="shared" si="1"/>
        <v>0</v>
      </c>
    </row>
    <row r="62" spans="1:13" hidden="1">
      <c r="A62" s="1021" t="s">
        <v>59</v>
      </c>
      <c r="B62" s="130">
        <v>49415.4</v>
      </c>
      <c r="C62" s="129">
        <v>8772.5</v>
      </c>
      <c r="D62" s="130">
        <v>2870.7000000000003</v>
      </c>
      <c r="E62" s="129">
        <v>555.1</v>
      </c>
      <c r="F62" s="130" t="s">
        <v>88</v>
      </c>
      <c r="G62" s="130" t="s">
        <v>88</v>
      </c>
      <c r="H62" s="129">
        <f t="shared" ref="H62:H73" si="4">SUM(B62:G62)</f>
        <v>61613.7</v>
      </c>
      <c r="I62" s="130">
        <v>448.3</v>
      </c>
      <c r="J62" s="129">
        <v>1109</v>
      </c>
      <c r="K62" s="130" t="s">
        <v>88</v>
      </c>
      <c r="L62" s="130">
        <v>50.1</v>
      </c>
      <c r="M62" s="128">
        <f t="shared" si="1"/>
        <v>1607.3999999999999</v>
      </c>
    </row>
    <row r="63" spans="1:13" hidden="1">
      <c r="A63" s="1021" t="s">
        <v>40</v>
      </c>
      <c r="B63" s="130">
        <v>48040.799999999996</v>
      </c>
      <c r="C63" s="129">
        <v>9516.2000000000007</v>
      </c>
      <c r="D63" s="130">
        <v>2890.5679999999998</v>
      </c>
      <c r="E63" s="129">
        <v>1241.5000000000002</v>
      </c>
      <c r="F63" s="130" t="s">
        <v>88</v>
      </c>
      <c r="G63" s="130" t="s">
        <v>88</v>
      </c>
      <c r="H63" s="129">
        <f t="shared" si="4"/>
        <v>61689.067999999999</v>
      </c>
      <c r="I63" s="130">
        <v>977.90000000000009</v>
      </c>
      <c r="J63" s="129">
        <v>1119.5</v>
      </c>
      <c r="K63" s="130" t="s">
        <v>88</v>
      </c>
      <c r="L63" s="130">
        <v>49.9</v>
      </c>
      <c r="M63" s="128">
        <f t="shared" si="1"/>
        <v>2147.3000000000002</v>
      </c>
    </row>
    <row r="64" spans="1:13" hidden="1">
      <c r="A64" s="1021" t="s">
        <v>41</v>
      </c>
      <c r="B64" s="130">
        <v>51081.600000000006</v>
      </c>
      <c r="C64" s="129">
        <v>10927.3</v>
      </c>
      <c r="D64" s="130">
        <v>3100.7000000000003</v>
      </c>
      <c r="E64" s="129">
        <v>1235.4000000000001</v>
      </c>
      <c r="F64" s="130" t="s">
        <v>88</v>
      </c>
      <c r="G64" s="130" t="s">
        <v>88</v>
      </c>
      <c r="H64" s="129">
        <f t="shared" si="4"/>
        <v>66345</v>
      </c>
      <c r="I64" s="130">
        <v>363.80000000000018</v>
      </c>
      <c r="J64" s="129">
        <v>1101.9000000000001</v>
      </c>
      <c r="K64" s="130" t="s">
        <v>88</v>
      </c>
      <c r="L64" s="130">
        <v>49.9</v>
      </c>
      <c r="M64" s="128">
        <f t="shared" si="1"/>
        <v>1515.6000000000004</v>
      </c>
    </row>
    <row r="65" spans="1:13" hidden="1">
      <c r="A65" s="1021" t="s">
        <v>42</v>
      </c>
      <c r="B65" s="130">
        <v>53735.7</v>
      </c>
      <c r="C65" s="129">
        <v>10949.3</v>
      </c>
      <c r="D65" s="130">
        <v>3029.2999999999997</v>
      </c>
      <c r="E65" s="129">
        <v>2.3000000000000003</v>
      </c>
      <c r="F65" s="130" t="s">
        <v>88</v>
      </c>
      <c r="G65" s="130" t="s">
        <v>88</v>
      </c>
      <c r="H65" s="129">
        <f t="shared" si="4"/>
        <v>67716.600000000006</v>
      </c>
      <c r="I65" s="130">
        <v>363.10000000000014</v>
      </c>
      <c r="J65" s="129">
        <v>1104.3</v>
      </c>
      <c r="K65" s="130" t="s">
        <v>88</v>
      </c>
      <c r="L65" s="130">
        <v>51.4</v>
      </c>
      <c r="M65" s="128">
        <f t="shared" si="1"/>
        <v>1518.8000000000002</v>
      </c>
    </row>
    <row r="66" spans="1:13" hidden="1">
      <c r="A66" s="1021" t="s">
        <v>43</v>
      </c>
      <c r="B66" s="130">
        <v>53331</v>
      </c>
      <c r="C66" s="129">
        <v>10600.7</v>
      </c>
      <c r="D66" s="130">
        <v>3353</v>
      </c>
      <c r="E66" s="129">
        <v>14.7</v>
      </c>
      <c r="F66" s="130" t="s">
        <v>88</v>
      </c>
      <c r="G66" s="130" t="s">
        <v>88</v>
      </c>
      <c r="H66" s="129">
        <f t="shared" si="4"/>
        <v>67299.399999999994</v>
      </c>
      <c r="I66" s="130">
        <v>441.89999999999981</v>
      </c>
      <c r="J66" s="129">
        <v>1105.9000000000001</v>
      </c>
      <c r="K66" s="130" t="s">
        <v>88</v>
      </c>
      <c r="L66" s="130">
        <v>53.5</v>
      </c>
      <c r="M66" s="128">
        <f t="shared" si="1"/>
        <v>1601.3</v>
      </c>
    </row>
    <row r="67" spans="1:13" hidden="1">
      <c r="A67" s="1021" t="s">
        <v>44</v>
      </c>
      <c r="B67" s="130">
        <v>53404.799999999996</v>
      </c>
      <c r="C67" s="129">
        <v>11163.9</v>
      </c>
      <c r="D67" s="130">
        <v>2983.7000000000003</v>
      </c>
      <c r="E67" s="129">
        <v>0.5</v>
      </c>
      <c r="F67" s="130" t="s">
        <v>88</v>
      </c>
      <c r="G67" s="130" t="s">
        <v>88</v>
      </c>
      <c r="H67" s="129">
        <f t="shared" si="4"/>
        <v>67552.899999999994</v>
      </c>
      <c r="I67" s="130">
        <v>390.19999999999959</v>
      </c>
      <c r="J67" s="129">
        <v>1107.2</v>
      </c>
      <c r="K67" s="130" t="s">
        <v>88</v>
      </c>
      <c r="L67" s="130">
        <v>54</v>
      </c>
      <c r="M67" s="128">
        <f t="shared" si="1"/>
        <v>1551.3999999999996</v>
      </c>
    </row>
    <row r="68" spans="1:13" hidden="1">
      <c r="A68" s="1021" t="s">
        <v>45</v>
      </c>
      <c r="B68" s="130">
        <v>56453</v>
      </c>
      <c r="C68" s="129">
        <v>10046</v>
      </c>
      <c r="D68" s="130">
        <v>2144</v>
      </c>
      <c r="E68" s="129">
        <v>4.5</v>
      </c>
      <c r="F68" s="130" t="s">
        <v>88</v>
      </c>
      <c r="G68" s="130" t="s">
        <v>88</v>
      </c>
      <c r="H68" s="129">
        <f t="shared" si="4"/>
        <v>68647.5</v>
      </c>
      <c r="I68" s="130">
        <v>631.00000000000045</v>
      </c>
      <c r="J68" s="129">
        <v>1107.5</v>
      </c>
      <c r="K68" s="130" t="s">
        <v>88</v>
      </c>
      <c r="L68" s="130">
        <v>54</v>
      </c>
      <c r="M68" s="128">
        <f t="shared" si="1"/>
        <v>1792.5000000000005</v>
      </c>
    </row>
    <row r="69" spans="1:13" hidden="1">
      <c r="A69" s="1021" t="s">
        <v>46</v>
      </c>
      <c r="B69" s="130">
        <v>56502.799999999988</v>
      </c>
      <c r="C69" s="129">
        <v>10960.8</v>
      </c>
      <c r="D69" s="130">
        <v>2472.4000000000005</v>
      </c>
      <c r="E69" s="129">
        <v>2.9000000000000004</v>
      </c>
      <c r="F69" s="130" t="s">
        <v>88</v>
      </c>
      <c r="G69" s="130" t="s">
        <v>88</v>
      </c>
      <c r="H69" s="129">
        <f t="shared" si="4"/>
        <v>69938.89999999998</v>
      </c>
      <c r="I69" s="130">
        <v>599.70000000000005</v>
      </c>
      <c r="J69" s="129">
        <v>1107.7</v>
      </c>
      <c r="K69" s="130" t="s">
        <v>88</v>
      </c>
      <c r="L69" s="130">
        <v>54.5</v>
      </c>
      <c r="M69" s="128">
        <f t="shared" si="1"/>
        <v>1761.9</v>
      </c>
    </row>
    <row r="70" spans="1:13" hidden="1">
      <c r="A70" s="1021" t="s">
        <v>47</v>
      </c>
      <c r="B70" s="130">
        <v>55165.5</v>
      </c>
      <c r="C70" s="129">
        <v>11585.5</v>
      </c>
      <c r="D70" s="130">
        <v>2739.6000000000004</v>
      </c>
      <c r="E70" s="129">
        <v>20.900000000000002</v>
      </c>
      <c r="F70" s="130" t="s">
        <v>88</v>
      </c>
      <c r="G70" s="130" t="s">
        <v>88</v>
      </c>
      <c r="H70" s="129">
        <f t="shared" si="4"/>
        <v>69511.5</v>
      </c>
      <c r="I70" s="130">
        <v>409.3</v>
      </c>
      <c r="J70" s="129">
        <v>1107.7</v>
      </c>
      <c r="K70" s="130" t="s">
        <v>88</v>
      </c>
      <c r="L70" s="130">
        <v>55.5</v>
      </c>
      <c r="M70" s="128">
        <f t="shared" si="1"/>
        <v>1572.5</v>
      </c>
    </row>
    <row r="71" spans="1:13" hidden="1">
      <c r="A71" s="1021" t="s">
        <v>48</v>
      </c>
      <c r="B71" s="130">
        <v>62779.499999999985</v>
      </c>
      <c r="C71" s="129">
        <v>11062.5</v>
      </c>
      <c r="D71" s="130">
        <v>2823.1000000000004</v>
      </c>
      <c r="E71" s="129">
        <v>32.200000000000003</v>
      </c>
      <c r="F71" s="130" t="s">
        <v>88</v>
      </c>
      <c r="G71" s="130" t="s">
        <v>88</v>
      </c>
      <c r="H71" s="129">
        <f t="shared" si="4"/>
        <v>76697.299999999988</v>
      </c>
      <c r="I71" s="130">
        <v>370.10000000000019</v>
      </c>
      <c r="J71" s="129">
        <v>1107.4000000000001</v>
      </c>
      <c r="K71" s="130" t="s">
        <v>88</v>
      </c>
      <c r="L71" s="130">
        <v>56.2</v>
      </c>
      <c r="M71" s="128">
        <f t="shared" si="1"/>
        <v>1533.7000000000003</v>
      </c>
    </row>
    <row r="72" spans="1:13" hidden="1">
      <c r="A72" s="1021" t="s">
        <v>49</v>
      </c>
      <c r="B72" s="130">
        <v>62654.8</v>
      </c>
      <c r="C72" s="129">
        <v>12406.5</v>
      </c>
      <c r="D72" s="130">
        <v>2137.7999999999997</v>
      </c>
      <c r="E72" s="129">
        <v>60.1</v>
      </c>
      <c r="F72" s="130" t="s">
        <v>88</v>
      </c>
      <c r="G72" s="130" t="s">
        <v>88</v>
      </c>
      <c r="H72" s="129">
        <f t="shared" si="4"/>
        <v>77259.200000000012</v>
      </c>
      <c r="I72" s="130">
        <v>361.2</v>
      </c>
      <c r="J72" s="129">
        <v>861.3</v>
      </c>
      <c r="K72" s="130" t="s">
        <v>88</v>
      </c>
      <c r="L72" s="130" t="s">
        <v>88</v>
      </c>
      <c r="M72" s="128">
        <f t="shared" si="1"/>
        <v>1222.5</v>
      </c>
    </row>
    <row r="73" spans="1:13" hidden="1">
      <c r="A73" s="1021" t="s">
        <v>50</v>
      </c>
      <c r="B73" s="130">
        <v>66475</v>
      </c>
      <c r="C73" s="129">
        <v>13061.3</v>
      </c>
      <c r="D73" s="130">
        <v>1209.6999999999998</v>
      </c>
      <c r="E73" s="129">
        <v>6.6999999999999993</v>
      </c>
      <c r="F73" s="130" t="s">
        <v>88</v>
      </c>
      <c r="G73" s="130" t="s">
        <v>88</v>
      </c>
      <c r="H73" s="129">
        <f t="shared" si="4"/>
        <v>80752.7</v>
      </c>
      <c r="I73" s="130">
        <v>246.59999999999982</v>
      </c>
      <c r="J73" s="129">
        <v>246.1</v>
      </c>
      <c r="K73" s="130" t="s">
        <v>88</v>
      </c>
      <c r="L73" s="130" t="s">
        <v>88</v>
      </c>
      <c r="M73" s="128">
        <f t="shared" si="1"/>
        <v>492.69999999999982</v>
      </c>
    </row>
    <row r="74" spans="1:13" hidden="1">
      <c r="A74" s="1021"/>
      <c r="B74" s="130"/>
      <c r="C74" s="129"/>
      <c r="D74" s="130"/>
      <c r="E74" s="129"/>
      <c r="F74" s="130" t="s">
        <v>88</v>
      </c>
      <c r="G74" s="130"/>
      <c r="H74" s="129"/>
      <c r="I74" s="130"/>
      <c r="J74" s="129"/>
      <c r="K74" s="130"/>
      <c r="L74" s="130"/>
      <c r="M74" s="128">
        <f t="shared" si="1"/>
        <v>0</v>
      </c>
    </row>
    <row r="75" spans="1:13" hidden="1">
      <c r="A75" s="1021" t="s">
        <v>58</v>
      </c>
      <c r="B75" s="130">
        <v>68658.600000000006</v>
      </c>
      <c r="C75" s="129">
        <v>12411.1</v>
      </c>
      <c r="D75" s="130">
        <v>2095.1</v>
      </c>
      <c r="E75" s="129">
        <v>30.000000000000004</v>
      </c>
      <c r="F75" s="130" t="s">
        <v>88</v>
      </c>
      <c r="G75" s="130" t="s">
        <v>88</v>
      </c>
      <c r="H75" s="129">
        <f t="shared" ref="H75:H86" si="5">SUM(B75:G75)</f>
        <v>83194.800000000017</v>
      </c>
      <c r="I75" s="130">
        <v>100.10000000000028</v>
      </c>
      <c r="J75" s="129">
        <v>200</v>
      </c>
      <c r="K75" s="130" t="s">
        <v>88</v>
      </c>
      <c r="L75" s="130" t="s">
        <v>88</v>
      </c>
      <c r="M75" s="128">
        <f t="shared" si="1"/>
        <v>300.10000000000025</v>
      </c>
    </row>
    <row r="76" spans="1:13" hidden="1">
      <c r="A76" s="1021" t="s">
        <v>40</v>
      </c>
      <c r="B76" s="130">
        <v>68877.199999999983</v>
      </c>
      <c r="C76" s="129">
        <v>13157.1</v>
      </c>
      <c r="D76" s="130">
        <v>1535.9</v>
      </c>
      <c r="E76" s="129">
        <v>5.6</v>
      </c>
      <c r="F76" s="130" t="s">
        <v>88</v>
      </c>
      <c r="G76" s="130" t="s">
        <v>88</v>
      </c>
      <c r="H76" s="129">
        <f t="shared" si="5"/>
        <v>83575.799999999988</v>
      </c>
      <c r="I76" s="130">
        <v>53.599999999999817</v>
      </c>
      <c r="J76" s="130" t="s">
        <v>88</v>
      </c>
      <c r="K76" s="130" t="s">
        <v>88</v>
      </c>
      <c r="L76" s="130" t="s">
        <v>88</v>
      </c>
      <c r="M76" s="128">
        <f t="shared" si="1"/>
        <v>53.599999999999817</v>
      </c>
    </row>
    <row r="77" spans="1:13" hidden="1">
      <c r="A77" s="1021" t="s">
        <v>41</v>
      </c>
      <c r="B77" s="130">
        <v>68143.100000000006</v>
      </c>
      <c r="C77" s="129">
        <v>12520.1</v>
      </c>
      <c r="D77" s="130">
        <v>2252.3999999999996</v>
      </c>
      <c r="E77" s="129">
        <v>5.5</v>
      </c>
      <c r="F77" s="130" t="s">
        <v>88</v>
      </c>
      <c r="G77" s="130" t="s">
        <v>88</v>
      </c>
      <c r="H77" s="129">
        <f t="shared" si="5"/>
        <v>82921.100000000006</v>
      </c>
      <c r="I77" s="130">
        <v>36.9</v>
      </c>
      <c r="J77" s="130" t="s">
        <v>88</v>
      </c>
      <c r="K77" s="130" t="s">
        <v>88</v>
      </c>
      <c r="L77" s="130" t="s">
        <v>88</v>
      </c>
      <c r="M77" s="128">
        <f t="shared" si="1"/>
        <v>36.9</v>
      </c>
    </row>
    <row r="78" spans="1:13" hidden="1">
      <c r="A78" s="1021" t="s">
        <v>42</v>
      </c>
      <c r="B78" s="130">
        <v>66887.199999999997</v>
      </c>
      <c r="C78" s="129">
        <v>12956.9</v>
      </c>
      <c r="D78" s="130">
        <v>2042.3000000000002</v>
      </c>
      <c r="E78" s="129">
        <v>3</v>
      </c>
      <c r="F78" s="130" t="s">
        <v>88</v>
      </c>
      <c r="G78" s="130">
        <v>1673.2</v>
      </c>
      <c r="H78" s="129">
        <f t="shared" si="5"/>
        <v>83562.599999999991</v>
      </c>
      <c r="I78" s="130">
        <v>36.9</v>
      </c>
      <c r="J78" s="130" t="s">
        <v>88</v>
      </c>
      <c r="K78" s="130" t="s">
        <v>88</v>
      </c>
      <c r="L78" s="130" t="s">
        <v>88</v>
      </c>
      <c r="M78" s="128">
        <f t="shared" si="1"/>
        <v>36.9</v>
      </c>
    </row>
    <row r="79" spans="1:13" hidden="1">
      <c r="A79" s="1021" t="s">
        <v>43</v>
      </c>
      <c r="B79" s="130">
        <v>64417.100000000006</v>
      </c>
      <c r="C79" s="129">
        <v>15721.3</v>
      </c>
      <c r="D79" s="130">
        <v>2245.6999999999998</v>
      </c>
      <c r="E79" s="129">
        <v>0.2</v>
      </c>
      <c r="F79" s="130" t="s">
        <v>88</v>
      </c>
      <c r="G79" s="130">
        <v>1673.2</v>
      </c>
      <c r="H79" s="129">
        <f t="shared" si="5"/>
        <v>84057.5</v>
      </c>
      <c r="I79" s="130">
        <v>0</v>
      </c>
      <c r="J79" s="130" t="s">
        <v>88</v>
      </c>
      <c r="K79" s="130" t="s">
        <v>88</v>
      </c>
      <c r="L79" s="130" t="s">
        <v>88</v>
      </c>
      <c r="M79" s="128">
        <f t="shared" si="1"/>
        <v>0</v>
      </c>
    </row>
    <row r="80" spans="1:13" hidden="1">
      <c r="A80" s="1021" t="s">
        <v>44</v>
      </c>
      <c r="B80" s="130">
        <v>68466.8</v>
      </c>
      <c r="C80" s="129">
        <v>15547.900000000001</v>
      </c>
      <c r="D80" s="130">
        <v>2130.6</v>
      </c>
      <c r="E80" s="129">
        <v>0.4</v>
      </c>
      <c r="F80" s="130" t="s">
        <v>88</v>
      </c>
      <c r="G80" s="130">
        <v>1673.2</v>
      </c>
      <c r="H80" s="129">
        <f t="shared" si="5"/>
        <v>87818.900000000009</v>
      </c>
      <c r="I80" s="130">
        <v>36.9</v>
      </c>
      <c r="J80" s="130" t="s">
        <v>88</v>
      </c>
      <c r="K80" s="130" t="s">
        <v>88</v>
      </c>
      <c r="L80" s="130" t="s">
        <v>88</v>
      </c>
      <c r="M80" s="128">
        <f t="shared" si="1"/>
        <v>36.9</v>
      </c>
    </row>
    <row r="81" spans="1:13" hidden="1">
      <c r="A81" s="1021" t="s">
        <v>45</v>
      </c>
      <c r="B81" s="130">
        <v>65689.300000000017</v>
      </c>
      <c r="C81" s="129">
        <v>17409.3</v>
      </c>
      <c r="D81" s="130">
        <v>2871.2999999999997</v>
      </c>
      <c r="E81" s="129">
        <v>0.1</v>
      </c>
      <c r="F81" s="130" t="s">
        <v>88</v>
      </c>
      <c r="G81" s="130">
        <v>11.5</v>
      </c>
      <c r="H81" s="129">
        <f t="shared" si="5"/>
        <v>85981.500000000029</v>
      </c>
      <c r="I81" s="130">
        <v>36.9</v>
      </c>
      <c r="J81" s="130" t="s">
        <v>88</v>
      </c>
      <c r="K81" s="130" t="s">
        <v>88</v>
      </c>
      <c r="L81" s="130" t="s">
        <v>88</v>
      </c>
      <c r="M81" s="128">
        <f t="shared" si="1"/>
        <v>36.9</v>
      </c>
    </row>
    <row r="82" spans="1:13" hidden="1">
      <c r="A82" s="1021" t="s">
        <v>46</v>
      </c>
      <c r="B82" s="130">
        <v>67892.899999999994</v>
      </c>
      <c r="C82" s="129">
        <v>14286.2</v>
      </c>
      <c r="D82" s="130">
        <v>1876.18</v>
      </c>
      <c r="E82" s="129">
        <v>0</v>
      </c>
      <c r="F82" s="130" t="s">
        <v>88</v>
      </c>
      <c r="G82" s="130">
        <v>11.5</v>
      </c>
      <c r="H82" s="129">
        <f t="shared" si="5"/>
        <v>84066.779999999984</v>
      </c>
      <c r="I82" s="130">
        <v>0</v>
      </c>
      <c r="J82" s="130" t="s">
        <v>88</v>
      </c>
      <c r="K82" s="130" t="s">
        <v>88</v>
      </c>
      <c r="L82" s="130" t="s">
        <v>88</v>
      </c>
      <c r="M82" s="128">
        <f t="shared" si="1"/>
        <v>0</v>
      </c>
    </row>
    <row r="83" spans="1:13" hidden="1">
      <c r="A83" s="1021" t="s">
        <v>47</v>
      </c>
      <c r="B83" s="130">
        <v>71086.8</v>
      </c>
      <c r="C83" s="129">
        <v>15261.400000000001</v>
      </c>
      <c r="D83" s="130">
        <v>1266.3000000000002</v>
      </c>
      <c r="E83" s="129">
        <v>46</v>
      </c>
      <c r="F83" s="130" t="s">
        <v>88</v>
      </c>
      <c r="G83" s="130">
        <v>11.5</v>
      </c>
      <c r="H83" s="129">
        <f t="shared" si="5"/>
        <v>87672.000000000015</v>
      </c>
      <c r="I83" s="130">
        <v>0</v>
      </c>
      <c r="J83" s="130" t="s">
        <v>88</v>
      </c>
      <c r="K83" s="130" t="s">
        <v>88</v>
      </c>
      <c r="L83" s="130" t="s">
        <v>88</v>
      </c>
      <c r="M83" s="128">
        <f t="shared" si="1"/>
        <v>0</v>
      </c>
    </row>
    <row r="84" spans="1:13" hidden="1">
      <c r="A84" s="1021" t="s">
        <v>48</v>
      </c>
      <c r="B84" s="130">
        <v>69199.3</v>
      </c>
      <c r="C84" s="129">
        <v>14521.2</v>
      </c>
      <c r="D84" s="130">
        <v>1736.5999999999997</v>
      </c>
      <c r="E84" s="129">
        <v>47</v>
      </c>
      <c r="F84" s="130" t="s">
        <v>88</v>
      </c>
      <c r="G84" s="130">
        <v>11.5</v>
      </c>
      <c r="H84" s="129">
        <f t="shared" si="5"/>
        <v>85515.6</v>
      </c>
      <c r="I84" s="130">
        <v>89.9</v>
      </c>
      <c r="J84" s="130" t="s">
        <v>88</v>
      </c>
      <c r="K84" s="130" t="s">
        <v>88</v>
      </c>
      <c r="L84" s="130" t="s">
        <v>88</v>
      </c>
      <c r="M84" s="128">
        <f t="shared" si="1"/>
        <v>89.9</v>
      </c>
    </row>
    <row r="85" spans="1:13" hidden="1">
      <c r="A85" s="1021" t="s">
        <v>49</v>
      </c>
      <c r="B85" s="130">
        <v>71180.3</v>
      </c>
      <c r="C85" s="129">
        <v>15532.2</v>
      </c>
      <c r="D85" s="130">
        <v>2011.9</v>
      </c>
      <c r="E85" s="129">
        <v>47.1</v>
      </c>
      <c r="F85" s="130" t="s">
        <v>88</v>
      </c>
      <c r="G85" s="130">
        <v>11.5</v>
      </c>
      <c r="H85" s="129">
        <f t="shared" si="5"/>
        <v>88783</v>
      </c>
      <c r="I85" s="130">
        <v>90</v>
      </c>
      <c r="J85" s="130" t="s">
        <v>88</v>
      </c>
      <c r="K85" s="130" t="s">
        <v>88</v>
      </c>
      <c r="L85" s="130" t="s">
        <v>88</v>
      </c>
      <c r="M85" s="128">
        <f t="shared" si="1"/>
        <v>90</v>
      </c>
    </row>
    <row r="86" spans="1:13" hidden="1">
      <c r="A86" s="1021" t="s">
        <v>50</v>
      </c>
      <c r="B86" s="140">
        <v>70181.000000000015</v>
      </c>
      <c r="C86" s="133">
        <v>17575.099999999999</v>
      </c>
      <c r="D86" s="140">
        <v>1715.3</v>
      </c>
      <c r="E86" s="133">
        <v>47</v>
      </c>
      <c r="F86" s="140">
        <v>0</v>
      </c>
      <c r="G86" s="140">
        <v>11.5</v>
      </c>
      <c r="H86" s="133">
        <f t="shared" si="5"/>
        <v>89529.900000000009</v>
      </c>
      <c r="I86" s="140">
        <v>90</v>
      </c>
      <c r="J86" s="140">
        <v>0</v>
      </c>
      <c r="K86" s="140">
        <v>0</v>
      </c>
      <c r="L86" s="140">
        <v>0</v>
      </c>
      <c r="M86" s="128">
        <f t="shared" si="1"/>
        <v>90</v>
      </c>
    </row>
    <row r="87" spans="1:13" hidden="1">
      <c r="A87" s="1021"/>
      <c r="B87" s="140"/>
      <c r="C87" s="133"/>
      <c r="D87" s="140"/>
      <c r="E87" s="133"/>
      <c r="F87" s="140"/>
      <c r="G87" s="140"/>
      <c r="H87" s="133"/>
      <c r="I87" s="140"/>
      <c r="J87" s="140"/>
      <c r="K87" s="140"/>
      <c r="L87" s="140"/>
      <c r="M87" s="128">
        <f t="shared" si="1"/>
        <v>0</v>
      </c>
    </row>
    <row r="88" spans="1:13" hidden="1">
      <c r="A88" s="1021" t="s">
        <v>57</v>
      </c>
      <c r="B88" s="130">
        <v>55803.19999999999</v>
      </c>
      <c r="C88" s="129">
        <v>13875.8</v>
      </c>
      <c r="D88" s="130">
        <v>3038</v>
      </c>
      <c r="E88" s="129">
        <v>0</v>
      </c>
      <c r="F88" s="130">
        <v>0</v>
      </c>
      <c r="G88" s="130">
        <v>11.5</v>
      </c>
      <c r="H88" s="129">
        <f t="shared" ref="H88:H99" si="6">SUM(B88:G88)</f>
        <v>72728.499999999985</v>
      </c>
      <c r="I88" s="130">
        <v>37</v>
      </c>
      <c r="J88" s="130">
        <v>0</v>
      </c>
      <c r="K88" s="130">
        <v>0</v>
      </c>
      <c r="L88" s="130">
        <v>0</v>
      </c>
      <c r="M88" s="128">
        <f t="shared" ref="M88:M151" si="7">SUM(I88:L88)</f>
        <v>37</v>
      </c>
    </row>
    <row r="89" spans="1:13" hidden="1">
      <c r="A89" s="1021" t="s">
        <v>40</v>
      </c>
      <c r="B89" s="130">
        <v>60430.2</v>
      </c>
      <c r="C89" s="129">
        <v>13773.2</v>
      </c>
      <c r="D89" s="130">
        <v>1780.8000000000002</v>
      </c>
      <c r="E89" s="129">
        <v>0.6</v>
      </c>
      <c r="F89" s="130">
        <v>0</v>
      </c>
      <c r="G89" s="130">
        <v>11.5</v>
      </c>
      <c r="H89" s="129">
        <f t="shared" si="6"/>
        <v>75996.3</v>
      </c>
      <c r="I89" s="130">
        <v>44.5</v>
      </c>
      <c r="J89" s="130">
        <v>0</v>
      </c>
      <c r="K89" s="130">
        <v>0</v>
      </c>
      <c r="L89" s="130">
        <v>0</v>
      </c>
      <c r="M89" s="128">
        <f t="shared" si="7"/>
        <v>44.5</v>
      </c>
    </row>
    <row r="90" spans="1:13" hidden="1">
      <c r="A90" s="1021" t="s">
        <v>41</v>
      </c>
      <c r="B90" s="130">
        <v>57170.1</v>
      </c>
      <c r="C90" s="129">
        <v>13677.6</v>
      </c>
      <c r="D90" s="130">
        <v>2923.2999999999997</v>
      </c>
      <c r="E90" s="129">
        <v>0.7</v>
      </c>
      <c r="F90" s="130">
        <v>0</v>
      </c>
      <c r="G90" s="130">
        <v>11.5</v>
      </c>
      <c r="H90" s="129">
        <f t="shared" si="6"/>
        <v>73783.199999999997</v>
      </c>
      <c r="I90" s="130">
        <v>44.6</v>
      </c>
      <c r="J90" s="130">
        <v>0</v>
      </c>
      <c r="K90" s="130">
        <v>0</v>
      </c>
      <c r="L90" s="130">
        <v>0</v>
      </c>
      <c r="M90" s="128">
        <f t="shared" si="7"/>
        <v>44.6</v>
      </c>
    </row>
    <row r="91" spans="1:13" hidden="1">
      <c r="A91" s="1021" t="s">
        <v>42</v>
      </c>
      <c r="B91" s="130">
        <v>56354.3</v>
      </c>
      <c r="C91" s="129">
        <v>14489</v>
      </c>
      <c r="D91" s="130">
        <v>2578.7000000000003</v>
      </c>
      <c r="E91" s="129">
        <v>0.7</v>
      </c>
      <c r="F91" s="130">
        <v>0</v>
      </c>
      <c r="G91" s="130">
        <v>11.5</v>
      </c>
      <c r="H91" s="129">
        <f t="shared" si="6"/>
        <v>73434.2</v>
      </c>
      <c r="I91" s="130">
        <v>44.6</v>
      </c>
      <c r="J91" s="130">
        <v>0</v>
      </c>
      <c r="K91" s="130">
        <v>0</v>
      </c>
      <c r="L91" s="130">
        <v>0</v>
      </c>
      <c r="M91" s="128">
        <f t="shared" si="7"/>
        <v>44.6</v>
      </c>
    </row>
    <row r="92" spans="1:13" hidden="1">
      <c r="A92" s="1021" t="s">
        <v>43</v>
      </c>
      <c r="B92" s="130">
        <v>54685.599999999999</v>
      </c>
      <c r="C92" s="129">
        <v>16142.199999999999</v>
      </c>
      <c r="D92" s="130">
        <v>1608.6000000000001</v>
      </c>
      <c r="E92" s="129">
        <v>1.5</v>
      </c>
      <c r="F92" s="130">
        <v>0</v>
      </c>
      <c r="G92" s="130">
        <v>11.5</v>
      </c>
      <c r="H92" s="129">
        <f t="shared" si="6"/>
        <v>72449.400000000009</v>
      </c>
      <c r="I92" s="130">
        <v>44.6</v>
      </c>
      <c r="J92" s="130">
        <v>0</v>
      </c>
      <c r="K92" s="130">
        <v>0</v>
      </c>
      <c r="L92" s="130">
        <v>0</v>
      </c>
      <c r="M92" s="128">
        <f t="shared" si="7"/>
        <v>44.6</v>
      </c>
    </row>
    <row r="93" spans="1:13" hidden="1">
      <c r="A93" s="1021" t="s">
        <v>44</v>
      </c>
      <c r="B93" s="130">
        <v>56694.3</v>
      </c>
      <c r="C93" s="129">
        <v>17047.199999999997</v>
      </c>
      <c r="D93" s="130">
        <v>3693.9</v>
      </c>
      <c r="E93" s="129">
        <v>9.4</v>
      </c>
      <c r="F93" s="130">
        <v>0</v>
      </c>
      <c r="G93" s="130">
        <v>11.5</v>
      </c>
      <c r="H93" s="129">
        <f t="shared" si="6"/>
        <v>77456.299999999988</v>
      </c>
      <c r="I93" s="130">
        <v>44.8</v>
      </c>
      <c r="J93" s="130">
        <v>0</v>
      </c>
      <c r="K93" s="130">
        <v>0</v>
      </c>
      <c r="L93" s="130">
        <v>0</v>
      </c>
      <c r="M93" s="128">
        <f t="shared" si="7"/>
        <v>44.8</v>
      </c>
    </row>
    <row r="94" spans="1:13" hidden="1">
      <c r="A94" s="1021" t="s">
        <v>45</v>
      </c>
      <c r="B94" s="130">
        <v>68042.099999999991</v>
      </c>
      <c r="C94" s="129">
        <v>17918</v>
      </c>
      <c r="D94" s="130">
        <v>4964.2</v>
      </c>
      <c r="E94" s="129">
        <v>1.4</v>
      </c>
      <c r="F94" s="130">
        <v>0</v>
      </c>
      <c r="G94" s="130">
        <v>11.5</v>
      </c>
      <c r="H94" s="129">
        <f t="shared" si="6"/>
        <v>90937.199999999983</v>
      </c>
      <c r="I94" s="130">
        <v>482.4</v>
      </c>
      <c r="J94" s="130">
        <v>0</v>
      </c>
      <c r="K94" s="130">
        <v>0</v>
      </c>
      <c r="L94" s="130">
        <v>0</v>
      </c>
      <c r="M94" s="128">
        <f t="shared" si="7"/>
        <v>482.4</v>
      </c>
    </row>
    <row r="95" spans="1:13" hidden="1">
      <c r="A95" s="1021" t="s">
        <v>46</v>
      </c>
      <c r="B95" s="130">
        <v>59424.700000000004</v>
      </c>
      <c r="C95" s="129">
        <v>19674.2</v>
      </c>
      <c r="D95" s="130">
        <v>3364.0000000000005</v>
      </c>
      <c r="E95" s="129">
        <v>0.6</v>
      </c>
      <c r="F95" s="130">
        <v>0</v>
      </c>
      <c r="G95" s="130">
        <v>11.5</v>
      </c>
      <c r="H95" s="129">
        <f t="shared" si="6"/>
        <v>82475.000000000015</v>
      </c>
      <c r="I95" s="130">
        <v>4452.2000000000007</v>
      </c>
      <c r="J95" s="130">
        <v>0</v>
      </c>
      <c r="K95" s="130">
        <v>0</v>
      </c>
      <c r="L95" s="130">
        <v>0</v>
      </c>
      <c r="M95" s="128">
        <f t="shared" si="7"/>
        <v>4452.2000000000007</v>
      </c>
    </row>
    <row r="96" spans="1:13" hidden="1">
      <c r="A96" s="1021" t="s">
        <v>47</v>
      </c>
      <c r="B96" s="130">
        <v>59030.400000000009</v>
      </c>
      <c r="C96" s="129">
        <v>19033.899999999998</v>
      </c>
      <c r="D96" s="130">
        <v>703.1</v>
      </c>
      <c r="E96" s="129">
        <v>1.4000000000000001</v>
      </c>
      <c r="F96" s="130">
        <v>0</v>
      </c>
      <c r="G96" s="130">
        <v>0</v>
      </c>
      <c r="H96" s="129">
        <f t="shared" si="6"/>
        <v>78768.800000000003</v>
      </c>
      <c r="I96" s="130">
        <v>45.800000000000004</v>
      </c>
      <c r="J96" s="129">
        <v>4450.8999999999996</v>
      </c>
      <c r="K96" s="130">
        <v>0</v>
      </c>
      <c r="L96" s="130">
        <v>0</v>
      </c>
      <c r="M96" s="128">
        <f t="shared" si="7"/>
        <v>4496.7</v>
      </c>
    </row>
    <row r="97" spans="1:13" hidden="1">
      <c r="A97" s="1021" t="s">
        <v>48</v>
      </c>
      <c r="B97" s="130">
        <v>56952.3</v>
      </c>
      <c r="C97" s="129">
        <v>18473</v>
      </c>
      <c r="D97" s="130">
        <v>3821.5</v>
      </c>
      <c r="E97" s="129">
        <v>1.3</v>
      </c>
      <c r="F97" s="130">
        <v>0</v>
      </c>
      <c r="G97" s="130">
        <v>0</v>
      </c>
      <c r="H97" s="129">
        <f t="shared" si="6"/>
        <v>79248.100000000006</v>
      </c>
      <c r="I97" s="130">
        <v>46.599999999999994</v>
      </c>
      <c r="J97" s="129">
        <v>4527.3</v>
      </c>
      <c r="K97" s="130">
        <v>0</v>
      </c>
      <c r="L97" s="130">
        <v>0</v>
      </c>
      <c r="M97" s="128">
        <f t="shared" si="7"/>
        <v>4573.9000000000005</v>
      </c>
    </row>
    <row r="98" spans="1:13" hidden="1">
      <c r="A98" s="1021" t="s">
        <v>49</v>
      </c>
      <c r="B98" s="130">
        <v>58969.5</v>
      </c>
      <c r="C98" s="129">
        <v>19746.3</v>
      </c>
      <c r="D98" s="130">
        <v>2629.9</v>
      </c>
      <c r="E98" s="129">
        <v>1.3</v>
      </c>
      <c r="F98" s="130">
        <v>0</v>
      </c>
      <c r="G98" s="130">
        <v>0</v>
      </c>
      <c r="H98" s="129">
        <f t="shared" si="6"/>
        <v>81347</v>
      </c>
      <c r="I98" s="130">
        <v>48</v>
      </c>
      <c r="J98" s="129">
        <v>4518.5999999999995</v>
      </c>
      <c r="K98" s="130">
        <v>0</v>
      </c>
      <c r="L98" s="130">
        <v>0</v>
      </c>
      <c r="M98" s="128">
        <f t="shared" si="7"/>
        <v>4566.5999999999995</v>
      </c>
    </row>
    <row r="99" spans="1:13" hidden="1">
      <c r="A99" s="1021" t="s">
        <v>50</v>
      </c>
      <c r="B99" s="130">
        <v>59291.700000000004</v>
      </c>
      <c r="C99" s="129">
        <v>18735.400000000001</v>
      </c>
      <c r="D99" s="130">
        <v>6439.5</v>
      </c>
      <c r="E99" s="129">
        <v>0.59999999999999987</v>
      </c>
      <c r="F99" s="130">
        <v>0</v>
      </c>
      <c r="G99" s="130">
        <v>0</v>
      </c>
      <c r="H99" s="129">
        <f t="shared" si="6"/>
        <v>84467.200000000012</v>
      </c>
      <c r="I99" s="130">
        <v>49.099999999999994</v>
      </c>
      <c r="J99" s="129">
        <v>4615.1000000000004</v>
      </c>
      <c r="K99" s="130">
        <v>0</v>
      </c>
      <c r="L99" s="130">
        <v>0</v>
      </c>
      <c r="M99" s="128">
        <f t="shared" si="7"/>
        <v>4664.2000000000007</v>
      </c>
    </row>
    <row r="100" spans="1:13" hidden="1">
      <c r="A100" s="214"/>
      <c r="B100" s="130"/>
      <c r="C100" s="129"/>
      <c r="D100" s="130"/>
      <c r="E100" s="129"/>
      <c r="F100" s="130"/>
      <c r="G100" s="130"/>
      <c r="H100" s="129"/>
      <c r="I100" s="130"/>
      <c r="J100" s="129"/>
      <c r="K100" s="130"/>
      <c r="L100" s="130"/>
      <c r="M100" s="128">
        <f t="shared" si="7"/>
        <v>0</v>
      </c>
    </row>
    <row r="101" spans="1:13" hidden="1">
      <c r="A101" s="1021" t="s">
        <v>56</v>
      </c>
      <c r="B101" s="130">
        <v>68848.800000000003</v>
      </c>
      <c r="C101" s="129">
        <v>21139.300000000003</v>
      </c>
      <c r="D101" s="130">
        <v>6647.6</v>
      </c>
      <c r="E101" s="129">
        <v>0.39999999999997726</v>
      </c>
      <c r="F101" s="130">
        <v>0</v>
      </c>
      <c r="G101" s="130">
        <v>0</v>
      </c>
      <c r="H101" s="129">
        <f t="shared" ref="H101:H112" si="8">SUM(B101:G101)</f>
        <v>96636.1</v>
      </c>
      <c r="I101" s="130">
        <v>315.29999999999995</v>
      </c>
      <c r="J101" s="130">
        <v>0</v>
      </c>
      <c r="K101" s="130">
        <v>0</v>
      </c>
      <c r="L101" s="130">
        <v>0</v>
      </c>
      <c r="M101" s="128">
        <f t="shared" si="7"/>
        <v>315.29999999999995</v>
      </c>
    </row>
    <row r="102" spans="1:13" hidden="1">
      <c r="A102" s="1021" t="s">
        <v>40</v>
      </c>
      <c r="B102" s="130">
        <v>72395.7</v>
      </c>
      <c r="C102" s="129">
        <v>18936</v>
      </c>
      <c r="D102" s="130">
        <v>8203.7000000000007</v>
      </c>
      <c r="E102" s="129">
        <v>0.39999999999999991</v>
      </c>
      <c r="F102" s="130">
        <v>0</v>
      </c>
      <c r="G102" s="130">
        <v>0</v>
      </c>
      <c r="H102" s="129">
        <f t="shared" si="8"/>
        <v>99535.799999999988</v>
      </c>
      <c r="I102" s="130">
        <v>1064.8999999999999</v>
      </c>
      <c r="J102" s="130">
        <v>0</v>
      </c>
      <c r="K102" s="130">
        <v>0</v>
      </c>
      <c r="L102" s="130">
        <v>0</v>
      </c>
      <c r="M102" s="128">
        <f t="shared" si="7"/>
        <v>1064.8999999999999</v>
      </c>
    </row>
    <row r="103" spans="1:13" hidden="1">
      <c r="A103" s="1021" t="s">
        <v>41</v>
      </c>
      <c r="B103" s="130">
        <v>69379.099999999991</v>
      </c>
      <c r="C103" s="129">
        <v>17006.2</v>
      </c>
      <c r="D103" s="130">
        <v>6004.3</v>
      </c>
      <c r="E103" s="129">
        <v>0.39999999999999991</v>
      </c>
      <c r="F103" s="130">
        <v>0</v>
      </c>
      <c r="G103" s="130">
        <v>0</v>
      </c>
      <c r="H103" s="129">
        <f t="shared" si="8"/>
        <v>92389.999999999985</v>
      </c>
      <c r="I103" s="130">
        <v>1020.3</v>
      </c>
      <c r="J103" s="130">
        <v>0</v>
      </c>
      <c r="K103" s="130">
        <v>0</v>
      </c>
      <c r="L103" s="130">
        <v>0</v>
      </c>
      <c r="M103" s="128">
        <f t="shared" si="7"/>
        <v>1020.3</v>
      </c>
    </row>
    <row r="104" spans="1:13" hidden="1">
      <c r="A104" s="1021" t="s">
        <v>42</v>
      </c>
      <c r="B104" s="130">
        <v>75317.3</v>
      </c>
      <c r="C104" s="129">
        <v>15205.7</v>
      </c>
      <c r="D104" s="130">
        <v>5404.9000000000005</v>
      </c>
      <c r="E104" s="129">
        <v>0.39999999999999991</v>
      </c>
      <c r="F104" s="130">
        <v>0</v>
      </c>
      <c r="G104" s="130">
        <v>0</v>
      </c>
      <c r="H104" s="129">
        <f t="shared" si="8"/>
        <v>95928.299999999988</v>
      </c>
      <c r="I104" s="130">
        <v>1014.1999999999999</v>
      </c>
      <c r="J104" s="130">
        <v>0</v>
      </c>
      <c r="K104" s="130">
        <v>0</v>
      </c>
      <c r="L104" s="130">
        <v>0</v>
      </c>
      <c r="M104" s="128">
        <f t="shared" si="7"/>
        <v>1014.1999999999999</v>
      </c>
    </row>
    <row r="105" spans="1:13" hidden="1">
      <c r="A105" s="1021" t="s">
        <v>43</v>
      </c>
      <c r="B105" s="130">
        <v>72299.499999999985</v>
      </c>
      <c r="C105" s="129">
        <v>18432.900000000001</v>
      </c>
      <c r="D105" s="130">
        <v>4958.0999999999995</v>
      </c>
      <c r="E105" s="129">
        <v>557</v>
      </c>
      <c r="F105" s="130">
        <v>0</v>
      </c>
      <c r="G105" s="130">
        <v>0</v>
      </c>
      <c r="H105" s="129">
        <f t="shared" si="8"/>
        <v>96247.5</v>
      </c>
      <c r="I105" s="130">
        <v>1040.5999999999999</v>
      </c>
      <c r="J105" s="130">
        <v>0</v>
      </c>
      <c r="K105" s="130">
        <v>0</v>
      </c>
      <c r="L105" s="130">
        <v>0</v>
      </c>
      <c r="M105" s="128">
        <f t="shared" si="7"/>
        <v>1040.5999999999999</v>
      </c>
    </row>
    <row r="106" spans="1:13" hidden="1">
      <c r="A106" s="1021" t="s">
        <v>44</v>
      </c>
      <c r="B106" s="130">
        <v>77297.600000000006</v>
      </c>
      <c r="C106" s="129">
        <v>16173.4</v>
      </c>
      <c r="D106" s="130">
        <v>6578.7</v>
      </c>
      <c r="E106" s="129">
        <v>565.29999999999995</v>
      </c>
      <c r="F106" s="130">
        <v>0</v>
      </c>
      <c r="G106" s="130">
        <v>0</v>
      </c>
      <c r="H106" s="129">
        <f t="shared" si="8"/>
        <v>100615</v>
      </c>
      <c r="I106" s="130">
        <v>1056.6999999999998</v>
      </c>
      <c r="J106" s="130">
        <v>0</v>
      </c>
      <c r="K106" s="130">
        <v>0</v>
      </c>
      <c r="L106" s="130">
        <v>0</v>
      </c>
      <c r="M106" s="128">
        <f t="shared" si="7"/>
        <v>1056.6999999999998</v>
      </c>
    </row>
    <row r="107" spans="1:13" hidden="1">
      <c r="A107" s="1021" t="s">
        <v>45</v>
      </c>
      <c r="B107" s="130">
        <v>83101.616666666669</v>
      </c>
      <c r="C107" s="129">
        <v>17970.8</v>
      </c>
      <c r="D107" s="130">
        <v>8912.5</v>
      </c>
      <c r="E107" s="129">
        <v>573.5</v>
      </c>
      <c r="F107" s="130">
        <v>0</v>
      </c>
      <c r="G107" s="130">
        <v>0</v>
      </c>
      <c r="H107" s="129">
        <f t="shared" si="8"/>
        <v>110558.41666666667</v>
      </c>
      <c r="I107" s="130">
        <v>1058.0999999999999</v>
      </c>
      <c r="J107" s="130">
        <v>0</v>
      </c>
      <c r="K107" s="130">
        <v>0</v>
      </c>
      <c r="L107" s="130">
        <v>0</v>
      </c>
      <c r="M107" s="128">
        <f t="shared" si="7"/>
        <v>1058.0999999999999</v>
      </c>
    </row>
    <row r="108" spans="1:13" hidden="1">
      <c r="A108" s="1021" t="s">
        <v>46</v>
      </c>
      <c r="B108" s="130">
        <v>84954.133333333346</v>
      </c>
      <c r="C108" s="129">
        <v>29425.600000000002</v>
      </c>
      <c r="D108" s="130">
        <v>8948.3000000000011</v>
      </c>
      <c r="E108" s="129">
        <v>595.30000000000007</v>
      </c>
      <c r="F108" s="130">
        <v>0</v>
      </c>
      <c r="G108" s="130">
        <v>1094.0999999999999</v>
      </c>
      <c r="H108" s="129">
        <f t="shared" si="8"/>
        <v>125017.43333333336</v>
      </c>
      <c r="I108" s="130">
        <v>571.69999999999993</v>
      </c>
      <c r="J108" s="130">
        <v>0</v>
      </c>
      <c r="K108" s="130">
        <v>0</v>
      </c>
      <c r="L108" s="130">
        <v>0</v>
      </c>
      <c r="M108" s="128">
        <f t="shared" si="7"/>
        <v>571.69999999999993</v>
      </c>
    </row>
    <row r="109" spans="1:13" hidden="1">
      <c r="A109" s="1021" t="s">
        <v>47</v>
      </c>
      <c r="B109" s="130">
        <v>87244.35</v>
      </c>
      <c r="C109" s="129">
        <v>30230.3</v>
      </c>
      <c r="D109" s="130">
        <v>10325.700000000001</v>
      </c>
      <c r="E109" s="129">
        <v>735.09999999999991</v>
      </c>
      <c r="F109" s="130">
        <v>0</v>
      </c>
      <c r="G109" s="130">
        <v>1151.4000000000001</v>
      </c>
      <c r="H109" s="129">
        <f t="shared" si="8"/>
        <v>129686.85</v>
      </c>
      <c r="I109" s="130">
        <v>250.20000000000002</v>
      </c>
      <c r="J109" s="130">
        <v>0</v>
      </c>
      <c r="K109" s="130">
        <v>0</v>
      </c>
      <c r="L109" s="130">
        <v>0</v>
      </c>
      <c r="M109" s="128">
        <f t="shared" si="7"/>
        <v>250.20000000000002</v>
      </c>
    </row>
    <row r="110" spans="1:13" hidden="1">
      <c r="A110" s="1021" t="s">
        <v>48</v>
      </c>
      <c r="B110" s="130">
        <v>86352.46666666666</v>
      </c>
      <c r="C110" s="129">
        <v>29757.199999999997</v>
      </c>
      <c r="D110" s="130">
        <v>10374.9</v>
      </c>
      <c r="E110" s="129">
        <v>766.59999999999991</v>
      </c>
      <c r="F110" s="130">
        <v>0</v>
      </c>
      <c r="G110" s="130">
        <v>1158.7</v>
      </c>
      <c r="H110" s="129">
        <f t="shared" si="8"/>
        <v>128409.86666666665</v>
      </c>
      <c r="I110" s="130">
        <v>452.8</v>
      </c>
      <c r="J110" s="130">
        <v>0</v>
      </c>
      <c r="K110" s="130">
        <v>0</v>
      </c>
      <c r="L110" s="130">
        <v>0</v>
      </c>
      <c r="M110" s="128">
        <f t="shared" si="7"/>
        <v>452.8</v>
      </c>
    </row>
    <row r="111" spans="1:13" hidden="1">
      <c r="A111" s="1021" t="s">
        <v>49</v>
      </c>
      <c r="B111" s="130">
        <v>93972.483333333323</v>
      </c>
      <c r="C111" s="129">
        <v>22089.5</v>
      </c>
      <c r="D111" s="130">
        <v>6775.8</v>
      </c>
      <c r="E111" s="129">
        <v>771.90000000000009</v>
      </c>
      <c r="F111" s="130">
        <v>0</v>
      </c>
      <c r="G111" s="130">
        <v>1184.5999999999999</v>
      </c>
      <c r="H111" s="129">
        <f t="shared" si="8"/>
        <v>124794.28333333333</v>
      </c>
      <c r="I111" s="130">
        <v>461.2</v>
      </c>
      <c r="J111" s="130">
        <v>0</v>
      </c>
      <c r="K111" s="130">
        <v>0</v>
      </c>
      <c r="L111" s="130">
        <v>0</v>
      </c>
      <c r="M111" s="128">
        <f t="shared" si="7"/>
        <v>461.2</v>
      </c>
    </row>
    <row r="112" spans="1:13" hidden="1">
      <c r="A112" s="1021" t="s">
        <v>50</v>
      </c>
      <c r="B112" s="130">
        <v>99717.200000000012</v>
      </c>
      <c r="C112" s="129">
        <v>21633.800000000003</v>
      </c>
      <c r="D112" s="130">
        <v>9205</v>
      </c>
      <c r="E112" s="129">
        <v>746.09999999999991</v>
      </c>
      <c r="F112" s="130">
        <v>0</v>
      </c>
      <c r="G112" s="130">
        <v>1230.3</v>
      </c>
      <c r="H112" s="129">
        <f t="shared" si="8"/>
        <v>132532.4</v>
      </c>
      <c r="I112" s="130">
        <v>1474.8999999999999</v>
      </c>
      <c r="J112" s="130">
        <v>0</v>
      </c>
      <c r="K112" s="130">
        <v>0</v>
      </c>
      <c r="L112" s="130">
        <v>0</v>
      </c>
      <c r="M112" s="128">
        <f t="shared" si="7"/>
        <v>1474.8999999999999</v>
      </c>
    </row>
    <row r="113" spans="1:13" hidden="1">
      <c r="A113" s="1021"/>
      <c r="B113" s="130"/>
      <c r="C113" s="129"/>
      <c r="D113" s="130"/>
      <c r="E113" s="129"/>
      <c r="F113" s="130"/>
      <c r="G113" s="130"/>
      <c r="H113" s="129"/>
      <c r="I113" s="130"/>
      <c r="J113" s="130"/>
      <c r="K113" s="130"/>
      <c r="L113" s="130"/>
      <c r="M113" s="128">
        <f t="shared" si="7"/>
        <v>0</v>
      </c>
    </row>
    <row r="114" spans="1:13" hidden="1">
      <c r="A114" s="1021" t="s">
        <v>55</v>
      </c>
      <c r="B114" s="130">
        <v>104702.98333333335</v>
      </c>
      <c r="C114" s="129">
        <v>20370.399999999998</v>
      </c>
      <c r="D114" s="130">
        <v>9899.2000000000007</v>
      </c>
      <c r="E114" s="129">
        <v>824.10000000000014</v>
      </c>
      <c r="F114" s="130">
        <v>0</v>
      </c>
      <c r="G114" s="130">
        <v>1297</v>
      </c>
      <c r="H114" s="129">
        <f t="shared" ref="H114:H125" si="9">SUM(B114:G114)</f>
        <v>137093.68333333335</v>
      </c>
      <c r="I114" s="130">
        <v>1736</v>
      </c>
      <c r="J114" s="130">
        <v>0</v>
      </c>
      <c r="K114" s="130">
        <v>0</v>
      </c>
      <c r="L114" s="130">
        <v>0</v>
      </c>
      <c r="M114" s="128">
        <f t="shared" si="7"/>
        <v>1736</v>
      </c>
    </row>
    <row r="115" spans="1:13" hidden="1">
      <c r="A115" s="1021" t="s">
        <v>40</v>
      </c>
      <c r="B115" s="130">
        <v>112372.96666666666</v>
      </c>
      <c r="C115" s="129">
        <v>21377.699999999997</v>
      </c>
      <c r="D115" s="130">
        <v>14245.800000000001</v>
      </c>
      <c r="E115" s="129">
        <v>882.40000000000009</v>
      </c>
      <c r="F115" s="130">
        <v>0</v>
      </c>
      <c r="G115" s="130">
        <v>1361.8</v>
      </c>
      <c r="H115" s="129">
        <f t="shared" si="9"/>
        <v>150240.66666666663</v>
      </c>
      <c r="I115" s="130">
        <v>2203.5</v>
      </c>
      <c r="J115" s="130">
        <v>0</v>
      </c>
      <c r="K115" s="130">
        <v>0</v>
      </c>
      <c r="L115" s="130">
        <v>0</v>
      </c>
      <c r="M115" s="128">
        <f t="shared" si="7"/>
        <v>2203.5</v>
      </c>
    </row>
    <row r="116" spans="1:13" hidden="1">
      <c r="A116" s="1021" t="s">
        <v>41</v>
      </c>
      <c r="B116" s="130">
        <v>104472.25000000001</v>
      </c>
      <c r="C116" s="129">
        <v>23154.5</v>
      </c>
      <c r="D116" s="130">
        <v>10589.9</v>
      </c>
      <c r="E116" s="129">
        <v>777.59999999999991</v>
      </c>
      <c r="F116" s="130">
        <v>0</v>
      </c>
      <c r="G116" s="130">
        <v>1302.7</v>
      </c>
      <c r="H116" s="129">
        <f t="shared" si="9"/>
        <v>140296.95000000004</v>
      </c>
      <c r="I116" s="130">
        <v>2059.5</v>
      </c>
      <c r="J116" s="130">
        <v>0</v>
      </c>
      <c r="K116" s="130">
        <v>0</v>
      </c>
      <c r="L116" s="130">
        <v>0</v>
      </c>
      <c r="M116" s="128">
        <f t="shared" si="7"/>
        <v>2059.5</v>
      </c>
    </row>
    <row r="117" spans="1:13" hidden="1">
      <c r="A117" s="1021" t="s">
        <v>42</v>
      </c>
      <c r="B117" s="130">
        <v>110064.23333333334</v>
      </c>
      <c r="C117" s="129">
        <v>21808.2</v>
      </c>
      <c r="D117" s="130">
        <v>10744.5</v>
      </c>
      <c r="E117" s="129">
        <v>709.7</v>
      </c>
      <c r="F117" s="130">
        <v>0</v>
      </c>
      <c r="G117" s="130">
        <v>1315.3</v>
      </c>
      <c r="H117" s="129">
        <f t="shared" si="9"/>
        <v>144641.93333333335</v>
      </c>
      <c r="I117" s="130">
        <v>3077.2999999999997</v>
      </c>
      <c r="J117" s="130">
        <v>0</v>
      </c>
      <c r="K117" s="130">
        <v>0</v>
      </c>
      <c r="L117" s="130">
        <v>0</v>
      </c>
      <c r="M117" s="128">
        <f t="shared" si="7"/>
        <v>3077.2999999999997</v>
      </c>
    </row>
    <row r="118" spans="1:13" hidden="1">
      <c r="A118" s="1021" t="s">
        <v>43</v>
      </c>
      <c r="B118" s="130">
        <v>106649.21666666667</v>
      </c>
      <c r="C118" s="129">
        <v>19256.600000000002</v>
      </c>
      <c r="D118" s="130">
        <v>9213.8000000000011</v>
      </c>
      <c r="E118" s="129">
        <v>679.90000000000009</v>
      </c>
      <c r="F118" s="130">
        <v>0</v>
      </c>
      <c r="G118" s="130">
        <v>1271.5</v>
      </c>
      <c r="H118" s="129">
        <f t="shared" si="9"/>
        <v>137071.01666666666</v>
      </c>
      <c r="I118" s="130">
        <v>2193.7000000000003</v>
      </c>
      <c r="J118" s="130">
        <v>0</v>
      </c>
      <c r="K118" s="130">
        <v>0</v>
      </c>
      <c r="L118" s="130">
        <v>850.3</v>
      </c>
      <c r="M118" s="128">
        <f t="shared" si="7"/>
        <v>3044</v>
      </c>
    </row>
    <row r="119" spans="1:13" hidden="1">
      <c r="A119" s="1021" t="s">
        <v>44</v>
      </c>
      <c r="B119" s="130">
        <v>101633.50000000001</v>
      </c>
      <c r="C119" s="129">
        <v>19162.100000000002</v>
      </c>
      <c r="D119" s="130">
        <v>10525.8</v>
      </c>
      <c r="E119" s="129">
        <v>526.6</v>
      </c>
      <c r="F119" s="130">
        <v>0</v>
      </c>
      <c r="G119" s="130">
        <v>769.3</v>
      </c>
      <c r="H119" s="129">
        <f t="shared" si="9"/>
        <v>132617.30000000002</v>
      </c>
      <c r="I119" s="130">
        <v>3068.1</v>
      </c>
      <c r="J119" s="130">
        <v>0</v>
      </c>
      <c r="K119" s="130">
        <v>0</v>
      </c>
      <c r="L119" s="130">
        <v>0</v>
      </c>
      <c r="M119" s="128">
        <f t="shared" si="7"/>
        <v>3068.1</v>
      </c>
    </row>
    <row r="120" spans="1:13" hidden="1">
      <c r="A120" s="1021" t="s">
        <v>45</v>
      </c>
      <c r="B120" s="130">
        <v>105303.70000000001</v>
      </c>
      <c r="C120" s="129">
        <v>21794.799999999999</v>
      </c>
      <c r="D120" s="130">
        <v>7769.0999999999995</v>
      </c>
      <c r="E120" s="129">
        <v>641.30000000000007</v>
      </c>
      <c r="F120" s="130">
        <v>0</v>
      </c>
      <c r="G120" s="130">
        <v>781</v>
      </c>
      <c r="H120" s="129">
        <f t="shared" si="9"/>
        <v>136289.9</v>
      </c>
      <c r="I120" s="130">
        <v>3943.6</v>
      </c>
      <c r="J120" s="130">
        <v>0</v>
      </c>
      <c r="K120" s="130">
        <v>0</v>
      </c>
      <c r="L120" s="130">
        <v>0</v>
      </c>
      <c r="M120" s="128">
        <f t="shared" si="7"/>
        <v>3943.6</v>
      </c>
    </row>
    <row r="121" spans="1:13" hidden="1">
      <c r="A121" s="1021" t="s">
        <v>46</v>
      </c>
      <c r="B121" s="130">
        <v>100203.69999999998</v>
      </c>
      <c r="C121" s="129">
        <v>20421.599999999999</v>
      </c>
      <c r="D121" s="130">
        <v>8878.6999999999989</v>
      </c>
      <c r="E121" s="129">
        <v>722.3</v>
      </c>
      <c r="F121" s="130">
        <v>0</v>
      </c>
      <c r="G121" s="130">
        <v>781.1</v>
      </c>
      <c r="H121" s="133">
        <f t="shared" si="9"/>
        <v>131007.4</v>
      </c>
      <c r="I121" s="130">
        <v>3864.5</v>
      </c>
      <c r="J121" s="130">
        <v>0</v>
      </c>
      <c r="K121" s="130">
        <v>0</v>
      </c>
      <c r="L121" s="130">
        <v>0</v>
      </c>
      <c r="M121" s="128">
        <f t="shared" si="7"/>
        <v>3864.5</v>
      </c>
    </row>
    <row r="122" spans="1:13" hidden="1">
      <c r="A122" s="1021" t="s">
        <v>47</v>
      </c>
      <c r="B122" s="130">
        <v>97041.4</v>
      </c>
      <c r="C122" s="129">
        <v>28404.600000000002</v>
      </c>
      <c r="D122" s="130">
        <v>2647.3000000000006</v>
      </c>
      <c r="E122" s="129">
        <v>719.7</v>
      </c>
      <c r="F122" s="130">
        <v>0</v>
      </c>
      <c r="G122" s="130">
        <v>796.3</v>
      </c>
      <c r="H122" s="129">
        <f t="shared" si="9"/>
        <v>129609.3</v>
      </c>
      <c r="I122" s="130">
        <v>4516.7</v>
      </c>
      <c r="J122" s="130">
        <v>0</v>
      </c>
      <c r="K122" s="130">
        <v>0</v>
      </c>
      <c r="L122" s="130">
        <v>0</v>
      </c>
      <c r="M122" s="128">
        <f t="shared" si="7"/>
        <v>4516.7</v>
      </c>
    </row>
    <row r="123" spans="1:13" hidden="1">
      <c r="A123" s="1021" t="s">
        <v>48</v>
      </c>
      <c r="B123" s="130">
        <v>101198</v>
      </c>
      <c r="C123" s="129">
        <v>21442.5</v>
      </c>
      <c r="D123" s="130">
        <v>9606.5999999999985</v>
      </c>
      <c r="E123" s="129">
        <v>728.4</v>
      </c>
      <c r="F123" s="130">
        <v>0</v>
      </c>
      <c r="G123" s="130">
        <v>808.8</v>
      </c>
      <c r="H123" s="129">
        <f t="shared" si="9"/>
        <v>133784.29999999999</v>
      </c>
      <c r="I123" s="130">
        <v>3289</v>
      </c>
      <c r="J123" s="130">
        <v>0</v>
      </c>
      <c r="K123" s="130">
        <v>0</v>
      </c>
      <c r="L123" s="130">
        <v>0</v>
      </c>
      <c r="M123" s="128">
        <f t="shared" si="7"/>
        <v>3289</v>
      </c>
    </row>
    <row r="124" spans="1:13" hidden="1">
      <c r="A124" s="1021" t="s">
        <v>49</v>
      </c>
      <c r="B124" s="130">
        <v>63948</v>
      </c>
      <c r="C124" s="129">
        <v>23331.599999999999</v>
      </c>
      <c r="D124" s="130">
        <v>5381.8</v>
      </c>
      <c r="E124" s="129">
        <v>36967</v>
      </c>
      <c r="F124" s="130">
        <v>0</v>
      </c>
      <c r="G124" s="130">
        <v>796.6</v>
      </c>
      <c r="H124" s="129">
        <f t="shared" si="9"/>
        <v>130425.00000000001</v>
      </c>
      <c r="I124" s="130">
        <v>2252.9</v>
      </c>
      <c r="J124" s="130">
        <v>0</v>
      </c>
      <c r="K124" s="130">
        <v>0</v>
      </c>
      <c r="L124" s="130">
        <v>1093.4000000000001</v>
      </c>
      <c r="M124" s="128">
        <f t="shared" si="7"/>
        <v>3346.3</v>
      </c>
    </row>
    <row r="125" spans="1:13" hidden="1">
      <c r="A125" s="1021" t="s">
        <v>50</v>
      </c>
      <c r="B125" s="130">
        <v>103026.79999999999</v>
      </c>
      <c r="C125" s="129">
        <v>21355.599999999999</v>
      </c>
      <c r="D125" s="130">
        <v>6290.5</v>
      </c>
      <c r="E125" s="129">
        <v>723.10000000000014</v>
      </c>
      <c r="F125" s="130">
        <v>0</v>
      </c>
      <c r="G125" s="130">
        <v>811.8</v>
      </c>
      <c r="H125" s="129">
        <f t="shared" si="9"/>
        <v>132207.79999999999</v>
      </c>
      <c r="I125" s="130">
        <v>3888.3999999999996</v>
      </c>
      <c r="J125" s="130">
        <v>0</v>
      </c>
      <c r="K125" s="130">
        <v>0</v>
      </c>
      <c r="L125" s="130">
        <v>0</v>
      </c>
      <c r="M125" s="128">
        <f t="shared" si="7"/>
        <v>3888.3999999999996</v>
      </c>
    </row>
    <row r="126" spans="1:13" hidden="1">
      <c r="A126" s="222"/>
      <c r="B126" s="130"/>
      <c r="C126" s="129"/>
      <c r="D126" s="130"/>
      <c r="E126" s="129"/>
      <c r="F126" s="130"/>
      <c r="G126" s="130"/>
      <c r="H126" s="129"/>
      <c r="I126" s="130"/>
      <c r="J126" s="129"/>
      <c r="K126" s="130"/>
      <c r="L126" s="130"/>
      <c r="M126" s="128">
        <f t="shared" si="7"/>
        <v>0</v>
      </c>
    </row>
    <row r="127" spans="1:13" hidden="1">
      <c r="A127" s="1021" t="s">
        <v>54</v>
      </c>
      <c r="B127" s="130">
        <v>103159.09999999999</v>
      </c>
      <c r="C127" s="129">
        <v>23098.799999999999</v>
      </c>
      <c r="D127" s="130">
        <v>6138.2</v>
      </c>
      <c r="E127" s="129">
        <v>748.19999999999993</v>
      </c>
      <c r="F127" s="130">
        <v>0</v>
      </c>
      <c r="G127" s="130">
        <v>801.2</v>
      </c>
      <c r="H127" s="129">
        <f t="shared" ref="H127:H138" si="10">SUM(B127:G127)</f>
        <v>133945.50000000003</v>
      </c>
      <c r="I127" s="130">
        <v>3436.3999999999996</v>
      </c>
      <c r="J127" s="129">
        <v>701</v>
      </c>
      <c r="K127" s="130">
        <v>58.8</v>
      </c>
      <c r="L127" s="130">
        <v>0</v>
      </c>
      <c r="M127" s="128">
        <f t="shared" si="7"/>
        <v>4196.2</v>
      </c>
    </row>
    <row r="128" spans="1:13" hidden="1">
      <c r="A128" s="1021" t="s">
        <v>40</v>
      </c>
      <c r="B128" s="130">
        <v>108667.09999999998</v>
      </c>
      <c r="C128" s="129">
        <v>27556.400000000001</v>
      </c>
      <c r="D128" s="130">
        <v>6211.1</v>
      </c>
      <c r="E128" s="129">
        <v>649</v>
      </c>
      <c r="F128" s="130">
        <v>0</v>
      </c>
      <c r="G128" s="130">
        <v>787.1</v>
      </c>
      <c r="H128" s="129">
        <f t="shared" si="10"/>
        <v>143870.69999999998</v>
      </c>
      <c r="I128" s="130">
        <v>3405.3999999999996</v>
      </c>
      <c r="J128" s="129">
        <v>1006.3</v>
      </c>
      <c r="K128" s="130">
        <v>58.8</v>
      </c>
      <c r="L128" s="130">
        <v>0</v>
      </c>
      <c r="M128" s="128">
        <f t="shared" si="7"/>
        <v>4470.5</v>
      </c>
    </row>
    <row r="129" spans="1:13" hidden="1">
      <c r="A129" s="1021" t="s">
        <v>41</v>
      </c>
      <c r="B129" s="130">
        <v>105568.00000000001</v>
      </c>
      <c r="C129" s="129">
        <v>31952.2</v>
      </c>
      <c r="D129" s="130">
        <v>6564.4000000000005</v>
      </c>
      <c r="E129" s="129">
        <v>580.49999999999989</v>
      </c>
      <c r="F129" s="130">
        <v>0</v>
      </c>
      <c r="G129" s="130">
        <v>790.3</v>
      </c>
      <c r="H129" s="129">
        <f t="shared" si="10"/>
        <v>145455.4</v>
      </c>
      <c r="I129" s="130">
        <v>3485.9</v>
      </c>
      <c r="J129" s="129">
        <v>1060</v>
      </c>
      <c r="K129" s="130">
        <v>59.1</v>
      </c>
      <c r="L129" s="130">
        <v>0</v>
      </c>
      <c r="M129" s="128">
        <f t="shared" si="7"/>
        <v>4605</v>
      </c>
    </row>
    <row r="130" spans="1:13" hidden="1">
      <c r="A130" s="1021" t="s">
        <v>42</v>
      </c>
      <c r="B130" s="130">
        <v>119856.4</v>
      </c>
      <c r="C130" s="129">
        <v>30056</v>
      </c>
      <c r="D130" s="130">
        <v>5135.6000000000004</v>
      </c>
      <c r="E130" s="129">
        <v>591.5</v>
      </c>
      <c r="F130" s="130">
        <v>0</v>
      </c>
      <c r="G130" s="130">
        <v>790.3</v>
      </c>
      <c r="H130" s="129">
        <f t="shared" si="10"/>
        <v>156429.79999999999</v>
      </c>
      <c r="I130" s="130">
        <v>4165.8</v>
      </c>
      <c r="J130" s="129">
        <v>1775.2</v>
      </c>
      <c r="K130" s="130">
        <v>55.9</v>
      </c>
      <c r="L130" s="130">
        <v>0</v>
      </c>
      <c r="M130" s="128">
        <f t="shared" si="7"/>
        <v>5996.9</v>
      </c>
    </row>
    <row r="131" spans="1:13" hidden="1">
      <c r="A131" s="1021" t="s">
        <v>43</v>
      </c>
      <c r="B131" s="130">
        <v>110697.9</v>
      </c>
      <c r="C131" s="129">
        <v>24903.100000000002</v>
      </c>
      <c r="D131" s="130">
        <v>3905.4999999999995</v>
      </c>
      <c r="E131" s="129">
        <v>569.59999999999991</v>
      </c>
      <c r="F131" s="130">
        <v>0</v>
      </c>
      <c r="G131" s="130">
        <v>790.3</v>
      </c>
      <c r="H131" s="129">
        <f t="shared" si="10"/>
        <v>140866.4</v>
      </c>
      <c r="I131" s="130">
        <v>4930.6000000000004</v>
      </c>
      <c r="J131" s="129">
        <v>2418.8000000000002</v>
      </c>
      <c r="K131" s="130">
        <v>76.3</v>
      </c>
      <c r="L131" s="130">
        <v>0</v>
      </c>
      <c r="M131" s="128">
        <f t="shared" si="7"/>
        <v>7425.7000000000007</v>
      </c>
    </row>
    <row r="132" spans="1:13" hidden="1">
      <c r="A132" s="1021" t="s">
        <v>44</v>
      </c>
      <c r="B132" s="130">
        <v>107807</v>
      </c>
      <c r="C132" s="129">
        <v>24122.300000000003</v>
      </c>
      <c r="D132" s="130">
        <v>5605.2999999999993</v>
      </c>
      <c r="E132" s="129">
        <v>557</v>
      </c>
      <c r="F132" s="130">
        <v>0</v>
      </c>
      <c r="G132" s="130">
        <v>769.2</v>
      </c>
      <c r="H132" s="129">
        <f t="shared" si="10"/>
        <v>138860.79999999999</v>
      </c>
      <c r="I132" s="130">
        <v>4982.3999999999996</v>
      </c>
      <c r="J132" s="129">
        <v>2069.8000000000002</v>
      </c>
      <c r="K132" s="130">
        <v>58.7</v>
      </c>
      <c r="L132" s="130">
        <v>0</v>
      </c>
      <c r="M132" s="128">
        <f t="shared" si="7"/>
        <v>7110.9</v>
      </c>
    </row>
    <row r="133" spans="1:13" hidden="1">
      <c r="A133" s="1021" t="s">
        <v>45</v>
      </c>
      <c r="B133" s="130">
        <v>120855.69999999997</v>
      </c>
      <c r="C133" s="129">
        <v>29582.800000000003</v>
      </c>
      <c r="D133" s="130">
        <v>8666.9</v>
      </c>
      <c r="E133" s="129">
        <v>685.09999999999991</v>
      </c>
      <c r="F133" s="130">
        <v>0</v>
      </c>
      <c r="G133" s="130">
        <v>769.2</v>
      </c>
      <c r="H133" s="129">
        <f t="shared" si="10"/>
        <v>160559.69999999998</v>
      </c>
      <c r="I133" s="130">
        <v>4998.7</v>
      </c>
      <c r="J133" s="129">
        <v>2464.1999999999998</v>
      </c>
      <c r="K133" s="130">
        <v>197.8</v>
      </c>
      <c r="L133" s="130">
        <v>0</v>
      </c>
      <c r="M133" s="128">
        <f t="shared" si="7"/>
        <v>7660.7</v>
      </c>
    </row>
    <row r="134" spans="1:13" hidden="1">
      <c r="A134" s="1021" t="s">
        <v>46</v>
      </c>
      <c r="B134" s="130">
        <v>96864.10000000002</v>
      </c>
      <c r="C134" s="129">
        <v>25407.000000000004</v>
      </c>
      <c r="D134" s="130">
        <v>6012.1</v>
      </c>
      <c r="E134" s="129">
        <v>23010.800000000003</v>
      </c>
      <c r="F134" s="130">
        <v>0</v>
      </c>
      <c r="G134" s="130">
        <v>723.1</v>
      </c>
      <c r="H134" s="129">
        <f t="shared" si="10"/>
        <v>152017.10000000003</v>
      </c>
      <c r="I134" s="130">
        <v>3862.6</v>
      </c>
      <c r="J134" s="129">
        <v>2598.1999999999998</v>
      </c>
      <c r="K134" s="130">
        <v>56.7</v>
      </c>
      <c r="L134" s="130">
        <v>1099.0999999999999</v>
      </c>
      <c r="M134" s="128">
        <f t="shared" si="7"/>
        <v>7616.5999999999985</v>
      </c>
    </row>
    <row r="135" spans="1:13" hidden="1">
      <c r="A135" s="1021" t="s">
        <v>47</v>
      </c>
      <c r="B135" s="130">
        <v>111847.69999999998</v>
      </c>
      <c r="C135" s="129">
        <v>22312.7</v>
      </c>
      <c r="D135" s="130">
        <v>8018.4999999999991</v>
      </c>
      <c r="E135" s="129">
        <v>682.7</v>
      </c>
      <c r="F135" s="130">
        <v>0</v>
      </c>
      <c r="G135" s="130">
        <v>692.7</v>
      </c>
      <c r="H135" s="129">
        <f t="shared" si="10"/>
        <v>143554.30000000002</v>
      </c>
      <c r="I135" s="130">
        <v>4788.6000000000004</v>
      </c>
      <c r="J135" s="129">
        <v>1018.3</v>
      </c>
      <c r="K135" s="130">
        <v>0.2</v>
      </c>
      <c r="L135" s="130">
        <v>0</v>
      </c>
      <c r="M135" s="128">
        <f t="shared" si="7"/>
        <v>5807.1</v>
      </c>
    </row>
    <row r="136" spans="1:13" hidden="1">
      <c r="A136" s="1021" t="s">
        <v>48</v>
      </c>
      <c r="B136" s="130">
        <v>71839.5</v>
      </c>
      <c r="C136" s="129">
        <v>21920.600000000002</v>
      </c>
      <c r="D136" s="130">
        <v>6942.4000000000005</v>
      </c>
      <c r="E136" s="129">
        <v>48350</v>
      </c>
      <c r="F136" s="130">
        <v>0</v>
      </c>
      <c r="G136" s="130">
        <v>692.7</v>
      </c>
      <c r="H136" s="129">
        <f t="shared" si="10"/>
        <v>149745.20000000001</v>
      </c>
      <c r="I136" s="130">
        <v>3759.3</v>
      </c>
      <c r="J136" s="129">
        <v>615</v>
      </c>
      <c r="K136" s="130">
        <v>318.60000000000002</v>
      </c>
      <c r="L136" s="130">
        <v>1100.2</v>
      </c>
      <c r="M136" s="128">
        <f t="shared" si="7"/>
        <v>5793.1</v>
      </c>
    </row>
    <row r="137" spans="1:13" hidden="1">
      <c r="A137" s="1021" t="s">
        <v>49</v>
      </c>
      <c r="B137" s="130">
        <v>70579.500000000015</v>
      </c>
      <c r="C137" s="129">
        <v>22282.2</v>
      </c>
      <c r="D137" s="130">
        <v>5329.6</v>
      </c>
      <c r="E137" s="129">
        <v>41747.100000000006</v>
      </c>
      <c r="F137" s="130">
        <v>0</v>
      </c>
      <c r="G137" s="130">
        <v>684.1</v>
      </c>
      <c r="H137" s="129">
        <f t="shared" si="10"/>
        <v>140622.50000000003</v>
      </c>
      <c r="I137" s="130">
        <v>3977.6</v>
      </c>
      <c r="J137" s="129">
        <v>688</v>
      </c>
      <c r="K137" s="130">
        <v>315.10000000000002</v>
      </c>
      <c r="L137" s="130">
        <v>1100.5</v>
      </c>
      <c r="M137" s="128">
        <f t="shared" si="7"/>
        <v>6081.2000000000007</v>
      </c>
    </row>
    <row r="138" spans="1:13" hidden="1">
      <c r="A138" s="1021" t="s">
        <v>50</v>
      </c>
      <c r="B138" s="130">
        <v>73871.700000000012</v>
      </c>
      <c r="C138" s="129">
        <v>33637.5</v>
      </c>
      <c r="D138" s="130">
        <v>6898.7999999999993</v>
      </c>
      <c r="E138" s="129">
        <v>43029.1</v>
      </c>
      <c r="F138" s="130">
        <v>0</v>
      </c>
      <c r="G138" s="130">
        <v>684.1</v>
      </c>
      <c r="H138" s="129">
        <f t="shared" si="10"/>
        <v>158121.20000000001</v>
      </c>
      <c r="I138" s="130">
        <v>3824.5</v>
      </c>
      <c r="J138" s="129">
        <v>1323</v>
      </c>
      <c r="K138" s="130">
        <v>255.3</v>
      </c>
      <c r="L138" s="130">
        <v>1102.7</v>
      </c>
      <c r="M138" s="128">
        <f t="shared" si="7"/>
        <v>6505.5</v>
      </c>
    </row>
    <row r="139" spans="1:13" hidden="1">
      <c r="A139" s="1021"/>
      <c r="B139" s="130"/>
      <c r="C139" s="129"/>
      <c r="D139" s="130"/>
      <c r="E139" s="129"/>
      <c r="F139" s="130"/>
      <c r="G139" s="130"/>
      <c r="H139" s="129"/>
      <c r="I139" s="130"/>
      <c r="J139" s="129"/>
      <c r="K139" s="130"/>
      <c r="L139" s="130"/>
      <c r="M139" s="128">
        <f t="shared" si="7"/>
        <v>0</v>
      </c>
    </row>
    <row r="140" spans="1:13" hidden="1">
      <c r="A140" s="1021" t="s">
        <v>51</v>
      </c>
      <c r="B140" s="130">
        <v>73813.899999999994</v>
      </c>
      <c r="C140" s="129">
        <v>26127.699999999997</v>
      </c>
      <c r="D140" s="130">
        <v>6308.1000000000013</v>
      </c>
      <c r="E140" s="129">
        <v>45802.299999999996</v>
      </c>
      <c r="F140" s="130">
        <v>0</v>
      </c>
      <c r="G140" s="130">
        <v>684.1</v>
      </c>
      <c r="H140" s="129">
        <f t="shared" ref="H140:H151" si="11">SUM(B140:G140)</f>
        <v>152736.1</v>
      </c>
      <c r="I140" s="130">
        <v>3550.9</v>
      </c>
      <c r="J140" s="129">
        <v>1514.5</v>
      </c>
      <c r="K140" s="130">
        <v>238.1</v>
      </c>
      <c r="L140" s="130">
        <v>1103</v>
      </c>
      <c r="M140" s="128">
        <f t="shared" si="7"/>
        <v>6406.5</v>
      </c>
    </row>
    <row r="141" spans="1:13" hidden="1">
      <c r="A141" s="1021" t="s">
        <v>52</v>
      </c>
      <c r="B141" s="130">
        <v>70808.799999999988</v>
      </c>
      <c r="C141" s="129">
        <v>25351.499999999996</v>
      </c>
      <c r="D141" s="130">
        <v>7769.6999999999989</v>
      </c>
      <c r="E141" s="129">
        <v>44494.3</v>
      </c>
      <c r="F141" s="130">
        <v>0</v>
      </c>
      <c r="G141" s="130">
        <v>684.1</v>
      </c>
      <c r="H141" s="129">
        <f t="shared" si="11"/>
        <v>149108.4</v>
      </c>
      <c r="I141" s="130">
        <v>3696.3999999999996</v>
      </c>
      <c r="J141" s="129">
        <v>998.7</v>
      </c>
      <c r="K141" s="130">
        <v>164.1</v>
      </c>
      <c r="L141" s="130">
        <v>1103.7</v>
      </c>
      <c r="M141" s="128">
        <f t="shared" si="7"/>
        <v>5962.9</v>
      </c>
    </row>
    <row r="142" spans="1:13" hidden="1">
      <c r="A142" s="1021" t="s">
        <v>53</v>
      </c>
      <c r="B142" s="130">
        <v>70730.2</v>
      </c>
      <c r="C142" s="129">
        <v>22711.200000000001</v>
      </c>
      <c r="D142" s="130">
        <v>7761.5</v>
      </c>
      <c r="E142" s="129">
        <v>42388.5</v>
      </c>
      <c r="F142" s="130" t="s">
        <v>88</v>
      </c>
      <c r="G142" s="130">
        <v>684.1</v>
      </c>
      <c r="H142" s="129">
        <f t="shared" si="11"/>
        <v>144275.5</v>
      </c>
      <c r="I142" s="130">
        <v>3744.7000000000003</v>
      </c>
      <c r="J142" s="129">
        <v>198.8</v>
      </c>
      <c r="K142" s="130">
        <v>238.1</v>
      </c>
      <c r="L142" s="130">
        <v>1104.4000000000001</v>
      </c>
      <c r="M142" s="128">
        <f t="shared" si="7"/>
        <v>5286</v>
      </c>
    </row>
    <row r="143" spans="1:13" hidden="1">
      <c r="A143" s="1021" t="s">
        <v>603</v>
      </c>
      <c r="B143" s="130">
        <v>73202.600000000006</v>
      </c>
      <c r="C143" s="129">
        <v>26905.899999999998</v>
      </c>
      <c r="D143" s="130">
        <v>5622</v>
      </c>
      <c r="E143" s="129">
        <v>45293.1</v>
      </c>
      <c r="F143" s="130" t="s">
        <v>88</v>
      </c>
      <c r="G143" s="130">
        <v>7.6</v>
      </c>
      <c r="H143" s="129">
        <f t="shared" si="11"/>
        <v>151031.20000000001</v>
      </c>
      <c r="I143" s="130">
        <v>3977.1</v>
      </c>
      <c r="J143" s="129">
        <v>398.3</v>
      </c>
      <c r="K143" s="130">
        <v>476.3</v>
      </c>
      <c r="L143" s="130">
        <v>1166.2</v>
      </c>
      <c r="M143" s="128">
        <f t="shared" si="7"/>
        <v>6017.9</v>
      </c>
    </row>
    <row r="144" spans="1:13" hidden="1">
      <c r="A144" s="1021" t="s">
        <v>609</v>
      </c>
      <c r="B144" s="130">
        <v>72216.000000000015</v>
      </c>
      <c r="C144" s="129">
        <v>22360.3</v>
      </c>
      <c r="D144" s="130">
        <v>4383.2</v>
      </c>
      <c r="E144" s="129">
        <v>38479.599999999999</v>
      </c>
      <c r="F144" s="130" t="s">
        <v>88</v>
      </c>
      <c r="G144" s="130">
        <v>7.6</v>
      </c>
      <c r="H144" s="129">
        <f t="shared" si="11"/>
        <v>137446.70000000001</v>
      </c>
      <c r="I144" s="130">
        <v>4021.2</v>
      </c>
      <c r="J144" s="129">
        <v>243.1</v>
      </c>
      <c r="K144" s="130">
        <v>30</v>
      </c>
      <c r="L144" s="130">
        <v>1169.3</v>
      </c>
      <c r="M144" s="128">
        <f t="shared" si="7"/>
        <v>5463.6</v>
      </c>
    </row>
    <row r="145" spans="1:13" hidden="1">
      <c r="A145" s="1021" t="s">
        <v>44</v>
      </c>
      <c r="B145" s="130">
        <v>73692.7</v>
      </c>
      <c r="C145" s="129">
        <v>21336.9</v>
      </c>
      <c r="D145" s="130">
        <v>5543</v>
      </c>
      <c r="E145" s="129">
        <v>30067.399999999998</v>
      </c>
      <c r="F145" s="130" t="s">
        <v>88</v>
      </c>
      <c r="G145" s="130">
        <v>8</v>
      </c>
      <c r="H145" s="129">
        <f t="shared" si="11"/>
        <v>130648</v>
      </c>
      <c r="I145" s="130">
        <v>3908.8999999999996</v>
      </c>
      <c r="J145" s="129">
        <v>244.1</v>
      </c>
      <c r="K145" s="130">
        <v>30.8</v>
      </c>
      <c r="L145" s="130">
        <v>1409.8</v>
      </c>
      <c r="M145" s="128">
        <f t="shared" si="7"/>
        <v>5593.6</v>
      </c>
    </row>
    <row r="146" spans="1:13" hidden="1">
      <c r="A146" s="1021" t="s">
        <v>617</v>
      </c>
      <c r="B146" s="130">
        <v>73049.399999999994</v>
      </c>
      <c r="C146" s="129">
        <v>21338.800000000003</v>
      </c>
      <c r="D146" s="130">
        <v>8613.5</v>
      </c>
      <c r="E146" s="129">
        <v>34693.4</v>
      </c>
      <c r="F146" s="130" t="s">
        <v>88</v>
      </c>
      <c r="G146" s="130">
        <v>8</v>
      </c>
      <c r="H146" s="129">
        <f t="shared" si="11"/>
        <v>137703.1</v>
      </c>
      <c r="I146" s="130">
        <v>4325.8</v>
      </c>
      <c r="J146" s="130" t="s">
        <v>88</v>
      </c>
      <c r="K146" s="130" t="s">
        <v>88</v>
      </c>
      <c r="L146" s="130">
        <v>1603.9</v>
      </c>
      <c r="M146" s="128">
        <f t="shared" si="7"/>
        <v>5929.7000000000007</v>
      </c>
    </row>
    <row r="147" spans="1:13" hidden="1">
      <c r="A147" s="1021" t="s">
        <v>624</v>
      </c>
      <c r="B147" s="130">
        <v>75030.5</v>
      </c>
      <c r="C147" s="129">
        <v>24707.899999999998</v>
      </c>
      <c r="D147" s="130">
        <v>7967.9000000000005</v>
      </c>
      <c r="E147" s="129">
        <v>35963</v>
      </c>
      <c r="F147" s="130" t="s">
        <v>88</v>
      </c>
      <c r="G147" s="130">
        <v>8</v>
      </c>
      <c r="H147" s="129">
        <f t="shared" si="11"/>
        <v>143677.29999999999</v>
      </c>
      <c r="I147" s="130">
        <v>3830.3</v>
      </c>
      <c r="J147" s="130" t="s">
        <v>88</v>
      </c>
      <c r="K147" s="130" t="s">
        <v>88</v>
      </c>
      <c r="L147" s="130">
        <v>1608</v>
      </c>
      <c r="M147" s="128">
        <f t="shared" si="7"/>
        <v>5438.3</v>
      </c>
    </row>
    <row r="148" spans="1:13" hidden="1">
      <c r="A148" s="1021" t="s">
        <v>47</v>
      </c>
      <c r="B148" s="130">
        <v>74071.8</v>
      </c>
      <c r="C148" s="129">
        <v>23412.3</v>
      </c>
      <c r="D148" s="130">
        <v>3366.2000000000007</v>
      </c>
      <c r="E148" s="129">
        <v>34361.1</v>
      </c>
      <c r="F148" s="130" t="s">
        <v>88</v>
      </c>
      <c r="G148" s="130">
        <v>8</v>
      </c>
      <c r="H148" s="129">
        <f t="shared" si="11"/>
        <v>135219.4</v>
      </c>
      <c r="I148" s="130">
        <v>3757.9000000000005</v>
      </c>
      <c r="J148" s="130" t="s">
        <v>88</v>
      </c>
      <c r="K148" s="130" t="s">
        <v>88</v>
      </c>
      <c r="L148" s="130">
        <v>1717.8</v>
      </c>
      <c r="M148" s="128">
        <f t="shared" si="7"/>
        <v>5475.7000000000007</v>
      </c>
    </row>
    <row r="149" spans="1:13" hidden="1">
      <c r="A149" s="1021" t="s">
        <v>631</v>
      </c>
      <c r="B149" s="130">
        <v>72015.400000000009</v>
      </c>
      <c r="C149" s="129">
        <v>19051.7</v>
      </c>
      <c r="D149" s="130">
        <v>4912.3</v>
      </c>
      <c r="E149" s="129">
        <v>33120.199999999997</v>
      </c>
      <c r="F149" s="130" t="s">
        <v>88</v>
      </c>
      <c r="G149" s="130">
        <v>8</v>
      </c>
      <c r="H149" s="129">
        <f t="shared" si="11"/>
        <v>129107.6</v>
      </c>
      <c r="I149" s="130">
        <v>4303.7</v>
      </c>
      <c r="J149" s="130" t="s">
        <v>88</v>
      </c>
      <c r="K149" s="130" t="s">
        <v>88</v>
      </c>
      <c r="L149" s="130">
        <v>1721.1</v>
      </c>
      <c r="M149" s="128">
        <f t="shared" si="7"/>
        <v>6024.7999999999993</v>
      </c>
    </row>
    <row r="150" spans="1:13" hidden="1">
      <c r="A150" s="1021" t="s">
        <v>654</v>
      </c>
      <c r="B150" s="130">
        <v>54393</v>
      </c>
      <c r="C150" s="129">
        <v>33998.199999999997</v>
      </c>
      <c r="D150" s="130">
        <v>3332.4</v>
      </c>
      <c r="E150" s="129">
        <v>32387.199999999997</v>
      </c>
      <c r="F150" s="130" t="s">
        <v>88</v>
      </c>
      <c r="G150" s="130">
        <v>67.600000000000009</v>
      </c>
      <c r="H150" s="129">
        <f t="shared" si="11"/>
        <v>124178.4</v>
      </c>
      <c r="I150" s="130">
        <v>5113.6000000000004</v>
      </c>
      <c r="J150" s="129">
        <v>8225.9</v>
      </c>
      <c r="K150" s="130">
        <v>3301.1</v>
      </c>
      <c r="L150" s="130">
        <v>1316.8999999999999</v>
      </c>
      <c r="M150" s="128">
        <f t="shared" si="7"/>
        <v>17957.5</v>
      </c>
    </row>
    <row r="151" spans="1:13" hidden="1">
      <c r="A151" s="1021" t="s">
        <v>665</v>
      </c>
      <c r="B151" s="130">
        <v>53895.1</v>
      </c>
      <c r="C151" s="129">
        <v>41922.499999999993</v>
      </c>
      <c r="D151" s="130">
        <v>2805.9999999999995</v>
      </c>
      <c r="E151" s="129">
        <v>21108.899999999998</v>
      </c>
      <c r="F151" s="130">
        <v>42.2</v>
      </c>
      <c r="G151" s="130">
        <v>69.900000000000006</v>
      </c>
      <c r="H151" s="129">
        <f t="shared" si="11"/>
        <v>119844.59999999998</v>
      </c>
      <c r="I151" s="130">
        <v>4997.8</v>
      </c>
      <c r="J151" s="129">
        <v>7233.0999999999995</v>
      </c>
      <c r="K151" s="130">
        <v>1770.9</v>
      </c>
      <c r="L151" s="130">
        <v>1405.4</v>
      </c>
      <c r="M151" s="128">
        <f t="shared" si="7"/>
        <v>15407.199999999999</v>
      </c>
    </row>
    <row r="152" spans="1:13" hidden="1">
      <c r="A152" s="1021"/>
      <c r="B152" s="130"/>
      <c r="C152" s="129"/>
      <c r="D152" s="130"/>
      <c r="E152" s="129"/>
      <c r="F152" s="130"/>
      <c r="G152" s="130"/>
      <c r="H152" s="129"/>
      <c r="I152" s="130"/>
      <c r="J152" s="129"/>
      <c r="K152" s="130"/>
      <c r="L152" s="130"/>
      <c r="M152" s="128">
        <f t="shared" ref="M152:M164" si="12">SUM(I152:L152)</f>
        <v>0</v>
      </c>
    </row>
    <row r="153" spans="1:13" hidden="1">
      <c r="A153" s="1021" t="s">
        <v>39</v>
      </c>
      <c r="B153" s="130">
        <v>55790.599999999991</v>
      </c>
      <c r="C153" s="129">
        <v>41719</v>
      </c>
      <c r="D153" s="130">
        <v>1833.3999999999996</v>
      </c>
      <c r="E153" s="129">
        <v>20256.900000000001</v>
      </c>
      <c r="F153" s="130">
        <v>0.2</v>
      </c>
      <c r="G153" s="130">
        <v>70</v>
      </c>
      <c r="H153" s="129">
        <f t="shared" ref="H153:H164" si="13">SUM(B153:G153)</f>
        <v>119670.09999999999</v>
      </c>
      <c r="I153" s="130">
        <v>6112.9</v>
      </c>
      <c r="J153" s="129">
        <v>5733.0999999999995</v>
      </c>
      <c r="K153" s="130">
        <v>1976.4</v>
      </c>
      <c r="L153" s="130">
        <v>1376.6</v>
      </c>
      <c r="M153" s="128">
        <f t="shared" si="12"/>
        <v>15199</v>
      </c>
    </row>
    <row r="154" spans="1:13" hidden="1">
      <c r="A154" s="1021" t="s">
        <v>677</v>
      </c>
      <c r="B154" s="130">
        <v>55445.7</v>
      </c>
      <c r="C154" s="129">
        <v>38956.9</v>
      </c>
      <c r="D154" s="130">
        <v>755.30000000000018</v>
      </c>
      <c r="E154" s="129">
        <v>20985.1</v>
      </c>
      <c r="F154" s="130">
        <v>0.1</v>
      </c>
      <c r="G154" s="130">
        <v>70.400000000000006</v>
      </c>
      <c r="H154" s="129">
        <f t="shared" si="13"/>
        <v>116213.5</v>
      </c>
      <c r="I154" s="130">
        <v>4960.5</v>
      </c>
      <c r="J154" s="129">
        <v>7060.3</v>
      </c>
      <c r="K154" s="130">
        <v>6227.5999999999995</v>
      </c>
      <c r="L154" s="130">
        <v>1333.8</v>
      </c>
      <c r="M154" s="128">
        <f t="shared" si="12"/>
        <v>19582.199999999997</v>
      </c>
    </row>
    <row r="155" spans="1:13" hidden="1">
      <c r="A155" s="1021" t="s">
        <v>65</v>
      </c>
      <c r="B155" s="130">
        <v>55437.3</v>
      </c>
      <c r="C155" s="129">
        <v>31312.5</v>
      </c>
      <c r="D155" s="130">
        <v>1348.6000000000001</v>
      </c>
      <c r="E155" s="129">
        <v>12206.4</v>
      </c>
      <c r="F155" s="130">
        <v>0.2</v>
      </c>
      <c r="G155" s="130">
        <v>72.800000000000011</v>
      </c>
      <c r="H155" s="129">
        <f t="shared" si="13"/>
        <v>100377.8</v>
      </c>
      <c r="I155" s="130">
        <v>3783.4</v>
      </c>
      <c r="J155" s="129">
        <v>2757.4</v>
      </c>
      <c r="K155" s="130">
        <v>6063.3</v>
      </c>
      <c r="L155" s="130">
        <v>5432.6</v>
      </c>
      <c r="M155" s="128">
        <f t="shared" si="12"/>
        <v>18036.7</v>
      </c>
    </row>
    <row r="156" spans="1:13" hidden="1">
      <c r="A156" s="1021" t="s">
        <v>692</v>
      </c>
      <c r="B156" s="130">
        <v>50870.8</v>
      </c>
      <c r="C156" s="129">
        <v>40306.800000000003</v>
      </c>
      <c r="D156" s="130">
        <v>2553.3000000000002</v>
      </c>
      <c r="E156" s="129">
        <v>13122.400000000001</v>
      </c>
      <c r="F156" s="130">
        <v>0.29999999999999571</v>
      </c>
      <c r="G156" s="130">
        <v>74</v>
      </c>
      <c r="H156" s="129">
        <f t="shared" si="13"/>
        <v>106927.60000000002</v>
      </c>
      <c r="I156" s="130">
        <v>3688.2</v>
      </c>
      <c r="J156" s="129">
        <v>6367.7000000000007</v>
      </c>
      <c r="K156" s="130">
        <v>5860.8999999999987</v>
      </c>
      <c r="L156" s="130">
        <v>241.5</v>
      </c>
      <c r="M156" s="128">
        <f t="shared" si="12"/>
        <v>16158.3</v>
      </c>
    </row>
    <row r="157" spans="1:13" hidden="1">
      <c r="A157" s="1021" t="s">
        <v>700</v>
      </c>
      <c r="B157" s="130">
        <v>51582.299999999996</v>
      </c>
      <c r="C157" s="129">
        <v>31755.600000000002</v>
      </c>
      <c r="D157" s="130">
        <v>640.80000000000007</v>
      </c>
      <c r="E157" s="129">
        <v>11274.400000000001</v>
      </c>
      <c r="F157" s="130">
        <v>40.700000000000003</v>
      </c>
      <c r="G157" s="130">
        <v>72.7</v>
      </c>
      <c r="H157" s="129">
        <f t="shared" si="13"/>
        <v>95366.5</v>
      </c>
      <c r="I157" s="130">
        <v>3813.1000000000004</v>
      </c>
      <c r="J157" s="129">
        <v>6456.6</v>
      </c>
      <c r="K157" s="130">
        <v>6036</v>
      </c>
      <c r="L157" s="130">
        <v>131.19999999999999</v>
      </c>
      <c r="M157" s="128">
        <f t="shared" si="12"/>
        <v>16436.900000000001</v>
      </c>
    </row>
    <row r="158" spans="1:13" hidden="1">
      <c r="A158" s="1021" t="s">
        <v>711</v>
      </c>
      <c r="B158" s="130">
        <v>57067.9</v>
      </c>
      <c r="C158" s="129">
        <v>29529</v>
      </c>
      <c r="D158" s="130">
        <v>2371.3999999999996</v>
      </c>
      <c r="E158" s="129">
        <v>9249.5</v>
      </c>
      <c r="F158" s="130">
        <v>40.799999999999997</v>
      </c>
      <c r="G158" s="130">
        <v>72.5</v>
      </c>
      <c r="H158" s="129">
        <f t="shared" si="13"/>
        <v>98331.099999999991</v>
      </c>
      <c r="I158" s="130">
        <v>3647.6000000000004</v>
      </c>
      <c r="J158" s="129">
        <v>6265.9</v>
      </c>
      <c r="K158" s="130">
        <v>5734.7</v>
      </c>
      <c r="L158" s="130">
        <v>2.7</v>
      </c>
      <c r="M158" s="128">
        <f t="shared" si="12"/>
        <v>15650.900000000001</v>
      </c>
    </row>
    <row r="159" spans="1:13">
      <c r="A159" s="1021" t="s">
        <v>730</v>
      </c>
      <c r="B159" s="130">
        <v>46612.9</v>
      </c>
      <c r="C159" s="129">
        <v>34038.299999999996</v>
      </c>
      <c r="D159" s="130">
        <v>2492.8999999999996</v>
      </c>
      <c r="E159" s="129">
        <v>12387.199999999999</v>
      </c>
      <c r="F159" s="130">
        <v>41</v>
      </c>
      <c r="G159" s="130">
        <v>72.800000000000011</v>
      </c>
      <c r="H159" s="129">
        <f t="shared" si="13"/>
        <v>95645.099999999991</v>
      </c>
      <c r="I159" s="130">
        <v>3764.7000000000003</v>
      </c>
      <c r="J159" s="129">
        <v>2321.8000000000002</v>
      </c>
      <c r="K159" s="130">
        <v>1077.3</v>
      </c>
      <c r="L159" s="130">
        <v>5425.4</v>
      </c>
      <c r="M159" s="128">
        <f t="shared" si="12"/>
        <v>12589.2</v>
      </c>
    </row>
    <row r="160" spans="1:13">
      <c r="A160" s="1021" t="s">
        <v>46</v>
      </c>
      <c r="B160" s="130">
        <v>40959.400000000009</v>
      </c>
      <c r="C160" s="129">
        <v>38081.800000000003</v>
      </c>
      <c r="D160" s="130">
        <v>2398.3000000000002</v>
      </c>
      <c r="E160" s="129">
        <v>7931.7000000000007</v>
      </c>
      <c r="F160" s="130">
        <v>0.30000000000000004</v>
      </c>
      <c r="G160" s="130">
        <v>73.5</v>
      </c>
      <c r="H160" s="129">
        <f t="shared" si="13"/>
        <v>89445.000000000015</v>
      </c>
      <c r="I160" s="130">
        <v>3442.1</v>
      </c>
      <c r="J160" s="129">
        <v>2967.4</v>
      </c>
      <c r="K160" s="130">
        <v>890.2</v>
      </c>
      <c r="L160" s="130">
        <v>5419.3</v>
      </c>
      <c r="M160" s="128">
        <f t="shared" si="12"/>
        <v>12719</v>
      </c>
    </row>
    <row r="161" spans="1:13">
      <c r="A161" s="1021" t="s">
        <v>47</v>
      </c>
      <c r="B161" s="130">
        <v>35650.699999999997</v>
      </c>
      <c r="C161" s="129">
        <v>45148.800000000003</v>
      </c>
      <c r="D161" s="130">
        <v>2606.0000000000005</v>
      </c>
      <c r="E161" s="129">
        <v>11505.2</v>
      </c>
      <c r="F161" s="130">
        <v>0.30000000000000104</v>
      </c>
      <c r="G161" s="130">
        <v>74.3</v>
      </c>
      <c r="H161" s="129">
        <f t="shared" si="13"/>
        <v>94985.3</v>
      </c>
      <c r="I161" s="130">
        <v>3580.3999999999996</v>
      </c>
      <c r="J161" s="129">
        <v>5977.8</v>
      </c>
      <c r="K161" s="130">
        <v>723.7</v>
      </c>
      <c r="L161" s="130">
        <v>1785.1</v>
      </c>
      <c r="M161" s="128">
        <f t="shared" si="12"/>
        <v>12067.000000000002</v>
      </c>
    </row>
    <row r="162" spans="1:13">
      <c r="A162" s="1021" t="s">
        <v>48</v>
      </c>
      <c r="B162" s="130">
        <v>46337.599999999991</v>
      </c>
      <c r="C162" s="129">
        <v>38419.699999999997</v>
      </c>
      <c r="D162" s="130">
        <v>2170.1999999999998</v>
      </c>
      <c r="E162" s="129">
        <v>3543.1</v>
      </c>
      <c r="F162" s="130">
        <v>0.2</v>
      </c>
      <c r="G162" s="130">
        <v>72.900000000000006</v>
      </c>
      <c r="H162" s="129">
        <f t="shared" si="13"/>
        <v>90543.699999999983</v>
      </c>
      <c r="I162" s="130">
        <v>3526.7</v>
      </c>
      <c r="J162" s="129">
        <v>6443.2</v>
      </c>
      <c r="K162" s="130">
        <v>928.4</v>
      </c>
      <c r="L162" s="130">
        <v>1093</v>
      </c>
      <c r="M162" s="128">
        <f t="shared" si="12"/>
        <v>11991.3</v>
      </c>
    </row>
    <row r="163" spans="1:13">
      <c r="A163" s="1021" t="s">
        <v>49</v>
      </c>
      <c r="B163" s="130">
        <v>44027.3</v>
      </c>
      <c r="C163" s="129">
        <v>35831.1</v>
      </c>
      <c r="D163" s="130">
        <v>2449.9</v>
      </c>
      <c r="E163" s="129">
        <v>7129.8999999999987</v>
      </c>
      <c r="F163" s="130">
        <v>0.2</v>
      </c>
      <c r="G163" s="130">
        <v>70.8</v>
      </c>
      <c r="H163" s="129">
        <f t="shared" si="13"/>
        <v>89509.199999999983</v>
      </c>
      <c r="I163" s="130">
        <v>3956.4</v>
      </c>
      <c r="J163" s="129">
        <v>6305.4</v>
      </c>
      <c r="K163" s="130">
        <v>659.4</v>
      </c>
      <c r="L163" s="130">
        <v>1037.3</v>
      </c>
      <c r="M163" s="128">
        <f t="shared" si="12"/>
        <v>11958.499999999998</v>
      </c>
    </row>
    <row r="164" spans="1:13">
      <c r="A164" s="1021" t="s">
        <v>50</v>
      </c>
      <c r="B164" s="130">
        <v>44907.199999999997</v>
      </c>
      <c r="C164" s="129">
        <v>27568.199999999997</v>
      </c>
      <c r="D164" s="130">
        <v>1049.2999999999997</v>
      </c>
      <c r="E164" s="129">
        <v>7985.4999999999991</v>
      </c>
      <c r="F164" s="130">
        <v>0.30000000000000004</v>
      </c>
      <c r="G164" s="130">
        <v>70.5</v>
      </c>
      <c r="H164" s="129">
        <f t="shared" si="13"/>
        <v>81581</v>
      </c>
      <c r="I164" s="130">
        <v>4011.7</v>
      </c>
      <c r="J164" s="129">
        <v>6054.4000000000005</v>
      </c>
      <c r="K164" s="130">
        <v>1281.8</v>
      </c>
      <c r="L164" s="130">
        <v>1041.0999999999999</v>
      </c>
      <c r="M164" s="128">
        <f t="shared" si="12"/>
        <v>12389</v>
      </c>
    </row>
    <row r="165" spans="1:13">
      <c r="A165" s="1021"/>
      <c r="B165" s="130"/>
      <c r="C165" s="129"/>
      <c r="D165" s="130"/>
      <c r="E165" s="129"/>
      <c r="F165" s="130"/>
      <c r="G165" s="130"/>
      <c r="H165" s="129"/>
      <c r="I165" s="130"/>
      <c r="J165" s="129"/>
      <c r="K165" s="130"/>
      <c r="L165" s="130"/>
      <c r="M165" s="128"/>
    </row>
    <row r="166" spans="1:13">
      <c r="A166" s="1021" t="s">
        <v>36</v>
      </c>
      <c r="B166" s="130">
        <v>46887.399999999994</v>
      </c>
      <c r="C166" s="129">
        <v>27862.9</v>
      </c>
      <c r="D166" s="130">
        <v>1979</v>
      </c>
      <c r="E166" s="129">
        <v>29056.3</v>
      </c>
      <c r="F166" s="130">
        <v>0.30000000000000004</v>
      </c>
      <c r="G166" s="130">
        <v>63.5</v>
      </c>
      <c r="H166" s="129">
        <f t="shared" ref="H166:H185" si="14">SUM(B166:G166)</f>
        <v>105849.4</v>
      </c>
      <c r="I166" s="130">
        <v>4465.4000000000005</v>
      </c>
      <c r="J166" s="129">
        <v>6165.6</v>
      </c>
      <c r="K166" s="130">
        <v>159.5</v>
      </c>
      <c r="L166" s="130">
        <v>28.2</v>
      </c>
      <c r="M166" s="128">
        <f t="shared" ref="M166:M185" si="15">SUM(I166:L166)</f>
        <v>10818.7</v>
      </c>
    </row>
    <row r="167" spans="1:13">
      <c r="A167" s="1021" t="s">
        <v>37</v>
      </c>
      <c r="B167" s="130">
        <v>51788.2</v>
      </c>
      <c r="C167" s="129">
        <v>28744</v>
      </c>
      <c r="D167" s="130">
        <v>1473.8000000000002</v>
      </c>
      <c r="E167" s="129">
        <v>25290.199999999997</v>
      </c>
      <c r="F167" s="130">
        <v>1.3</v>
      </c>
      <c r="G167" s="130">
        <v>63.1</v>
      </c>
      <c r="H167" s="129">
        <f t="shared" si="14"/>
        <v>107360.6</v>
      </c>
      <c r="I167" s="130">
        <v>3982.9</v>
      </c>
      <c r="J167" s="129">
        <v>6187</v>
      </c>
      <c r="K167" s="130">
        <v>578.6</v>
      </c>
      <c r="L167" s="130">
        <v>28.1</v>
      </c>
      <c r="M167" s="128">
        <f t="shared" si="15"/>
        <v>10776.6</v>
      </c>
    </row>
    <row r="168" spans="1:13">
      <c r="A168" s="1021" t="s">
        <v>38</v>
      </c>
      <c r="B168" s="130">
        <v>52038.700000000004</v>
      </c>
      <c r="C168" s="129">
        <v>28593.099999999995</v>
      </c>
      <c r="D168" s="130">
        <v>5683.5</v>
      </c>
      <c r="E168" s="129">
        <v>24177.1</v>
      </c>
      <c r="F168" s="130">
        <v>1.3</v>
      </c>
      <c r="G168" s="130">
        <v>63.8</v>
      </c>
      <c r="H168" s="129">
        <f t="shared" si="14"/>
        <v>110557.5</v>
      </c>
      <c r="I168" s="130">
        <v>3681.2999999999997</v>
      </c>
      <c r="J168" s="129">
        <v>6397.9000000000005</v>
      </c>
      <c r="K168" s="130">
        <v>582.29999999999995</v>
      </c>
      <c r="L168" s="130">
        <v>28.4</v>
      </c>
      <c r="M168" s="128">
        <f t="shared" si="15"/>
        <v>10689.9</v>
      </c>
    </row>
    <row r="169" spans="1:13">
      <c r="A169" s="1021" t="s">
        <v>42</v>
      </c>
      <c r="B169" s="130">
        <v>53364.200000000004</v>
      </c>
      <c r="C169" s="129">
        <v>27501.4</v>
      </c>
      <c r="D169" s="130">
        <v>5315.1</v>
      </c>
      <c r="E169" s="129">
        <v>28959.8</v>
      </c>
      <c r="F169" s="130">
        <v>1.3</v>
      </c>
      <c r="G169" s="130">
        <v>0</v>
      </c>
      <c r="H169" s="129">
        <f t="shared" si="14"/>
        <v>115141.80000000002</v>
      </c>
      <c r="I169" s="130">
        <v>3771.5</v>
      </c>
      <c r="J169" s="129">
        <v>7447.8</v>
      </c>
      <c r="K169" s="130">
        <v>612.90000000000009</v>
      </c>
      <c r="L169" s="130">
        <v>2.8</v>
      </c>
      <c r="M169" s="128">
        <f t="shared" si="15"/>
        <v>11834.999999999998</v>
      </c>
    </row>
    <row r="170" spans="1:13">
      <c r="A170" s="1021" t="s">
        <v>607</v>
      </c>
      <c r="B170" s="130">
        <v>56337.599999999999</v>
      </c>
      <c r="C170" s="129">
        <v>26477.1</v>
      </c>
      <c r="D170" s="130">
        <v>7722</v>
      </c>
      <c r="E170" s="129">
        <v>36364.400000000001</v>
      </c>
      <c r="F170" s="130">
        <v>1.4</v>
      </c>
      <c r="G170" s="130">
        <v>0</v>
      </c>
      <c r="H170" s="129">
        <f t="shared" si="14"/>
        <v>126902.5</v>
      </c>
      <c r="I170" s="130">
        <v>3587.2</v>
      </c>
      <c r="J170" s="129">
        <v>6736.5000000000009</v>
      </c>
      <c r="K170" s="130">
        <v>594.09999999999991</v>
      </c>
      <c r="L170" s="130">
        <v>934.9</v>
      </c>
      <c r="M170" s="128">
        <f t="shared" si="15"/>
        <v>11852.7</v>
      </c>
    </row>
    <row r="171" spans="1:13">
      <c r="A171" s="1021" t="s">
        <v>62</v>
      </c>
      <c r="B171" s="130">
        <v>55237.500000000007</v>
      </c>
      <c r="C171" s="129">
        <v>28654.1</v>
      </c>
      <c r="D171" s="130">
        <v>11090.9</v>
      </c>
      <c r="E171" s="129">
        <v>30793.7</v>
      </c>
      <c r="F171" s="130">
        <v>1.3</v>
      </c>
      <c r="G171" s="130">
        <v>0</v>
      </c>
      <c r="H171" s="129">
        <f t="shared" si="14"/>
        <v>125777.5</v>
      </c>
      <c r="I171" s="130">
        <v>3362.3</v>
      </c>
      <c r="J171" s="129">
        <v>11046.400000000001</v>
      </c>
      <c r="K171" s="130">
        <v>600.79999999999995</v>
      </c>
      <c r="L171" s="130">
        <v>28.8</v>
      </c>
      <c r="M171" s="128">
        <f t="shared" si="15"/>
        <v>15038.3</v>
      </c>
    </row>
    <row r="172" spans="1:13">
      <c r="A172" s="1021" t="s">
        <v>614</v>
      </c>
      <c r="B172" s="130">
        <v>56090.200000000004</v>
      </c>
      <c r="C172" s="129">
        <v>33286.300000000003</v>
      </c>
      <c r="D172" s="130">
        <v>10678.9</v>
      </c>
      <c r="E172" s="129">
        <v>32124.1</v>
      </c>
      <c r="F172" s="130">
        <v>1.3</v>
      </c>
      <c r="G172" s="130">
        <v>0</v>
      </c>
      <c r="H172" s="129">
        <f t="shared" si="14"/>
        <v>132180.79999999999</v>
      </c>
      <c r="I172" s="130">
        <v>3625.6000000000004</v>
      </c>
      <c r="J172" s="129">
        <v>11102.2</v>
      </c>
      <c r="K172" s="130">
        <v>687.90000000000009</v>
      </c>
      <c r="L172" s="130">
        <v>697.6</v>
      </c>
      <c r="M172" s="128">
        <f t="shared" si="15"/>
        <v>16113.300000000001</v>
      </c>
    </row>
    <row r="173" spans="1:13">
      <c r="A173" s="1021" t="s">
        <v>625</v>
      </c>
      <c r="B173" s="130">
        <v>56968.599999999991</v>
      </c>
      <c r="C173" s="130">
        <v>29880.799999999999</v>
      </c>
      <c r="D173" s="130">
        <v>13135.6</v>
      </c>
      <c r="E173" s="130">
        <v>31731.699999999997</v>
      </c>
      <c r="F173" s="130">
        <v>0.4</v>
      </c>
      <c r="G173" s="130">
        <v>0</v>
      </c>
      <c r="H173" s="129">
        <f t="shared" si="14"/>
        <v>131717.1</v>
      </c>
      <c r="I173" s="130">
        <v>4011.7</v>
      </c>
      <c r="J173" s="129">
        <v>8990.8000000000011</v>
      </c>
      <c r="K173" s="130">
        <v>331.5</v>
      </c>
      <c r="L173" s="130">
        <v>727</v>
      </c>
      <c r="M173" s="128">
        <f t="shared" si="15"/>
        <v>14061</v>
      </c>
    </row>
    <row r="174" spans="1:13">
      <c r="A174" s="1021" t="s">
        <v>630</v>
      </c>
      <c r="B174" s="130">
        <v>42045.5</v>
      </c>
      <c r="C174" s="130">
        <v>40638.899999999994</v>
      </c>
      <c r="D174" s="130">
        <v>13509.300000000001</v>
      </c>
      <c r="E174" s="130">
        <v>32220.5</v>
      </c>
      <c r="F174" s="822">
        <v>1.4</v>
      </c>
      <c r="G174" s="822">
        <v>0</v>
      </c>
      <c r="H174" s="129">
        <f t="shared" si="14"/>
        <v>128415.59999999999</v>
      </c>
      <c r="I174" s="130">
        <v>4093.4</v>
      </c>
      <c r="J174" s="130">
        <v>8373.6</v>
      </c>
      <c r="K174" s="130">
        <f>317.8+0.4</f>
        <v>318.2</v>
      </c>
      <c r="L174" s="130">
        <f>1027.8+0.1</f>
        <v>1027.8999999999999</v>
      </c>
      <c r="M174" s="128">
        <f t="shared" si="15"/>
        <v>13813.1</v>
      </c>
    </row>
    <row r="175" spans="1:13">
      <c r="A175" s="1021" t="s">
        <v>635</v>
      </c>
      <c r="B175" s="130">
        <v>58458.400000000001</v>
      </c>
      <c r="C175" s="129">
        <v>32774.199999999997</v>
      </c>
      <c r="D175" s="130">
        <v>12971.4</v>
      </c>
      <c r="E175" s="129">
        <v>35245.800000000003</v>
      </c>
      <c r="F175" s="822">
        <v>0.4</v>
      </c>
      <c r="G175" s="822">
        <v>0</v>
      </c>
      <c r="H175" s="129">
        <f t="shared" si="14"/>
        <v>139450.19999999998</v>
      </c>
      <c r="I175" s="130">
        <v>4096.8</v>
      </c>
      <c r="J175" s="129">
        <v>14634.8</v>
      </c>
      <c r="K175" s="130">
        <v>287.3</v>
      </c>
      <c r="L175" s="130">
        <v>706.1</v>
      </c>
      <c r="M175" s="128">
        <f t="shared" si="15"/>
        <v>19724.999999999996</v>
      </c>
    </row>
    <row r="176" spans="1:13">
      <c r="A176" s="1021" t="s">
        <v>656</v>
      </c>
      <c r="B176" s="130">
        <v>63090.1</v>
      </c>
      <c r="C176" s="129">
        <v>35798.699999999997</v>
      </c>
      <c r="D176" s="130">
        <v>13081.4</v>
      </c>
      <c r="E176" s="129">
        <v>33674.299999999996</v>
      </c>
      <c r="F176" s="822">
        <v>1.4</v>
      </c>
      <c r="G176" s="822">
        <v>0</v>
      </c>
      <c r="H176" s="129">
        <f t="shared" si="14"/>
        <v>145645.89999999997</v>
      </c>
      <c r="I176" s="130">
        <v>6424</v>
      </c>
      <c r="J176" s="129">
        <v>14171.5</v>
      </c>
      <c r="K176" s="130">
        <v>291.89999999999998</v>
      </c>
      <c r="L176" s="130">
        <v>709.5</v>
      </c>
      <c r="M176" s="128">
        <f t="shared" si="15"/>
        <v>21596.9</v>
      </c>
    </row>
    <row r="177" spans="1:13">
      <c r="A177" s="1021" t="s">
        <v>663</v>
      </c>
      <c r="B177" s="130">
        <v>66612</v>
      </c>
      <c r="C177" s="129">
        <v>28529.8</v>
      </c>
      <c r="D177" s="130">
        <v>13115.6</v>
      </c>
      <c r="E177" s="129">
        <v>30633.7</v>
      </c>
      <c r="F177" s="822">
        <v>1.4</v>
      </c>
      <c r="G177" s="822">
        <v>0</v>
      </c>
      <c r="H177" s="129">
        <f t="shared" si="14"/>
        <v>138892.5</v>
      </c>
      <c r="I177" s="130">
        <v>5119</v>
      </c>
      <c r="J177" s="129">
        <v>13718.7</v>
      </c>
      <c r="K177" s="130">
        <v>145.19999999999999</v>
      </c>
      <c r="L177" s="130">
        <v>710.9</v>
      </c>
      <c r="M177" s="128">
        <f t="shared" si="15"/>
        <v>19693.800000000003</v>
      </c>
    </row>
    <row r="178" spans="1:13">
      <c r="A178" s="1021"/>
      <c r="B178" s="130"/>
      <c r="C178" s="129"/>
      <c r="D178" s="130"/>
      <c r="E178" s="129"/>
      <c r="F178" s="822"/>
      <c r="G178" s="822"/>
      <c r="H178" s="129"/>
      <c r="I178" s="130"/>
      <c r="J178" s="129"/>
      <c r="K178" s="130"/>
      <c r="L178" s="130"/>
      <c r="M178" s="128"/>
    </row>
    <row r="179" spans="1:13">
      <c r="A179" s="1021" t="s">
        <v>671</v>
      </c>
      <c r="B179" s="130">
        <v>66726</v>
      </c>
      <c r="C179" s="129">
        <v>29342.900000000005</v>
      </c>
      <c r="D179" s="130">
        <v>13115.7</v>
      </c>
      <c r="E179" s="129">
        <v>32674.1</v>
      </c>
      <c r="F179" s="822">
        <v>1.4</v>
      </c>
      <c r="G179" s="822">
        <v>0</v>
      </c>
      <c r="H179" s="129">
        <f t="shared" si="14"/>
        <v>141860.1</v>
      </c>
      <c r="I179" s="130">
        <v>3880.5</v>
      </c>
      <c r="J179" s="129">
        <v>11380.699999999999</v>
      </c>
      <c r="K179" s="130">
        <v>146.80000000000001</v>
      </c>
      <c r="L179" s="130">
        <v>711.8</v>
      </c>
      <c r="M179" s="128">
        <f t="shared" si="15"/>
        <v>16119.799999999997</v>
      </c>
    </row>
    <row r="180" spans="1:13">
      <c r="A180" s="1021" t="s">
        <v>676</v>
      </c>
      <c r="B180" s="130">
        <v>70270.299999999988</v>
      </c>
      <c r="C180" s="129">
        <v>38815.4</v>
      </c>
      <c r="D180" s="130">
        <v>6524.2</v>
      </c>
      <c r="E180" s="129">
        <v>33245.599999999999</v>
      </c>
      <c r="F180" s="822">
        <v>0.4</v>
      </c>
      <c r="G180" s="822">
        <v>0</v>
      </c>
      <c r="H180" s="129">
        <f t="shared" si="14"/>
        <v>148855.89999999997</v>
      </c>
      <c r="I180" s="130">
        <v>6102.3</v>
      </c>
      <c r="J180" s="129">
        <v>10196.499999999998</v>
      </c>
      <c r="K180" s="130">
        <v>146.6</v>
      </c>
      <c r="L180" s="130">
        <v>715.69999999999993</v>
      </c>
      <c r="M180" s="128">
        <f t="shared" si="15"/>
        <v>17161.099999999999</v>
      </c>
    </row>
    <row r="181" spans="1:13">
      <c r="A181" s="1021" t="s">
        <v>683</v>
      </c>
      <c r="B181" s="130">
        <v>68486.100000000006</v>
      </c>
      <c r="C181" s="129">
        <v>39956.9</v>
      </c>
      <c r="D181" s="130">
        <v>7111.5</v>
      </c>
      <c r="E181" s="129">
        <v>34787</v>
      </c>
      <c r="F181" s="822">
        <v>1.4</v>
      </c>
      <c r="G181" s="822">
        <v>0</v>
      </c>
      <c r="H181" s="129">
        <f t="shared" si="14"/>
        <v>150342.9</v>
      </c>
      <c r="I181" s="130">
        <v>6081.2000000000007</v>
      </c>
      <c r="J181" s="129">
        <v>12964.600000000002</v>
      </c>
      <c r="K181" s="130">
        <v>64.900000000000006</v>
      </c>
      <c r="L181" s="130">
        <v>1787</v>
      </c>
      <c r="M181" s="128">
        <f t="shared" si="15"/>
        <v>20897.700000000004</v>
      </c>
    </row>
    <row r="182" spans="1:13">
      <c r="A182" s="1021" t="s">
        <v>42</v>
      </c>
      <c r="B182" s="130">
        <v>73196.900000000009</v>
      </c>
      <c r="C182" s="129">
        <v>35690.400000000001</v>
      </c>
      <c r="D182" s="130">
        <v>5838.4</v>
      </c>
      <c r="E182" s="129">
        <v>35120.1</v>
      </c>
      <c r="F182" s="822">
        <v>1.4</v>
      </c>
      <c r="G182" s="822">
        <v>0</v>
      </c>
      <c r="H182" s="129">
        <f t="shared" si="14"/>
        <v>149847.20000000001</v>
      </c>
      <c r="I182" s="130">
        <v>8369.9</v>
      </c>
      <c r="J182" s="129">
        <v>10600.800000000001</v>
      </c>
      <c r="K182" s="130">
        <v>64.400000000000006</v>
      </c>
      <c r="L182" s="130">
        <v>723.4</v>
      </c>
      <c r="M182" s="128">
        <f t="shared" si="15"/>
        <v>19758.500000000004</v>
      </c>
    </row>
    <row r="183" spans="1:13">
      <c r="A183" s="1021" t="s">
        <v>43</v>
      </c>
      <c r="B183" s="130">
        <v>71519.7</v>
      </c>
      <c r="C183" s="129">
        <v>29531.399999999998</v>
      </c>
      <c r="D183" s="130">
        <v>5815.1</v>
      </c>
      <c r="E183" s="129">
        <v>31681.199999999997</v>
      </c>
      <c r="F183" s="822">
        <v>1.4</v>
      </c>
      <c r="G183" s="822">
        <v>0</v>
      </c>
      <c r="H183" s="129">
        <f t="shared" si="14"/>
        <v>138548.79999999999</v>
      </c>
      <c r="I183" s="130">
        <v>8096.4</v>
      </c>
      <c r="J183" s="129">
        <v>10651.599999999999</v>
      </c>
      <c r="K183" s="130">
        <v>36.5</v>
      </c>
      <c r="L183" s="130">
        <v>1137</v>
      </c>
      <c r="M183" s="128">
        <f t="shared" si="15"/>
        <v>19921.5</v>
      </c>
    </row>
    <row r="184" spans="1:13">
      <c r="A184" s="1021" t="s">
        <v>44</v>
      </c>
      <c r="B184" s="130">
        <v>69476.700000000012</v>
      </c>
      <c r="C184" s="129">
        <v>31744.300000000003</v>
      </c>
      <c r="D184" s="130">
        <v>5620.2</v>
      </c>
      <c r="E184" s="129">
        <v>31055</v>
      </c>
      <c r="F184" s="822">
        <v>0.4</v>
      </c>
      <c r="G184" s="822">
        <v>0</v>
      </c>
      <c r="H184" s="129">
        <f t="shared" si="14"/>
        <v>137896.6</v>
      </c>
      <c r="I184" s="130">
        <v>7809.0999999999995</v>
      </c>
      <c r="J184" s="129">
        <v>11140.9</v>
      </c>
      <c r="K184" s="130">
        <v>63.099999999999994</v>
      </c>
      <c r="L184" s="130">
        <v>730.4</v>
      </c>
      <c r="M184" s="128">
        <f t="shared" si="15"/>
        <v>19743.5</v>
      </c>
    </row>
    <row r="185" spans="1:13">
      <c r="A185" s="1021" t="s">
        <v>619</v>
      </c>
      <c r="B185" s="130">
        <v>73376.100000000006</v>
      </c>
      <c r="C185" s="129">
        <v>38042.799999999996</v>
      </c>
      <c r="D185" s="130">
        <v>8719.1999999999989</v>
      </c>
      <c r="E185" s="129">
        <v>36448.300000000003</v>
      </c>
      <c r="F185" s="822">
        <v>0.2</v>
      </c>
      <c r="G185" s="822">
        <v>0</v>
      </c>
      <c r="H185" s="129">
        <f t="shared" si="14"/>
        <v>156586.6</v>
      </c>
      <c r="I185" s="130">
        <v>9122.9000000000015</v>
      </c>
      <c r="J185" s="129">
        <v>9885.5</v>
      </c>
      <c r="K185" s="130">
        <v>63.3</v>
      </c>
      <c r="L185" s="130">
        <v>2.9</v>
      </c>
      <c r="M185" s="128">
        <f t="shared" si="15"/>
        <v>19074.600000000002</v>
      </c>
    </row>
    <row r="186" spans="1:13">
      <c r="A186" s="552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</row>
    <row r="187" spans="1:13">
      <c r="A187" s="570"/>
      <c r="B187" s="1063"/>
      <c r="C187" s="1063"/>
      <c r="D187" s="1063"/>
      <c r="E187" s="1063"/>
      <c r="F187" s="1063"/>
      <c r="G187" s="1063"/>
      <c r="H187" s="1063"/>
      <c r="I187" s="1063"/>
      <c r="J187" s="1063"/>
      <c r="K187" s="1063"/>
      <c r="L187" s="1063"/>
      <c r="M187" s="1062"/>
    </row>
    <row r="188" spans="1:13" hidden="1">
      <c r="A188" s="1081"/>
      <c r="B188" s="1078"/>
      <c r="C188" s="1078"/>
      <c r="D188" s="1078"/>
      <c r="E188" s="1078"/>
      <c r="F188" s="1078"/>
      <c r="G188" s="1078"/>
      <c r="H188" s="1078"/>
      <c r="I188" s="1078"/>
      <c r="J188" s="1078"/>
      <c r="K188" s="1078"/>
      <c r="L188" s="1078"/>
      <c r="M188" s="1079"/>
    </row>
    <row r="189" spans="1:13">
      <c r="A189" s="1080" t="s">
        <v>640</v>
      </c>
      <c r="B189" s="1053"/>
      <c r="C189" s="1053"/>
      <c r="D189" s="1053"/>
      <c r="E189" s="1053"/>
      <c r="F189" s="1053"/>
      <c r="G189" s="1053"/>
      <c r="H189" s="1053"/>
      <c r="I189" s="1053"/>
      <c r="J189" s="1053"/>
      <c r="K189" s="1053"/>
      <c r="L189" s="1053"/>
      <c r="M189" s="1054"/>
    </row>
    <row r="190" spans="1:13" ht="5.25" customHeight="1">
      <c r="A190" s="102"/>
      <c r="B190" s="1078"/>
      <c r="C190" s="1078"/>
      <c r="D190" s="1078"/>
      <c r="E190" s="1078"/>
      <c r="F190" s="1078"/>
      <c r="G190" s="1078"/>
      <c r="H190" s="1078"/>
      <c r="I190" s="1078"/>
      <c r="J190" s="1078"/>
      <c r="K190" s="1078"/>
      <c r="L190" s="1078"/>
      <c r="M190" s="1079"/>
    </row>
  </sheetData>
  <mergeCells count="4">
    <mergeCell ref="B2:L2"/>
    <mergeCell ref="B3:L3"/>
    <mergeCell ref="B6:H6"/>
    <mergeCell ref="I6:M6"/>
  </mergeCells>
  <pageMargins left="2.4803149606299213" right="0.70866141732283472" top="0.74803149606299213" bottom="0.74803149606299213" header="0.31496062992125984" footer="0.31496062992125984"/>
  <pageSetup paperSize="9" scale="57" orientation="landscape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87"/>
  <sheetViews>
    <sheetView showGridLines="0" view="pageBreakPreview" topLeftCell="A159" zoomScale="90" zoomScaleNormal="100" zoomScaleSheetLayoutView="90" workbookViewId="0">
      <selection activeCell="F181" sqref="F181"/>
    </sheetView>
  </sheetViews>
  <sheetFormatPr defaultColWidth="11.5546875" defaultRowHeight="12.75"/>
  <cols>
    <col min="1" max="1" width="17.109375" style="69" customWidth="1"/>
    <col min="2" max="2" width="13.6640625" style="69" hidden="1" customWidth="1"/>
    <col min="3" max="3" width="8.6640625" style="69" bestFit="1" customWidth="1"/>
    <col min="4" max="6" width="10.33203125" style="69" bestFit="1" customWidth="1"/>
    <col min="7" max="7" width="11" style="69" customWidth="1"/>
    <col min="8" max="8" width="9.33203125" style="69" bestFit="1" customWidth="1"/>
    <col min="9" max="9" width="9.77734375" style="69" hidden="1" customWidth="1"/>
    <col min="10" max="10" width="14.88671875" style="69" bestFit="1" customWidth="1"/>
    <col min="11" max="11" width="0" style="69" hidden="1" customWidth="1"/>
    <col min="12" max="12" width="13.6640625" style="145" bestFit="1" customWidth="1"/>
    <col min="13" max="13" width="17.5546875" style="145" bestFit="1" customWidth="1"/>
    <col min="14" max="14" width="8.88671875" style="69" bestFit="1" customWidth="1"/>
    <col min="15" max="16384" width="11.5546875" style="69"/>
  </cols>
  <sheetData>
    <row r="1" spans="1:238" ht="22.5" customHeight="1">
      <c r="A1" s="570" t="s">
        <v>0</v>
      </c>
      <c r="B1" s="96"/>
      <c r="C1" s="96"/>
      <c r="D1" s="96"/>
      <c r="E1" s="96"/>
      <c r="F1" s="96"/>
      <c r="G1" s="582" t="s">
        <v>0</v>
      </c>
      <c r="H1" s="582" t="s">
        <v>0</v>
      </c>
      <c r="I1" s="96"/>
      <c r="J1" s="96"/>
      <c r="K1" s="96"/>
      <c r="L1" s="149"/>
      <c r="M1" s="149"/>
      <c r="N1" s="583" t="s">
        <v>428</v>
      </c>
      <c r="IC1" s="584" t="s">
        <v>429</v>
      </c>
      <c r="ID1" s="585" t="s">
        <v>430</v>
      </c>
    </row>
    <row r="2" spans="1:238">
      <c r="A2" s="70"/>
      <c r="B2" s="586"/>
      <c r="C2" s="1240" t="s">
        <v>456</v>
      </c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587"/>
      <c r="ID2" s="585" t="s">
        <v>431</v>
      </c>
    </row>
    <row r="3" spans="1:238">
      <c r="A3" s="70"/>
      <c r="B3" s="243"/>
      <c r="C3" s="1194" t="s">
        <v>113</v>
      </c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83"/>
    </row>
    <row r="4" spans="1:238" s="71" customFormat="1">
      <c r="A4" s="555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76"/>
      <c r="M4" s="301"/>
      <c r="N4" s="122"/>
      <c r="IC4" s="250"/>
    </row>
    <row r="5" spans="1:238">
      <c r="A5" s="84"/>
      <c r="B5" s="80"/>
      <c r="C5" s="80"/>
      <c r="D5" s="70"/>
      <c r="E5" s="71"/>
      <c r="F5" s="71"/>
      <c r="G5" s="71"/>
      <c r="H5" s="82"/>
      <c r="I5" s="243"/>
      <c r="J5" s="80"/>
      <c r="K5" s="82"/>
      <c r="L5" s="114"/>
      <c r="M5" s="285"/>
      <c r="N5" s="100"/>
      <c r="IC5" s="584" t="s">
        <v>432</v>
      </c>
      <c r="ID5" s="585" t="s">
        <v>433</v>
      </c>
    </row>
    <row r="6" spans="1:238" ht="15.75" customHeight="1">
      <c r="A6" s="84" t="s">
        <v>327</v>
      </c>
      <c r="B6" s="115" t="s">
        <v>434</v>
      </c>
      <c r="C6" s="115" t="s">
        <v>445</v>
      </c>
      <c r="D6" s="1245" t="s">
        <v>446</v>
      </c>
      <c r="E6" s="1246"/>
      <c r="F6" s="1246"/>
      <c r="G6" s="1246"/>
      <c r="H6" s="1247"/>
      <c r="I6" s="588" t="s">
        <v>435</v>
      </c>
      <c r="J6" s="589" t="s">
        <v>447</v>
      </c>
      <c r="K6" s="82"/>
      <c r="L6" s="590" t="s">
        <v>459</v>
      </c>
      <c r="M6" s="591" t="s">
        <v>458</v>
      </c>
      <c r="N6" s="589" t="s">
        <v>438</v>
      </c>
    </row>
    <row r="7" spans="1:238">
      <c r="A7" s="84"/>
      <c r="B7" s="115" t="s">
        <v>436</v>
      </c>
      <c r="C7" s="115" t="s">
        <v>448</v>
      </c>
      <c r="D7" s="102"/>
      <c r="E7" s="104"/>
      <c r="F7" s="104"/>
      <c r="G7" s="104"/>
      <c r="H7" s="122"/>
      <c r="I7" s="592"/>
      <c r="J7" s="120"/>
      <c r="K7" s="580" t="s">
        <v>437</v>
      </c>
      <c r="L7" s="593" t="s">
        <v>449</v>
      </c>
      <c r="M7" s="591" t="s">
        <v>450</v>
      </c>
      <c r="N7" s="589" t="s">
        <v>74</v>
      </c>
    </row>
    <row r="8" spans="1:238">
      <c r="A8" s="84"/>
      <c r="B8" s="120" t="s">
        <v>439</v>
      </c>
      <c r="C8" s="594" t="s">
        <v>440</v>
      </c>
      <c r="D8" s="107"/>
      <c r="E8" s="595"/>
      <c r="F8" s="596"/>
      <c r="G8" s="597"/>
      <c r="H8" s="115" t="s">
        <v>0</v>
      </c>
      <c r="I8" s="264" t="s">
        <v>441</v>
      </c>
      <c r="J8" s="485" t="s">
        <v>0</v>
      </c>
      <c r="K8" s="83" t="s">
        <v>442</v>
      </c>
      <c r="L8" s="598"/>
      <c r="M8" s="591" t="s">
        <v>451</v>
      </c>
      <c r="N8" s="84"/>
    </row>
    <row r="9" spans="1:238">
      <c r="A9" s="84" t="s">
        <v>34</v>
      </c>
      <c r="B9" s="599"/>
      <c r="C9" s="599"/>
      <c r="D9" s="107" t="s">
        <v>452</v>
      </c>
      <c r="E9" s="115" t="s">
        <v>452</v>
      </c>
      <c r="F9" s="284" t="s">
        <v>452</v>
      </c>
      <c r="G9" s="597" t="s">
        <v>460</v>
      </c>
      <c r="H9" s="115" t="s">
        <v>9</v>
      </c>
      <c r="I9" s="264" t="s">
        <v>443</v>
      </c>
      <c r="J9" s="485"/>
      <c r="K9" s="82"/>
      <c r="L9" s="114"/>
      <c r="M9" s="285"/>
      <c r="N9" s="80"/>
    </row>
    <row r="10" spans="1:238">
      <c r="A10" s="125" t="s">
        <v>444</v>
      </c>
      <c r="B10" s="343"/>
      <c r="C10" s="343"/>
      <c r="D10" s="107" t="s">
        <v>453</v>
      </c>
      <c r="E10" s="310" t="s">
        <v>454</v>
      </c>
      <c r="F10" s="596" t="s">
        <v>455</v>
      </c>
      <c r="G10" s="597" t="s">
        <v>455</v>
      </c>
      <c r="H10" s="343"/>
      <c r="I10" s="90"/>
      <c r="J10" s="253"/>
      <c r="K10" s="92"/>
      <c r="L10" s="287"/>
      <c r="M10" s="320"/>
      <c r="N10" s="121"/>
    </row>
    <row r="11" spans="1:238">
      <c r="A11" s="327" t="s">
        <v>444</v>
      </c>
      <c r="B11" s="600"/>
      <c r="C11" s="601"/>
      <c r="D11" s="67"/>
      <c r="E11" s="600"/>
      <c r="F11" s="602"/>
      <c r="G11" s="603"/>
      <c r="H11" s="109"/>
      <c r="I11" s="602"/>
      <c r="J11" s="80"/>
      <c r="K11" s="100"/>
      <c r="L11" s="285"/>
      <c r="M11" s="417"/>
      <c r="N11" s="100"/>
    </row>
    <row r="12" spans="1:238" hidden="1">
      <c r="A12" s="604" t="s">
        <v>119</v>
      </c>
      <c r="B12" s="5">
        <v>11959</v>
      </c>
      <c r="C12" s="1127">
        <v>23774.399999999998</v>
      </c>
      <c r="D12" s="1128">
        <v>39589.499999999993</v>
      </c>
      <c r="E12" s="1127">
        <v>35617.5</v>
      </c>
      <c r="F12" s="1128">
        <v>4.2</v>
      </c>
      <c r="G12" s="1129">
        <v>965.2</v>
      </c>
      <c r="H12" s="1127">
        <v>76176.399999999994</v>
      </c>
      <c r="I12" s="1130"/>
      <c r="J12" s="1127">
        <v>6542.9999999999991</v>
      </c>
      <c r="K12" s="1131"/>
      <c r="L12" s="1132">
        <v>106493.79999999999</v>
      </c>
      <c r="M12" s="1133">
        <v>7867.4999999999991</v>
      </c>
      <c r="N12" s="1134">
        <v>114361.29999999999</v>
      </c>
    </row>
    <row r="13" spans="1:238" hidden="1">
      <c r="A13" s="604" t="s">
        <v>120</v>
      </c>
      <c r="B13" s="5">
        <v>11959</v>
      </c>
      <c r="C13" s="1127">
        <v>25962.100000000002</v>
      </c>
      <c r="D13" s="1128">
        <v>46418.7</v>
      </c>
      <c r="E13" s="1127">
        <v>47269.299999999996</v>
      </c>
      <c r="F13" s="1128">
        <v>104.2</v>
      </c>
      <c r="G13" s="1129">
        <v>1730.1000000000001</v>
      </c>
      <c r="H13" s="1127">
        <v>95522.3</v>
      </c>
      <c r="I13" s="1130"/>
      <c r="J13" s="1127">
        <v>6945</v>
      </c>
      <c r="K13" s="1131"/>
      <c r="L13" s="1132">
        <v>128429.40000000001</v>
      </c>
      <c r="M13" s="1133">
        <v>3499.1</v>
      </c>
      <c r="N13" s="1134">
        <v>131928.5</v>
      </c>
    </row>
    <row r="14" spans="1:238" hidden="1">
      <c r="A14" s="604" t="s">
        <v>89</v>
      </c>
      <c r="B14" s="5">
        <v>11959</v>
      </c>
      <c r="C14" s="1127">
        <v>32216.000000000004</v>
      </c>
      <c r="D14" s="1128">
        <v>45081.5</v>
      </c>
      <c r="E14" s="1127">
        <v>54989.1</v>
      </c>
      <c r="F14" s="1128">
        <v>10713.5</v>
      </c>
      <c r="G14" s="1129">
        <v>3623.1</v>
      </c>
      <c r="H14" s="1127">
        <v>114407.20000000001</v>
      </c>
      <c r="I14" s="1130"/>
      <c r="J14" s="1127">
        <v>7253</v>
      </c>
      <c r="K14" s="1131"/>
      <c r="L14" s="1132">
        <v>153876.20000000001</v>
      </c>
      <c r="M14" s="1133">
        <v>1852.4</v>
      </c>
      <c r="N14" s="1134">
        <v>155728.6</v>
      </c>
    </row>
    <row r="15" spans="1:238" hidden="1">
      <c r="A15" s="604" t="s">
        <v>8</v>
      </c>
      <c r="B15" s="5"/>
      <c r="C15" s="1127">
        <v>36116.899999999994</v>
      </c>
      <c r="D15" s="1128">
        <v>60894.000000000015</v>
      </c>
      <c r="E15" s="1127">
        <v>61307.999999999993</v>
      </c>
      <c r="F15" s="1128">
        <v>21032.799999999999</v>
      </c>
      <c r="G15" s="1129">
        <v>2547.8000000000002</v>
      </c>
      <c r="H15" s="1127">
        <v>145782.59999999998</v>
      </c>
      <c r="I15" s="1130"/>
      <c r="J15" s="1127">
        <v>6270</v>
      </c>
      <c r="K15" s="1131"/>
      <c r="L15" s="1132">
        <v>188169.49999999997</v>
      </c>
      <c r="M15" s="1133">
        <v>5072.7</v>
      </c>
      <c r="N15" s="1134">
        <v>193242.19999999998</v>
      </c>
    </row>
    <row r="16" spans="1:238" hidden="1">
      <c r="A16" s="604" t="s">
        <v>10</v>
      </c>
      <c r="B16" s="5"/>
      <c r="C16" s="1127">
        <v>41738.200000000004</v>
      </c>
      <c r="D16" s="1128">
        <v>63584.899999999994</v>
      </c>
      <c r="E16" s="1127">
        <v>77255.3</v>
      </c>
      <c r="F16" s="1128">
        <v>17690.600000000002</v>
      </c>
      <c r="G16" s="1129">
        <v>3804.6000000000004</v>
      </c>
      <c r="H16" s="1127">
        <v>162335.40000000002</v>
      </c>
      <c r="I16" s="1130"/>
      <c r="J16" s="1127">
        <v>4627.7</v>
      </c>
      <c r="K16" s="1131"/>
      <c r="L16" s="1132">
        <v>208701.30000000005</v>
      </c>
      <c r="M16" s="1133">
        <v>1474.8999999999999</v>
      </c>
      <c r="N16" s="1134">
        <v>210176.20000000004</v>
      </c>
    </row>
    <row r="17" spans="1:14">
      <c r="A17" s="604" t="s">
        <v>11</v>
      </c>
      <c r="B17" s="5"/>
      <c r="C17" s="1127">
        <v>43568.200000000004</v>
      </c>
      <c r="D17" s="1128">
        <v>73372.599999999991</v>
      </c>
      <c r="E17" s="1127">
        <v>90386.8</v>
      </c>
      <c r="F17" s="1128">
        <v>19743.799999999996</v>
      </c>
      <c r="G17" s="1129">
        <v>2986.1000000000004</v>
      </c>
      <c r="H17" s="1127">
        <v>186489.3</v>
      </c>
      <c r="I17" s="1130"/>
      <c r="J17" s="1127">
        <v>5968.9</v>
      </c>
      <c r="K17" s="1131"/>
      <c r="L17" s="1132">
        <v>236026.4</v>
      </c>
      <c r="M17" s="1133">
        <v>3888.3999999999996</v>
      </c>
      <c r="N17" s="1134">
        <v>239914.8</v>
      </c>
    </row>
    <row r="18" spans="1:14">
      <c r="A18" s="604" t="s">
        <v>13</v>
      </c>
      <c r="B18" s="5"/>
      <c r="C18" s="1127">
        <v>50762</v>
      </c>
      <c r="D18" s="1128">
        <v>61404.5</v>
      </c>
      <c r="E18" s="1127">
        <v>99703.9</v>
      </c>
      <c r="F18" s="1128">
        <v>17112.7</v>
      </c>
      <c r="G18" s="1129">
        <v>5679.7</v>
      </c>
      <c r="H18" s="1127">
        <v>183900.80000000002</v>
      </c>
      <c r="I18" s="1130"/>
      <c r="J18" s="1127">
        <v>7140.8</v>
      </c>
      <c r="K18" s="1131"/>
      <c r="L18" s="1132">
        <v>241803.6</v>
      </c>
      <c r="M18" s="1133">
        <v>6505.5</v>
      </c>
      <c r="N18" s="1134">
        <v>248309.1</v>
      </c>
    </row>
    <row r="19" spans="1:14">
      <c r="A19" s="604" t="s">
        <v>14</v>
      </c>
      <c r="B19" s="5"/>
      <c r="C19" s="1127">
        <v>59594.2</v>
      </c>
      <c r="D19" s="1128">
        <v>50628.1</v>
      </c>
      <c r="E19" s="1127">
        <v>90775.3</v>
      </c>
      <c r="F19" s="1128">
        <v>9209.9</v>
      </c>
      <c r="G19" s="1129">
        <v>15316.5</v>
      </c>
      <c r="H19" s="1127">
        <v>165929.79999999999</v>
      </c>
      <c r="I19" s="1130"/>
      <c r="J19" s="1127">
        <v>7191.4</v>
      </c>
      <c r="K19" s="1131"/>
      <c r="L19" s="1132">
        <v>232715.4</v>
      </c>
      <c r="M19" s="1133">
        <v>15407.2</v>
      </c>
      <c r="N19" s="1134">
        <v>248122.6</v>
      </c>
    </row>
    <row r="20" spans="1:14">
      <c r="A20" s="604" t="s">
        <v>15</v>
      </c>
      <c r="B20" s="5"/>
      <c r="C20" s="1127">
        <v>71180.899999999994</v>
      </c>
      <c r="D20" s="1127">
        <v>47310.9</v>
      </c>
      <c r="E20" s="1127">
        <v>94633.8</v>
      </c>
      <c r="F20" s="1127">
        <v>6912.2</v>
      </c>
      <c r="G20" s="1127">
        <v>13827</v>
      </c>
      <c r="H20" s="1127">
        <v>162683.90000000002</v>
      </c>
      <c r="I20" s="1127"/>
      <c r="J20" s="1127">
        <v>581.9</v>
      </c>
      <c r="K20" s="1127"/>
      <c r="L20" s="1127">
        <v>234446.7</v>
      </c>
      <c r="M20" s="1127">
        <v>12389</v>
      </c>
      <c r="N20" s="1127">
        <v>246835.7</v>
      </c>
    </row>
    <row r="21" spans="1:14">
      <c r="A21" s="604" t="s">
        <v>669</v>
      </c>
      <c r="B21" s="5"/>
      <c r="C21" s="1127">
        <v>79605.3</v>
      </c>
      <c r="D21" s="1127">
        <v>60895.8</v>
      </c>
      <c r="E21" s="1127">
        <v>117120.9</v>
      </c>
      <c r="F21" s="1127">
        <v>17580.2</v>
      </c>
      <c r="G21" s="1127">
        <v>5393.2</v>
      </c>
      <c r="H21" s="1127">
        <v>200990.10000000003</v>
      </c>
      <c r="I21" s="1127"/>
      <c r="J21" s="1127">
        <v>410</v>
      </c>
      <c r="K21" s="1127"/>
      <c r="L21" s="1127">
        <v>281005.40000000002</v>
      </c>
      <c r="M21" s="1127">
        <v>19693.8</v>
      </c>
      <c r="N21" s="1127">
        <v>300699.2</v>
      </c>
    </row>
    <row r="22" spans="1:14" hidden="1">
      <c r="A22" s="604"/>
      <c r="B22" s="5"/>
      <c r="C22" s="1127"/>
      <c r="D22" s="1128"/>
      <c r="E22" s="1127"/>
      <c r="F22" s="1128"/>
      <c r="G22" s="1129"/>
      <c r="H22" s="1127"/>
      <c r="I22" s="1130"/>
      <c r="J22" s="1127"/>
      <c r="K22" s="1131"/>
      <c r="L22" s="1132"/>
      <c r="M22" s="1133"/>
      <c r="N22" s="1134"/>
    </row>
    <row r="23" spans="1:14" hidden="1">
      <c r="A23" s="87" t="s">
        <v>61</v>
      </c>
      <c r="B23" s="5"/>
      <c r="C23" s="1127">
        <v>44630.1</v>
      </c>
      <c r="D23" s="1121">
        <v>76925.5</v>
      </c>
      <c r="E23" s="1127">
        <v>90863.6</v>
      </c>
      <c r="F23" s="1128">
        <v>17826.099999999999</v>
      </c>
      <c r="G23" s="1129">
        <v>18864.599999999999</v>
      </c>
      <c r="H23" s="1127">
        <v>204479.80000000002</v>
      </c>
      <c r="I23" s="1130"/>
      <c r="J23" s="1127">
        <v>5906.2</v>
      </c>
      <c r="K23" s="1131"/>
      <c r="L23" s="1132">
        <v>255016.10000000003</v>
      </c>
      <c r="M23" s="1133">
        <v>4605</v>
      </c>
      <c r="N23" s="1134">
        <v>259621.10000000003</v>
      </c>
    </row>
    <row r="24" spans="1:14" hidden="1">
      <c r="A24" s="87" t="s">
        <v>62</v>
      </c>
      <c r="B24" s="5"/>
      <c r="C24" s="1127">
        <v>44083.5</v>
      </c>
      <c r="D24" s="1128">
        <v>65104.200000000004</v>
      </c>
      <c r="E24" s="1127">
        <v>92806.9</v>
      </c>
      <c r="F24" s="1128">
        <v>17631.599999999999</v>
      </c>
      <c r="G24" s="1129">
        <v>19481.099999999999</v>
      </c>
      <c r="H24" s="1127">
        <v>195023.80000000002</v>
      </c>
      <c r="I24" s="1130"/>
      <c r="J24" s="1127">
        <v>6323.8</v>
      </c>
      <c r="K24" s="1131"/>
      <c r="L24" s="1132">
        <v>245431.1</v>
      </c>
      <c r="M24" s="1133">
        <v>7110.9</v>
      </c>
      <c r="N24" s="1134">
        <v>252542</v>
      </c>
    </row>
    <row r="25" spans="1:14" hidden="1">
      <c r="A25" s="87" t="s">
        <v>63</v>
      </c>
      <c r="B25" s="5"/>
      <c r="C25" s="1127">
        <v>44529.3</v>
      </c>
      <c r="D25" s="1128">
        <v>62957.5</v>
      </c>
      <c r="E25" s="1127">
        <v>104757.4</v>
      </c>
      <c r="F25" s="1128">
        <v>16988.3</v>
      </c>
      <c r="G25" s="1129">
        <v>4507.8999999999996</v>
      </c>
      <c r="H25" s="1127">
        <v>189211.09999999998</v>
      </c>
      <c r="I25" s="1130"/>
      <c r="J25" s="1127">
        <v>6083.3</v>
      </c>
      <c r="K25" s="1131"/>
      <c r="L25" s="1132">
        <v>239823.69999999995</v>
      </c>
      <c r="M25" s="1133">
        <v>5807.1</v>
      </c>
      <c r="N25" s="1134">
        <v>245630.79999999996</v>
      </c>
    </row>
    <row r="26" spans="1:14" hidden="1">
      <c r="A26" s="87" t="s">
        <v>64</v>
      </c>
      <c r="B26" s="5"/>
      <c r="C26" s="1127">
        <v>50762</v>
      </c>
      <c r="D26" s="1128">
        <v>61404.5</v>
      </c>
      <c r="E26" s="1127">
        <v>99703.9</v>
      </c>
      <c r="F26" s="1128">
        <v>17112.7</v>
      </c>
      <c r="G26" s="1129">
        <v>5679.7</v>
      </c>
      <c r="H26" s="1127">
        <v>183900.80000000002</v>
      </c>
      <c r="I26" s="1130"/>
      <c r="J26" s="1127">
        <v>7140.8</v>
      </c>
      <c r="K26" s="1131"/>
      <c r="L26" s="1132">
        <v>241803.6</v>
      </c>
      <c r="M26" s="1133">
        <v>6505.5</v>
      </c>
      <c r="N26" s="1134">
        <v>248309.1</v>
      </c>
    </row>
    <row r="27" spans="1:14" s="1051" customFormat="1">
      <c r="A27" s="1021"/>
      <c r="B27" s="5"/>
      <c r="C27" s="1127"/>
      <c r="D27" s="1128"/>
      <c r="E27" s="1127"/>
      <c r="F27" s="1128"/>
      <c r="G27" s="1129"/>
      <c r="H27" s="1127"/>
      <c r="I27" s="1130"/>
      <c r="J27" s="1127"/>
      <c r="K27" s="1131"/>
      <c r="L27" s="1132"/>
      <c r="M27" s="1133"/>
      <c r="N27" s="1134"/>
    </row>
    <row r="28" spans="1:14">
      <c r="A28" s="87" t="s">
        <v>53</v>
      </c>
      <c r="B28" s="5"/>
      <c r="C28" s="1127">
        <v>49770.2</v>
      </c>
      <c r="D28" s="1128">
        <v>57674.500000000007</v>
      </c>
      <c r="E28" s="1127">
        <v>104300.3</v>
      </c>
      <c r="F28" s="1128">
        <v>18420.599999999999</v>
      </c>
      <c r="G28" s="1129">
        <v>14520.6</v>
      </c>
      <c r="H28" s="1127">
        <v>194916.00000000003</v>
      </c>
      <c r="I28" s="1130"/>
      <c r="J28" s="1127">
        <v>7982.9</v>
      </c>
      <c r="K28" s="1131"/>
      <c r="L28" s="1132">
        <v>252669.1</v>
      </c>
      <c r="M28" s="1133">
        <v>5286</v>
      </c>
      <c r="N28" s="1134">
        <v>257955.1</v>
      </c>
    </row>
    <row r="29" spans="1:14">
      <c r="A29" s="87" t="s">
        <v>44</v>
      </c>
      <c r="B29" s="5"/>
      <c r="C29" s="1127">
        <v>48453.599999999999</v>
      </c>
      <c r="D29" s="1128">
        <v>57466.6</v>
      </c>
      <c r="E29" s="1127">
        <v>109289.3</v>
      </c>
      <c r="F29" s="1128">
        <v>18459.900000000001</v>
      </c>
      <c r="G29" s="1129">
        <v>14325.8</v>
      </c>
      <c r="H29" s="1127">
        <v>199541.59999999998</v>
      </c>
      <c r="I29" s="1130"/>
      <c r="J29" s="1127">
        <v>8132.4</v>
      </c>
      <c r="K29" s="1131"/>
      <c r="L29" s="1132">
        <v>256127.59999999998</v>
      </c>
      <c r="M29" s="1133">
        <v>5593.6</v>
      </c>
      <c r="N29" s="1134">
        <v>261721.19999999998</v>
      </c>
    </row>
    <row r="30" spans="1:14">
      <c r="A30" s="87" t="s">
        <v>47</v>
      </c>
      <c r="B30" s="5"/>
      <c r="C30" s="1127">
        <v>48435.199999999997</v>
      </c>
      <c r="D30" s="1128">
        <v>71155</v>
      </c>
      <c r="E30" s="1127">
        <v>101179.2</v>
      </c>
      <c r="F30" s="1128">
        <v>18335.900000000001</v>
      </c>
      <c r="G30" s="1129">
        <v>14187.8</v>
      </c>
      <c r="H30" s="1127">
        <v>204857.9</v>
      </c>
      <c r="I30" s="1130"/>
      <c r="J30" s="1127">
        <v>6811</v>
      </c>
      <c r="K30" s="1131"/>
      <c r="L30" s="1132">
        <v>260104.09999999998</v>
      </c>
      <c r="M30" s="1133">
        <v>5475.7</v>
      </c>
      <c r="N30" s="1134">
        <v>265579.8</v>
      </c>
    </row>
    <row r="31" spans="1:14">
      <c r="A31" s="87" t="s">
        <v>50</v>
      </c>
      <c r="B31" s="5"/>
      <c r="C31" s="1127">
        <v>59594.2</v>
      </c>
      <c r="D31" s="1128">
        <v>50628.1</v>
      </c>
      <c r="E31" s="1127">
        <v>90775.3</v>
      </c>
      <c r="F31" s="1128">
        <v>9209.9</v>
      </c>
      <c r="G31" s="1129">
        <v>15316.5</v>
      </c>
      <c r="H31" s="1127">
        <v>165929.79999999999</v>
      </c>
      <c r="I31" s="1130"/>
      <c r="J31" s="1127">
        <v>7191.4</v>
      </c>
      <c r="K31" s="1131"/>
      <c r="L31" s="1132">
        <v>232715.4</v>
      </c>
      <c r="M31" s="1133">
        <v>16416.400000000001</v>
      </c>
      <c r="N31" s="1134">
        <v>249131.8</v>
      </c>
    </row>
    <row r="32" spans="1:14">
      <c r="A32" s="87"/>
      <c r="B32" s="5"/>
      <c r="C32" s="1127"/>
      <c r="D32" s="1128"/>
      <c r="E32" s="1127"/>
      <c r="F32" s="1128"/>
      <c r="G32" s="1129"/>
      <c r="H32" s="1127"/>
      <c r="I32" s="1130"/>
      <c r="J32" s="1127"/>
      <c r="K32" s="1131"/>
      <c r="L32" s="1132"/>
      <c r="M32" s="1133"/>
      <c r="N32" s="1134"/>
    </row>
    <row r="33" spans="1:14">
      <c r="A33" s="87" t="s">
        <v>65</v>
      </c>
      <c r="B33" s="5"/>
      <c r="C33" s="1127">
        <v>61589.5</v>
      </c>
      <c r="D33" s="1128">
        <v>63032.9</v>
      </c>
      <c r="E33" s="1127">
        <v>93892.2</v>
      </c>
      <c r="F33" s="1128">
        <v>19213.3</v>
      </c>
      <c r="G33" s="1129">
        <v>851.8</v>
      </c>
      <c r="H33" s="1127">
        <v>176990.19999999998</v>
      </c>
      <c r="I33" s="1130"/>
      <c r="J33" s="1127">
        <v>6652.3</v>
      </c>
      <c r="K33" s="1131"/>
      <c r="L33" s="1132">
        <v>245231.99999999997</v>
      </c>
      <c r="M33" s="1133">
        <v>18036.7</v>
      </c>
      <c r="N33" s="1134">
        <v>263268.69999999995</v>
      </c>
    </row>
    <row r="34" spans="1:14">
      <c r="A34" s="87" t="s">
        <v>44</v>
      </c>
      <c r="B34" s="5"/>
      <c r="C34" s="1122">
        <v>59037.599999999999</v>
      </c>
      <c r="D34" s="1123">
        <v>64542.9</v>
      </c>
      <c r="E34" s="1122">
        <v>95361.600000000006</v>
      </c>
      <c r="F34" s="1123">
        <v>19439.900000000001</v>
      </c>
      <c r="G34" s="1124">
        <v>1049.3</v>
      </c>
      <c r="H34" s="1122">
        <v>180393.69999999998</v>
      </c>
      <c r="I34" s="1125"/>
      <c r="J34" s="1122">
        <v>6617</v>
      </c>
      <c r="K34" s="1126"/>
      <c r="L34" s="1132">
        <v>246048.3</v>
      </c>
      <c r="M34" s="1133">
        <v>15650.9</v>
      </c>
      <c r="N34" s="1134">
        <v>261699.19999999998</v>
      </c>
    </row>
    <row r="35" spans="1:14">
      <c r="A35" s="87" t="s">
        <v>47</v>
      </c>
      <c r="B35" s="7"/>
      <c r="C35" s="1127">
        <v>64576.1</v>
      </c>
      <c r="D35" s="1127">
        <v>53256.800000000003</v>
      </c>
      <c r="E35" s="1127">
        <v>99827.3</v>
      </c>
      <c r="F35" s="1127">
        <v>13169.5</v>
      </c>
      <c r="G35" s="1127">
        <v>6920.1</v>
      </c>
      <c r="H35" s="1127">
        <v>173173.7</v>
      </c>
      <c r="I35" s="1127"/>
      <c r="J35" s="1127">
        <v>172.3</v>
      </c>
      <c r="K35" s="1127"/>
      <c r="L35" s="1127">
        <v>237922.1</v>
      </c>
      <c r="M35" s="1129">
        <v>12067</v>
      </c>
      <c r="N35" s="1134">
        <v>249989.1</v>
      </c>
    </row>
    <row r="36" spans="1:14">
      <c r="A36" s="87" t="s">
        <v>50</v>
      </c>
      <c r="B36" s="7"/>
      <c r="C36" s="1127">
        <v>71180.899999999994</v>
      </c>
      <c r="D36" s="1127">
        <v>47310.9</v>
      </c>
      <c r="E36" s="1127">
        <v>94633.8</v>
      </c>
      <c r="F36" s="1127">
        <v>6912.2</v>
      </c>
      <c r="G36" s="1127">
        <v>13827</v>
      </c>
      <c r="H36" s="1127">
        <v>162683.90000000002</v>
      </c>
      <c r="I36" s="1127"/>
      <c r="J36" s="1127">
        <v>581.9</v>
      </c>
      <c r="K36" s="1127"/>
      <c r="L36" s="1127">
        <v>234446.7</v>
      </c>
      <c r="M36" s="1127">
        <v>12389</v>
      </c>
      <c r="N36" s="1127">
        <v>246835.7</v>
      </c>
    </row>
    <row r="37" spans="1:14">
      <c r="A37" s="87"/>
      <c r="B37" s="7"/>
      <c r="C37" s="1127"/>
      <c r="D37" s="1127"/>
      <c r="E37" s="1127"/>
      <c r="F37" s="1127"/>
      <c r="G37" s="1127"/>
      <c r="H37" s="1127"/>
      <c r="I37" s="1127"/>
      <c r="J37" s="1127"/>
      <c r="K37" s="1127"/>
      <c r="L37" s="1127"/>
      <c r="M37" s="1127"/>
      <c r="N37" s="1127"/>
    </row>
    <row r="38" spans="1:14">
      <c r="A38" s="87" t="s">
        <v>66</v>
      </c>
      <c r="B38" s="7"/>
      <c r="C38" s="1127">
        <v>72117.2</v>
      </c>
      <c r="D38" s="1127">
        <v>64472.2</v>
      </c>
      <c r="E38" s="1127">
        <v>95969.4</v>
      </c>
      <c r="F38" s="1127">
        <v>11686.1</v>
      </c>
      <c r="G38" s="1127">
        <v>7511.2</v>
      </c>
      <c r="H38" s="1127">
        <v>179638.9</v>
      </c>
      <c r="I38" s="1127"/>
      <c r="J38" s="1127">
        <v>581.5</v>
      </c>
      <c r="K38" s="1127"/>
      <c r="L38" s="1127">
        <v>252337.59999999998</v>
      </c>
      <c r="M38" s="1127">
        <v>10689.9</v>
      </c>
      <c r="N38" s="1127">
        <v>263027.5</v>
      </c>
    </row>
    <row r="39" spans="1:14">
      <c r="A39" s="87" t="s">
        <v>44</v>
      </c>
      <c r="B39" s="7"/>
      <c r="C39" s="1127">
        <v>75919.199999999997</v>
      </c>
      <c r="D39" s="1127">
        <v>55203.6</v>
      </c>
      <c r="E39" s="1127">
        <v>100655</v>
      </c>
      <c r="F39" s="1127">
        <v>13798.5</v>
      </c>
      <c r="G39" s="1127">
        <v>6059.3</v>
      </c>
      <c r="H39" s="1127">
        <v>175716.4</v>
      </c>
      <c r="I39" s="1127"/>
      <c r="J39" s="1127">
        <v>460</v>
      </c>
      <c r="K39" s="1127"/>
      <c r="L39" s="1127">
        <v>252095.59999999998</v>
      </c>
      <c r="M39" s="1127">
        <v>15038.3</v>
      </c>
      <c r="N39" s="1127">
        <v>267133.89999999997</v>
      </c>
    </row>
    <row r="40" spans="1:14">
      <c r="A40" s="87" t="s">
        <v>47</v>
      </c>
      <c r="B40" s="7"/>
      <c r="C40" s="1127">
        <v>74471.899999999994</v>
      </c>
      <c r="D40" s="1127">
        <v>64410.7</v>
      </c>
      <c r="E40" s="1127">
        <v>101095.5</v>
      </c>
      <c r="F40" s="1127">
        <v>12912.1</v>
      </c>
      <c r="G40" s="1127">
        <v>5982.7</v>
      </c>
      <c r="H40" s="1127">
        <v>184401.00000000003</v>
      </c>
      <c r="I40" s="1127"/>
      <c r="J40" s="1127">
        <v>460</v>
      </c>
      <c r="K40" s="1127"/>
      <c r="L40" s="1127">
        <v>259332.90000000002</v>
      </c>
      <c r="M40" s="1127">
        <v>13813.1</v>
      </c>
      <c r="N40" s="1127">
        <v>273146</v>
      </c>
    </row>
    <row r="41" spans="1:14">
      <c r="A41" s="87" t="s">
        <v>50</v>
      </c>
      <c r="B41" s="7"/>
      <c r="C41" s="1127">
        <v>79605.3</v>
      </c>
      <c r="D41" s="1127">
        <v>60895.8</v>
      </c>
      <c r="E41" s="1127">
        <v>117120.9</v>
      </c>
      <c r="F41" s="1127">
        <v>17580.2</v>
      </c>
      <c r="G41" s="1127">
        <v>5393.2</v>
      </c>
      <c r="H41" s="1127">
        <v>200990.10000000003</v>
      </c>
      <c r="I41" s="1127"/>
      <c r="J41" s="1127">
        <v>410</v>
      </c>
      <c r="K41" s="1127"/>
      <c r="L41" s="1127">
        <v>281005.40000000002</v>
      </c>
      <c r="M41" s="1127">
        <v>19693.8</v>
      </c>
      <c r="N41" s="1127">
        <v>300699.2</v>
      </c>
    </row>
    <row r="42" spans="1:14">
      <c r="A42" s="87"/>
      <c r="B42" s="7"/>
      <c r="C42" s="1127"/>
      <c r="D42" s="1128"/>
      <c r="E42" s="1127"/>
      <c r="F42" s="1128"/>
      <c r="G42" s="1129"/>
      <c r="H42" s="1127"/>
      <c r="I42" s="1128"/>
      <c r="J42" s="1127"/>
      <c r="K42" s="1127"/>
      <c r="L42" s="1127"/>
      <c r="M42" s="1129"/>
      <c r="N42" s="1127"/>
    </row>
    <row r="43" spans="1:14">
      <c r="A43" s="87" t="s">
        <v>684</v>
      </c>
      <c r="B43" s="7"/>
      <c r="C43" s="1127">
        <v>79480.399999999994</v>
      </c>
      <c r="D43" s="1127">
        <v>59568.9</v>
      </c>
      <c r="E43" s="1127">
        <v>128256.3</v>
      </c>
      <c r="F43" s="1127">
        <v>28293.8</v>
      </c>
      <c r="G43" s="1127">
        <v>5840.3</v>
      </c>
      <c r="H43" s="1127">
        <v>221959.3</v>
      </c>
      <c r="I43" s="1127"/>
      <c r="J43" s="1127">
        <v>410</v>
      </c>
      <c r="K43" s="1127"/>
      <c r="L43" s="1127">
        <v>301849.69999999995</v>
      </c>
      <c r="M43" s="1127">
        <v>20897.7</v>
      </c>
      <c r="N43" s="1127">
        <v>322747.39999999997</v>
      </c>
    </row>
    <row r="44" spans="1:14" s="1051" customFormat="1">
      <c r="A44" s="1021" t="s">
        <v>62</v>
      </c>
      <c r="B44" s="7"/>
      <c r="C44" s="1127">
        <v>79692.7</v>
      </c>
      <c r="D44" s="1127">
        <v>71623.8</v>
      </c>
      <c r="E44" s="1127">
        <v>120100.9</v>
      </c>
      <c r="F44" s="1127">
        <v>30132.3</v>
      </c>
      <c r="G44" s="1127">
        <v>4960.1000000000004</v>
      </c>
      <c r="H44" s="1127">
        <v>226817.1</v>
      </c>
      <c r="I44" s="1127"/>
      <c r="J44" s="1127">
        <v>410</v>
      </c>
      <c r="K44" s="1127"/>
      <c r="L44" s="1127">
        <v>306919.8</v>
      </c>
      <c r="M44" s="1127">
        <v>19743.5</v>
      </c>
      <c r="N44" s="1127">
        <v>326663.3</v>
      </c>
    </row>
    <row r="45" spans="1:14">
      <c r="A45" s="87"/>
      <c r="B45" s="5"/>
      <c r="C45" s="1127"/>
      <c r="D45" s="1128"/>
      <c r="E45" s="1127"/>
      <c r="F45" s="1128"/>
      <c r="G45" s="1129"/>
      <c r="H45" s="1127"/>
      <c r="I45" s="1128"/>
      <c r="J45" s="1127"/>
      <c r="K45" s="1127"/>
      <c r="L45" s="1127"/>
      <c r="M45" s="1129"/>
      <c r="N45" s="1127"/>
    </row>
    <row r="46" spans="1:14" ht="12.75" hidden="1" customHeight="1">
      <c r="A46" s="87" t="s">
        <v>60</v>
      </c>
      <c r="B46" s="5">
        <v>11959</v>
      </c>
      <c r="C46" s="1127">
        <v>17840.7</v>
      </c>
      <c r="D46" s="1128">
        <v>44592.800000000003</v>
      </c>
      <c r="E46" s="1127">
        <v>24490.9</v>
      </c>
      <c r="F46" s="1128">
        <v>4.3</v>
      </c>
      <c r="G46" s="1129">
        <v>963.5</v>
      </c>
      <c r="H46" s="1127">
        <v>70051.500000000015</v>
      </c>
      <c r="I46" s="1130"/>
      <c r="J46" s="1127">
        <v>6756.2</v>
      </c>
      <c r="K46" s="1131"/>
      <c r="L46" s="1132">
        <v>94648.400000000009</v>
      </c>
      <c r="M46" s="1133">
        <v>8111.5</v>
      </c>
      <c r="N46" s="1134">
        <v>102759.90000000001</v>
      </c>
    </row>
    <row r="47" spans="1:14" ht="12.75" hidden="1" customHeight="1">
      <c r="A47" s="87" t="s">
        <v>40</v>
      </c>
      <c r="B47" s="5">
        <v>11959</v>
      </c>
      <c r="C47" s="1127">
        <v>17997.599999999999</v>
      </c>
      <c r="D47" s="1128">
        <v>45659.200000000004</v>
      </c>
      <c r="E47" s="1127">
        <v>24346.6</v>
      </c>
      <c r="F47" s="1128">
        <v>4.3</v>
      </c>
      <c r="G47" s="1129">
        <v>972.8</v>
      </c>
      <c r="H47" s="1127">
        <v>70982.900000000009</v>
      </c>
      <c r="I47" s="1130"/>
      <c r="J47" s="1127">
        <v>7998.4</v>
      </c>
      <c r="K47" s="1131"/>
      <c r="L47" s="1132">
        <v>96978.9</v>
      </c>
      <c r="M47" s="1133">
        <v>8169.7000000000007</v>
      </c>
      <c r="N47" s="1134">
        <v>105148.59999999999</v>
      </c>
    </row>
    <row r="48" spans="1:14" ht="12.75" hidden="1" customHeight="1">
      <c r="A48" s="87" t="s">
        <v>41</v>
      </c>
      <c r="B48" s="5">
        <v>11959</v>
      </c>
      <c r="C48" s="1127">
        <v>18612.7</v>
      </c>
      <c r="D48" s="1128">
        <v>43921.1</v>
      </c>
      <c r="E48" s="1127">
        <v>25412.7</v>
      </c>
      <c r="F48" s="1128">
        <v>4.3</v>
      </c>
      <c r="G48" s="1129">
        <v>762.6</v>
      </c>
      <c r="H48" s="1127">
        <v>70100.700000000012</v>
      </c>
      <c r="I48" s="1130"/>
      <c r="J48" s="1127">
        <v>7883.4</v>
      </c>
      <c r="K48" s="1131"/>
      <c r="L48" s="1132">
        <v>96596.800000000003</v>
      </c>
      <c r="M48" s="1133">
        <v>7470.6</v>
      </c>
      <c r="N48" s="1134">
        <v>104067.40000000001</v>
      </c>
    </row>
    <row r="49" spans="1:14" ht="12.75" hidden="1" customHeight="1">
      <c r="A49" s="87" t="s">
        <v>42</v>
      </c>
      <c r="B49" s="5">
        <v>11959</v>
      </c>
      <c r="C49" s="1127">
        <v>19203.800000000003</v>
      </c>
      <c r="D49" s="1128">
        <v>43339.3</v>
      </c>
      <c r="E49" s="1127">
        <v>25761.4</v>
      </c>
      <c r="F49" s="1128">
        <v>4.3</v>
      </c>
      <c r="G49" s="1129">
        <v>805.6</v>
      </c>
      <c r="H49" s="1127">
        <v>69910.60000000002</v>
      </c>
      <c r="I49" s="1130"/>
      <c r="J49" s="1127">
        <v>6427.0999999999995</v>
      </c>
      <c r="K49" s="1131"/>
      <c r="L49" s="1132">
        <v>95541.500000000029</v>
      </c>
      <c r="M49" s="1133">
        <v>7571.7</v>
      </c>
      <c r="N49" s="1134">
        <v>103113.20000000003</v>
      </c>
    </row>
    <row r="50" spans="1:14" ht="12.75" hidden="1" customHeight="1">
      <c r="A50" s="87" t="s">
        <v>43</v>
      </c>
      <c r="B50" s="5">
        <v>11959</v>
      </c>
      <c r="C50" s="1127">
        <v>19558.600000000002</v>
      </c>
      <c r="D50" s="1128">
        <v>41779.9</v>
      </c>
      <c r="E50" s="1127">
        <v>26202.9</v>
      </c>
      <c r="F50" s="1128">
        <v>4.3</v>
      </c>
      <c r="G50" s="1129">
        <v>851.4</v>
      </c>
      <c r="H50" s="1127">
        <v>68838.5</v>
      </c>
      <c r="I50" s="1130"/>
      <c r="J50" s="1127">
        <v>7731</v>
      </c>
      <c r="K50" s="1131"/>
      <c r="L50" s="1132">
        <v>96128.1</v>
      </c>
      <c r="M50" s="1133">
        <v>7826.2</v>
      </c>
      <c r="N50" s="1134">
        <v>103954.3</v>
      </c>
    </row>
    <row r="51" spans="1:14" ht="12.75" hidden="1" customHeight="1">
      <c r="A51" s="87" t="s">
        <v>44</v>
      </c>
      <c r="B51" s="5">
        <v>11959</v>
      </c>
      <c r="C51" s="1127">
        <v>19163.8</v>
      </c>
      <c r="D51" s="1128">
        <v>39843.500000000007</v>
      </c>
      <c r="E51" s="1127">
        <v>26098.499999999996</v>
      </c>
      <c r="F51" s="1128">
        <v>4.3</v>
      </c>
      <c r="G51" s="1129">
        <v>800.4</v>
      </c>
      <c r="H51" s="1127">
        <v>66746.7</v>
      </c>
      <c r="I51" s="1130"/>
      <c r="J51" s="1127">
        <v>7131.1</v>
      </c>
      <c r="K51" s="1131"/>
      <c r="L51" s="1132">
        <v>93041.600000000006</v>
      </c>
      <c r="M51" s="1133">
        <v>7895.7999999999993</v>
      </c>
      <c r="N51" s="1134">
        <v>100937.40000000001</v>
      </c>
    </row>
    <row r="52" spans="1:14" ht="12.75" hidden="1" customHeight="1">
      <c r="A52" s="87" t="s">
        <v>45</v>
      </c>
      <c r="B52" s="5">
        <v>11959</v>
      </c>
      <c r="C52" s="1127">
        <v>19582.000000000004</v>
      </c>
      <c r="D52" s="1128">
        <v>38117.600000000006</v>
      </c>
      <c r="E52" s="1127">
        <v>32288.799999999996</v>
      </c>
      <c r="F52" s="1128">
        <v>4.3</v>
      </c>
      <c r="G52" s="1129">
        <v>800.7</v>
      </c>
      <c r="H52" s="1127">
        <v>71211.399999999994</v>
      </c>
      <c r="I52" s="1130"/>
      <c r="J52" s="1127">
        <v>6420.1</v>
      </c>
      <c r="K52" s="1131"/>
      <c r="L52" s="1132">
        <v>97213.5</v>
      </c>
      <c r="M52" s="1133">
        <v>7959.7000000000007</v>
      </c>
      <c r="N52" s="1134">
        <v>105173.2</v>
      </c>
    </row>
    <row r="53" spans="1:14" ht="12.75" hidden="1" customHeight="1">
      <c r="A53" s="87" t="s">
        <v>46</v>
      </c>
      <c r="B53" s="5">
        <v>11959</v>
      </c>
      <c r="C53" s="1127">
        <v>19644.899999999998</v>
      </c>
      <c r="D53" s="1128">
        <v>39183.699999999997</v>
      </c>
      <c r="E53" s="1127">
        <v>32371.300000000003</v>
      </c>
      <c r="F53" s="1128">
        <v>305.2</v>
      </c>
      <c r="G53" s="1129">
        <v>803.8</v>
      </c>
      <c r="H53" s="1127">
        <v>72664</v>
      </c>
      <c r="I53" s="1130"/>
      <c r="J53" s="1127">
        <v>6442.7</v>
      </c>
      <c r="K53" s="1131"/>
      <c r="L53" s="1132">
        <v>98751.599999999991</v>
      </c>
      <c r="M53" s="1133">
        <v>7760.1</v>
      </c>
      <c r="N53" s="1134">
        <v>106511.7</v>
      </c>
    </row>
    <row r="54" spans="1:14" ht="12.75" hidden="1" customHeight="1">
      <c r="A54" s="87" t="s">
        <v>47</v>
      </c>
      <c r="B54" s="5">
        <v>11959</v>
      </c>
      <c r="C54" s="1127">
        <v>20080.099999999999</v>
      </c>
      <c r="D54" s="1128">
        <v>39086.799999999996</v>
      </c>
      <c r="E54" s="1127">
        <v>33517.300000000003</v>
      </c>
      <c r="F54" s="1128">
        <v>334.5</v>
      </c>
      <c r="G54" s="1129">
        <v>803.8</v>
      </c>
      <c r="H54" s="1127">
        <v>73742.400000000009</v>
      </c>
      <c r="I54" s="1130"/>
      <c r="J54" s="1127">
        <v>6492.8</v>
      </c>
      <c r="K54" s="1131"/>
      <c r="L54" s="1132">
        <v>100315.3</v>
      </c>
      <c r="M54" s="1133">
        <v>7664.7</v>
      </c>
      <c r="N54" s="1134">
        <v>107980</v>
      </c>
    </row>
    <row r="55" spans="1:14" ht="12.75" hidden="1" customHeight="1">
      <c r="A55" s="87" t="s">
        <v>48</v>
      </c>
      <c r="B55" s="5">
        <v>11959</v>
      </c>
      <c r="C55" s="1127">
        <v>20596.7</v>
      </c>
      <c r="D55" s="1128">
        <v>41007.599999999999</v>
      </c>
      <c r="E55" s="1127">
        <v>33994.300000000003</v>
      </c>
      <c r="F55" s="1128">
        <v>324.7</v>
      </c>
      <c r="G55" s="1129">
        <v>805.8</v>
      </c>
      <c r="H55" s="1127">
        <v>76132.399999999994</v>
      </c>
      <c r="I55" s="1130"/>
      <c r="J55" s="1127">
        <v>6340.7999999999993</v>
      </c>
      <c r="K55" s="1131"/>
      <c r="L55" s="1132">
        <v>103069.9</v>
      </c>
      <c r="M55" s="1133">
        <v>7595</v>
      </c>
      <c r="N55" s="1134">
        <v>110664.9</v>
      </c>
    </row>
    <row r="56" spans="1:14" ht="12.75" hidden="1" customHeight="1">
      <c r="A56" s="87" t="s">
        <v>49</v>
      </c>
      <c r="B56" s="5">
        <v>11959</v>
      </c>
      <c r="C56" s="1127">
        <v>21476.699999999997</v>
      </c>
      <c r="D56" s="1128">
        <v>41771.799999999996</v>
      </c>
      <c r="E56" s="1127">
        <v>34705.300000000003</v>
      </c>
      <c r="F56" s="1128">
        <v>331.59999999999997</v>
      </c>
      <c r="G56" s="1129">
        <v>755.8</v>
      </c>
      <c r="H56" s="1127">
        <v>77564.500000000015</v>
      </c>
      <c r="I56" s="1130"/>
      <c r="J56" s="1127">
        <v>6455.0999999999995</v>
      </c>
      <c r="K56" s="1131"/>
      <c r="L56" s="1132">
        <v>105496.30000000002</v>
      </c>
      <c r="M56" s="1133">
        <v>7719.5999999999995</v>
      </c>
      <c r="N56" s="1134">
        <v>113215.90000000002</v>
      </c>
    </row>
    <row r="57" spans="1:14" ht="12.75" hidden="1" customHeight="1">
      <c r="A57" s="87" t="s">
        <v>50</v>
      </c>
      <c r="B57" s="5">
        <v>11959</v>
      </c>
      <c r="C57" s="1127">
        <v>23774.399999999998</v>
      </c>
      <c r="D57" s="1128">
        <v>39589.499999999993</v>
      </c>
      <c r="E57" s="1127">
        <v>35617.5</v>
      </c>
      <c r="F57" s="1128">
        <v>4.2</v>
      </c>
      <c r="G57" s="1129">
        <v>965.2</v>
      </c>
      <c r="H57" s="1127">
        <v>76176.399999999994</v>
      </c>
      <c r="I57" s="1130"/>
      <c r="J57" s="1127">
        <v>6542.9999999999991</v>
      </c>
      <c r="K57" s="1131"/>
      <c r="L57" s="1132">
        <v>106493.79999999999</v>
      </c>
      <c r="M57" s="1133">
        <v>7867.4999999999991</v>
      </c>
      <c r="N57" s="1134">
        <v>114361.29999999999</v>
      </c>
    </row>
    <row r="58" spans="1:14" ht="12.75" hidden="1" customHeight="1">
      <c r="A58" s="222"/>
      <c r="B58" s="5"/>
      <c r="C58" s="1127"/>
      <c r="D58" s="1128"/>
      <c r="E58" s="1127"/>
      <c r="F58" s="1128"/>
      <c r="G58" s="1129"/>
      <c r="H58" s="1127"/>
      <c r="I58" s="1130"/>
      <c r="J58" s="1127"/>
      <c r="K58" s="1131"/>
      <c r="L58" s="1132"/>
      <c r="M58" s="1133"/>
      <c r="N58" s="1134"/>
    </row>
    <row r="59" spans="1:14" ht="12.75" hidden="1" customHeight="1">
      <c r="A59" s="87" t="s">
        <v>59</v>
      </c>
      <c r="B59" s="5">
        <v>11959</v>
      </c>
      <c r="C59" s="1127">
        <v>23292.399999999998</v>
      </c>
      <c r="D59" s="1128">
        <v>43571.799999999996</v>
      </c>
      <c r="E59" s="1127">
        <v>33280.5</v>
      </c>
      <c r="F59" s="1128">
        <v>4.2</v>
      </c>
      <c r="G59" s="1129">
        <v>1124.3</v>
      </c>
      <c r="H59" s="1127">
        <v>77980.799999999988</v>
      </c>
      <c r="I59" s="1130"/>
      <c r="J59" s="1127">
        <v>6246.2000000000007</v>
      </c>
      <c r="K59" s="1131"/>
      <c r="L59" s="1132">
        <v>107519.39999999998</v>
      </c>
      <c r="M59" s="1133">
        <v>6154.2000000000007</v>
      </c>
      <c r="N59" s="1134">
        <v>113673.59999999998</v>
      </c>
    </row>
    <row r="60" spans="1:14" ht="12.75" hidden="1" customHeight="1">
      <c r="A60" s="87" t="s">
        <v>40</v>
      </c>
      <c r="B60" s="5">
        <v>11959</v>
      </c>
      <c r="C60" s="1127">
        <v>22989</v>
      </c>
      <c r="D60" s="1128">
        <v>44925.100000000006</v>
      </c>
      <c r="E60" s="1127">
        <v>37439.5</v>
      </c>
      <c r="F60" s="1128">
        <v>4.2</v>
      </c>
      <c r="G60" s="1129">
        <v>1154.3</v>
      </c>
      <c r="H60" s="1127">
        <v>83523.100000000006</v>
      </c>
      <c r="I60" s="1130"/>
      <c r="J60" s="1127">
        <v>5103.5</v>
      </c>
      <c r="K60" s="1131"/>
      <c r="L60" s="1132">
        <v>111615.6</v>
      </c>
      <c r="M60" s="1133">
        <v>6636.1</v>
      </c>
      <c r="N60" s="1134">
        <v>118251.70000000001</v>
      </c>
    </row>
    <row r="61" spans="1:14" ht="12.75" hidden="1" customHeight="1">
      <c r="A61" s="87" t="s">
        <v>41</v>
      </c>
      <c r="B61" s="5">
        <v>11959</v>
      </c>
      <c r="C61" s="1127">
        <v>23883.899999999998</v>
      </c>
      <c r="D61" s="1128">
        <v>44203.19999999999</v>
      </c>
      <c r="E61" s="1127">
        <v>37678.6</v>
      </c>
      <c r="F61" s="1128">
        <v>4.2</v>
      </c>
      <c r="G61" s="1129">
        <v>1133.5</v>
      </c>
      <c r="H61" s="1127">
        <v>83019.499999999985</v>
      </c>
      <c r="I61" s="1130"/>
      <c r="J61" s="1127">
        <v>4200</v>
      </c>
      <c r="K61" s="1131"/>
      <c r="L61" s="1132">
        <v>111103.39999999998</v>
      </c>
      <c r="M61" s="1133">
        <v>6185.7000000000007</v>
      </c>
      <c r="N61" s="1134">
        <v>117289.09999999998</v>
      </c>
    </row>
    <row r="62" spans="1:14" ht="12.75" hidden="1" customHeight="1">
      <c r="A62" s="87" t="s">
        <v>42</v>
      </c>
      <c r="B62" s="5">
        <v>11959</v>
      </c>
      <c r="C62" s="1127">
        <v>24108.799999999999</v>
      </c>
      <c r="D62" s="1128">
        <v>45182.899999999994</v>
      </c>
      <c r="E62" s="1127">
        <v>38308.799999999996</v>
      </c>
      <c r="F62" s="1128">
        <v>4.2</v>
      </c>
      <c r="G62" s="1129">
        <v>1055.9000000000001</v>
      </c>
      <c r="H62" s="1127">
        <v>84551.799999999974</v>
      </c>
      <c r="I62" s="1130"/>
      <c r="J62" s="1127">
        <v>4504.2000000000007</v>
      </c>
      <c r="K62" s="1131"/>
      <c r="L62" s="1132">
        <v>113164.79999999997</v>
      </c>
      <c r="M62" s="1133">
        <v>6176.8</v>
      </c>
      <c r="N62" s="1134">
        <v>119341.59999999998</v>
      </c>
    </row>
    <row r="63" spans="1:14" ht="12.75" hidden="1" customHeight="1">
      <c r="A63" s="87" t="s">
        <v>43</v>
      </c>
      <c r="B63" s="5">
        <v>11959</v>
      </c>
      <c r="C63" s="1127">
        <v>24468.1</v>
      </c>
      <c r="D63" s="1128">
        <v>45628.2</v>
      </c>
      <c r="E63" s="1127">
        <v>39355.699999999997</v>
      </c>
      <c r="F63" s="1128">
        <v>4.2</v>
      </c>
      <c r="G63" s="1129">
        <v>1103.3</v>
      </c>
      <c r="H63" s="1127">
        <v>86091.4</v>
      </c>
      <c r="I63" s="1130"/>
      <c r="J63" s="1127">
        <v>4862.6000000000004</v>
      </c>
      <c r="K63" s="1131"/>
      <c r="L63" s="1132">
        <v>115422.1</v>
      </c>
      <c r="M63" s="1133">
        <v>6479</v>
      </c>
      <c r="N63" s="1134">
        <v>121901.1</v>
      </c>
    </row>
    <row r="64" spans="1:14" ht="12.75" hidden="1" customHeight="1">
      <c r="A64" s="87" t="s">
        <v>44</v>
      </c>
      <c r="B64" s="5">
        <v>11959</v>
      </c>
      <c r="C64" s="1127">
        <v>24438.5</v>
      </c>
      <c r="D64" s="1128">
        <v>45565.499999999993</v>
      </c>
      <c r="E64" s="1127">
        <v>40107.299999999996</v>
      </c>
      <c r="F64" s="1128">
        <v>4.2</v>
      </c>
      <c r="G64" s="1129">
        <v>1183.9000000000001</v>
      </c>
      <c r="H64" s="1127">
        <v>86860.89999999998</v>
      </c>
      <c r="I64" s="1130"/>
      <c r="J64" s="1127">
        <v>4840.2</v>
      </c>
      <c r="K64" s="1131"/>
      <c r="L64" s="1132">
        <v>116139.59999999998</v>
      </c>
      <c r="M64" s="1133">
        <v>6475.1</v>
      </c>
      <c r="N64" s="1134">
        <v>122614.69999999998</v>
      </c>
    </row>
    <row r="65" spans="1:14" ht="12.75" hidden="1" customHeight="1">
      <c r="A65" s="87" t="s">
        <v>45</v>
      </c>
      <c r="B65" s="5">
        <v>11959</v>
      </c>
      <c r="C65" s="1127">
        <v>24677.200000000001</v>
      </c>
      <c r="D65" s="1128">
        <v>48223.69999999999</v>
      </c>
      <c r="E65" s="1127">
        <v>37600.699999999997</v>
      </c>
      <c r="F65" s="1128">
        <v>4.2</v>
      </c>
      <c r="G65" s="1129">
        <v>1185</v>
      </c>
      <c r="H65" s="1127">
        <v>87013.599999999991</v>
      </c>
      <c r="I65" s="1130"/>
      <c r="J65" s="1127">
        <v>4848.1000000000004</v>
      </c>
      <c r="K65" s="1131"/>
      <c r="L65" s="1132">
        <v>116538.9</v>
      </c>
      <c r="M65" s="1133">
        <v>6724</v>
      </c>
      <c r="N65" s="1134">
        <v>123262.9</v>
      </c>
    </row>
    <row r="66" spans="1:14" ht="12.75" hidden="1" customHeight="1">
      <c r="A66" s="87" t="s">
        <v>46</v>
      </c>
      <c r="B66" s="5">
        <v>11959</v>
      </c>
      <c r="C66" s="1127">
        <v>24205.999999999996</v>
      </c>
      <c r="D66" s="1128">
        <v>45839.099999999991</v>
      </c>
      <c r="E66" s="1127">
        <v>38508.6</v>
      </c>
      <c r="F66" s="1128">
        <v>4.2</v>
      </c>
      <c r="G66" s="1129">
        <v>1469.9</v>
      </c>
      <c r="H66" s="1127">
        <v>85821.799999999974</v>
      </c>
      <c r="I66" s="1130"/>
      <c r="J66" s="1127">
        <v>4998.9000000000005</v>
      </c>
      <c r="K66" s="1131"/>
      <c r="L66" s="1132">
        <v>115026.69999999997</v>
      </c>
      <c r="M66" s="1133">
        <v>2131.1</v>
      </c>
      <c r="N66" s="1134">
        <v>117157.79999999997</v>
      </c>
    </row>
    <row r="67" spans="1:14" ht="12.75" hidden="1" customHeight="1">
      <c r="A67" s="87" t="s">
        <v>47</v>
      </c>
      <c r="B67" s="5">
        <v>11959</v>
      </c>
      <c r="C67" s="1127">
        <v>24501.699999999997</v>
      </c>
      <c r="D67" s="1128">
        <v>43154.399999999994</v>
      </c>
      <c r="E67" s="1127">
        <v>35986.5</v>
      </c>
      <c r="F67" s="1128">
        <v>4.2</v>
      </c>
      <c r="G67" s="1129">
        <v>1590.9</v>
      </c>
      <c r="H67" s="1127">
        <v>80735.999999999985</v>
      </c>
      <c r="I67" s="1130"/>
      <c r="J67" s="1127">
        <v>5092</v>
      </c>
      <c r="K67" s="1131"/>
      <c r="L67" s="1132">
        <v>110329.69999999998</v>
      </c>
      <c r="M67" s="1133">
        <v>5140.3</v>
      </c>
      <c r="N67" s="1134">
        <v>115469.99999999999</v>
      </c>
    </row>
    <row r="68" spans="1:14" ht="12.75" hidden="1" customHeight="1">
      <c r="A68" s="87" t="s">
        <v>48</v>
      </c>
      <c r="B68" s="5">
        <v>11959</v>
      </c>
      <c r="C68" s="1127">
        <v>23074.600000000002</v>
      </c>
      <c r="D68" s="1128">
        <v>46221.9</v>
      </c>
      <c r="E68" s="1127">
        <v>41468.200000000004</v>
      </c>
      <c r="F68" s="1128">
        <v>104.2</v>
      </c>
      <c r="G68" s="1129">
        <v>1463</v>
      </c>
      <c r="H68" s="1127">
        <v>89257.3</v>
      </c>
      <c r="I68" s="1130"/>
      <c r="J68" s="1127">
        <v>7114.8</v>
      </c>
      <c r="K68" s="1131"/>
      <c r="L68" s="1132">
        <v>119446.70000000001</v>
      </c>
      <c r="M68" s="1133">
        <v>4940</v>
      </c>
      <c r="N68" s="1134">
        <v>124386.70000000001</v>
      </c>
    </row>
    <row r="69" spans="1:14" ht="12.75" hidden="1" customHeight="1">
      <c r="A69" s="87" t="s">
        <v>49</v>
      </c>
      <c r="B69" s="5">
        <v>11959</v>
      </c>
      <c r="C69" s="1127">
        <v>23519.200000000001</v>
      </c>
      <c r="D69" s="1128">
        <v>47723.4</v>
      </c>
      <c r="E69" s="1127">
        <v>46869.4</v>
      </c>
      <c r="F69" s="1128">
        <v>104.2</v>
      </c>
      <c r="G69" s="1129">
        <v>1994.1000000000001</v>
      </c>
      <c r="H69" s="1127">
        <v>96691.1</v>
      </c>
      <c r="I69" s="1130"/>
      <c r="J69" s="1127">
        <v>6806</v>
      </c>
      <c r="K69" s="1131"/>
      <c r="L69" s="1132">
        <v>127016.3</v>
      </c>
      <c r="M69" s="1133">
        <v>4667.1000000000004</v>
      </c>
      <c r="N69" s="1134">
        <v>131683.4</v>
      </c>
    </row>
    <row r="70" spans="1:14" ht="12.75" hidden="1" customHeight="1">
      <c r="A70" s="87" t="s">
        <v>50</v>
      </c>
      <c r="B70" s="5">
        <v>11959</v>
      </c>
      <c r="C70" s="1127">
        <v>25962.100000000002</v>
      </c>
      <c r="D70" s="1128">
        <v>46418.7</v>
      </c>
      <c r="E70" s="1127">
        <v>47269.299999999996</v>
      </c>
      <c r="F70" s="1128">
        <v>104.2</v>
      </c>
      <c r="G70" s="1129">
        <v>1730.1000000000001</v>
      </c>
      <c r="H70" s="1127">
        <v>95522.3</v>
      </c>
      <c r="I70" s="1130"/>
      <c r="J70" s="1127">
        <v>6945</v>
      </c>
      <c r="K70" s="1131"/>
      <c r="L70" s="1132">
        <v>128429.40000000001</v>
      </c>
      <c r="M70" s="1133">
        <v>3499.1</v>
      </c>
      <c r="N70" s="1134">
        <v>131928.5</v>
      </c>
    </row>
    <row r="71" spans="1:14" ht="12.75" hidden="1" customHeight="1">
      <c r="A71" s="87"/>
      <c r="B71" s="5"/>
      <c r="C71" s="1127"/>
      <c r="D71" s="1128"/>
      <c r="E71" s="1127"/>
      <c r="F71" s="1128"/>
      <c r="G71" s="1129"/>
      <c r="H71" s="1127"/>
      <c r="I71" s="1130"/>
      <c r="J71" s="1127"/>
      <c r="K71" s="1131"/>
      <c r="L71" s="1132"/>
      <c r="M71" s="1133"/>
      <c r="N71" s="1134"/>
    </row>
    <row r="72" spans="1:14" ht="12.75" hidden="1" customHeight="1">
      <c r="A72" s="87" t="s">
        <v>58</v>
      </c>
      <c r="B72" s="5">
        <v>11959</v>
      </c>
      <c r="C72" s="1127">
        <v>25807.200000000001</v>
      </c>
      <c r="D72" s="1128">
        <v>43556.7</v>
      </c>
      <c r="E72" s="1127">
        <v>48218.200000000004</v>
      </c>
      <c r="F72" s="1128">
        <v>104.2</v>
      </c>
      <c r="G72" s="1129">
        <v>1500.9</v>
      </c>
      <c r="H72" s="1127">
        <v>93379.999999999985</v>
      </c>
      <c r="I72" s="1130"/>
      <c r="J72" s="1127">
        <v>7004.5</v>
      </c>
      <c r="K72" s="1131"/>
      <c r="L72" s="1132">
        <v>126191.69999999998</v>
      </c>
      <c r="M72" s="1133">
        <v>3224.7000000000003</v>
      </c>
      <c r="N72" s="1134">
        <v>129416.39999999998</v>
      </c>
    </row>
    <row r="73" spans="1:14" ht="12.75" hidden="1" customHeight="1">
      <c r="A73" s="87" t="s">
        <v>40</v>
      </c>
      <c r="B73" s="5">
        <v>11959</v>
      </c>
      <c r="C73" s="1127">
        <v>25357.100000000002</v>
      </c>
      <c r="D73" s="1128">
        <v>44767.600000000006</v>
      </c>
      <c r="E73" s="1127">
        <v>49196.500000000007</v>
      </c>
      <c r="F73" s="1128">
        <v>104.2</v>
      </c>
      <c r="G73" s="1129">
        <v>1520</v>
      </c>
      <c r="H73" s="1127">
        <v>95588.3</v>
      </c>
      <c r="I73" s="1130"/>
      <c r="J73" s="1127">
        <v>7195.4000000000005</v>
      </c>
      <c r="K73" s="1131"/>
      <c r="L73" s="1132">
        <v>128140.8</v>
      </c>
      <c r="M73" s="1133">
        <v>2916.6</v>
      </c>
      <c r="N73" s="1134">
        <v>131057.40000000001</v>
      </c>
    </row>
    <row r="74" spans="1:14" ht="12.75" hidden="1" customHeight="1">
      <c r="A74" s="87" t="s">
        <v>41</v>
      </c>
      <c r="B74" s="5">
        <v>11959</v>
      </c>
      <c r="C74" s="1127">
        <v>25630.899999999998</v>
      </c>
      <c r="D74" s="1128">
        <v>45488.4</v>
      </c>
      <c r="E74" s="1127">
        <v>53497.100000000006</v>
      </c>
      <c r="F74" s="1128">
        <v>257.7</v>
      </c>
      <c r="G74" s="1129">
        <v>1464</v>
      </c>
      <c r="H74" s="1127">
        <v>100707.2</v>
      </c>
      <c r="I74" s="1130"/>
      <c r="J74" s="1127">
        <v>7423</v>
      </c>
      <c r="K74" s="1131"/>
      <c r="L74" s="1132">
        <v>133761.09999999998</v>
      </c>
      <c r="M74" s="1133">
        <v>2865.8</v>
      </c>
      <c r="N74" s="1134">
        <v>136626.89999999997</v>
      </c>
    </row>
    <row r="75" spans="1:14" ht="12.75" hidden="1" customHeight="1">
      <c r="A75" s="87" t="s">
        <v>42</v>
      </c>
      <c r="B75" s="5">
        <v>11959</v>
      </c>
      <c r="C75" s="1127">
        <v>25649.7</v>
      </c>
      <c r="D75" s="1128">
        <v>48026.500000000007</v>
      </c>
      <c r="E75" s="1127">
        <v>53762.3</v>
      </c>
      <c r="F75" s="1128">
        <v>1037.9000000000001</v>
      </c>
      <c r="G75" s="1129">
        <v>1489.1000000000001</v>
      </c>
      <c r="H75" s="1127">
        <v>104315.80000000002</v>
      </c>
      <c r="I75" s="1130"/>
      <c r="J75" s="1127">
        <v>7521.1</v>
      </c>
      <c r="K75" s="1131"/>
      <c r="L75" s="1132">
        <v>137486.6</v>
      </c>
      <c r="M75" s="1133">
        <v>2835.8</v>
      </c>
      <c r="N75" s="1134">
        <v>140322.4</v>
      </c>
    </row>
    <row r="76" spans="1:14" ht="12.75" hidden="1" customHeight="1">
      <c r="A76" s="87" t="s">
        <v>43</v>
      </c>
      <c r="B76" s="5">
        <v>11959</v>
      </c>
      <c r="C76" s="1127">
        <v>26267.300000000003</v>
      </c>
      <c r="D76" s="1128">
        <v>46002.5</v>
      </c>
      <c r="E76" s="1127">
        <v>51758.9</v>
      </c>
      <c r="F76" s="1128">
        <v>1041.2</v>
      </c>
      <c r="G76" s="1129">
        <v>1690.5</v>
      </c>
      <c r="H76" s="1127">
        <v>100493.09999999999</v>
      </c>
      <c r="I76" s="1130"/>
      <c r="J76" s="1127">
        <v>7494.1</v>
      </c>
      <c r="K76" s="1131"/>
      <c r="L76" s="1132">
        <v>134254.5</v>
      </c>
      <c r="M76" s="1133">
        <v>2624.7</v>
      </c>
      <c r="N76" s="1134">
        <v>136879.20000000001</v>
      </c>
    </row>
    <row r="77" spans="1:14" ht="12.75" hidden="1" customHeight="1">
      <c r="A77" s="87" t="s">
        <v>44</v>
      </c>
      <c r="B77" s="5">
        <v>11959</v>
      </c>
      <c r="C77" s="1127">
        <v>27066.499999999996</v>
      </c>
      <c r="D77" s="1128">
        <v>42485.5</v>
      </c>
      <c r="E77" s="1127">
        <v>56598.299999999996</v>
      </c>
      <c r="F77" s="1128">
        <v>987.5</v>
      </c>
      <c r="G77" s="1129">
        <v>3360</v>
      </c>
      <c r="H77" s="1127">
        <v>103431.29999999999</v>
      </c>
      <c r="I77" s="1130"/>
      <c r="J77" s="1127">
        <v>7231.7000000000007</v>
      </c>
      <c r="K77" s="1131"/>
      <c r="L77" s="1132">
        <v>137729.5</v>
      </c>
      <c r="M77" s="1133">
        <v>2651.2999999999997</v>
      </c>
      <c r="N77" s="1134">
        <v>140380.79999999999</v>
      </c>
    </row>
    <row r="78" spans="1:14" ht="12.75" hidden="1" customHeight="1">
      <c r="A78" s="87" t="s">
        <v>45</v>
      </c>
      <c r="B78" s="5">
        <v>11959</v>
      </c>
      <c r="C78" s="1127">
        <v>27601.299999999996</v>
      </c>
      <c r="D78" s="1128">
        <v>44852.2</v>
      </c>
      <c r="E78" s="1127">
        <v>53470</v>
      </c>
      <c r="F78" s="1128">
        <v>4002.2</v>
      </c>
      <c r="G78" s="1129">
        <v>4145.5</v>
      </c>
      <c r="H78" s="1127">
        <v>106469.9</v>
      </c>
      <c r="I78" s="1130"/>
      <c r="J78" s="1127">
        <v>7127.7</v>
      </c>
      <c r="K78" s="1131"/>
      <c r="L78" s="1132">
        <v>141198.9</v>
      </c>
      <c r="M78" s="1133">
        <v>2807.3</v>
      </c>
      <c r="N78" s="1134">
        <v>144006.19999999998</v>
      </c>
    </row>
    <row r="79" spans="1:14" ht="12.75" hidden="1" customHeight="1">
      <c r="A79" s="87" t="s">
        <v>46</v>
      </c>
      <c r="B79" s="5">
        <v>11959</v>
      </c>
      <c r="C79" s="1127">
        <v>27345.499999999996</v>
      </c>
      <c r="D79" s="1128">
        <v>44437.1</v>
      </c>
      <c r="E79" s="1127">
        <v>55420.799999999996</v>
      </c>
      <c r="F79" s="1128">
        <v>7080.3</v>
      </c>
      <c r="G79" s="1129">
        <v>2817</v>
      </c>
      <c r="H79" s="1127">
        <v>109755.2</v>
      </c>
      <c r="I79" s="1130"/>
      <c r="J79" s="1127">
        <v>7163.2999999999993</v>
      </c>
      <c r="K79" s="1131"/>
      <c r="L79" s="1132">
        <v>144263.99999999997</v>
      </c>
      <c r="M79" s="1133">
        <v>2695.4</v>
      </c>
      <c r="N79" s="1134">
        <v>146959.39999999997</v>
      </c>
    </row>
    <row r="80" spans="1:14" ht="12.75" hidden="1" customHeight="1">
      <c r="A80" s="87" t="s">
        <v>47</v>
      </c>
      <c r="B80" s="5">
        <v>11959</v>
      </c>
      <c r="C80" s="1127">
        <v>28116.6</v>
      </c>
      <c r="D80" s="1128">
        <v>42560.600000000006</v>
      </c>
      <c r="E80" s="1127">
        <v>55233.2</v>
      </c>
      <c r="F80" s="1128">
        <v>10313.199999999999</v>
      </c>
      <c r="G80" s="1129">
        <v>2792.8</v>
      </c>
      <c r="H80" s="1127">
        <v>110899.8</v>
      </c>
      <c r="I80" s="1130"/>
      <c r="J80" s="1127">
        <v>7103.0999999999995</v>
      </c>
      <c r="K80" s="1131"/>
      <c r="L80" s="1132">
        <v>146119.5</v>
      </c>
      <c r="M80" s="1133">
        <v>2863.5</v>
      </c>
      <c r="N80" s="1134">
        <v>148983</v>
      </c>
    </row>
    <row r="81" spans="1:14" ht="12.75" hidden="1" customHeight="1">
      <c r="A81" s="87" t="s">
        <v>48</v>
      </c>
      <c r="B81" s="5">
        <v>11959</v>
      </c>
      <c r="C81" s="1127">
        <v>28393.400000000005</v>
      </c>
      <c r="D81" s="1128">
        <v>45924.099999999991</v>
      </c>
      <c r="E81" s="1127">
        <v>55056.399999999994</v>
      </c>
      <c r="F81" s="1128">
        <v>10424.299999999999</v>
      </c>
      <c r="G81" s="1129">
        <v>3280.3</v>
      </c>
      <c r="H81" s="1127">
        <v>114685.09999999999</v>
      </c>
      <c r="I81" s="1130"/>
      <c r="J81" s="1127">
        <v>6771.4000000000005</v>
      </c>
      <c r="K81" s="1131"/>
      <c r="L81" s="1132">
        <v>149849.9</v>
      </c>
      <c r="M81" s="1133">
        <v>2912.0000000000005</v>
      </c>
      <c r="N81" s="1134">
        <v>152761.9</v>
      </c>
    </row>
    <row r="82" spans="1:14" ht="12.75" hidden="1" customHeight="1">
      <c r="A82" s="87" t="s">
        <v>49</v>
      </c>
      <c r="B82" s="5">
        <v>11959</v>
      </c>
      <c r="C82" s="1127">
        <v>29255.399999999998</v>
      </c>
      <c r="D82" s="1128">
        <v>44887.7</v>
      </c>
      <c r="E82" s="1127">
        <v>51831.900000000009</v>
      </c>
      <c r="F82" s="1128">
        <v>10730.1</v>
      </c>
      <c r="G82" s="1129">
        <v>2766.4</v>
      </c>
      <c r="H82" s="1127">
        <v>110216.1</v>
      </c>
      <c r="I82" s="1130"/>
      <c r="J82" s="1127">
        <v>6909.0999999999995</v>
      </c>
      <c r="K82" s="1131"/>
      <c r="L82" s="1132">
        <v>146380.6</v>
      </c>
      <c r="M82" s="1133">
        <v>1913.4</v>
      </c>
      <c r="N82" s="1134">
        <v>148294</v>
      </c>
    </row>
    <row r="83" spans="1:14" ht="12.75" hidden="1" customHeight="1">
      <c r="A83" s="87" t="s">
        <v>50</v>
      </c>
      <c r="B83" s="5">
        <v>11959</v>
      </c>
      <c r="C83" s="1127">
        <v>32216.000000000004</v>
      </c>
      <c r="D83" s="1128">
        <v>45081.5</v>
      </c>
      <c r="E83" s="1127">
        <v>54989.1</v>
      </c>
      <c r="F83" s="1128">
        <v>10713.5</v>
      </c>
      <c r="G83" s="1129">
        <v>3623.1</v>
      </c>
      <c r="H83" s="1127">
        <v>114407.20000000001</v>
      </c>
      <c r="I83" s="1130"/>
      <c r="J83" s="1127">
        <v>7253</v>
      </c>
      <c r="K83" s="1131"/>
      <c r="L83" s="1132">
        <v>153876.20000000001</v>
      </c>
      <c r="M83" s="1133">
        <v>1852.4</v>
      </c>
      <c r="N83" s="1134">
        <v>155728.6</v>
      </c>
    </row>
    <row r="84" spans="1:14" ht="12.75" hidden="1" customHeight="1">
      <c r="A84" s="87"/>
      <c r="B84" s="5"/>
      <c r="C84" s="1127"/>
      <c r="D84" s="1128"/>
      <c r="E84" s="1127"/>
      <c r="F84" s="1128"/>
      <c r="G84" s="1129"/>
      <c r="H84" s="1127"/>
      <c r="I84" s="1130"/>
      <c r="J84" s="1127"/>
      <c r="K84" s="1131"/>
      <c r="L84" s="1132"/>
      <c r="M84" s="1133"/>
      <c r="N84" s="1134"/>
    </row>
    <row r="85" spans="1:14" ht="12.75" hidden="1" customHeight="1">
      <c r="A85" s="87" t="s">
        <v>57</v>
      </c>
      <c r="B85" s="5">
        <v>11959</v>
      </c>
      <c r="C85" s="1127">
        <v>32417.8</v>
      </c>
      <c r="D85" s="1128">
        <v>43216.099999999991</v>
      </c>
      <c r="E85" s="1127">
        <v>56566.799999999996</v>
      </c>
      <c r="F85" s="1128">
        <v>11240.9</v>
      </c>
      <c r="G85" s="1129">
        <v>3259.1000000000004</v>
      </c>
      <c r="H85" s="1127">
        <v>114282.9</v>
      </c>
      <c r="I85" s="1130"/>
      <c r="J85" s="1127">
        <v>6067.2000000000007</v>
      </c>
      <c r="K85" s="1131"/>
      <c r="L85" s="1132">
        <v>152767.9</v>
      </c>
      <c r="M85" s="1133">
        <v>985.59999999999991</v>
      </c>
      <c r="N85" s="1134">
        <v>153753.5</v>
      </c>
    </row>
    <row r="86" spans="1:14" ht="12.75" hidden="1" customHeight="1">
      <c r="A86" s="87" t="s">
        <v>40</v>
      </c>
      <c r="B86" s="5">
        <v>11959</v>
      </c>
      <c r="C86" s="1127">
        <v>33172.1</v>
      </c>
      <c r="D86" s="1128">
        <v>47597.299999999996</v>
      </c>
      <c r="E86" s="1127">
        <v>51850.5</v>
      </c>
      <c r="F86" s="1128">
        <v>12236.4</v>
      </c>
      <c r="G86" s="1129">
        <v>2631</v>
      </c>
      <c r="H86" s="1127">
        <v>114315.19999999998</v>
      </c>
      <c r="I86" s="1130"/>
      <c r="J86" s="1127">
        <v>6093.4000000000005</v>
      </c>
      <c r="K86" s="1131"/>
      <c r="L86" s="1132">
        <v>153580.69999999998</v>
      </c>
      <c r="M86" s="1133">
        <v>415.20000000000005</v>
      </c>
      <c r="N86" s="1134">
        <v>153995.9</v>
      </c>
    </row>
    <row r="87" spans="1:14" ht="12.75" hidden="1" customHeight="1">
      <c r="A87" s="87" t="s">
        <v>41</v>
      </c>
      <c r="B87" s="5">
        <v>11959</v>
      </c>
      <c r="C87" s="1127">
        <v>33817.4</v>
      </c>
      <c r="D87" s="1128">
        <v>47553.5</v>
      </c>
      <c r="E87" s="1127">
        <v>54875.8</v>
      </c>
      <c r="F87" s="1128">
        <v>13201.1</v>
      </c>
      <c r="G87" s="1129">
        <v>2806.9</v>
      </c>
      <c r="H87" s="1127">
        <v>118437.3</v>
      </c>
      <c r="I87" s="1130"/>
      <c r="J87" s="1127">
        <v>5982.0999999999995</v>
      </c>
      <c r="K87" s="1131"/>
      <c r="L87" s="1132">
        <v>158236.80000000002</v>
      </c>
      <c r="M87" s="1133">
        <v>415.6</v>
      </c>
      <c r="N87" s="1134">
        <v>158652.40000000002</v>
      </c>
    </row>
    <row r="88" spans="1:14" ht="12.75" hidden="1" customHeight="1">
      <c r="A88" s="87" t="s">
        <v>42</v>
      </c>
      <c r="B88" s="5">
        <v>11959</v>
      </c>
      <c r="C88" s="1127">
        <v>32856.699999999997</v>
      </c>
      <c r="D88" s="1128">
        <v>46639.400000000009</v>
      </c>
      <c r="E88" s="1127">
        <v>55836.6</v>
      </c>
      <c r="F88" s="1128">
        <v>13599.699999999999</v>
      </c>
      <c r="G88" s="1129">
        <v>2876.8</v>
      </c>
      <c r="H88" s="1127">
        <v>118952.5</v>
      </c>
      <c r="I88" s="1130"/>
      <c r="J88" s="1127">
        <v>6336.0999999999995</v>
      </c>
      <c r="K88" s="1131"/>
      <c r="L88" s="1132">
        <v>158145.30000000002</v>
      </c>
      <c r="M88" s="1133">
        <v>416.1</v>
      </c>
      <c r="N88" s="1134">
        <v>158561.40000000002</v>
      </c>
    </row>
    <row r="89" spans="1:14" ht="12.75" hidden="1" customHeight="1">
      <c r="A89" s="87" t="s">
        <v>43</v>
      </c>
      <c r="B89" s="5">
        <v>11959</v>
      </c>
      <c r="C89" s="1127">
        <v>33117.200000000004</v>
      </c>
      <c r="D89" s="1128">
        <v>52549.999999999993</v>
      </c>
      <c r="E89" s="1127">
        <v>55168.9</v>
      </c>
      <c r="F89" s="1128">
        <v>13483.4</v>
      </c>
      <c r="G89" s="1129">
        <v>3099.9</v>
      </c>
      <c r="H89" s="1127">
        <v>124302.19999999998</v>
      </c>
      <c r="I89" s="1130"/>
      <c r="J89" s="1127">
        <v>6189.7999999999993</v>
      </c>
      <c r="K89" s="1131"/>
      <c r="L89" s="1132">
        <v>163609.19999999998</v>
      </c>
      <c r="M89" s="1133">
        <v>416.7</v>
      </c>
      <c r="N89" s="1134">
        <v>164025.9</v>
      </c>
    </row>
    <row r="90" spans="1:14" ht="12.75" hidden="1" customHeight="1">
      <c r="A90" s="87" t="s">
        <v>44</v>
      </c>
      <c r="B90" s="5">
        <v>11959</v>
      </c>
      <c r="C90" s="1127">
        <v>32572.699999999997</v>
      </c>
      <c r="D90" s="1128">
        <v>50146.6</v>
      </c>
      <c r="E90" s="1127">
        <v>60660.6</v>
      </c>
      <c r="F90" s="1128">
        <v>17260.3</v>
      </c>
      <c r="G90" s="1129">
        <v>2684.6</v>
      </c>
      <c r="H90" s="1127">
        <v>130752.1</v>
      </c>
      <c r="I90" s="1130"/>
      <c r="J90" s="1127">
        <v>6020.2000000000007</v>
      </c>
      <c r="K90" s="1131"/>
      <c r="L90" s="1132">
        <v>169345</v>
      </c>
      <c r="M90" s="1133">
        <v>417.7</v>
      </c>
      <c r="N90" s="1134">
        <v>169762.7</v>
      </c>
    </row>
    <row r="91" spans="1:14" ht="12.75" hidden="1" customHeight="1">
      <c r="A91" s="87" t="s">
        <v>45</v>
      </c>
      <c r="B91" s="5">
        <v>11959</v>
      </c>
      <c r="C91" s="1127">
        <v>33353.600000000006</v>
      </c>
      <c r="D91" s="1128">
        <v>54155</v>
      </c>
      <c r="E91" s="1127">
        <v>61172.2</v>
      </c>
      <c r="F91" s="1128">
        <v>17267.900000000001</v>
      </c>
      <c r="G91" s="1129">
        <v>2809.8</v>
      </c>
      <c r="H91" s="1127">
        <v>135404.9</v>
      </c>
      <c r="I91" s="1130"/>
      <c r="J91" s="1127">
        <v>6027.8</v>
      </c>
      <c r="K91" s="1131"/>
      <c r="L91" s="1132">
        <v>174786.3</v>
      </c>
      <c r="M91" s="1133">
        <v>857.3</v>
      </c>
      <c r="N91" s="1134">
        <v>175643.59999999998</v>
      </c>
    </row>
    <row r="92" spans="1:14" ht="12.75" hidden="1" customHeight="1">
      <c r="A92" s="87" t="s">
        <v>46</v>
      </c>
      <c r="B92" s="5">
        <v>11959</v>
      </c>
      <c r="C92" s="1127">
        <v>32510.3</v>
      </c>
      <c r="D92" s="1128">
        <v>59025.600000000006</v>
      </c>
      <c r="E92" s="1127">
        <v>62202.19999999999</v>
      </c>
      <c r="F92" s="1128">
        <v>18265.699999999997</v>
      </c>
      <c r="G92" s="1129">
        <v>2611.8000000000002</v>
      </c>
      <c r="H92" s="1127">
        <v>142105.29999999999</v>
      </c>
      <c r="I92" s="1130"/>
      <c r="J92" s="1127">
        <v>6384.7999999999993</v>
      </c>
      <c r="K92" s="1131"/>
      <c r="L92" s="1132">
        <v>181000.39999999997</v>
      </c>
      <c r="M92" s="1133">
        <v>4829.9000000000005</v>
      </c>
      <c r="N92" s="1134">
        <v>185830.29999999996</v>
      </c>
    </row>
    <row r="93" spans="1:14" ht="12.75" hidden="1" customHeight="1">
      <c r="A93" s="87" t="s">
        <v>47</v>
      </c>
      <c r="B93" s="5">
        <v>11959</v>
      </c>
      <c r="C93" s="1127">
        <v>32508.600000000002</v>
      </c>
      <c r="D93" s="1128">
        <v>61374.1</v>
      </c>
      <c r="E93" s="1127">
        <v>60402.69999999999</v>
      </c>
      <c r="F93" s="1128">
        <v>19778.8</v>
      </c>
      <c r="G93" s="1129">
        <v>2576</v>
      </c>
      <c r="H93" s="1127">
        <v>144131.59999999998</v>
      </c>
      <c r="I93" s="1130"/>
      <c r="J93" s="1127">
        <v>6506.2</v>
      </c>
      <c r="K93" s="1131"/>
      <c r="L93" s="1132">
        <v>183146.4</v>
      </c>
      <c r="M93" s="1133">
        <v>4878.2000000000007</v>
      </c>
      <c r="N93" s="1134">
        <v>188024.6</v>
      </c>
    </row>
    <row r="94" spans="1:14" ht="12.75" hidden="1" customHeight="1">
      <c r="A94" s="87" t="s">
        <v>48</v>
      </c>
      <c r="B94" s="5"/>
      <c r="C94" s="1127">
        <v>32779.1</v>
      </c>
      <c r="D94" s="1128">
        <v>54592.200000000004</v>
      </c>
      <c r="E94" s="1127">
        <v>66604.2</v>
      </c>
      <c r="F94" s="1128">
        <v>19814.900000000001</v>
      </c>
      <c r="G94" s="1129">
        <v>2782</v>
      </c>
      <c r="H94" s="1127">
        <v>143793.29999999999</v>
      </c>
      <c r="I94" s="1130"/>
      <c r="J94" s="1127">
        <v>6446.1</v>
      </c>
      <c r="K94" s="1131"/>
      <c r="L94" s="1132">
        <v>183018.5</v>
      </c>
      <c r="M94" s="1133">
        <v>4961.9000000000005</v>
      </c>
      <c r="N94" s="1134">
        <v>187980.4</v>
      </c>
    </row>
    <row r="95" spans="1:14" ht="12.75" hidden="1" customHeight="1">
      <c r="A95" s="87" t="s">
        <v>49</v>
      </c>
      <c r="B95" s="5"/>
      <c r="C95" s="1127">
        <v>32897.300000000003</v>
      </c>
      <c r="D95" s="1128">
        <v>60547.600000000006</v>
      </c>
      <c r="E95" s="1127">
        <v>64987.899999999994</v>
      </c>
      <c r="F95" s="1128">
        <v>20425.599999999999</v>
      </c>
      <c r="G95" s="1129">
        <v>2694.8999999999996</v>
      </c>
      <c r="H95" s="1127">
        <v>148656</v>
      </c>
      <c r="I95" s="1130"/>
      <c r="J95" s="1127">
        <v>6220.5</v>
      </c>
      <c r="K95" s="1131"/>
      <c r="L95" s="1132">
        <v>187773.8</v>
      </c>
      <c r="M95" s="1133">
        <v>4966.0999999999995</v>
      </c>
      <c r="N95" s="1134">
        <v>192739.9</v>
      </c>
    </row>
    <row r="96" spans="1:14" ht="12.75" hidden="1" customHeight="1">
      <c r="A96" s="87" t="s">
        <v>50</v>
      </c>
      <c r="B96" s="5"/>
      <c r="C96" s="1127">
        <v>36116.899999999994</v>
      </c>
      <c r="D96" s="1128">
        <v>60894.000000000015</v>
      </c>
      <c r="E96" s="1127">
        <v>61307.999999999993</v>
      </c>
      <c r="F96" s="1128">
        <v>21032.799999999999</v>
      </c>
      <c r="G96" s="1129">
        <v>2547.8000000000002</v>
      </c>
      <c r="H96" s="1127">
        <v>145782.59999999998</v>
      </c>
      <c r="I96" s="1130"/>
      <c r="J96" s="1127">
        <v>6270</v>
      </c>
      <c r="K96" s="1131"/>
      <c r="L96" s="1132">
        <v>188169.49999999997</v>
      </c>
      <c r="M96" s="1133">
        <v>5072.7</v>
      </c>
      <c r="N96" s="1134">
        <v>193242.19999999998</v>
      </c>
    </row>
    <row r="97" spans="1:14" ht="12.75" hidden="1" customHeight="1">
      <c r="A97" s="214"/>
      <c r="B97" s="5"/>
      <c r="C97" s="1127"/>
      <c r="D97" s="1128"/>
      <c r="E97" s="1127"/>
      <c r="F97" s="1128"/>
      <c r="G97" s="1129"/>
      <c r="H97" s="1127"/>
      <c r="I97" s="1130"/>
      <c r="J97" s="1127"/>
      <c r="K97" s="1131"/>
      <c r="L97" s="1132"/>
      <c r="M97" s="1133"/>
      <c r="N97" s="1134"/>
    </row>
    <row r="98" spans="1:14" ht="12.75" hidden="1" customHeight="1">
      <c r="A98" s="87" t="s">
        <v>56</v>
      </c>
      <c r="B98" s="5"/>
      <c r="C98" s="1127">
        <v>35513.199999999997</v>
      </c>
      <c r="D98" s="1128">
        <v>58223</v>
      </c>
      <c r="E98" s="1127">
        <v>58396.5</v>
      </c>
      <c r="F98" s="1128">
        <v>19088.8</v>
      </c>
      <c r="G98" s="1129">
        <v>2616.1000000000004</v>
      </c>
      <c r="H98" s="1127">
        <v>138324.4</v>
      </c>
      <c r="I98" s="1130"/>
      <c r="J98" s="1127">
        <v>4710.8</v>
      </c>
      <c r="K98" s="1131"/>
      <c r="L98" s="1132">
        <v>178548.39999999997</v>
      </c>
      <c r="M98" s="1133">
        <v>315.3</v>
      </c>
      <c r="N98" s="1134">
        <v>178863.69999999995</v>
      </c>
    </row>
    <row r="99" spans="1:14" ht="12.75" hidden="1" customHeight="1">
      <c r="A99" s="87" t="s">
        <v>40</v>
      </c>
      <c r="B99" s="5"/>
      <c r="C99" s="1127">
        <v>36968.700000000004</v>
      </c>
      <c r="D99" s="1128">
        <v>54878.899999999994</v>
      </c>
      <c r="E99" s="1127">
        <v>61368.499999999993</v>
      </c>
      <c r="F99" s="1128">
        <v>19233.599999999999</v>
      </c>
      <c r="G99" s="1129">
        <v>1961.3000000000002</v>
      </c>
      <c r="H99" s="1127">
        <v>137442.29999999999</v>
      </c>
      <c r="I99" s="1130"/>
      <c r="J99" s="1127">
        <v>4563.2000000000007</v>
      </c>
      <c r="K99" s="1131"/>
      <c r="L99" s="1132">
        <v>178974.2</v>
      </c>
      <c r="M99" s="1133">
        <v>1064.8999999999999</v>
      </c>
      <c r="N99" s="1134">
        <v>180039.1</v>
      </c>
    </row>
    <row r="100" spans="1:14" ht="12.75" hidden="1" customHeight="1">
      <c r="A100" s="87" t="s">
        <v>41</v>
      </c>
      <c r="B100" s="5"/>
      <c r="C100" s="1127">
        <v>37515.799999999996</v>
      </c>
      <c r="D100" s="1128">
        <v>61994.1</v>
      </c>
      <c r="E100" s="1127">
        <v>63065.700000000004</v>
      </c>
      <c r="F100" s="1128">
        <v>18129.3</v>
      </c>
      <c r="G100" s="1129">
        <v>2205.3000000000002</v>
      </c>
      <c r="H100" s="1127">
        <v>145394.4</v>
      </c>
      <c r="I100" s="1130"/>
      <c r="J100" s="1127">
        <v>4444.8</v>
      </c>
      <c r="K100" s="1131"/>
      <c r="L100" s="1132">
        <v>187354.99999999997</v>
      </c>
      <c r="M100" s="1133">
        <v>1020.3</v>
      </c>
      <c r="N100" s="1134">
        <v>188375.29999999996</v>
      </c>
    </row>
    <row r="101" spans="1:14" ht="12.75" hidden="1" customHeight="1">
      <c r="A101" s="87" t="s">
        <v>42</v>
      </c>
      <c r="B101" s="5"/>
      <c r="C101" s="1127">
        <v>37394.699999999997</v>
      </c>
      <c r="D101" s="1128">
        <v>61064.399999999994</v>
      </c>
      <c r="E101" s="1127">
        <v>57659.5</v>
      </c>
      <c r="F101" s="1128">
        <v>22857.599999999999</v>
      </c>
      <c r="G101" s="1129">
        <v>3337.9</v>
      </c>
      <c r="H101" s="1127">
        <v>144919.4</v>
      </c>
      <c r="I101" s="1130"/>
      <c r="J101" s="1127">
        <v>4406</v>
      </c>
      <c r="K101" s="1131"/>
      <c r="L101" s="1132">
        <v>186720.09999999998</v>
      </c>
      <c r="M101" s="1133">
        <v>1014.1999999999999</v>
      </c>
      <c r="N101" s="1134">
        <v>187734.3</v>
      </c>
    </row>
    <row r="102" spans="1:14" ht="12.75" hidden="1" customHeight="1">
      <c r="A102" s="87" t="s">
        <v>43</v>
      </c>
      <c r="B102" s="5"/>
      <c r="C102" s="1127">
        <v>36897.300000000003</v>
      </c>
      <c r="D102" s="1128">
        <v>57605.9</v>
      </c>
      <c r="E102" s="1127">
        <v>61807.500000000007</v>
      </c>
      <c r="F102" s="1128">
        <v>22236.799999999999</v>
      </c>
      <c r="G102" s="1129">
        <v>3140.7</v>
      </c>
      <c r="H102" s="1127">
        <v>144790.90000000002</v>
      </c>
      <c r="I102" s="1130"/>
      <c r="J102" s="1127">
        <v>4271.3</v>
      </c>
      <c r="K102" s="1131"/>
      <c r="L102" s="1132">
        <v>185959.5</v>
      </c>
      <c r="M102" s="1133">
        <v>1040.5999999999999</v>
      </c>
      <c r="N102" s="1134">
        <v>187000.1</v>
      </c>
    </row>
    <row r="103" spans="1:14" ht="12.75" hidden="1" customHeight="1">
      <c r="A103" s="87" t="s">
        <v>44</v>
      </c>
      <c r="B103" s="5"/>
      <c r="C103" s="1127">
        <v>36563.300000000003</v>
      </c>
      <c r="D103" s="1128">
        <v>56454.400000000009</v>
      </c>
      <c r="E103" s="1127">
        <v>64023.4</v>
      </c>
      <c r="F103" s="1128">
        <v>22030</v>
      </c>
      <c r="G103" s="1129">
        <v>2722.1</v>
      </c>
      <c r="H103" s="1127">
        <v>145229.90000000002</v>
      </c>
      <c r="I103" s="1130"/>
      <c r="J103" s="1127">
        <v>4081</v>
      </c>
      <c r="K103" s="1131"/>
      <c r="L103" s="1132">
        <v>185874.2</v>
      </c>
      <c r="M103" s="1133">
        <v>1056.6999999999998</v>
      </c>
      <c r="N103" s="1134">
        <v>186930.90000000002</v>
      </c>
    </row>
    <row r="104" spans="1:14" ht="12.75" hidden="1" customHeight="1">
      <c r="A104" s="87" t="s">
        <v>45</v>
      </c>
      <c r="B104" s="5"/>
      <c r="C104" s="1127">
        <v>37137.300000000003</v>
      </c>
      <c r="D104" s="1128">
        <v>54330.999999999993</v>
      </c>
      <c r="E104" s="1127">
        <v>66943.599999999991</v>
      </c>
      <c r="F104" s="1128">
        <v>18258.3</v>
      </c>
      <c r="G104" s="1129">
        <v>2891.4</v>
      </c>
      <c r="H104" s="1127">
        <v>142424.29999999996</v>
      </c>
      <c r="I104" s="1130"/>
      <c r="J104" s="1127">
        <v>4222.5</v>
      </c>
      <c r="K104" s="1131"/>
      <c r="L104" s="1132">
        <v>183784.09999999998</v>
      </c>
      <c r="M104" s="1133">
        <v>1058.0999999999999</v>
      </c>
      <c r="N104" s="1134">
        <v>184842.19999999998</v>
      </c>
    </row>
    <row r="105" spans="1:14" ht="12.75" hidden="1" customHeight="1">
      <c r="A105" s="87" t="s">
        <v>46</v>
      </c>
      <c r="B105" s="5"/>
      <c r="C105" s="1127">
        <v>36279.300000000003</v>
      </c>
      <c r="D105" s="1128">
        <v>47832.5</v>
      </c>
      <c r="E105" s="1127">
        <v>70624.7</v>
      </c>
      <c r="F105" s="1128">
        <v>18781.199999999997</v>
      </c>
      <c r="G105" s="1129">
        <v>5318.9</v>
      </c>
      <c r="H105" s="1127">
        <v>142557.29999999999</v>
      </c>
      <c r="I105" s="1130"/>
      <c r="J105" s="1127">
        <v>4173.3999999999996</v>
      </c>
      <c r="K105" s="1131"/>
      <c r="L105" s="1132">
        <v>183009.99999999997</v>
      </c>
      <c r="M105" s="1133">
        <v>571.69999999999993</v>
      </c>
      <c r="N105" s="1134">
        <v>183581.69999999998</v>
      </c>
    </row>
    <row r="106" spans="1:14" ht="12.75" hidden="1" customHeight="1">
      <c r="A106" s="87" t="s">
        <v>47</v>
      </c>
      <c r="B106" s="5"/>
      <c r="C106" s="1127">
        <v>36132.6</v>
      </c>
      <c r="D106" s="1128">
        <v>54723.100000000006</v>
      </c>
      <c r="E106" s="1127">
        <v>63240.1</v>
      </c>
      <c r="F106" s="1128">
        <v>19067.799999999996</v>
      </c>
      <c r="G106" s="1129">
        <v>3677.7</v>
      </c>
      <c r="H106" s="1127">
        <v>140708.70000000001</v>
      </c>
      <c r="I106" s="1130"/>
      <c r="J106" s="1127">
        <v>4368.3</v>
      </c>
      <c r="K106" s="1131"/>
      <c r="L106" s="1132">
        <v>181209.60000000001</v>
      </c>
      <c r="M106" s="1133">
        <v>250.20000000000002</v>
      </c>
      <c r="N106" s="1134">
        <v>181459.80000000002</v>
      </c>
    </row>
    <row r="107" spans="1:14" ht="12.75" hidden="1" customHeight="1">
      <c r="A107" s="87" t="s">
        <v>48</v>
      </c>
      <c r="B107" s="5"/>
      <c r="C107" s="1127">
        <v>36291.800000000003</v>
      </c>
      <c r="D107" s="1128">
        <v>57252.200000000004</v>
      </c>
      <c r="E107" s="1127">
        <v>66369.400000000009</v>
      </c>
      <c r="F107" s="1128">
        <v>17868.599999999995</v>
      </c>
      <c r="G107" s="1129">
        <v>3986.8</v>
      </c>
      <c r="H107" s="1127">
        <v>145477</v>
      </c>
      <c r="I107" s="1130"/>
      <c r="J107" s="1127">
        <v>4256.5</v>
      </c>
      <c r="K107" s="1131"/>
      <c r="L107" s="1132">
        <v>186025.3</v>
      </c>
      <c r="M107" s="1133">
        <v>452.8</v>
      </c>
      <c r="N107" s="1134">
        <v>186478.09999999998</v>
      </c>
    </row>
    <row r="108" spans="1:14" ht="12.75" hidden="1" customHeight="1">
      <c r="A108" s="87" t="s">
        <v>49</v>
      </c>
      <c r="B108" s="5"/>
      <c r="C108" s="1127">
        <v>37134.300000000003</v>
      </c>
      <c r="D108" s="1128">
        <v>58937.2</v>
      </c>
      <c r="E108" s="1127">
        <v>76466.2</v>
      </c>
      <c r="F108" s="1128">
        <v>18563.8</v>
      </c>
      <c r="G108" s="1129">
        <v>3820.7000000000003</v>
      </c>
      <c r="H108" s="1127">
        <v>157787.9</v>
      </c>
      <c r="I108" s="1130"/>
      <c r="J108" s="1127">
        <v>4421.3999999999996</v>
      </c>
      <c r="K108" s="1131"/>
      <c r="L108" s="1132">
        <v>199343.6</v>
      </c>
      <c r="M108" s="1133">
        <v>461.2</v>
      </c>
      <c r="N108" s="1134">
        <v>199804.80000000002</v>
      </c>
    </row>
    <row r="109" spans="1:14" ht="12.75" hidden="1" customHeight="1">
      <c r="A109" s="87" t="s">
        <v>50</v>
      </c>
      <c r="B109" s="5"/>
      <c r="C109" s="1127">
        <v>41738.200000000004</v>
      </c>
      <c r="D109" s="1128">
        <v>63584.899999999994</v>
      </c>
      <c r="E109" s="1127">
        <v>77255.3</v>
      </c>
      <c r="F109" s="1128">
        <v>17690.600000000002</v>
      </c>
      <c r="G109" s="1129">
        <v>3804.6000000000004</v>
      </c>
      <c r="H109" s="1127">
        <v>162335.40000000002</v>
      </c>
      <c r="I109" s="1130"/>
      <c r="J109" s="1127">
        <v>4627.7</v>
      </c>
      <c r="K109" s="1131"/>
      <c r="L109" s="1132">
        <v>208701.30000000005</v>
      </c>
      <c r="M109" s="1133">
        <v>1474.8999999999999</v>
      </c>
      <c r="N109" s="1134">
        <v>210176.20000000004</v>
      </c>
    </row>
    <row r="110" spans="1:14" ht="12.75" hidden="1" customHeight="1">
      <c r="A110" s="87"/>
      <c r="B110" s="5"/>
      <c r="C110" s="1127"/>
      <c r="D110" s="1128"/>
      <c r="E110" s="1127"/>
      <c r="F110" s="1128"/>
      <c r="G110" s="1129"/>
      <c r="H110" s="1127"/>
      <c r="I110" s="1130"/>
      <c r="J110" s="1127"/>
      <c r="K110" s="1131"/>
      <c r="L110" s="1132"/>
      <c r="M110" s="1133"/>
      <c r="N110" s="1134"/>
    </row>
    <row r="111" spans="1:14" ht="12.75" hidden="1" customHeight="1">
      <c r="A111" s="87" t="s">
        <v>55</v>
      </c>
      <c r="B111" s="5"/>
      <c r="C111" s="1127">
        <v>38880.5</v>
      </c>
      <c r="D111" s="1128">
        <v>65092.9</v>
      </c>
      <c r="E111" s="1127">
        <v>80997.900000000009</v>
      </c>
      <c r="F111" s="1128">
        <v>19104.899999999998</v>
      </c>
      <c r="G111" s="1129">
        <v>3384.7</v>
      </c>
      <c r="H111" s="1127">
        <v>168580.40000000002</v>
      </c>
      <c r="I111" s="1130"/>
      <c r="J111" s="1127">
        <v>4733</v>
      </c>
      <c r="K111" s="1131"/>
      <c r="L111" s="1132">
        <v>212193.90000000002</v>
      </c>
      <c r="M111" s="1133">
        <v>1736</v>
      </c>
      <c r="N111" s="1134">
        <v>213929.90000000002</v>
      </c>
    </row>
    <row r="112" spans="1:14" ht="12.75" hidden="1" customHeight="1">
      <c r="A112" s="87" t="s">
        <v>40</v>
      </c>
      <c r="B112" s="5"/>
      <c r="C112" s="1127">
        <v>39003.199999999997</v>
      </c>
      <c r="D112" s="1128">
        <v>61253.899999999994</v>
      </c>
      <c r="E112" s="1127">
        <v>81188.900000000009</v>
      </c>
      <c r="F112" s="1128">
        <v>17392.399999999998</v>
      </c>
      <c r="G112" s="1129">
        <v>2867.1</v>
      </c>
      <c r="H112" s="1127">
        <v>162702.29999999999</v>
      </c>
      <c r="I112" s="1130"/>
      <c r="J112" s="1127">
        <v>4773.2000000000007</v>
      </c>
      <c r="K112" s="1131"/>
      <c r="L112" s="1132">
        <v>206478.7</v>
      </c>
      <c r="M112" s="1133">
        <v>2203.5</v>
      </c>
      <c r="N112" s="1134">
        <v>208682.2</v>
      </c>
    </row>
    <row r="113" spans="1:15" ht="12.75" hidden="1" customHeight="1">
      <c r="A113" s="87" t="s">
        <v>41</v>
      </c>
      <c r="B113" s="5"/>
      <c r="C113" s="1127">
        <v>39920</v>
      </c>
      <c r="D113" s="1128">
        <v>64971.100000000006</v>
      </c>
      <c r="E113" s="1127">
        <v>85617.200000000012</v>
      </c>
      <c r="F113" s="1128">
        <v>16872.3</v>
      </c>
      <c r="G113" s="1129">
        <v>2453.3999999999996</v>
      </c>
      <c r="H113" s="1127">
        <v>169914</v>
      </c>
      <c r="I113" s="1130"/>
      <c r="J113" s="1127">
        <v>4673.5</v>
      </c>
      <c r="K113" s="1131"/>
      <c r="L113" s="1132">
        <v>214507.5</v>
      </c>
      <c r="M113" s="1133">
        <v>2059.5</v>
      </c>
      <c r="N113" s="1134">
        <v>216567</v>
      </c>
    </row>
    <row r="114" spans="1:15" ht="12.75" hidden="1" customHeight="1">
      <c r="A114" s="87" t="s">
        <v>42</v>
      </c>
      <c r="B114" s="5"/>
      <c r="C114" s="1127">
        <v>39808.300000000003</v>
      </c>
      <c r="D114" s="1128">
        <v>67327.5</v>
      </c>
      <c r="E114" s="1127">
        <v>92219.8</v>
      </c>
      <c r="F114" s="1128">
        <v>19288.399999999998</v>
      </c>
      <c r="G114" s="1129">
        <v>3016.8999999999996</v>
      </c>
      <c r="H114" s="1127">
        <v>181852.59999999998</v>
      </c>
      <c r="I114" s="1130"/>
      <c r="J114" s="1127">
        <v>4738</v>
      </c>
      <c r="K114" s="1131"/>
      <c r="L114" s="1132">
        <v>226398.89999999997</v>
      </c>
      <c r="M114" s="1133">
        <v>3077.2999999999997</v>
      </c>
      <c r="N114" s="1134">
        <v>229476.19999999995</v>
      </c>
    </row>
    <row r="115" spans="1:15" ht="12.75" hidden="1" customHeight="1">
      <c r="A115" s="87" t="s">
        <v>43</v>
      </c>
      <c r="B115" s="5"/>
      <c r="C115" s="1127">
        <v>40469.1</v>
      </c>
      <c r="D115" s="1128">
        <v>69691.000000000015</v>
      </c>
      <c r="E115" s="1127">
        <v>86829.599999999977</v>
      </c>
      <c r="F115" s="1128">
        <v>19470.099999999999</v>
      </c>
      <c r="G115" s="1129">
        <v>3469.7</v>
      </c>
      <c r="H115" s="1127">
        <v>179460.4</v>
      </c>
      <c r="I115" s="1130"/>
      <c r="J115" s="1127">
        <v>4753.2000000000007</v>
      </c>
      <c r="K115" s="1131"/>
      <c r="L115" s="1132">
        <v>224682.7</v>
      </c>
      <c r="M115" s="1133">
        <v>3044</v>
      </c>
      <c r="N115" s="1134">
        <v>227726.7</v>
      </c>
    </row>
    <row r="116" spans="1:15" ht="12.75" hidden="1" customHeight="1">
      <c r="A116" s="87" t="s">
        <v>44</v>
      </c>
      <c r="B116" s="5"/>
      <c r="C116" s="1127">
        <v>39528.9</v>
      </c>
      <c r="D116" s="1128">
        <v>67315.399999999994</v>
      </c>
      <c r="E116" s="1127">
        <v>85376</v>
      </c>
      <c r="F116" s="1128">
        <v>20196.599999999999</v>
      </c>
      <c r="G116" s="1129">
        <v>3097.5</v>
      </c>
      <c r="H116" s="1127">
        <v>175985.5</v>
      </c>
      <c r="I116" s="1130"/>
      <c r="J116" s="1127">
        <v>4833.6000000000004</v>
      </c>
      <c r="K116" s="1131"/>
      <c r="L116" s="1132">
        <v>220348</v>
      </c>
      <c r="M116" s="1133">
        <v>3068.1</v>
      </c>
      <c r="N116" s="1134">
        <v>223416.1</v>
      </c>
    </row>
    <row r="117" spans="1:15" ht="12.75" hidden="1" customHeight="1">
      <c r="A117" s="87" t="s">
        <v>45</v>
      </c>
      <c r="B117" s="5"/>
      <c r="C117" s="1127">
        <v>38523.5</v>
      </c>
      <c r="D117" s="1128">
        <v>62496.9</v>
      </c>
      <c r="E117" s="1127">
        <v>84970.5</v>
      </c>
      <c r="F117" s="1128">
        <v>19323.2</v>
      </c>
      <c r="G117" s="1129">
        <v>5409.7999999999993</v>
      </c>
      <c r="H117" s="1127">
        <v>172200.4</v>
      </c>
      <c r="I117" s="1130"/>
      <c r="J117" s="1127">
        <v>4846.8</v>
      </c>
      <c r="K117" s="1131"/>
      <c r="L117" s="1132">
        <v>215570.69999999998</v>
      </c>
      <c r="M117" s="1133">
        <v>3943.6</v>
      </c>
      <c r="N117" s="1134">
        <v>219514.3</v>
      </c>
    </row>
    <row r="118" spans="1:15" ht="12.75" hidden="1" customHeight="1">
      <c r="A118" s="87" t="s">
        <v>46</v>
      </c>
      <c r="B118" s="5"/>
      <c r="C118" s="1127">
        <v>38182.199999999997</v>
      </c>
      <c r="D118" s="1128">
        <v>64903.400000000009</v>
      </c>
      <c r="E118" s="1127">
        <v>86860.500000000015</v>
      </c>
      <c r="F118" s="1128">
        <v>20148.399999999998</v>
      </c>
      <c r="G118" s="1129">
        <v>7989.6</v>
      </c>
      <c r="H118" s="1127">
        <v>179901.90000000002</v>
      </c>
      <c r="I118" s="1130"/>
      <c r="J118" s="1127">
        <v>4658.1000000000004</v>
      </c>
      <c r="K118" s="1131"/>
      <c r="L118" s="1132">
        <v>222742.20000000004</v>
      </c>
      <c r="M118" s="1133">
        <v>3864.5</v>
      </c>
      <c r="N118" s="1134">
        <v>226606.70000000004</v>
      </c>
    </row>
    <row r="119" spans="1:15" ht="12.75" hidden="1" customHeight="1">
      <c r="A119" s="87" t="s">
        <v>47</v>
      </c>
      <c r="B119" s="5"/>
      <c r="C119" s="1127">
        <v>38829</v>
      </c>
      <c r="D119" s="1128">
        <v>67508.399999999994</v>
      </c>
      <c r="E119" s="1127">
        <v>87914.6</v>
      </c>
      <c r="F119" s="1128">
        <v>20458.099999999999</v>
      </c>
      <c r="G119" s="1129">
        <v>11035.400000000001</v>
      </c>
      <c r="H119" s="1127">
        <v>186916.5</v>
      </c>
      <c r="I119" s="1130"/>
      <c r="J119" s="1127">
        <v>2965.8</v>
      </c>
      <c r="K119" s="1131"/>
      <c r="L119" s="1132">
        <v>228711.3</v>
      </c>
      <c r="M119" s="1133">
        <v>4516.7</v>
      </c>
      <c r="N119" s="1134">
        <v>233228</v>
      </c>
    </row>
    <row r="120" spans="1:15" ht="12.75" hidden="1" customHeight="1">
      <c r="A120" s="87" t="s">
        <v>48</v>
      </c>
      <c r="B120" s="5"/>
      <c r="C120" s="1127">
        <v>38723.9</v>
      </c>
      <c r="D120" s="1128">
        <v>69089.7</v>
      </c>
      <c r="E120" s="1127">
        <v>91154.900000000009</v>
      </c>
      <c r="F120" s="1128">
        <v>20394.899999999998</v>
      </c>
      <c r="G120" s="1129">
        <v>2672.1000000000004</v>
      </c>
      <c r="H120" s="1127">
        <v>183311.6</v>
      </c>
      <c r="I120" s="1130"/>
      <c r="J120" s="1127">
        <v>5060.8</v>
      </c>
      <c r="K120" s="1131"/>
      <c r="L120" s="1132">
        <v>227096.3</v>
      </c>
      <c r="M120" s="1133">
        <v>3289</v>
      </c>
      <c r="N120" s="1134">
        <v>230385.3</v>
      </c>
    </row>
    <row r="121" spans="1:15" ht="12.75" hidden="1" customHeight="1">
      <c r="A121" s="87" t="s">
        <v>49</v>
      </c>
      <c r="B121" s="5"/>
      <c r="C121" s="1127">
        <v>39721.199999999997</v>
      </c>
      <c r="D121" s="1128">
        <v>77551.399999999994</v>
      </c>
      <c r="E121" s="1127">
        <v>87805.300000000017</v>
      </c>
      <c r="F121" s="1128">
        <v>20167.599999999999</v>
      </c>
      <c r="G121" s="1129">
        <v>3463.1</v>
      </c>
      <c r="H121" s="1127">
        <v>188987.40000000002</v>
      </c>
      <c r="I121" s="1130"/>
      <c r="J121" s="1127">
        <v>5646.1</v>
      </c>
      <c r="K121" s="1131"/>
      <c r="L121" s="1132">
        <v>234354.70000000004</v>
      </c>
      <c r="M121" s="1133">
        <v>3346.3</v>
      </c>
      <c r="N121" s="1134">
        <v>237701.00000000003</v>
      </c>
      <c r="O121" s="71"/>
    </row>
    <row r="122" spans="1:15" ht="12.75" hidden="1" customHeight="1">
      <c r="A122" s="87" t="s">
        <v>50</v>
      </c>
      <c r="B122" s="5"/>
      <c r="C122" s="1127">
        <v>43568.200000000004</v>
      </c>
      <c r="D122" s="1128">
        <v>73372.599999999991</v>
      </c>
      <c r="E122" s="1127">
        <v>90386.8</v>
      </c>
      <c r="F122" s="1128">
        <v>19743.799999999996</v>
      </c>
      <c r="G122" s="1129">
        <v>2986.1000000000004</v>
      </c>
      <c r="H122" s="1127">
        <v>186489.3</v>
      </c>
      <c r="I122" s="1130"/>
      <c r="J122" s="1127">
        <v>5968.9</v>
      </c>
      <c r="K122" s="1131"/>
      <c r="L122" s="1132">
        <v>236026.4</v>
      </c>
      <c r="M122" s="1133">
        <v>3888.3999999999996</v>
      </c>
      <c r="N122" s="1134">
        <v>239914.8</v>
      </c>
      <c r="O122" s="71"/>
    </row>
    <row r="123" spans="1:15" ht="12.75" hidden="1" customHeight="1">
      <c r="A123" s="222"/>
      <c r="B123" s="5"/>
      <c r="C123" s="1127"/>
      <c r="D123" s="1128"/>
      <c r="E123" s="1127"/>
      <c r="F123" s="1128"/>
      <c r="G123" s="1129"/>
      <c r="H123" s="1127"/>
      <c r="I123" s="1128"/>
      <c r="J123" s="1127"/>
      <c r="K123" s="1127"/>
      <c r="L123" s="1127"/>
      <c r="M123" s="1129"/>
      <c r="N123" s="1127"/>
    </row>
    <row r="124" spans="1:15" ht="12.75" hidden="1" customHeight="1">
      <c r="A124" s="87" t="s">
        <v>54</v>
      </c>
      <c r="B124" s="5"/>
      <c r="C124" s="1127">
        <v>42769.500000000007</v>
      </c>
      <c r="D124" s="1128">
        <v>80408.800000000003</v>
      </c>
      <c r="E124" s="1127">
        <v>92763.200000000012</v>
      </c>
      <c r="F124" s="1128">
        <v>18467.199999999997</v>
      </c>
      <c r="G124" s="1129">
        <v>2551.4</v>
      </c>
      <c r="H124" s="1127">
        <v>194190.6</v>
      </c>
      <c r="I124" s="1130"/>
      <c r="J124" s="1127">
        <v>5865.9</v>
      </c>
      <c r="K124" s="1131"/>
      <c r="L124" s="1132">
        <v>242826</v>
      </c>
      <c r="M124" s="1133">
        <v>4196.2</v>
      </c>
      <c r="N124" s="1134">
        <v>247022.2</v>
      </c>
    </row>
    <row r="125" spans="1:15" ht="12.75" hidden="1" customHeight="1">
      <c r="A125" s="87" t="s">
        <v>40</v>
      </c>
      <c r="B125" s="5"/>
      <c r="C125" s="1127">
        <v>42762.9</v>
      </c>
      <c r="D125" s="1128">
        <v>78679.299999999988</v>
      </c>
      <c r="E125" s="1127">
        <v>92093.6</v>
      </c>
      <c r="F125" s="1128">
        <v>18352.099999999999</v>
      </c>
      <c r="G125" s="1129">
        <v>16938.2</v>
      </c>
      <c r="H125" s="1127">
        <v>206063.2</v>
      </c>
      <c r="I125" s="1130"/>
      <c r="J125" s="1127">
        <v>5890.6</v>
      </c>
      <c r="K125" s="1131"/>
      <c r="L125" s="1132">
        <v>254716.7</v>
      </c>
      <c r="M125" s="1133">
        <v>4470.5</v>
      </c>
      <c r="N125" s="1134">
        <v>259187.20000000001</v>
      </c>
    </row>
    <row r="126" spans="1:15" ht="12.75" hidden="1" customHeight="1">
      <c r="A126" s="87" t="s">
        <v>41</v>
      </c>
      <c r="B126" s="5"/>
      <c r="C126" s="1127">
        <v>44630.1</v>
      </c>
      <c r="D126" s="1128">
        <v>76925.5</v>
      </c>
      <c r="E126" s="1127">
        <v>90863.6</v>
      </c>
      <c r="F126" s="1128">
        <v>17826.099999999999</v>
      </c>
      <c r="G126" s="1129">
        <v>18864.599999999999</v>
      </c>
      <c r="H126" s="1127">
        <v>204479.80000000002</v>
      </c>
      <c r="I126" s="1130"/>
      <c r="J126" s="1127">
        <v>5906.2</v>
      </c>
      <c r="K126" s="1131"/>
      <c r="L126" s="1132">
        <v>255016.10000000003</v>
      </c>
      <c r="M126" s="1133">
        <v>4605</v>
      </c>
      <c r="N126" s="1134">
        <v>259621.10000000003</v>
      </c>
    </row>
    <row r="127" spans="1:15" ht="12.75" hidden="1" customHeight="1">
      <c r="A127" s="87" t="s">
        <v>42</v>
      </c>
      <c r="B127" s="5"/>
      <c r="C127" s="1127">
        <v>43767.3</v>
      </c>
      <c r="D127" s="1128">
        <v>73741</v>
      </c>
      <c r="E127" s="1127">
        <v>97815.9</v>
      </c>
      <c r="F127" s="1128">
        <v>18246.8</v>
      </c>
      <c r="G127" s="1129">
        <v>19489.400000000001</v>
      </c>
      <c r="H127" s="1127">
        <v>209293.09999999998</v>
      </c>
      <c r="I127" s="1130"/>
      <c r="J127" s="1127">
        <v>5899.7</v>
      </c>
      <c r="K127" s="1131"/>
      <c r="L127" s="1132">
        <v>258960.09999999998</v>
      </c>
      <c r="M127" s="1133">
        <v>5996.9</v>
      </c>
      <c r="N127" s="1134">
        <v>264957</v>
      </c>
    </row>
    <row r="128" spans="1:15" ht="12.75" hidden="1" customHeight="1">
      <c r="A128" s="87" t="s">
        <v>43</v>
      </c>
      <c r="B128" s="5"/>
      <c r="C128" s="1127">
        <v>44041.2</v>
      </c>
      <c r="D128" s="1128">
        <v>73424.7</v>
      </c>
      <c r="E128" s="1127">
        <v>93176.1</v>
      </c>
      <c r="F128" s="1128">
        <v>14385.2</v>
      </c>
      <c r="G128" s="1129">
        <v>18474.400000000001</v>
      </c>
      <c r="H128" s="1127">
        <v>199460.4</v>
      </c>
      <c r="I128" s="1130"/>
      <c r="J128" s="1127">
        <v>6041.8</v>
      </c>
      <c r="K128" s="1131"/>
      <c r="L128" s="1132">
        <v>249543.39999999997</v>
      </c>
      <c r="M128" s="1133">
        <v>7425.7</v>
      </c>
      <c r="N128" s="1134">
        <v>256969.09999999998</v>
      </c>
    </row>
    <row r="129" spans="1:14" ht="12.75" hidden="1" customHeight="1">
      <c r="A129" s="87" t="s">
        <v>44</v>
      </c>
      <c r="B129" s="5"/>
      <c r="C129" s="1127">
        <v>44083.5</v>
      </c>
      <c r="D129" s="1128">
        <v>65104.200000000004</v>
      </c>
      <c r="E129" s="1127">
        <v>93756.9</v>
      </c>
      <c r="F129" s="1128">
        <v>17631.599999999999</v>
      </c>
      <c r="G129" s="1129">
        <v>18531.099999999999</v>
      </c>
      <c r="H129" s="1127">
        <v>195023.80000000002</v>
      </c>
      <c r="I129" s="1130"/>
      <c r="J129" s="1127">
        <v>6323.8</v>
      </c>
      <c r="K129" s="1131"/>
      <c r="L129" s="1132">
        <v>245431.1</v>
      </c>
      <c r="M129" s="1133">
        <v>7110.9</v>
      </c>
      <c r="N129" s="1134">
        <v>252542</v>
      </c>
    </row>
    <row r="130" spans="1:14" ht="12.75" hidden="1" customHeight="1">
      <c r="A130" s="87" t="s">
        <v>45</v>
      </c>
      <c r="B130" s="5"/>
      <c r="C130" s="1127">
        <v>44448.800000000003</v>
      </c>
      <c r="D130" s="1128">
        <v>66845.3</v>
      </c>
      <c r="E130" s="1127">
        <v>101291.8</v>
      </c>
      <c r="F130" s="1128">
        <v>17435.3</v>
      </c>
      <c r="G130" s="1129">
        <v>16386.599999999999</v>
      </c>
      <c r="H130" s="1127">
        <v>201959</v>
      </c>
      <c r="I130" s="1130"/>
      <c r="J130" s="1127">
        <v>6431</v>
      </c>
      <c r="K130" s="1131"/>
      <c r="L130" s="1132">
        <v>252838.8</v>
      </c>
      <c r="M130" s="1133">
        <v>7660.7</v>
      </c>
      <c r="N130" s="1134">
        <v>260499.5</v>
      </c>
    </row>
    <row r="131" spans="1:14" ht="12.75" hidden="1" customHeight="1">
      <c r="A131" s="87" t="s">
        <v>46</v>
      </c>
      <c r="B131" s="5"/>
      <c r="C131" s="1127">
        <v>44539.7</v>
      </c>
      <c r="D131" s="1128">
        <v>73971.7</v>
      </c>
      <c r="E131" s="1127">
        <v>104359.3</v>
      </c>
      <c r="F131" s="1128">
        <v>17772.5</v>
      </c>
      <c r="G131" s="1129">
        <v>5732.1</v>
      </c>
      <c r="H131" s="1127">
        <v>201835.6</v>
      </c>
      <c r="I131" s="1130"/>
      <c r="J131" s="1127">
        <v>6170.5</v>
      </c>
      <c r="K131" s="1131"/>
      <c r="L131" s="1132">
        <v>252545.8</v>
      </c>
      <c r="M131" s="1133">
        <v>7616.6</v>
      </c>
      <c r="N131" s="1134">
        <v>260162.4</v>
      </c>
    </row>
    <row r="132" spans="1:14" ht="12.75" hidden="1" customHeight="1">
      <c r="A132" s="87" t="s">
        <v>47</v>
      </c>
      <c r="B132" s="5"/>
      <c r="C132" s="1127">
        <v>44529.3</v>
      </c>
      <c r="D132" s="1128">
        <v>62957.5</v>
      </c>
      <c r="E132" s="1127">
        <v>104757.4</v>
      </c>
      <c r="F132" s="1128">
        <v>16988.3</v>
      </c>
      <c r="G132" s="1129">
        <v>4507.8999999999996</v>
      </c>
      <c r="H132" s="1127">
        <v>189211.09999999998</v>
      </c>
      <c r="I132" s="1130"/>
      <c r="J132" s="1127">
        <v>6083.3</v>
      </c>
      <c r="K132" s="1131"/>
      <c r="L132" s="1132">
        <v>239823.69999999995</v>
      </c>
      <c r="M132" s="1133">
        <v>5807.1</v>
      </c>
      <c r="N132" s="1134">
        <v>245630.79999999996</v>
      </c>
    </row>
    <row r="133" spans="1:14" ht="12.75" hidden="1" customHeight="1">
      <c r="A133" s="87" t="s">
        <v>48</v>
      </c>
      <c r="B133" s="5"/>
      <c r="C133" s="1127">
        <v>46033.9</v>
      </c>
      <c r="D133" s="1128">
        <v>66942.3</v>
      </c>
      <c r="E133" s="1127">
        <v>97678.5</v>
      </c>
      <c r="F133" s="1128">
        <v>17015.400000000001</v>
      </c>
      <c r="G133" s="1129">
        <v>4579.8</v>
      </c>
      <c r="H133" s="1127">
        <v>186215.99999999997</v>
      </c>
      <c r="I133" s="1130"/>
      <c r="J133" s="1127">
        <v>6604.6</v>
      </c>
      <c r="K133" s="1131"/>
      <c r="L133" s="1132">
        <v>238854.49999999997</v>
      </c>
      <c r="M133" s="1133">
        <v>5793.1</v>
      </c>
      <c r="N133" s="1134">
        <v>244647.59999999998</v>
      </c>
    </row>
    <row r="134" spans="1:14" ht="12.75" hidden="1" customHeight="1">
      <c r="A134" s="87" t="s">
        <v>49</v>
      </c>
      <c r="B134" s="5"/>
      <c r="C134" s="1127">
        <v>45819.9</v>
      </c>
      <c r="D134" s="1128">
        <v>65890.100000000006</v>
      </c>
      <c r="E134" s="1127">
        <v>95502.5</v>
      </c>
      <c r="F134" s="1128">
        <v>18958.599999999999</v>
      </c>
      <c r="G134" s="1129">
        <v>4824.6000000000004</v>
      </c>
      <c r="H134" s="1127">
        <v>185175.80000000002</v>
      </c>
      <c r="I134" s="1130"/>
      <c r="J134" s="1127">
        <v>6909</v>
      </c>
      <c r="K134" s="1131"/>
      <c r="L134" s="1132">
        <v>237904.7</v>
      </c>
      <c r="M134" s="1133">
        <v>6081.2</v>
      </c>
      <c r="N134" s="1134">
        <v>243985.90000000002</v>
      </c>
    </row>
    <row r="135" spans="1:14" ht="12.75" hidden="1" customHeight="1">
      <c r="A135" s="87" t="s">
        <v>50</v>
      </c>
      <c r="B135" s="5"/>
      <c r="C135" s="1127">
        <v>50762</v>
      </c>
      <c r="D135" s="1128">
        <v>61404.5</v>
      </c>
      <c r="E135" s="1127">
        <v>99703.9</v>
      </c>
      <c r="F135" s="1128">
        <v>17112.7</v>
      </c>
      <c r="G135" s="1129">
        <v>5679.7</v>
      </c>
      <c r="H135" s="1127">
        <v>183900.80000000002</v>
      </c>
      <c r="I135" s="1130"/>
      <c r="J135" s="1127">
        <v>7140.8</v>
      </c>
      <c r="K135" s="1131"/>
      <c r="L135" s="1132">
        <v>241803.6</v>
      </c>
      <c r="M135" s="1133">
        <v>6505.5</v>
      </c>
      <c r="N135" s="1134">
        <v>248309.1</v>
      </c>
    </row>
    <row r="136" spans="1:14" ht="12.75" hidden="1" customHeight="1">
      <c r="A136" s="87"/>
      <c r="B136" s="5"/>
      <c r="C136" s="1127"/>
      <c r="D136" s="1128"/>
      <c r="E136" s="1127"/>
      <c r="F136" s="1128"/>
      <c r="G136" s="1129"/>
      <c r="H136" s="1127"/>
      <c r="I136" s="1130"/>
      <c r="J136" s="1127"/>
      <c r="K136" s="1131"/>
      <c r="L136" s="1132"/>
      <c r="M136" s="1133"/>
      <c r="N136" s="1134"/>
    </row>
    <row r="137" spans="1:14" ht="12.75" hidden="1" customHeight="1">
      <c r="A137" s="87" t="s">
        <v>51</v>
      </c>
      <c r="B137" s="5"/>
      <c r="C137" s="1127">
        <v>49575.9</v>
      </c>
      <c r="D137" s="1128">
        <v>47905.2</v>
      </c>
      <c r="E137" s="1127">
        <v>105214.6</v>
      </c>
      <c r="F137" s="1128">
        <v>17603.400000000001</v>
      </c>
      <c r="G137" s="1129">
        <v>15194.2</v>
      </c>
      <c r="H137" s="1127">
        <v>185917.4</v>
      </c>
      <c r="I137" s="1130"/>
      <c r="J137" s="1127">
        <v>6948.6</v>
      </c>
      <c r="K137" s="1131"/>
      <c r="L137" s="1132">
        <v>242441.9</v>
      </c>
      <c r="M137" s="1133">
        <v>6406.5</v>
      </c>
      <c r="N137" s="1134">
        <v>248848.4</v>
      </c>
    </row>
    <row r="138" spans="1:14" ht="12.75" hidden="1" customHeight="1">
      <c r="A138" s="87" t="s">
        <v>52</v>
      </c>
      <c r="B138" s="5"/>
      <c r="C138" s="1127">
        <v>49246.1</v>
      </c>
      <c r="D138" s="1128">
        <v>56966.3</v>
      </c>
      <c r="E138" s="1127">
        <v>101187.2</v>
      </c>
      <c r="F138" s="1128">
        <v>18284.400000000001</v>
      </c>
      <c r="G138" s="1129">
        <v>14737</v>
      </c>
      <c r="H138" s="1127">
        <v>191174.9</v>
      </c>
      <c r="I138" s="1130"/>
      <c r="J138" s="1127">
        <v>7182.1</v>
      </c>
      <c r="K138" s="1131"/>
      <c r="L138" s="1132">
        <v>247603.1</v>
      </c>
      <c r="M138" s="1133">
        <v>5962.9</v>
      </c>
      <c r="N138" s="1134">
        <v>253566</v>
      </c>
    </row>
    <row r="139" spans="1:14" ht="12.75" hidden="1" customHeight="1">
      <c r="A139" s="87" t="s">
        <v>53</v>
      </c>
      <c r="B139" s="5"/>
      <c r="C139" s="1127">
        <v>49770.2</v>
      </c>
      <c r="D139" s="1128">
        <v>57674.500000000007</v>
      </c>
      <c r="E139" s="1127">
        <v>104300.3</v>
      </c>
      <c r="F139" s="1128">
        <v>18420.599999999999</v>
      </c>
      <c r="G139" s="1129">
        <v>14520.6</v>
      </c>
      <c r="H139" s="1127">
        <v>194916.00000000003</v>
      </c>
      <c r="I139" s="1130"/>
      <c r="J139" s="1127">
        <v>7982.9</v>
      </c>
      <c r="K139" s="1131"/>
      <c r="L139" s="1132">
        <v>252669.1</v>
      </c>
      <c r="M139" s="1133">
        <v>5286</v>
      </c>
      <c r="N139" s="1134">
        <v>257955.1</v>
      </c>
    </row>
    <row r="140" spans="1:14" ht="12.75" hidden="1" customHeight="1">
      <c r="A140" s="87" t="s">
        <v>603</v>
      </c>
      <c r="B140" s="299" t="s">
        <v>402</v>
      </c>
      <c r="C140" s="1127">
        <v>48509</v>
      </c>
      <c r="D140" s="1128">
        <v>56215.3</v>
      </c>
      <c r="E140" s="1127">
        <v>109307.4</v>
      </c>
      <c r="F140" s="1128">
        <v>18898</v>
      </c>
      <c r="G140" s="1129">
        <v>13078.5</v>
      </c>
      <c r="H140" s="1127">
        <v>197499.2</v>
      </c>
      <c r="I140" s="1130"/>
      <c r="J140" s="1127">
        <v>7835.7</v>
      </c>
      <c r="K140" s="1131"/>
      <c r="L140" s="1132">
        <v>253843.90000000002</v>
      </c>
      <c r="M140" s="1133">
        <v>6017.9</v>
      </c>
      <c r="N140" s="1134">
        <v>259861.80000000002</v>
      </c>
    </row>
    <row r="141" spans="1:14" ht="12.75" hidden="1" customHeight="1">
      <c r="A141" s="87" t="s">
        <v>609</v>
      </c>
      <c r="B141" s="5"/>
      <c r="C141" s="1127">
        <v>48464.1</v>
      </c>
      <c r="D141" s="1128">
        <v>54104.6</v>
      </c>
      <c r="E141" s="1127">
        <v>110433.9</v>
      </c>
      <c r="F141" s="1128">
        <v>18797.7</v>
      </c>
      <c r="G141" s="1129">
        <v>14070.4</v>
      </c>
      <c r="H141" s="1127">
        <v>197406.6</v>
      </c>
      <c r="I141" s="1130"/>
      <c r="J141" s="1127">
        <v>7951</v>
      </c>
      <c r="K141" s="1131"/>
      <c r="L141" s="1132">
        <v>253821.7</v>
      </c>
      <c r="M141" s="1133">
        <v>5463.6</v>
      </c>
      <c r="N141" s="1134">
        <v>259285.30000000002</v>
      </c>
    </row>
    <row r="142" spans="1:14" ht="12.75" hidden="1" customHeight="1">
      <c r="A142" s="87" t="s">
        <v>44</v>
      </c>
      <c r="B142" s="5"/>
      <c r="C142" s="1127">
        <v>48453.599999999999</v>
      </c>
      <c r="D142" s="1128">
        <v>57466.6</v>
      </c>
      <c r="E142" s="1127">
        <v>109289.3</v>
      </c>
      <c r="F142" s="1128">
        <v>18459.900000000001</v>
      </c>
      <c r="G142" s="1129">
        <v>14325.8</v>
      </c>
      <c r="H142" s="1127">
        <v>199541.59999999998</v>
      </c>
      <c r="I142" s="1130"/>
      <c r="J142" s="1127">
        <v>8132.4</v>
      </c>
      <c r="K142" s="1131"/>
      <c r="L142" s="1132">
        <v>256127.59999999998</v>
      </c>
      <c r="M142" s="1133">
        <v>5593.6</v>
      </c>
      <c r="N142" s="1134">
        <v>261721.19999999998</v>
      </c>
    </row>
    <row r="143" spans="1:14" ht="12.75" hidden="1" customHeight="1">
      <c r="A143" s="87" t="s">
        <v>617</v>
      </c>
      <c r="B143" s="5"/>
      <c r="C143" s="1127">
        <v>48738.5</v>
      </c>
      <c r="D143" s="1128">
        <v>67660.5</v>
      </c>
      <c r="E143" s="1127">
        <v>102413.4</v>
      </c>
      <c r="F143" s="1128">
        <v>18055.099999999999</v>
      </c>
      <c r="G143" s="1129">
        <v>15041.6</v>
      </c>
      <c r="H143" s="1127">
        <v>203170.6</v>
      </c>
      <c r="I143" s="1130"/>
      <c r="J143" s="1127">
        <v>8095.1</v>
      </c>
      <c r="K143" s="1131"/>
      <c r="L143" s="1132">
        <v>260004.2</v>
      </c>
      <c r="M143" s="1133">
        <v>5929.7</v>
      </c>
      <c r="N143" s="1134">
        <v>265933.90000000002</v>
      </c>
    </row>
    <row r="144" spans="1:14" ht="12.75" hidden="1" customHeight="1">
      <c r="A144" s="87" t="s">
        <v>623</v>
      </c>
      <c r="B144" s="5"/>
      <c r="C144" s="1127">
        <v>48519.8</v>
      </c>
      <c r="D144" s="1128">
        <v>66950</v>
      </c>
      <c r="E144" s="1127">
        <v>101098.3</v>
      </c>
      <c r="F144" s="1128">
        <v>18383.400000000001</v>
      </c>
      <c r="G144" s="1129">
        <v>15153.1</v>
      </c>
      <c r="H144" s="1127">
        <v>201584.8</v>
      </c>
      <c r="I144" s="1130"/>
      <c r="J144" s="1127">
        <v>6986.4</v>
      </c>
      <c r="K144" s="1131"/>
      <c r="L144" s="1132">
        <v>257090.99999999997</v>
      </c>
      <c r="M144" s="1133">
        <v>5438.3</v>
      </c>
      <c r="N144" s="1134">
        <v>262529.3</v>
      </c>
    </row>
    <row r="145" spans="1:14" ht="12.75" hidden="1" customHeight="1">
      <c r="A145" s="87" t="s">
        <v>47</v>
      </c>
      <c r="B145" s="5"/>
      <c r="C145" s="1127">
        <v>48435.199999999997</v>
      </c>
      <c r="D145" s="1128">
        <v>71155</v>
      </c>
      <c r="E145" s="1127">
        <v>101179.2</v>
      </c>
      <c r="F145" s="1128">
        <v>18335.900000000001</v>
      </c>
      <c r="G145" s="1129">
        <v>14187.8</v>
      </c>
      <c r="H145" s="1127">
        <v>204857.9</v>
      </c>
      <c r="I145" s="1130"/>
      <c r="J145" s="1127">
        <v>6811</v>
      </c>
      <c r="K145" s="1131"/>
      <c r="L145" s="1132">
        <v>260104.09999999998</v>
      </c>
      <c r="M145" s="1133">
        <v>5475.7</v>
      </c>
      <c r="N145" s="1134">
        <v>265579.8</v>
      </c>
    </row>
    <row r="146" spans="1:14" ht="12.75" hidden="1" customHeight="1">
      <c r="A146" s="87" t="s">
        <v>631</v>
      </c>
      <c r="B146" s="5"/>
      <c r="C146" s="1127">
        <v>49790.1</v>
      </c>
      <c r="D146" s="1128">
        <v>73064.3</v>
      </c>
      <c r="E146" s="1127">
        <v>103819.4</v>
      </c>
      <c r="F146" s="1128">
        <v>18071</v>
      </c>
      <c r="G146" s="1129">
        <v>11825.6</v>
      </c>
      <c r="H146" s="1127">
        <v>206780.30000000002</v>
      </c>
      <c r="I146" s="1130"/>
      <c r="J146" s="1127">
        <v>7557.4</v>
      </c>
      <c r="K146" s="1131"/>
      <c r="L146" s="1132">
        <v>264127.80000000005</v>
      </c>
      <c r="M146" s="1133">
        <v>6024.8</v>
      </c>
      <c r="N146" s="1134">
        <v>270152.60000000003</v>
      </c>
    </row>
    <row r="147" spans="1:14" ht="12.75" hidden="1" customHeight="1">
      <c r="A147" s="87" t="s">
        <v>654</v>
      </c>
      <c r="B147" s="5"/>
      <c r="C147" s="1127">
        <v>55533.9</v>
      </c>
      <c r="D147" s="1128">
        <v>47085.5</v>
      </c>
      <c r="E147" s="1127">
        <v>97691.3</v>
      </c>
      <c r="F147" s="1128">
        <v>14554.6</v>
      </c>
      <c r="G147" s="1129">
        <v>6114.1</v>
      </c>
      <c r="H147" s="1127">
        <v>165445.5</v>
      </c>
      <c r="I147" s="1130"/>
      <c r="J147" s="1127">
        <v>6911.4</v>
      </c>
      <c r="K147" s="1131"/>
      <c r="L147" s="1132">
        <v>227890.8</v>
      </c>
      <c r="M147" s="1133">
        <v>18965.8</v>
      </c>
      <c r="N147" s="1134">
        <v>246856.59999999998</v>
      </c>
    </row>
    <row r="148" spans="1:14" ht="12.75" hidden="1" customHeight="1">
      <c r="A148" s="87" t="s">
        <v>665</v>
      </c>
      <c r="B148" s="5"/>
      <c r="C148" s="1127">
        <v>59594.2</v>
      </c>
      <c r="D148" s="1128">
        <v>50628.1</v>
      </c>
      <c r="E148" s="1127">
        <v>90775.3</v>
      </c>
      <c r="F148" s="1128">
        <v>9209.9</v>
      </c>
      <c r="G148" s="1129">
        <v>15316.5</v>
      </c>
      <c r="H148" s="1127">
        <v>165929.79999999999</v>
      </c>
      <c r="I148" s="1130"/>
      <c r="J148" s="1127">
        <v>7191.4</v>
      </c>
      <c r="K148" s="1131"/>
      <c r="L148" s="1132">
        <v>232715.4</v>
      </c>
      <c r="M148" s="1133">
        <v>15407.2</v>
      </c>
      <c r="N148" s="1134">
        <v>248122.6</v>
      </c>
    </row>
    <row r="149" spans="1:14" ht="12.75" hidden="1" customHeight="1">
      <c r="A149" s="87"/>
      <c r="B149" s="5"/>
      <c r="C149" s="1127"/>
      <c r="D149" s="1128"/>
      <c r="E149" s="1127"/>
      <c r="F149" s="1128"/>
      <c r="G149" s="1129"/>
      <c r="H149" s="1127"/>
      <c r="I149" s="1130"/>
      <c r="J149" s="1127"/>
      <c r="K149" s="1131"/>
      <c r="L149" s="1132"/>
      <c r="M149" s="1133"/>
      <c r="N149" s="1134"/>
    </row>
    <row r="150" spans="1:14" ht="12.75" hidden="1" customHeight="1">
      <c r="A150" s="87" t="s">
        <v>39</v>
      </c>
      <c r="B150" s="5"/>
      <c r="C150" s="1127">
        <v>58924.1</v>
      </c>
      <c r="D150" s="1128">
        <v>54803.3</v>
      </c>
      <c r="E150" s="1127">
        <v>97717.8</v>
      </c>
      <c r="F150" s="1128">
        <v>9350.2000000000007</v>
      </c>
      <c r="G150" s="1129">
        <v>10533.6</v>
      </c>
      <c r="H150" s="1127">
        <v>172404.90000000002</v>
      </c>
      <c r="I150" s="1130"/>
      <c r="J150" s="1127">
        <v>7182.9</v>
      </c>
      <c r="K150" s="1131"/>
      <c r="L150" s="1132">
        <v>238511.90000000002</v>
      </c>
      <c r="M150" s="1133">
        <v>15199</v>
      </c>
      <c r="N150" s="1134">
        <v>253710.90000000002</v>
      </c>
    </row>
    <row r="151" spans="1:14" ht="12.75" hidden="1" customHeight="1">
      <c r="A151" s="87" t="s">
        <v>677</v>
      </c>
      <c r="B151" s="5"/>
      <c r="C151" s="1127">
        <v>58822.7</v>
      </c>
      <c r="D151" s="1128">
        <v>57022.2</v>
      </c>
      <c r="E151" s="1127">
        <v>86671.5</v>
      </c>
      <c r="F151" s="1128">
        <v>18107.900000000001</v>
      </c>
      <c r="G151" s="1129">
        <v>849.3</v>
      </c>
      <c r="H151" s="1127">
        <v>162650.9</v>
      </c>
      <c r="I151" s="1130"/>
      <c r="J151" s="1127">
        <v>6889.8</v>
      </c>
      <c r="K151" s="1131"/>
      <c r="L151" s="1132">
        <v>228363.39999999997</v>
      </c>
      <c r="M151" s="1133">
        <v>19582.2</v>
      </c>
      <c r="N151" s="1134">
        <v>247945.59999999998</v>
      </c>
    </row>
    <row r="152" spans="1:14" ht="12.75" hidden="1" customHeight="1">
      <c r="A152" s="87" t="s">
        <v>65</v>
      </c>
      <c r="B152" s="5"/>
      <c r="C152" s="1127">
        <v>61589.5</v>
      </c>
      <c r="D152" s="1128">
        <v>63032.9</v>
      </c>
      <c r="E152" s="1127">
        <v>93892.2</v>
      </c>
      <c r="F152" s="1128">
        <v>19213.3</v>
      </c>
      <c r="G152" s="1129">
        <v>851.8</v>
      </c>
      <c r="H152" s="1127">
        <v>176990.19999999998</v>
      </c>
      <c r="I152" s="1130"/>
      <c r="J152" s="1127">
        <v>6652.3</v>
      </c>
      <c r="K152" s="1131"/>
      <c r="L152" s="1132">
        <v>245231.99999999997</v>
      </c>
      <c r="M152" s="1133">
        <v>18036.7</v>
      </c>
      <c r="N152" s="1134">
        <v>263268.69999999995</v>
      </c>
    </row>
    <row r="153" spans="1:14" ht="12.75" hidden="1" customHeight="1">
      <c r="A153" s="87" t="s">
        <v>692</v>
      </c>
      <c r="B153" s="5"/>
      <c r="C153" s="1127">
        <v>59092.800000000003</v>
      </c>
      <c r="D153" s="1128">
        <v>53745</v>
      </c>
      <c r="E153" s="1127">
        <v>106960.9</v>
      </c>
      <c r="F153" s="1128">
        <v>18337.2</v>
      </c>
      <c r="G153" s="1129">
        <v>858.6</v>
      </c>
      <c r="H153" s="1127">
        <v>179901.7</v>
      </c>
      <c r="I153" s="1130"/>
      <c r="J153" s="1127">
        <v>7420</v>
      </c>
      <c r="K153" s="1131"/>
      <c r="L153" s="1132">
        <v>246414.5</v>
      </c>
      <c r="M153" s="1133">
        <v>16158.3</v>
      </c>
      <c r="N153" s="1134">
        <v>262572.79999999999</v>
      </c>
    </row>
    <row r="154" spans="1:14" hidden="1">
      <c r="A154" s="87" t="s">
        <v>700</v>
      </c>
      <c r="B154" s="5"/>
      <c r="C154" s="1127">
        <v>60431.199999999997</v>
      </c>
      <c r="D154" s="1128">
        <v>60964.800000000003</v>
      </c>
      <c r="E154" s="1127">
        <v>104696.9</v>
      </c>
      <c r="F154" s="1128">
        <v>19465.400000000001</v>
      </c>
      <c r="G154" s="1129">
        <v>856.5</v>
      </c>
      <c r="H154" s="1127">
        <v>185983.6</v>
      </c>
      <c r="I154" s="1130"/>
      <c r="J154" s="1127">
        <v>6439.1</v>
      </c>
      <c r="K154" s="1131"/>
      <c r="L154" s="1132">
        <v>252853.9</v>
      </c>
      <c r="M154" s="1133">
        <v>16436.900000000001</v>
      </c>
      <c r="N154" s="1134">
        <v>269290.8</v>
      </c>
    </row>
    <row r="155" spans="1:14" hidden="1">
      <c r="A155" s="87" t="s">
        <v>711</v>
      </c>
      <c r="B155" s="5"/>
      <c r="C155" s="1122">
        <v>59037.599999999999</v>
      </c>
      <c r="D155" s="1123">
        <v>64542.9</v>
      </c>
      <c r="E155" s="1122">
        <v>95361.600000000006</v>
      </c>
      <c r="F155" s="1123">
        <v>19439.900000000001</v>
      </c>
      <c r="G155" s="1124">
        <v>1049.3</v>
      </c>
      <c r="H155" s="1122">
        <v>180393.69999999998</v>
      </c>
      <c r="I155" s="1125"/>
      <c r="J155" s="1122">
        <v>6617</v>
      </c>
      <c r="K155" s="1126"/>
      <c r="L155" s="1132">
        <v>246048.3</v>
      </c>
      <c r="M155" s="1133">
        <v>15650.9</v>
      </c>
      <c r="N155" s="1127">
        <v>261699.19999999998</v>
      </c>
    </row>
    <row r="156" spans="1:14">
      <c r="A156" s="87" t="s">
        <v>735</v>
      </c>
      <c r="B156" s="7"/>
      <c r="C156" s="1127">
        <v>65171.199999999997</v>
      </c>
      <c r="D156" s="1127">
        <v>53212.1</v>
      </c>
      <c r="E156" s="1127">
        <v>100067.8</v>
      </c>
      <c r="F156" s="1127">
        <v>15647.4</v>
      </c>
      <c r="G156" s="1127">
        <v>6278.7</v>
      </c>
      <c r="H156" s="1127">
        <v>175206</v>
      </c>
      <c r="I156" s="1127"/>
      <c r="J156" s="1127">
        <v>541.1</v>
      </c>
      <c r="K156" s="1127"/>
      <c r="L156" s="1127">
        <v>240918.30000000002</v>
      </c>
      <c r="M156" s="1127">
        <v>12589.2</v>
      </c>
      <c r="N156" s="1127">
        <v>253507.50000000003</v>
      </c>
    </row>
    <row r="157" spans="1:14">
      <c r="A157" s="87" t="s">
        <v>46</v>
      </c>
      <c r="B157" s="7"/>
      <c r="C157" s="1127">
        <v>64802.6</v>
      </c>
      <c r="D157" s="1127">
        <v>53715.4</v>
      </c>
      <c r="E157" s="1127">
        <v>97948.800000000003</v>
      </c>
      <c r="F157" s="1127">
        <v>13342.1</v>
      </c>
      <c r="G157" s="1127">
        <v>6813.6</v>
      </c>
      <c r="H157" s="1127">
        <v>171819.90000000002</v>
      </c>
      <c r="I157" s="1127"/>
      <c r="J157" s="1127">
        <v>530.1</v>
      </c>
      <c r="K157" s="1127"/>
      <c r="L157" s="1127">
        <v>237152.60000000003</v>
      </c>
      <c r="M157" s="1127">
        <v>12719</v>
      </c>
      <c r="N157" s="1127">
        <v>249871.60000000003</v>
      </c>
    </row>
    <row r="158" spans="1:14">
      <c r="A158" s="87" t="s">
        <v>47</v>
      </c>
      <c r="B158" s="7"/>
      <c r="C158" s="1127">
        <v>64576.1</v>
      </c>
      <c r="D158" s="1127">
        <v>53256.800000000003</v>
      </c>
      <c r="E158" s="1127">
        <v>99827.3</v>
      </c>
      <c r="F158" s="1127">
        <v>13169.5</v>
      </c>
      <c r="G158" s="1127">
        <v>6920.1</v>
      </c>
      <c r="H158" s="1127">
        <v>173173.7</v>
      </c>
      <c r="I158" s="1127"/>
      <c r="J158" s="1127">
        <v>172.3</v>
      </c>
      <c r="K158" s="1127"/>
      <c r="L158" s="1127">
        <v>237922.1</v>
      </c>
      <c r="M158" s="1127">
        <v>12067</v>
      </c>
      <c r="N158" s="1127">
        <v>249989.1</v>
      </c>
    </row>
    <row r="159" spans="1:14">
      <c r="A159" s="87" t="s">
        <v>48</v>
      </c>
      <c r="B159" s="7"/>
      <c r="C159" s="1127">
        <v>66225.3</v>
      </c>
      <c r="D159" s="1127">
        <v>57023.1</v>
      </c>
      <c r="E159" s="1127">
        <v>95147.4</v>
      </c>
      <c r="F159" s="1127">
        <v>14282.5</v>
      </c>
      <c r="G159" s="1127">
        <v>5776.9</v>
      </c>
      <c r="H159" s="1127">
        <v>172229.9</v>
      </c>
      <c r="I159" s="1127"/>
      <c r="J159" s="1127">
        <v>532</v>
      </c>
      <c r="K159" s="1127"/>
      <c r="L159" s="1127">
        <v>238987.2</v>
      </c>
      <c r="M159" s="1127">
        <v>11991.3</v>
      </c>
      <c r="N159" s="1127">
        <v>250978.5</v>
      </c>
    </row>
    <row r="160" spans="1:14">
      <c r="A160" s="87" t="s">
        <v>49</v>
      </c>
      <c r="B160" s="7"/>
      <c r="C160" s="1127">
        <v>66459.399999999994</v>
      </c>
      <c r="D160" s="1127">
        <v>55609.5</v>
      </c>
      <c r="E160" s="1127">
        <v>88844.1</v>
      </c>
      <c r="F160" s="1127">
        <v>13190.6</v>
      </c>
      <c r="G160" s="1127">
        <v>6351.2</v>
      </c>
      <c r="H160" s="1127">
        <v>163995.40000000002</v>
      </c>
      <c r="I160" s="1127"/>
      <c r="J160" s="1127">
        <v>530.79999999999995</v>
      </c>
      <c r="K160" s="1127"/>
      <c r="L160" s="1127">
        <v>230985.60000000001</v>
      </c>
      <c r="M160" s="1127">
        <v>11958.5</v>
      </c>
      <c r="N160" s="1127">
        <v>242944.1</v>
      </c>
    </row>
    <row r="161" spans="1:14">
      <c r="A161" s="87" t="s">
        <v>50</v>
      </c>
      <c r="B161" s="7"/>
      <c r="C161" s="1127">
        <v>71180.899999999994</v>
      </c>
      <c r="D161" s="1127">
        <v>47310.9</v>
      </c>
      <c r="E161" s="1127">
        <v>94633.8</v>
      </c>
      <c r="F161" s="1127">
        <v>6912.2</v>
      </c>
      <c r="G161" s="1127">
        <v>13827</v>
      </c>
      <c r="H161" s="1127">
        <v>162683.90000000002</v>
      </c>
      <c r="I161" s="1127"/>
      <c r="J161" s="1127">
        <v>581.9</v>
      </c>
      <c r="K161" s="1127"/>
      <c r="L161" s="1127">
        <v>234446.7</v>
      </c>
      <c r="M161" s="1127">
        <v>12389</v>
      </c>
      <c r="N161" s="1127">
        <v>246835.7</v>
      </c>
    </row>
    <row r="162" spans="1:14">
      <c r="A162" s="87"/>
      <c r="B162" s="7"/>
      <c r="C162" s="1127"/>
      <c r="D162" s="1127"/>
      <c r="E162" s="1127"/>
      <c r="F162" s="1127"/>
      <c r="G162" s="1127"/>
      <c r="H162" s="1127"/>
      <c r="I162" s="1127"/>
      <c r="J162" s="1127"/>
      <c r="K162" s="1127"/>
      <c r="L162" s="1127"/>
      <c r="M162" s="1127"/>
      <c r="N162" s="1127"/>
    </row>
    <row r="163" spans="1:14">
      <c r="A163" s="87" t="s">
        <v>36</v>
      </c>
      <c r="B163" s="7"/>
      <c r="C163" s="1127">
        <v>72140.3</v>
      </c>
      <c r="D163" s="1127">
        <v>49078.7</v>
      </c>
      <c r="E163" s="1127">
        <v>110900.8</v>
      </c>
      <c r="F163" s="1127">
        <v>13899.5</v>
      </c>
      <c r="G163" s="1127">
        <v>5238.8999999999996</v>
      </c>
      <c r="H163" s="1127">
        <v>179117.9</v>
      </c>
      <c r="I163" s="1127"/>
      <c r="J163" s="1127">
        <v>581.6</v>
      </c>
      <c r="K163" s="1127"/>
      <c r="L163" s="1127">
        <v>251839.80000000002</v>
      </c>
      <c r="M163" s="1127">
        <v>10818.7</v>
      </c>
      <c r="N163" s="1127">
        <v>262658.5</v>
      </c>
    </row>
    <row r="164" spans="1:14">
      <c r="A164" s="87" t="s">
        <v>37</v>
      </c>
      <c r="B164" s="7"/>
      <c r="C164" s="1127">
        <v>75111.100000000006</v>
      </c>
      <c r="D164" s="1127">
        <v>49969.1</v>
      </c>
      <c r="E164" s="1127">
        <v>94074.3</v>
      </c>
      <c r="F164" s="1127">
        <v>12907.5</v>
      </c>
      <c r="G164" s="1127">
        <v>6535.9</v>
      </c>
      <c r="H164" s="1127">
        <v>163486.79999999999</v>
      </c>
      <c r="I164" s="1127"/>
      <c r="J164" s="1127">
        <v>580.70000000000005</v>
      </c>
      <c r="K164" s="1127"/>
      <c r="L164" s="1127">
        <v>239178.6</v>
      </c>
      <c r="M164" s="1127">
        <v>10776.6</v>
      </c>
      <c r="N164" s="1127">
        <v>249955.20000000001</v>
      </c>
    </row>
    <row r="165" spans="1:14">
      <c r="A165" s="87" t="s">
        <v>38</v>
      </c>
      <c r="B165" s="7"/>
      <c r="C165" s="1127">
        <v>72117.2</v>
      </c>
      <c r="D165" s="1127">
        <v>64472.2</v>
      </c>
      <c r="E165" s="1127">
        <v>95969.4</v>
      </c>
      <c r="F165" s="1127">
        <v>11686.1</v>
      </c>
      <c r="G165" s="1127">
        <v>7511.2</v>
      </c>
      <c r="H165" s="1127">
        <v>179638.9</v>
      </c>
      <c r="I165" s="1127"/>
      <c r="J165" s="1127">
        <v>581.5</v>
      </c>
      <c r="K165" s="1127"/>
      <c r="L165" s="1127">
        <v>252337.59999999998</v>
      </c>
      <c r="M165" s="1127">
        <v>10689.9</v>
      </c>
      <c r="N165" s="1127">
        <v>263027.5</v>
      </c>
    </row>
    <row r="166" spans="1:14">
      <c r="A166" s="87" t="s">
        <v>42</v>
      </c>
      <c r="B166" s="7"/>
      <c r="C166" s="1127">
        <v>74206.5</v>
      </c>
      <c r="D166" s="1127">
        <v>55925.8</v>
      </c>
      <c r="E166" s="1127">
        <v>95658.3</v>
      </c>
      <c r="F166" s="1127">
        <v>11910.4</v>
      </c>
      <c r="G166" s="1127">
        <v>4114.6000000000004</v>
      </c>
      <c r="H166" s="1127">
        <v>167609.1</v>
      </c>
      <c r="I166" s="1127"/>
      <c r="J166" s="1127">
        <v>530.9</v>
      </c>
      <c r="K166" s="1127"/>
      <c r="L166" s="1127">
        <v>242346.5</v>
      </c>
      <c r="M166" s="1127">
        <v>11835</v>
      </c>
      <c r="N166" s="1127">
        <v>254181.5</v>
      </c>
    </row>
    <row r="167" spans="1:14">
      <c r="A167" s="87" t="s">
        <v>43</v>
      </c>
      <c r="B167" s="7"/>
      <c r="C167" s="1127">
        <v>72802.8</v>
      </c>
      <c r="D167" s="1127">
        <v>53096.4</v>
      </c>
      <c r="E167" s="1127">
        <v>96710.5</v>
      </c>
      <c r="F167" s="1127">
        <v>11702</v>
      </c>
      <c r="G167" s="1127">
        <v>9771.2000000000007</v>
      </c>
      <c r="H167" s="1127">
        <v>171280.1</v>
      </c>
      <c r="I167" s="1127"/>
      <c r="J167" s="1127">
        <v>460</v>
      </c>
      <c r="K167" s="1127"/>
      <c r="L167" s="1127">
        <v>244542.90000000002</v>
      </c>
      <c r="M167" s="1127">
        <v>11852.7</v>
      </c>
      <c r="N167" s="1127">
        <v>256395.60000000003</v>
      </c>
    </row>
    <row r="168" spans="1:14">
      <c r="A168" s="87" t="s">
        <v>44</v>
      </c>
      <c r="B168" s="7"/>
      <c r="C168" s="1127">
        <v>75919.199999999997</v>
      </c>
      <c r="D168" s="1127">
        <v>55203.6</v>
      </c>
      <c r="E168" s="1127">
        <v>100655</v>
      </c>
      <c r="F168" s="1127">
        <v>13798.5</v>
      </c>
      <c r="G168" s="1127">
        <v>6059.3</v>
      </c>
      <c r="H168" s="1127">
        <v>175716.4</v>
      </c>
      <c r="I168" s="1127"/>
      <c r="J168" s="1127">
        <v>460</v>
      </c>
      <c r="K168" s="1127"/>
      <c r="L168" s="1127">
        <v>252095.59999999998</v>
      </c>
      <c r="M168" s="1127">
        <v>15038.3</v>
      </c>
      <c r="N168" s="1127">
        <v>267133.89999999997</v>
      </c>
    </row>
    <row r="169" spans="1:14">
      <c r="A169" s="87" t="s">
        <v>619</v>
      </c>
      <c r="B169" s="7"/>
      <c r="C169" s="1127">
        <v>75796.5</v>
      </c>
      <c r="D169" s="1127">
        <v>53838.7</v>
      </c>
      <c r="E169" s="1127">
        <v>106449</v>
      </c>
      <c r="F169" s="1127">
        <v>11433.6</v>
      </c>
      <c r="G169" s="1127">
        <v>10143.299999999999</v>
      </c>
      <c r="H169" s="1127">
        <v>181864.6</v>
      </c>
      <c r="I169" s="1127"/>
      <c r="J169" s="1127">
        <v>460</v>
      </c>
      <c r="K169" s="1127"/>
      <c r="L169" s="1127">
        <v>258121.1</v>
      </c>
      <c r="M169" s="1127">
        <v>16113.3</v>
      </c>
      <c r="N169" s="1127">
        <v>274234.40000000002</v>
      </c>
    </row>
    <row r="170" spans="1:14">
      <c r="A170" s="87" t="s">
        <v>46</v>
      </c>
      <c r="B170" s="7"/>
      <c r="C170" s="1127">
        <v>75957.399999999994</v>
      </c>
      <c r="D170" s="1127">
        <v>60559.199999999997</v>
      </c>
      <c r="E170" s="1127">
        <v>103656.2</v>
      </c>
      <c r="F170" s="1127">
        <v>11734.7</v>
      </c>
      <c r="G170" s="1127">
        <v>6039.8</v>
      </c>
      <c r="H170" s="1127">
        <v>181989.9</v>
      </c>
      <c r="I170" s="1127"/>
      <c r="J170" s="1127">
        <v>460</v>
      </c>
      <c r="K170" s="1127"/>
      <c r="L170" s="1127">
        <v>258407.3</v>
      </c>
      <c r="M170" s="1127">
        <v>14061</v>
      </c>
      <c r="N170" s="1127">
        <v>272468.3</v>
      </c>
    </row>
    <row r="171" spans="1:14">
      <c r="A171" s="87" t="s">
        <v>47</v>
      </c>
      <c r="B171" s="7"/>
      <c r="C171" s="1127">
        <v>74471.899999999994</v>
      </c>
      <c r="D171" s="1127">
        <v>64410.7</v>
      </c>
      <c r="E171" s="1127">
        <v>101095.5</v>
      </c>
      <c r="F171" s="1127">
        <v>12912.1</v>
      </c>
      <c r="G171" s="1127">
        <v>5982.7</v>
      </c>
      <c r="H171" s="1127">
        <v>184401.00000000003</v>
      </c>
      <c r="I171" s="1127"/>
      <c r="J171" s="1127">
        <v>460</v>
      </c>
      <c r="K171" s="1127"/>
      <c r="L171" s="1127">
        <v>259332.90000000002</v>
      </c>
      <c r="M171" s="1127">
        <v>13813.1</v>
      </c>
      <c r="N171" s="1127">
        <v>273146</v>
      </c>
    </row>
    <row r="172" spans="1:14">
      <c r="A172" s="87" t="s">
        <v>48</v>
      </c>
      <c r="B172" s="7"/>
      <c r="C172" s="1127">
        <v>74144.399999999994</v>
      </c>
      <c r="D172" s="1127">
        <v>67271.899999999994</v>
      </c>
      <c r="E172" s="1127">
        <v>118391.7</v>
      </c>
      <c r="F172" s="1127">
        <v>12302.7</v>
      </c>
      <c r="G172" s="1127">
        <v>5414.7</v>
      </c>
      <c r="H172" s="1127">
        <v>203381</v>
      </c>
      <c r="I172" s="1127"/>
      <c r="J172" s="1127">
        <v>460</v>
      </c>
      <c r="K172" s="1127"/>
      <c r="L172" s="1127">
        <v>277985.40000000002</v>
      </c>
      <c r="M172" s="1127">
        <v>19725</v>
      </c>
      <c r="N172" s="1127">
        <v>297710.40000000002</v>
      </c>
    </row>
    <row r="173" spans="1:14">
      <c r="A173" s="87" t="s">
        <v>49</v>
      </c>
      <c r="B173" s="7"/>
      <c r="C173" s="1127">
        <v>75423.199999999997</v>
      </c>
      <c r="D173" s="1127">
        <v>75436.3</v>
      </c>
      <c r="E173" s="1127">
        <v>112648.2</v>
      </c>
      <c r="F173" s="1127">
        <v>13098.7</v>
      </c>
      <c r="G173" s="1127">
        <v>5432.4</v>
      </c>
      <c r="H173" s="1127">
        <v>206615.6</v>
      </c>
      <c r="I173" s="1127"/>
      <c r="J173" s="1127">
        <v>460</v>
      </c>
      <c r="K173" s="1127"/>
      <c r="L173" s="1127">
        <v>282498.8</v>
      </c>
      <c r="M173" s="1127">
        <v>21596.9</v>
      </c>
      <c r="N173" s="1127">
        <v>304095.7</v>
      </c>
    </row>
    <row r="174" spans="1:14">
      <c r="A174" s="87" t="s">
        <v>50</v>
      </c>
      <c r="B174" s="7"/>
      <c r="C174" s="1127">
        <v>79605.3</v>
      </c>
      <c r="D174" s="1127">
        <v>60895.8</v>
      </c>
      <c r="E174" s="1127">
        <v>117120.9</v>
      </c>
      <c r="F174" s="1127">
        <v>17580.2</v>
      </c>
      <c r="G174" s="1127">
        <v>5393.2</v>
      </c>
      <c r="H174" s="1127">
        <v>200990.10000000003</v>
      </c>
      <c r="I174" s="1127"/>
      <c r="J174" s="1127">
        <v>410</v>
      </c>
      <c r="K174" s="1127"/>
      <c r="L174" s="1127">
        <v>281005.40000000002</v>
      </c>
      <c r="M174" s="1127">
        <v>19693.8</v>
      </c>
      <c r="N174" s="1127">
        <v>300699.2</v>
      </c>
    </row>
    <row r="175" spans="1:14">
      <c r="A175" s="87"/>
      <c r="B175" s="7"/>
      <c r="C175" s="1127"/>
      <c r="D175" s="1127"/>
      <c r="E175" s="1127"/>
      <c r="F175" s="1127"/>
      <c r="G175" s="1127"/>
      <c r="H175" s="1127"/>
      <c r="I175" s="1127"/>
      <c r="J175" s="1127"/>
      <c r="K175" s="1127"/>
      <c r="L175" s="1127"/>
      <c r="M175" s="1127"/>
      <c r="N175" s="1127"/>
    </row>
    <row r="176" spans="1:14">
      <c r="A176" s="87" t="s">
        <v>671</v>
      </c>
      <c r="B176" s="7"/>
      <c r="C176" s="1127">
        <v>80393.8</v>
      </c>
      <c r="D176" s="1127">
        <v>75707</v>
      </c>
      <c r="E176" s="1127">
        <v>112539.8</v>
      </c>
      <c r="F176" s="1127">
        <v>21359.1</v>
      </c>
      <c r="G176" s="1127">
        <v>5899.5</v>
      </c>
      <c r="H176" s="1127">
        <v>215505.4</v>
      </c>
      <c r="I176" s="1127"/>
      <c r="J176" s="1127">
        <v>360</v>
      </c>
      <c r="K176" s="1127"/>
      <c r="L176" s="1127">
        <v>296259.20000000001</v>
      </c>
      <c r="M176" s="1127">
        <v>16119.8</v>
      </c>
      <c r="N176" s="1127">
        <v>312379</v>
      </c>
    </row>
    <row r="177" spans="1:237">
      <c r="A177" s="87" t="s">
        <v>676</v>
      </c>
      <c r="B177" s="7"/>
      <c r="C177" s="1127">
        <v>79057</v>
      </c>
      <c r="D177" s="1127">
        <v>67141.100000000006</v>
      </c>
      <c r="E177" s="1127">
        <v>118615.4</v>
      </c>
      <c r="F177" s="1127">
        <v>14877.3</v>
      </c>
      <c r="G177" s="1127">
        <v>5976.1</v>
      </c>
      <c r="H177" s="1127">
        <v>206609.9</v>
      </c>
      <c r="I177" s="1127"/>
      <c r="J177" s="1127">
        <v>360</v>
      </c>
      <c r="K177" s="1127"/>
      <c r="L177" s="1127">
        <v>286026.90000000002</v>
      </c>
      <c r="M177" s="1127">
        <v>17161.099999999999</v>
      </c>
      <c r="N177" s="1127">
        <v>303188</v>
      </c>
    </row>
    <row r="178" spans="1:237">
      <c r="A178" s="87" t="s">
        <v>683</v>
      </c>
      <c r="B178" s="7"/>
      <c r="C178" s="1127">
        <v>79480.399999999994</v>
      </c>
      <c r="D178" s="1127">
        <v>59568.9</v>
      </c>
      <c r="E178" s="1127">
        <v>128256.3</v>
      </c>
      <c r="F178" s="1127">
        <v>28293.8</v>
      </c>
      <c r="G178" s="1127">
        <v>5840.3</v>
      </c>
      <c r="H178" s="1127">
        <v>221959.3</v>
      </c>
      <c r="I178" s="1127"/>
      <c r="J178" s="1127">
        <v>410</v>
      </c>
      <c r="K178" s="1127"/>
      <c r="L178" s="1127">
        <v>301849.69999999995</v>
      </c>
      <c r="M178" s="1127">
        <v>20897.7</v>
      </c>
      <c r="N178" s="1127">
        <v>322747.39999999997</v>
      </c>
    </row>
    <row r="179" spans="1:237">
      <c r="A179" s="87" t="s">
        <v>693</v>
      </c>
      <c r="B179" s="7"/>
      <c r="C179" s="1127">
        <v>78836.2</v>
      </c>
      <c r="D179" s="1127">
        <v>63634.3</v>
      </c>
      <c r="E179" s="1127">
        <v>122289.8</v>
      </c>
      <c r="F179" s="1127">
        <v>30153.8</v>
      </c>
      <c r="G179" s="1127">
        <v>5809</v>
      </c>
      <c r="H179" s="1127">
        <v>221886.9</v>
      </c>
      <c r="I179" s="1127"/>
      <c r="J179" s="1127">
        <v>50</v>
      </c>
      <c r="K179" s="1127"/>
      <c r="L179" s="1127">
        <v>300773.09999999998</v>
      </c>
      <c r="M179" s="1127">
        <v>19758.5</v>
      </c>
      <c r="N179" s="1127">
        <v>320531.59999999998</v>
      </c>
    </row>
    <row r="180" spans="1:237">
      <c r="A180" s="87" t="s">
        <v>607</v>
      </c>
      <c r="B180" s="7"/>
      <c r="C180" s="1127">
        <v>79216.400000000009</v>
      </c>
      <c r="D180" s="1127">
        <v>58512.799999999996</v>
      </c>
      <c r="E180" s="1127">
        <v>134966.6</v>
      </c>
      <c r="F180" s="1127">
        <v>31086.5</v>
      </c>
      <c r="G180" s="1127">
        <v>5706.4000000000005</v>
      </c>
      <c r="H180" s="1127">
        <v>230272.3</v>
      </c>
      <c r="I180" s="1127"/>
      <c r="J180" s="1127">
        <v>410</v>
      </c>
      <c r="K180" s="1127"/>
      <c r="L180" s="1127">
        <v>309898.7</v>
      </c>
      <c r="M180" s="1127">
        <v>19921.5</v>
      </c>
      <c r="N180" s="1127">
        <v>329820.2</v>
      </c>
    </row>
    <row r="181" spans="1:237" s="1051" customFormat="1">
      <c r="A181" s="1021" t="s">
        <v>629</v>
      </c>
      <c r="B181" s="7"/>
      <c r="C181" s="1127">
        <v>79692.7</v>
      </c>
      <c r="D181" s="1127">
        <v>71623.8</v>
      </c>
      <c r="E181" s="1127">
        <v>120100.9</v>
      </c>
      <c r="F181" s="1127">
        <v>30132.3</v>
      </c>
      <c r="G181" s="1127">
        <v>4960.1000000000004</v>
      </c>
      <c r="H181" s="1127">
        <v>226817.1</v>
      </c>
      <c r="I181" s="1127"/>
      <c r="J181" s="1127">
        <v>410</v>
      </c>
      <c r="K181" s="1127"/>
      <c r="L181" s="1127">
        <v>306919.8</v>
      </c>
      <c r="M181" s="1127">
        <v>19743.5</v>
      </c>
      <c r="N181" s="1127">
        <v>326663.3</v>
      </c>
    </row>
    <row r="182" spans="1:237" s="1051" customFormat="1">
      <c r="A182" s="1021" t="s">
        <v>733</v>
      </c>
      <c r="B182" s="7"/>
      <c r="C182" s="1127">
        <v>80714.3</v>
      </c>
      <c r="D182" s="1127">
        <v>59094.5</v>
      </c>
      <c r="E182" s="1127">
        <v>140146.20000000001</v>
      </c>
      <c r="F182" s="1127">
        <v>16135.6</v>
      </c>
      <c r="G182" s="1127">
        <v>5741.2</v>
      </c>
      <c r="H182" s="1127">
        <f t="shared" ref="H182" si="0">D182+E182+F182+G182</f>
        <v>221117.50000000003</v>
      </c>
      <c r="I182" s="1127"/>
      <c r="J182" s="1127">
        <v>410</v>
      </c>
      <c r="K182" s="1127"/>
      <c r="L182" s="1127">
        <f t="shared" ref="L182" si="1">C182+H182+J182</f>
        <v>302241.80000000005</v>
      </c>
      <c r="M182" s="1127">
        <v>19074.599999999999</v>
      </c>
      <c r="N182" s="1127">
        <f t="shared" ref="N182" si="2">L182+M182</f>
        <v>321316.40000000002</v>
      </c>
    </row>
    <row r="183" spans="1:237">
      <c r="A183" s="87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237">
      <c r="A184" s="1248"/>
      <c r="B184" s="1249"/>
      <c r="C184" s="1249"/>
      <c r="D184" s="1249"/>
      <c r="E184" s="1249"/>
      <c r="F184" s="1249"/>
      <c r="G184" s="1249"/>
      <c r="H184" s="1249"/>
      <c r="I184" s="1249"/>
      <c r="J184" s="1249"/>
      <c r="K184" s="1249"/>
      <c r="L184" s="1249"/>
      <c r="M184" s="1249"/>
      <c r="N184" s="1250"/>
    </row>
    <row r="185" spans="1:237">
      <c r="A185" s="1242" t="s">
        <v>515</v>
      </c>
      <c r="B185" s="1243"/>
      <c r="C185" s="1243"/>
      <c r="D185" s="1243"/>
      <c r="E185" s="1243"/>
      <c r="F185" s="1243"/>
      <c r="G185" s="1243"/>
      <c r="H185" s="1243"/>
      <c r="I185" s="1243"/>
      <c r="J185" s="1243"/>
      <c r="K185" s="1243"/>
      <c r="L185" s="1243"/>
      <c r="M185" s="1243"/>
      <c r="N185" s="1244"/>
      <c r="IC185" s="584"/>
    </row>
    <row r="186" spans="1:237">
      <c r="A186" s="94" t="s">
        <v>641</v>
      </c>
      <c r="B186" s="519"/>
      <c r="C186" s="519"/>
      <c r="D186" s="519"/>
      <c r="E186" s="519"/>
      <c r="F186" s="519"/>
      <c r="G186" s="519"/>
      <c r="H186" s="519"/>
      <c r="I186" s="519"/>
      <c r="J186" s="519"/>
      <c r="K186" s="519"/>
      <c r="L186" s="786"/>
      <c r="M186" s="786"/>
      <c r="N186" s="548"/>
    </row>
    <row r="187" spans="1:237">
      <c r="A187" s="555"/>
      <c r="B187" s="518"/>
      <c r="C187" s="518"/>
      <c r="D187" s="518"/>
      <c r="E187" s="518"/>
      <c r="F187" s="518"/>
      <c r="G187" s="518"/>
      <c r="H187" s="518"/>
      <c r="I187" s="518"/>
      <c r="J187" s="518"/>
      <c r="K187" s="518"/>
      <c r="L187" s="576"/>
      <c r="M187" s="301"/>
      <c r="N187" s="122"/>
    </row>
  </sheetData>
  <mergeCells count="5">
    <mergeCell ref="A185:N185"/>
    <mergeCell ref="C2:M2"/>
    <mergeCell ref="C3:M3"/>
    <mergeCell ref="D6:H6"/>
    <mergeCell ref="A184:N184"/>
  </mergeCells>
  <pageMargins left="2.2834645669291338" right="0.70866141732283472" top="0.74803149606299213" bottom="0.74803149606299213" header="0.31496062992125984" footer="0.31496062992125984"/>
  <pageSetup paperSize="9" scale="57" orientation="landscape" horizontalDpi="4294967295" verticalDpi="4294967295" r:id="rId1"/>
  <colBreaks count="1" manualBreakCount="1">
    <brk id="14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32"/>
  <sheetViews>
    <sheetView showGridLines="0" view="pageBreakPreview" topLeftCell="A186" zoomScale="90" zoomScaleNormal="100" zoomScaleSheetLayoutView="90" workbookViewId="0">
      <selection activeCell="B200" sqref="B200:O200"/>
    </sheetView>
  </sheetViews>
  <sheetFormatPr defaultColWidth="12.6640625" defaultRowHeight="12.75"/>
  <cols>
    <col min="1" max="1" width="21.109375" style="69" customWidth="1"/>
    <col min="2" max="2" width="8.77734375" style="69" bestFit="1" customWidth="1"/>
    <col min="3" max="3" width="8.109375" style="69" bestFit="1" customWidth="1"/>
    <col min="4" max="4" width="7.109375" style="69" bestFit="1" customWidth="1"/>
    <col min="5" max="5" width="8.6640625" style="69" bestFit="1" customWidth="1"/>
    <col min="6" max="6" width="8.44140625" style="69" bestFit="1" customWidth="1"/>
    <col min="7" max="7" width="7.5546875" style="69" bestFit="1" customWidth="1"/>
    <col min="8" max="8" width="10.6640625" style="69" bestFit="1" customWidth="1"/>
    <col min="9" max="9" width="8.44140625" style="69" bestFit="1" customWidth="1"/>
    <col min="10" max="10" width="7.5546875" style="69" bestFit="1" customWidth="1"/>
    <col min="11" max="11" width="10.33203125" style="69" bestFit="1" customWidth="1"/>
    <col min="12" max="12" width="8.109375" style="69" customWidth="1"/>
    <col min="13" max="13" width="9" style="69" bestFit="1" customWidth="1"/>
    <col min="14" max="14" width="15.44140625" style="69" bestFit="1" customWidth="1"/>
    <col min="15" max="15" width="9.33203125" style="69" bestFit="1" customWidth="1"/>
    <col min="16" max="16" width="9.88671875" style="69" bestFit="1" customWidth="1"/>
    <col min="17" max="17" width="22.6640625" style="69" customWidth="1"/>
    <col min="18" max="16384" width="12.6640625" style="69"/>
  </cols>
  <sheetData>
    <row r="1" spans="1:249">
      <c r="A1" s="605" t="s">
        <v>0</v>
      </c>
      <c r="B1" s="325"/>
      <c r="C1" s="325"/>
      <c r="D1" s="325"/>
      <c r="E1" s="325"/>
      <c r="F1" s="325"/>
      <c r="G1" s="325"/>
      <c r="H1" s="606" t="s">
        <v>0</v>
      </c>
      <c r="I1" s="325"/>
      <c r="J1" s="325"/>
      <c r="K1" s="325"/>
      <c r="L1" s="325"/>
      <c r="M1" s="325"/>
      <c r="N1" s="325"/>
      <c r="O1" s="98"/>
      <c r="IN1" s="584" t="s">
        <v>429</v>
      </c>
      <c r="IO1" s="585" t="s">
        <v>430</v>
      </c>
    </row>
    <row r="2" spans="1:249" ht="15.75" customHeight="1">
      <c r="A2" s="70"/>
      <c r="B2" s="1234" t="s">
        <v>479</v>
      </c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607" t="s">
        <v>461</v>
      </c>
      <c r="IO2" s="585" t="s">
        <v>431</v>
      </c>
    </row>
    <row r="3" spans="1:249" ht="15.75" customHeight="1">
      <c r="A3" s="70"/>
      <c r="B3" s="1234" t="s">
        <v>480</v>
      </c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608"/>
    </row>
    <row r="4" spans="1:249">
      <c r="A4" s="609"/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1"/>
      <c r="IN4" s="584"/>
    </row>
    <row r="5" spans="1:249">
      <c r="A5" s="80"/>
      <c r="B5" s="71"/>
      <c r="C5" s="71"/>
      <c r="D5" s="71"/>
      <c r="E5" s="71"/>
      <c r="F5" s="71"/>
      <c r="G5" s="71"/>
      <c r="H5" s="71"/>
      <c r="I5" s="71"/>
      <c r="J5" s="71"/>
      <c r="K5" s="71"/>
      <c r="L5" s="82"/>
      <c r="M5" s="80"/>
      <c r="N5" s="71"/>
      <c r="O5" s="80"/>
      <c r="IN5" s="584" t="s">
        <v>432</v>
      </c>
      <c r="IO5" s="585" t="s">
        <v>433</v>
      </c>
    </row>
    <row r="6" spans="1:249" ht="15.75" customHeight="1">
      <c r="A6" s="80" t="s">
        <v>462</v>
      </c>
      <c r="B6" s="1233" t="s">
        <v>481</v>
      </c>
      <c r="C6" s="1234"/>
      <c r="D6" s="1234"/>
      <c r="E6" s="1234"/>
      <c r="F6" s="1234"/>
      <c r="G6" s="1234"/>
      <c r="H6" s="1234"/>
      <c r="I6" s="1234"/>
      <c r="J6" s="1234"/>
      <c r="K6" s="1234"/>
      <c r="L6" s="1235"/>
      <c r="M6" s="612" t="s">
        <v>74</v>
      </c>
      <c r="N6" s="613" t="s">
        <v>482</v>
      </c>
      <c r="O6" s="612" t="s">
        <v>74</v>
      </c>
      <c r="IN6" s="584" t="s">
        <v>444</v>
      </c>
      <c r="IO6" s="585" t="s">
        <v>463</v>
      </c>
    </row>
    <row r="7" spans="1:249">
      <c r="A7" s="554"/>
      <c r="B7" s="518"/>
      <c r="C7" s="518"/>
      <c r="D7" s="518"/>
      <c r="E7" s="518"/>
      <c r="F7" s="518"/>
      <c r="G7" s="533"/>
      <c r="H7" s="533"/>
      <c r="I7" s="533"/>
      <c r="J7" s="518"/>
      <c r="K7" s="518"/>
      <c r="L7" s="568"/>
      <c r="M7" s="612" t="s">
        <v>483</v>
      </c>
      <c r="N7" s="613" t="s">
        <v>484</v>
      </c>
      <c r="O7" s="612" t="s">
        <v>485</v>
      </c>
      <c r="IN7" s="584"/>
    </row>
    <row r="8" spans="1:249">
      <c r="A8" s="554"/>
      <c r="B8" s="546"/>
      <c r="C8" s="533"/>
      <c r="D8" s="533"/>
      <c r="E8" s="533"/>
      <c r="F8" s="533"/>
      <c r="G8" s="546"/>
      <c r="H8" s="516"/>
      <c r="I8" s="547"/>
      <c r="J8" s="516"/>
      <c r="K8" s="533"/>
      <c r="L8" s="614"/>
      <c r="M8" s="485"/>
      <c r="N8" s="613" t="s">
        <v>464</v>
      </c>
      <c r="O8" s="612" t="s">
        <v>486</v>
      </c>
      <c r="IN8" s="584"/>
    </row>
    <row r="9" spans="1:249" ht="15.75" customHeight="1">
      <c r="A9" s="554"/>
      <c r="B9" s="1251" t="s">
        <v>487</v>
      </c>
      <c r="C9" s="1252"/>
      <c r="D9" s="1252"/>
      <c r="E9" s="1252"/>
      <c r="F9" s="1253"/>
      <c r="G9" s="1251" t="s">
        <v>488</v>
      </c>
      <c r="H9" s="1252"/>
      <c r="I9" s="1253"/>
      <c r="J9" s="1251" t="s">
        <v>489</v>
      </c>
      <c r="K9" s="1252"/>
      <c r="L9" s="1253"/>
      <c r="M9" s="485"/>
      <c r="N9" s="250"/>
      <c r="O9" s="485"/>
      <c r="IN9" s="584"/>
    </row>
    <row r="10" spans="1:249">
      <c r="A10" s="80"/>
      <c r="B10" s="555"/>
      <c r="C10" s="518"/>
      <c r="D10" s="518"/>
      <c r="E10" s="518"/>
      <c r="F10" s="518"/>
      <c r="G10" s="555"/>
      <c r="H10" s="518"/>
      <c r="I10" s="568"/>
      <c r="J10" s="518"/>
      <c r="K10" s="518"/>
      <c r="L10" s="568"/>
      <c r="M10" s="80"/>
      <c r="N10" s="71"/>
      <c r="O10" s="80"/>
      <c r="IN10" s="584" t="s">
        <v>444</v>
      </c>
    </row>
    <row r="11" spans="1:249">
      <c r="A11" s="324" t="s">
        <v>490</v>
      </c>
      <c r="B11" s="615" t="s">
        <v>235</v>
      </c>
      <c r="C11" s="250" t="s">
        <v>491</v>
      </c>
      <c r="D11" s="485" t="s">
        <v>492</v>
      </c>
      <c r="E11" s="616" t="s">
        <v>493</v>
      </c>
      <c r="F11" s="120" t="s">
        <v>9</v>
      </c>
      <c r="G11" s="617" t="s">
        <v>497</v>
      </c>
      <c r="H11" s="618" t="s">
        <v>498</v>
      </c>
      <c r="I11" s="617" t="s">
        <v>465</v>
      </c>
      <c r="J11" s="617" t="s">
        <v>497</v>
      </c>
      <c r="K11" s="595" t="s">
        <v>498</v>
      </c>
      <c r="L11" s="617" t="s">
        <v>9</v>
      </c>
      <c r="M11" s="80"/>
      <c r="N11" s="71"/>
      <c r="O11" s="80"/>
      <c r="IN11" s="584" t="s">
        <v>444</v>
      </c>
    </row>
    <row r="12" spans="1:249">
      <c r="A12" s="94"/>
      <c r="B12" s="241" t="s">
        <v>100</v>
      </c>
      <c r="C12" s="250" t="s">
        <v>494</v>
      </c>
      <c r="D12" s="485" t="s">
        <v>494</v>
      </c>
      <c r="E12" s="580" t="s">
        <v>96</v>
      </c>
      <c r="F12" s="80"/>
      <c r="G12" s="80"/>
      <c r="H12" s="485" t="s">
        <v>501</v>
      </c>
      <c r="I12" s="80"/>
      <c r="J12" s="80"/>
      <c r="K12" s="115" t="s">
        <v>502</v>
      </c>
      <c r="L12" s="80"/>
      <c r="M12" s="80"/>
      <c r="N12" s="71"/>
      <c r="O12" s="80"/>
      <c r="IN12" s="584" t="s">
        <v>444</v>
      </c>
    </row>
    <row r="13" spans="1:249">
      <c r="A13" s="94"/>
      <c r="B13" s="308" t="s">
        <v>495</v>
      </c>
      <c r="C13" s="71"/>
      <c r="D13" s="485" t="s">
        <v>496</v>
      </c>
      <c r="E13" s="616"/>
      <c r="F13" s="485"/>
      <c r="G13" s="80"/>
      <c r="H13" s="80"/>
      <c r="I13" s="80"/>
      <c r="J13" s="80"/>
      <c r="K13" s="80"/>
      <c r="L13" s="80"/>
      <c r="M13" s="599"/>
      <c r="N13" s="619"/>
      <c r="O13" s="599"/>
      <c r="IN13" s="584" t="s">
        <v>444</v>
      </c>
    </row>
    <row r="14" spans="1:249">
      <c r="A14" s="94" t="s">
        <v>34</v>
      </c>
      <c r="B14" s="308" t="s">
        <v>499</v>
      </c>
      <c r="C14" s="71"/>
      <c r="D14" s="485" t="s">
        <v>500</v>
      </c>
      <c r="E14" s="82"/>
      <c r="F14" s="80"/>
      <c r="G14" s="80"/>
      <c r="H14" s="80"/>
      <c r="I14" s="80"/>
      <c r="J14" s="80"/>
      <c r="K14" s="80"/>
      <c r="L14" s="80"/>
      <c r="M14" s="80"/>
      <c r="N14" s="71"/>
      <c r="O14" s="80"/>
      <c r="IN14" s="584" t="s">
        <v>444</v>
      </c>
    </row>
    <row r="15" spans="1:249" s="624" customFormat="1">
      <c r="A15" s="620"/>
      <c r="B15" s="621"/>
      <c r="C15" s="622"/>
      <c r="D15" s="621"/>
      <c r="E15" s="623"/>
      <c r="F15" s="621"/>
      <c r="G15" s="621"/>
      <c r="H15" s="621"/>
      <c r="I15" s="621"/>
      <c r="J15" s="621"/>
      <c r="K15" s="621"/>
      <c r="L15" s="621"/>
      <c r="M15" s="621"/>
      <c r="N15" s="622"/>
      <c r="O15" s="621"/>
      <c r="IN15" s="625"/>
    </row>
    <row r="16" spans="1:249" s="624" customFormat="1" hidden="1">
      <c r="A16" s="406" t="s">
        <v>466</v>
      </c>
      <c r="B16" s="626">
        <v>457.1</v>
      </c>
      <c r="C16" s="627">
        <v>2619.4</v>
      </c>
      <c r="D16" s="628">
        <v>3858.7</v>
      </c>
      <c r="E16" s="627">
        <v>26522.2</v>
      </c>
      <c r="F16" s="628">
        <f>SUM(B16:E16)</f>
        <v>33457.4</v>
      </c>
      <c r="G16" s="627">
        <v>1603.3</v>
      </c>
      <c r="H16" s="629">
        <v>6385.9</v>
      </c>
      <c r="I16" s="628">
        <f>SUM(G16:H16)</f>
        <v>7989.2</v>
      </c>
      <c r="J16" s="627">
        <v>4868.3999999999996</v>
      </c>
      <c r="K16" s="628">
        <v>3383.4</v>
      </c>
      <c r="L16" s="628">
        <f>SUM(J16:K16)</f>
        <v>8251.7999999999993</v>
      </c>
      <c r="M16" s="628">
        <f>SUM(F16,I16,L16)</f>
        <v>49698.399999999994</v>
      </c>
      <c r="N16" s="630">
        <v>11541.8</v>
      </c>
      <c r="O16" s="628">
        <f>SUM(M16:N16)</f>
        <v>61240.2</v>
      </c>
      <c r="IN16" s="625" t="s">
        <v>444</v>
      </c>
    </row>
    <row r="17" spans="1:15" s="624" customFormat="1" hidden="1">
      <c r="A17" s="406" t="s">
        <v>467</v>
      </c>
      <c r="B17" s="8">
        <v>617.1</v>
      </c>
      <c r="C17" s="627">
        <v>9930.7999999999993</v>
      </c>
      <c r="D17" s="628">
        <v>2790.5</v>
      </c>
      <c r="E17" s="627">
        <v>27426.1</v>
      </c>
      <c r="F17" s="628">
        <f>SUM(B17:E17)</f>
        <v>40764.5</v>
      </c>
      <c r="G17" s="627">
        <v>1455.1</v>
      </c>
      <c r="H17" s="628">
        <v>6740.2</v>
      </c>
      <c r="I17" s="631">
        <f>SUM(G17:H17)</f>
        <v>8195.2999999999993</v>
      </c>
      <c r="J17" s="628">
        <v>4751.3999999999996</v>
      </c>
      <c r="K17" s="631">
        <v>3464.9</v>
      </c>
      <c r="L17" s="628">
        <f>SUM(J17:K17)</f>
        <v>8216.2999999999993</v>
      </c>
      <c r="M17" s="631">
        <f t="shared" ref="M17:M28" si="0">SUM(F17,I17,L17)</f>
        <v>57176.100000000006</v>
      </c>
      <c r="N17" s="626">
        <v>7138.4</v>
      </c>
      <c r="O17" s="628">
        <f>SUM(M17:N17)</f>
        <v>64314.500000000007</v>
      </c>
    </row>
    <row r="18" spans="1:15" s="624" customFormat="1" hidden="1">
      <c r="A18" s="632" t="s">
        <v>468</v>
      </c>
      <c r="B18" s="9">
        <v>1003.6</v>
      </c>
      <c r="C18" s="633">
        <v>8607.7000000000007</v>
      </c>
      <c r="D18" s="634">
        <v>1424.6</v>
      </c>
      <c r="E18" s="633">
        <v>33227.800000000003</v>
      </c>
      <c r="F18" s="634">
        <f>SUM(B18:E18)</f>
        <v>44263.700000000004</v>
      </c>
      <c r="G18" s="633">
        <v>1366.6</v>
      </c>
      <c r="H18" s="634">
        <v>5485.8</v>
      </c>
      <c r="I18" s="635">
        <f>SUM(G18:H18)</f>
        <v>6852.4</v>
      </c>
      <c r="J18" s="634">
        <v>4240.3999999999996</v>
      </c>
      <c r="K18" s="635">
        <v>3523</v>
      </c>
      <c r="L18" s="634">
        <f>SUM(J18:K18)</f>
        <v>7763.4</v>
      </c>
      <c r="M18" s="635">
        <f t="shared" si="0"/>
        <v>58879.500000000007</v>
      </c>
      <c r="N18" s="634">
        <v>11102.7</v>
      </c>
      <c r="O18" s="634">
        <f>SUM(M18:N18)</f>
        <v>69982.200000000012</v>
      </c>
    </row>
    <row r="19" spans="1:15" s="624" customFormat="1" hidden="1">
      <c r="A19" s="632" t="s">
        <v>469</v>
      </c>
      <c r="B19" s="9">
        <v>574.1</v>
      </c>
      <c r="C19" s="633">
        <f>9368.3-979.6</f>
        <v>8388.6999999999989</v>
      </c>
      <c r="D19" s="634">
        <v>1681.7</v>
      </c>
      <c r="E19" s="633">
        <f>48643.7-722.1-138.5</f>
        <v>47783.1</v>
      </c>
      <c r="F19" s="634">
        <f>SUM(B19:E19)</f>
        <v>58427.6</v>
      </c>
      <c r="G19" s="633">
        <f>1754.3-521.1</f>
        <v>1233.1999999999998</v>
      </c>
      <c r="H19" s="634">
        <f>6454.9-528.8</f>
        <v>5926.0999999999995</v>
      </c>
      <c r="I19" s="635">
        <f>SUM(G19:H19)</f>
        <v>7159.2999999999993</v>
      </c>
      <c r="J19" s="634">
        <f>4223.7-316.1-461.9</f>
        <v>3445.7</v>
      </c>
      <c r="K19" s="635">
        <f>2628.8-234.7-103.1</f>
        <v>2291.0000000000005</v>
      </c>
      <c r="L19" s="634">
        <f>SUM(J19:K19)</f>
        <v>5736.7000000000007</v>
      </c>
      <c r="M19" s="635">
        <f t="shared" si="0"/>
        <v>71323.599999999991</v>
      </c>
      <c r="N19" s="634">
        <v>8119.8</v>
      </c>
      <c r="O19" s="634">
        <f>SUM(M19:N19)</f>
        <v>79443.399999999994</v>
      </c>
    </row>
    <row r="20" spans="1:15" s="624" customFormat="1" hidden="1">
      <c r="A20" s="632" t="s">
        <v>470</v>
      </c>
      <c r="B20" s="9">
        <v>478.4</v>
      </c>
      <c r="C20" s="633">
        <v>16327.8</v>
      </c>
      <c r="D20" s="634">
        <v>999.7</v>
      </c>
      <c r="E20" s="633">
        <v>56712.9</v>
      </c>
      <c r="F20" s="634">
        <f>SUM(B20:E20)</f>
        <v>74518.8</v>
      </c>
      <c r="G20" s="633">
        <v>1622.1</v>
      </c>
      <c r="H20" s="634">
        <v>7273.3</v>
      </c>
      <c r="I20" s="635">
        <f>SUM(G20:H20)</f>
        <v>8895.4</v>
      </c>
      <c r="J20" s="634">
        <v>3875.5</v>
      </c>
      <c r="K20" s="635">
        <v>2155.6999999999998</v>
      </c>
      <c r="L20" s="634">
        <f>SUM(J20:K20)</f>
        <v>6031.2</v>
      </c>
      <c r="M20" s="635">
        <f t="shared" si="0"/>
        <v>89445.4</v>
      </c>
      <c r="N20" s="634">
        <v>13658.4</v>
      </c>
      <c r="O20" s="634">
        <f>SUM(M20:N20)</f>
        <v>103103.79999999999</v>
      </c>
    </row>
    <row r="21" spans="1:15" s="624" customFormat="1" hidden="1">
      <c r="A21" s="632" t="s">
        <v>471</v>
      </c>
      <c r="B21" s="9">
        <v>1806.7</v>
      </c>
      <c r="C21" s="633">
        <v>13136.3</v>
      </c>
      <c r="D21" s="634">
        <v>2368</v>
      </c>
      <c r="E21" s="633">
        <v>85060.9</v>
      </c>
      <c r="F21" s="634">
        <f t="shared" ref="F21:F28" si="1">SUM(B21:E21)</f>
        <v>102371.9</v>
      </c>
      <c r="G21" s="633">
        <v>2528.6</v>
      </c>
      <c r="H21" s="634">
        <v>11836.8</v>
      </c>
      <c r="I21" s="635">
        <f t="shared" ref="I21:I28" si="2">SUM(G21:H21)</f>
        <v>14365.4</v>
      </c>
      <c r="J21" s="634">
        <v>4203.6000000000004</v>
      </c>
      <c r="K21" s="635">
        <v>1710.1</v>
      </c>
      <c r="L21" s="634">
        <f t="shared" ref="L21:L28" si="3">SUM(J21:K21)</f>
        <v>5913.7000000000007</v>
      </c>
      <c r="M21" s="635">
        <f t="shared" si="0"/>
        <v>122650.99999999999</v>
      </c>
      <c r="N21" s="634">
        <v>15711.6</v>
      </c>
      <c r="O21" s="634">
        <f t="shared" ref="O21:O28" si="4">SUM(M21:N21)</f>
        <v>138362.59999999998</v>
      </c>
    </row>
    <row r="22" spans="1:15" s="624" customFormat="1" ht="14.25" hidden="1" customHeight="1">
      <c r="A22" s="632" t="s">
        <v>472</v>
      </c>
      <c r="B22" s="9">
        <v>1158.2</v>
      </c>
      <c r="C22" s="633">
        <v>8068.3</v>
      </c>
      <c r="D22" s="634">
        <v>1905.4</v>
      </c>
      <c r="E22" s="633">
        <v>102608.3</v>
      </c>
      <c r="F22" s="634">
        <f t="shared" si="1"/>
        <v>113740.2</v>
      </c>
      <c r="G22" s="633">
        <v>3561.3</v>
      </c>
      <c r="H22" s="634">
        <v>14438.5</v>
      </c>
      <c r="I22" s="635">
        <f t="shared" si="2"/>
        <v>17999.8</v>
      </c>
      <c r="J22" s="634">
        <v>3859.3</v>
      </c>
      <c r="K22" s="635">
        <v>1577.7</v>
      </c>
      <c r="L22" s="634">
        <f t="shared" si="3"/>
        <v>5437</v>
      </c>
      <c r="M22" s="635">
        <f t="shared" si="0"/>
        <v>137177</v>
      </c>
      <c r="N22" s="634">
        <v>17153.599999999999</v>
      </c>
      <c r="O22" s="634">
        <f t="shared" si="4"/>
        <v>154330.6</v>
      </c>
    </row>
    <row r="23" spans="1:15" s="624" customFormat="1" ht="14.25" hidden="1" customHeight="1">
      <c r="A23" s="632" t="s">
        <v>473</v>
      </c>
      <c r="B23" s="9">
        <v>1118.2</v>
      </c>
      <c r="C23" s="633">
        <v>28332</v>
      </c>
      <c r="D23" s="634">
        <v>1501.1</v>
      </c>
      <c r="E23" s="633">
        <v>115273.2</v>
      </c>
      <c r="F23" s="634">
        <f t="shared" si="1"/>
        <v>146224.5</v>
      </c>
      <c r="G23" s="633">
        <v>4421.7</v>
      </c>
      <c r="H23" s="634">
        <v>18831.599999999999</v>
      </c>
      <c r="I23" s="635">
        <f t="shared" si="2"/>
        <v>23253.3</v>
      </c>
      <c r="J23" s="634">
        <v>3682</v>
      </c>
      <c r="K23" s="635">
        <v>1904.2</v>
      </c>
      <c r="L23" s="634">
        <f t="shared" si="3"/>
        <v>5586.2</v>
      </c>
      <c r="M23" s="635">
        <f t="shared" si="0"/>
        <v>175064</v>
      </c>
      <c r="N23" s="634">
        <v>16246.6</v>
      </c>
      <c r="O23" s="634">
        <f t="shared" si="4"/>
        <v>191310.6</v>
      </c>
    </row>
    <row r="24" spans="1:15" s="624" customFormat="1" ht="14.25" hidden="1" customHeight="1">
      <c r="A24" s="636" t="s">
        <v>474</v>
      </c>
      <c r="B24" s="9">
        <v>221.8</v>
      </c>
      <c r="C24" s="633">
        <v>14221.5</v>
      </c>
      <c r="D24" s="634">
        <v>2127.8000000000002</v>
      </c>
      <c r="E24" s="633">
        <v>130656.6</v>
      </c>
      <c r="F24" s="634">
        <f t="shared" si="1"/>
        <v>147227.70000000001</v>
      </c>
      <c r="G24" s="633">
        <v>4527.5</v>
      </c>
      <c r="H24" s="634">
        <v>23611.7</v>
      </c>
      <c r="I24" s="635">
        <f t="shared" si="2"/>
        <v>28139.200000000001</v>
      </c>
      <c r="J24" s="634">
        <v>3616.4</v>
      </c>
      <c r="K24" s="635">
        <v>1720.3</v>
      </c>
      <c r="L24" s="634">
        <f t="shared" si="3"/>
        <v>5336.7</v>
      </c>
      <c r="M24" s="635">
        <f t="shared" si="0"/>
        <v>180703.60000000003</v>
      </c>
      <c r="N24" s="634">
        <v>16465.400000000001</v>
      </c>
      <c r="O24" s="634">
        <f t="shared" si="4"/>
        <v>197169.00000000003</v>
      </c>
    </row>
    <row r="25" spans="1:15" s="624" customFormat="1" ht="14.25" hidden="1" customHeight="1">
      <c r="A25" s="636" t="s">
        <v>475</v>
      </c>
      <c r="B25" s="5">
        <v>1767</v>
      </c>
      <c r="C25" s="507">
        <v>19332.8</v>
      </c>
      <c r="D25" s="261">
        <v>1120.9000000000001</v>
      </c>
      <c r="E25" s="507">
        <v>121364.5</v>
      </c>
      <c r="F25" s="261">
        <f>SUM(B25:E25)</f>
        <v>143585.20000000001</v>
      </c>
      <c r="G25" s="507">
        <v>3941.8</v>
      </c>
      <c r="H25" s="261">
        <v>27685.200000000001</v>
      </c>
      <c r="I25" s="264">
        <f>SUM(G25:H25)</f>
        <v>31627</v>
      </c>
      <c r="J25" s="261">
        <v>3314.4</v>
      </c>
      <c r="K25" s="264">
        <v>1255.9000000000001</v>
      </c>
      <c r="L25" s="261">
        <f>SUM(J25:K25)</f>
        <v>4570.3</v>
      </c>
      <c r="M25" s="264">
        <f>SUM(F25,I25,L25)</f>
        <v>179782.5</v>
      </c>
      <c r="N25" s="261">
        <v>27486.400000000001</v>
      </c>
      <c r="O25" s="261">
        <f>SUM(M25:N25)</f>
        <v>207268.9</v>
      </c>
    </row>
    <row r="26" spans="1:15" ht="14.25" hidden="1" customHeight="1">
      <c r="A26" s="559" t="s">
        <v>476</v>
      </c>
      <c r="B26" s="5">
        <v>1361</v>
      </c>
      <c r="C26" s="507">
        <v>6679.7</v>
      </c>
      <c r="D26" s="261">
        <v>1041.5</v>
      </c>
      <c r="E26" s="507">
        <v>129775.3</v>
      </c>
      <c r="F26" s="261">
        <f t="shared" si="1"/>
        <v>138857.5</v>
      </c>
      <c r="G26" s="507">
        <v>4469.5</v>
      </c>
      <c r="H26" s="261">
        <v>26406.400000000001</v>
      </c>
      <c r="I26" s="264">
        <f t="shared" si="2"/>
        <v>30875.9</v>
      </c>
      <c r="J26" s="261">
        <v>3235.3</v>
      </c>
      <c r="K26" s="264">
        <v>1204.0999999999999</v>
      </c>
      <c r="L26" s="261">
        <f t="shared" si="3"/>
        <v>4439.3999999999996</v>
      </c>
      <c r="M26" s="264">
        <f t="shared" si="0"/>
        <v>174172.79999999999</v>
      </c>
      <c r="N26" s="261">
        <v>29882.400000000001</v>
      </c>
      <c r="O26" s="261">
        <f t="shared" si="4"/>
        <v>204055.19999999998</v>
      </c>
    </row>
    <row r="27" spans="1:15" ht="14.25" hidden="1" customHeight="1">
      <c r="A27" s="559" t="s">
        <v>477</v>
      </c>
      <c r="B27" s="5">
        <v>1656.4</v>
      </c>
      <c r="C27" s="507">
        <v>19607.8</v>
      </c>
      <c r="D27" s="261">
        <v>1131.0999999999999</v>
      </c>
      <c r="E27" s="507">
        <v>148430.1</v>
      </c>
      <c r="F27" s="261">
        <f t="shared" si="1"/>
        <v>170825.4</v>
      </c>
      <c r="G27" s="507">
        <v>5960.3</v>
      </c>
      <c r="H27" s="261">
        <v>32644.400000000001</v>
      </c>
      <c r="I27" s="264">
        <f t="shared" si="2"/>
        <v>38604.700000000004</v>
      </c>
      <c r="J27" s="261">
        <v>4095.6</v>
      </c>
      <c r="K27" s="264">
        <v>1700.5</v>
      </c>
      <c r="L27" s="261">
        <f t="shared" si="3"/>
        <v>5796.1</v>
      </c>
      <c r="M27" s="264">
        <f t="shared" si="0"/>
        <v>215226.2</v>
      </c>
      <c r="N27" s="261">
        <v>35804.699999999997</v>
      </c>
      <c r="O27" s="261">
        <f t="shared" si="4"/>
        <v>251030.90000000002</v>
      </c>
    </row>
    <row r="28" spans="1:15" ht="14.25" hidden="1" customHeight="1">
      <c r="A28" s="559" t="s">
        <v>478</v>
      </c>
      <c r="B28" s="5">
        <v>4086.1</v>
      </c>
      <c r="C28" s="507">
        <v>7452.4</v>
      </c>
      <c r="D28" s="261">
        <v>1735.2</v>
      </c>
      <c r="E28" s="507">
        <v>160944.29999999999</v>
      </c>
      <c r="F28" s="261">
        <f t="shared" si="1"/>
        <v>174218</v>
      </c>
      <c r="G28" s="507">
        <v>7092.5</v>
      </c>
      <c r="H28" s="261">
        <v>41231.300000000003</v>
      </c>
      <c r="I28" s="264">
        <f t="shared" si="2"/>
        <v>48323.8</v>
      </c>
      <c r="J28" s="261">
        <v>5352.8</v>
      </c>
      <c r="K28" s="264">
        <v>1097.8</v>
      </c>
      <c r="L28" s="261">
        <f t="shared" si="3"/>
        <v>6450.6</v>
      </c>
      <c r="M28" s="264">
        <f t="shared" si="0"/>
        <v>228992.4</v>
      </c>
      <c r="N28" s="261">
        <v>39121.599999999999</v>
      </c>
      <c r="O28" s="261">
        <f t="shared" si="4"/>
        <v>268114</v>
      </c>
    </row>
    <row r="29" spans="1:15" ht="14.25" hidden="1" customHeight="1">
      <c r="A29" s="559" t="s">
        <v>4</v>
      </c>
      <c r="B29" s="5">
        <v>3764.5</v>
      </c>
      <c r="C29" s="507">
        <v>23603.599999999999</v>
      </c>
      <c r="D29" s="261">
        <v>350.1</v>
      </c>
      <c r="E29" s="507">
        <v>177818.8</v>
      </c>
      <c r="F29" s="261">
        <v>205537</v>
      </c>
      <c r="G29" s="507">
        <v>10714.1</v>
      </c>
      <c r="H29" s="261">
        <v>61882.9</v>
      </c>
      <c r="I29" s="264">
        <v>72597</v>
      </c>
      <c r="J29" s="261">
        <v>6532.8</v>
      </c>
      <c r="K29" s="264">
        <v>944.4</v>
      </c>
      <c r="L29" s="261">
        <v>7477.2</v>
      </c>
      <c r="M29" s="264">
        <v>285611.2</v>
      </c>
      <c r="N29" s="261">
        <v>50153.599999999999</v>
      </c>
      <c r="O29" s="261">
        <v>335764.8</v>
      </c>
    </row>
    <row r="30" spans="1:15" ht="14.25" customHeight="1">
      <c r="A30" s="559"/>
      <c r="B30" s="787"/>
      <c r="C30" s="787"/>
      <c r="D30" s="787"/>
      <c r="E30" s="787"/>
      <c r="F30" s="787"/>
      <c r="G30" s="787"/>
      <c r="H30" s="787"/>
      <c r="I30" s="787"/>
      <c r="J30" s="787"/>
      <c r="K30" s="787"/>
      <c r="L30" s="787"/>
      <c r="M30" s="787"/>
      <c r="N30" s="787"/>
      <c r="O30" s="787"/>
    </row>
    <row r="31" spans="1:15" ht="14.25" hidden="1" customHeight="1">
      <c r="A31" s="461" t="s">
        <v>120</v>
      </c>
      <c r="B31" s="1">
        <v>5721.7000000000007</v>
      </c>
      <c r="C31" s="1">
        <v>2961.4</v>
      </c>
      <c r="D31" s="1">
        <v>1946.3</v>
      </c>
      <c r="E31" s="1">
        <v>202413.30000000002</v>
      </c>
      <c r="F31" s="1">
        <f t="shared" ref="F31:F38" si="5">SUM(B31:E31)</f>
        <v>213042.7</v>
      </c>
      <c r="G31" s="1">
        <v>15338.800000000001</v>
      </c>
      <c r="H31" s="1">
        <v>95369.199999999983</v>
      </c>
      <c r="I31" s="1">
        <f t="shared" ref="I31:I38" si="6">SUM(G31:H31)</f>
        <v>110707.99999999999</v>
      </c>
      <c r="J31" s="1">
        <v>8684.9000000000015</v>
      </c>
      <c r="K31" s="1">
        <v>509.9</v>
      </c>
      <c r="L31" s="1">
        <f t="shared" ref="L31:L38" si="7">SUM(J31:K31)</f>
        <v>9194.8000000000011</v>
      </c>
      <c r="M31" s="1">
        <f t="shared" ref="M31:M38" si="8">SUM(F31,I31,L31)</f>
        <v>332945.5</v>
      </c>
      <c r="N31" s="1">
        <v>52699.200000000004</v>
      </c>
      <c r="O31" s="1">
        <f t="shared" ref="O31:O38" si="9">SUM(M31:N31)</f>
        <v>385644.7</v>
      </c>
    </row>
    <row r="32" spans="1:15" ht="14.25" hidden="1" customHeight="1">
      <c r="A32" s="461" t="s">
        <v>89</v>
      </c>
      <c r="B32" s="1">
        <v>6432.4000000000005</v>
      </c>
      <c r="C32" s="508">
        <v>11832.599999999999</v>
      </c>
      <c r="D32" s="130">
        <v>1895.9</v>
      </c>
      <c r="E32" s="508">
        <v>256084.59999999998</v>
      </c>
      <c r="F32" s="130">
        <f t="shared" si="5"/>
        <v>276245.5</v>
      </c>
      <c r="G32" s="508">
        <v>25050.399999999998</v>
      </c>
      <c r="H32" s="130">
        <v>118042.2</v>
      </c>
      <c r="I32" s="129">
        <f t="shared" si="6"/>
        <v>143092.6</v>
      </c>
      <c r="J32" s="130">
        <v>12244.5</v>
      </c>
      <c r="K32" s="129">
        <v>1467.8</v>
      </c>
      <c r="L32" s="130">
        <f t="shared" si="7"/>
        <v>13712.3</v>
      </c>
      <c r="M32" s="129">
        <f t="shared" si="8"/>
        <v>433050.39999999997</v>
      </c>
      <c r="N32" s="130">
        <v>72626.3</v>
      </c>
      <c r="O32" s="130">
        <f t="shared" si="9"/>
        <v>505676.69999999995</v>
      </c>
    </row>
    <row r="33" spans="1:15" ht="14.25" hidden="1" customHeight="1">
      <c r="A33" s="461" t="s">
        <v>8</v>
      </c>
      <c r="B33" s="1">
        <v>10070.199999999999</v>
      </c>
      <c r="C33" s="508">
        <v>12577.599999999999</v>
      </c>
      <c r="D33" s="130">
        <v>1824.6</v>
      </c>
      <c r="E33" s="508">
        <v>368616.2</v>
      </c>
      <c r="F33" s="130">
        <f t="shared" si="5"/>
        <v>393088.6</v>
      </c>
      <c r="G33" s="508">
        <v>29936.7</v>
      </c>
      <c r="H33" s="130">
        <v>126266.79999999999</v>
      </c>
      <c r="I33" s="129">
        <f t="shared" si="6"/>
        <v>156203.5</v>
      </c>
      <c r="J33" s="130">
        <v>16356.199999999999</v>
      </c>
      <c r="K33" s="129">
        <v>9025.2999999999993</v>
      </c>
      <c r="L33" s="130">
        <f t="shared" si="7"/>
        <v>25381.5</v>
      </c>
      <c r="M33" s="129">
        <f t="shared" si="8"/>
        <v>574673.6</v>
      </c>
      <c r="N33" s="130">
        <v>70478</v>
      </c>
      <c r="O33" s="130">
        <f t="shared" si="9"/>
        <v>645151.6</v>
      </c>
    </row>
    <row r="34" spans="1:15" ht="14.25" hidden="1" customHeight="1">
      <c r="A34" s="461" t="s">
        <v>10</v>
      </c>
      <c r="B34" s="1">
        <v>8670.6</v>
      </c>
      <c r="C34" s="508">
        <v>10386.6</v>
      </c>
      <c r="D34" s="130">
        <v>2652.5</v>
      </c>
      <c r="E34" s="508">
        <v>460288.8</v>
      </c>
      <c r="F34" s="130">
        <f t="shared" si="5"/>
        <v>481998.5</v>
      </c>
      <c r="G34" s="508">
        <v>32498.1</v>
      </c>
      <c r="H34" s="130">
        <v>151216.1</v>
      </c>
      <c r="I34" s="129">
        <f t="shared" si="6"/>
        <v>183714.2</v>
      </c>
      <c r="J34" s="130">
        <v>16420.8</v>
      </c>
      <c r="K34" s="129">
        <v>21741.1</v>
      </c>
      <c r="L34" s="130">
        <f t="shared" si="7"/>
        <v>38161.899999999994</v>
      </c>
      <c r="M34" s="129">
        <f t="shared" si="8"/>
        <v>703874.6</v>
      </c>
      <c r="N34" s="130">
        <v>68758.7</v>
      </c>
      <c r="O34" s="130">
        <f t="shared" si="9"/>
        <v>772633.29999999993</v>
      </c>
    </row>
    <row r="35" spans="1:15" ht="14.25" customHeight="1">
      <c r="A35" s="461" t="s">
        <v>11</v>
      </c>
      <c r="B35" s="1">
        <v>27883.9</v>
      </c>
      <c r="C35" s="508">
        <v>6959.0999999999995</v>
      </c>
      <c r="D35" s="130">
        <v>3893.5</v>
      </c>
      <c r="E35" s="508">
        <v>469767.30000000005</v>
      </c>
      <c r="F35" s="130">
        <f t="shared" si="5"/>
        <v>508503.80000000005</v>
      </c>
      <c r="G35" s="508">
        <v>27499.200000000004</v>
      </c>
      <c r="H35" s="130">
        <v>182002.60000000003</v>
      </c>
      <c r="I35" s="129">
        <f t="shared" si="6"/>
        <v>209501.80000000005</v>
      </c>
      <c r="J35" s="130">
        <v>19923.2</v>
      </c>
      <c r="K35" s="129">
        <v>35392.1</v>
      </c>
      <c r="L35" s="130">
        <f t="shared" si="7"/>
        <v>55315.3</v>
      </c>
      <c r="M35" s="129">
        <f t="shared" si="8"/>
        <v>773320.90000000014</v>
      </c>
      <c r="N35" s="130">
        <v>86828.200000000012</v>
      </c>
      <c r="O35" s="130">
        <f t="shared" si="9"/>
        <v>860149.10000000009</v>
      </c>
    </row>
    <row r="36" spans="1:15" ht="14.25" customHeight="1">
      <c r="A36" s="461" t="s">
        <v>13</v>
      </c>
      <c r="B36" s="1">
        <v>14479.800000000001</v>
      </c>
      <c r="C36" s="508">
        <v>1179.5999999999999</v>
      </c>
      <c r="D36" s="130">
        <v>5745.1</v>
      </c>
      <c r="E36" s="508">
        <v>524635.89999999991</v>
      </c>
      <c r="F36" s="130">
        <f t="shared" si="5"/>
        <v>546040.39999999991</v>
      </c>
      <c r="G36" s="508">
        <v>20459.5</v>
      </c>
      <c r="H36" s="130">
        <v>192646.5</v>
      </c>
      <c r="I36" s="129">
        <f t="shared" si="6"/>
        <v>213106</v>
      </c>
      <c r="J36" s="130">
        <v>32849.9</v>
      </c>
      <c r="K36" s="129">
        <v>71698.200000000012</v>
      </c>
      <c r="L36" s="130">
        <f t="shared" si="7"/>
        <v>104548.1</v>
      </c>
      <c r="M36" s="129">
        <f t="shared" si="8"/>
        <v>863694.49999999988</v>
      </c>
      <c r="N36" s="130">
        <v>90359.4</v>
      </c>
      <c r="O36" s="130">
        <f t="shared" si="9"/>
        <v>954053.89999999991</v>
      </c>
    </row>
    <row r="37" spans="1:15" ht="14.25" customHeight="1">
      <c r="A37" s="461" t="s">
        <v>14</v>
      </c>
      <c r="B37" s="1">
        <v>166493.10000000003</v>
      </c>
      <c r="C37" s="508">
        <v>6807.3</v>
      </c>
      <c r="D37" s="130">
        <v>5745.1</v>
      </c>
      <c r="E37" s="508">
        <v>400292.69999999995</v>
      </c>
      <c r="F37" s="130">
        <f t="shared" si="5"/>
        <v>579338.19999999995</v>
      </c>
      <c r="G37" s="508">
        <v>17564.199999999997</v>
      </c>
      <c r="H37" s="130">
        <v>162563.79999999999</v>
      </c>
      <c r="I37" s="129">
        <f t="shared" si="6"/>
        <v>180128</v>
      </c>
      <c r="J37" s="130">
        <v>62507.199999999997</v>
      </c>
      <c r="K37" s="129">
        <v>54034.8</v>
      </c>
      <c r="L37" s="130">
        <f t="shared" si="7"/>
        <v>116542</v>
      </c>
      <c r="M37" s="129">
        <f t="shared" si="8"/>
        <v>876008.2</v>
      </c>
      <c r="N37" s="130">
        <v>84709.4</v>
      </c>
      <c r="O37" s="130">
        <f t="shared" si="9"/>
        <v>960717.6</v>
      </c>
    </row>
    <row r="38" spans="1:15">
      <c r="A38" s="461" t="s">
        <v>15</v>
      </c>
      <c r="B38" s="1">
        <v>199717.09999999998</v>
      </c>
      <c r="C38" s="930">
        <v>438.6</v>
      </c>
      <c r="D38" s="1">
        <v>3280.2999999999997</v>
      </c>
      <c r="E38" s="930">
        <v>402330.60000000003</v>
      </c>
      <c r="F38" s="1">
        <f t="shared" si="5"/>
        <v>605766.6</v>
      </c>
      <c r="G38" s="4">
        <v>21756.2</v>
      </c>
      <c r="H38" s="4">
        <v>174051.59999999998</v>
      </c>
      <c r="I38" s="930">
        <f t="shared" si="6"/>
        <v>195807.8</v>
      </c>
      <c r="J38" s="1">
        <v>67282.900000000009</v>
      </c>
      <c r="K38" s="930">
        <v>53730.900000000009</v>
      </c>
      <c r="L38" s="1">
        <f t="shared" si="7"/>
        <v>121013.80000000002</v>
      </c>
      <c r="M38" s="930">
        <f t="shared" si="8"/>
        <v>922588.2</v>
      </c>
      <c r="N38" s="1">
        <v>65142.400000000001</v>
      </c>
      <c r="O38" s="4">
        <f t="shared" si="9"/>
        <v>987730.6</v>
      </c>
    </row>
    <row r="39" spans="1:15">
      <c r="A39" s="461" t="s">
        <v>669</v>
      </c>
      <c r="B39" s="1">
        <v>138435.1</v>
      </c>
      <c r="C39" s="930">
        <v>10346.799999999999</v>
      </c>
      <c r="D39" s="1">
        <v>2339.6</v>
      </c>
      <c r="E39" s="930">
        <v>452262.1999999999</v>
      </c>
      <c r="F39" s="1">
        <v>603383.69999999995</v>
      </c>
      <c r="G39" s="4">
        <v>24281.9</v>
      </c>
      <c r="H39" s="4">
        <v>173855</v>
      </c>
      <c r="I39" s="930">
        <v>198136.9</v>
      </c>
      <c r="J39" s="1">
        <v>81197</v>
      </c>
      <c r="K39" s="930">
        <v>66959.3</v>
      </c>
      <c r="L39" s="1">
        <v>148156.29999999999</v>
      </c>
      <c r="M39" s="930">
        <v>949676.89999999991</v>
      </c>
      <c r="N39" s="1">
        <v>73032.3</v>
      </c>
      <c r="O39" s="4">
        <v>1022709.2</v>
      </c>
    </row>
    <row r="40" spans="1:15" s="1051" customFormat="1" hidden="1">
      <c r="A40" s="461"/>
      <c r="B40" s="1"/>
      <c r="C40" s="930"/>
      <c r="D40" s="1"/>
      <c r="E40" s="930"/>
      <c r="F40" s="1"/>
      <c r="G40" s="930"/>
      <c r="H40" s="4"/>
      <c r="I40" s="930"/>
      <c r="J40" s="1"/>
      <c r="K40" s="930"/>
      <c r="L40" s="1"/>
      <c r="M40" s="930"/>
      <c r="N40" s="1"/>
      <c r="O40" s="4"/>
    </row>
    <row r="41" spans="1:15" ht="14.25" hidden="1" customHeight="1">
      <c r="A41" s="87" t="s">
        <v>61</v>
      </c>
      <c r="B41" s="1">
        <v>29163.899999999998</v>
      </c>
      <c r="C41" s="508">
        <v>3429.7000000000003</v>
      </c>
      <c r="D41" s="130">
        <v>2473.4</v>
      </c>
      <c r="E41" s="508">
        <v>488310.97499999998</v>
      </c>
      <c r="F41" s="130">
        <f t="shared" ref="F41:F44" si="10">SUM(B41:E41)</f>
        <v>523377.97499999998</v>
      </c>
      <c r="G41" s="508">
        <v>27124.3</v>
      </c>
      <c r="H41" s="130">
        <v>176360.3</v>
      </c>
      <c r="I41" s="129">
        <f t="shared" ref="I41:I44" si="11">SUM(G41:H41)</f>
        <v>203484.59999999998</v>
      </c>
      <c r="J41" s="130">
        <v>20450.199999999997</v>
      </c>
      <c r="K41" s="129">
        <v>33467.5</v>
      </c>
      <c r="L41" s="130">
        <f t="shared" ref="L41:L44" si="12">SUM(J41:K41)</f>
        <v>53917.7</v>
      </c>
      <c r="M41" s="129">
        <f t="shared" ref="M41:M44" si="13">SUM(F41,I41,L41)</f>
        <v>780780.27499999991</v>
      </c>
      <c r="N41" s="130">
        <v>87233.2</v>
      </c>
      <c r="O41" s="130">
        <f t="shared" ref="O41:O44" si="14">SUM(M41:N41)</f>
        <v>868013.47499999986</v>
      </c>
    </row>
    <row r="42" spans="1:15" ht="14.25" hidden="1" customHeight="1">
      <c r="A42" s="87" t="s">
        <v>62</v>
      </c>
      <c r="B42" s="1">
        <v>29476.400000000001</v>
      </c>
      <c r="C42" s="508">
        <v>8897.7999999999993</v>
      </c>
      <c r="D42" s="130">
        <v>2762.2</v>
      </c>
      <c r="E42" s="508">
        <v>499249.24999999994</v>
      </c>
      <c r="F42" s="130">
        <f t="shared" si="10"/>
        <v>540385.64999999991</v>
      </c>
      <c r="G42" s="508">
        <v>27046.1</v>
      </c>
      <c r="H42" s="130">
        <v>177298.6</v>
      </c>
      <c r="I42" s="129">
        <f t="shared" si="11"/>
        <v>204344.7</v>
      </c>
      <c r="J42" s="130">
        <v>24684.999999999996</v>
      </c>
      <c r="K42" s="129">
        <v>43095.199999999997</v>
      </c>
      <c r="L42" s="130">
        <f t="shared" si="12"/>
        <v>67780.2</v>
      </c>
      <c r="M42" s="129">
        <f t="shared" si="13"/>
        <v>812510.54999999981</v>
      </c>
      <c r="N42" s="130">
        <v>84208.6</v>
      </c>
      <c r="O42" s="130">
        <f t="shared" si="14"/>
        <v>896719.14999999979</v>
      </c>
    </row>
    <row r="43" spans="1:15" ht="14.25" hidden="1" customHeight="1">
      <c r="A43" s="87" t="s">
        <v>63</v>
      </c>
      <c r="B43" s="1">
        <v>12049</v>
      </c>
      <c r="C43" s="508">
        <v>9326.7999999999993</v>
      </c>
      <c r="D43" s="130">
        <v>2205</v>
      </c>
      <c r="E43" s="508">
        <v>515680.93611111102</v>
      </c>
      <c r="F43" s="130">
        <f t="shared" si="10"/>
        <v>539261.73611111101</v>
      </c>
      <c r="G43" s="508">
        <v>28163.9</v>
      </c>
      <c r="H43" s="130">
        <v>177514</v>
      </c>
      <c r="I43" s="129">
        <f t="shared" si="11"/>
        <v>205677.9</v>
      </c>
      <c r="J43" s="130">
        <v>22031.600000000002</v>
      </c>
      <c r="K43" s="129">
        <v>69409.600000000006</v>
      </c>
      <c r="L43" s="130">
        <f t="shared" si="12"/>
        <v>91441.200000000012</v>
      </c>
      <c r="M43" s="129">
        <f t="shared" si="13"/>
        <v>836380.8361111111</v>
      </c>
      <c r="N43" s="130">
        <v>83066</v>
      </c>
      <c r="O43" s="130">
        <f t="shared" si="14"/>
        <v>919446.8361111111</v>
      </c>
    </row>
    <row r="44" spans="1:15" ht="14.25" hidden="1" customHeight="1">
      <c r="A44" s="87" t="s">
        <v>64</v>
      </c>
      <c r="B44" s="1">
        <v>14479.800000000001</v>
      </c>
      <c r="C44" s="508">
        <v>1179.5999999999999</v>
      </c>
      <c r="D44" s="130">
        <v>5745.1</v>
      </c>
      <c r="E44" s="508">
        <v>524635.89999999991</v>
      </c>
      <c r="F44" s="130">
        <f t="shared" si="10"/>
        <v>546040.39999999991</v>
      </c>
      <c r="G44" s="508">
        <v>20459.5</v>
      </c>
      <c r="H44" s="130">
        <v>192646.5</v>
      </c>
      <c r="I44" s="129">
        <f t="shared" si="11"/>
        <v>213106</v>
      </c>
      <c r="J44" s="130">
        <v>32849.9</v>
      </c>
      <c r="K44" s="129">
        <v>71698.200000000012</v>
      </c>
      <c r="L44" s="130">
        <f t="shared" si="12"/>
        <v>104548.1</v>
      </c>
      <c r="M44" s="129">
        <f t="shared" si="13"/>
        <v>863694.49999999988</v>
      </c>
      <c r="N44" s="130">
        <v>90359.4</v>
      </c>
      <c r="O44" s="130">
        <f t="shared" si="14"/>
        <v>954053.89999999991</v>
      </c>
    </row>
    <row r="45" spans="1:15" ht="14.25" customHeight="1">
      <c r="A45" s="87"/>
      <c r="B45" s="1"/>
      <c r="C45" s="508"/>
      <c r="D45" s="130"/>
      <c r="E45" s="508"/>
      <c r="F45" s="130"/>
      <c r="G45" s="508"/>
      <c r="H45" s="130"/>
      <c r="I45" s="129"/>
      <c r="J45" s="130"/>
      <c r="K45" s="129"/>
      <c r="L45" s="130"/>
      <c r="M45" s="129"/>
      <c r="N45" s="130"/>
      <c r="O45" s="130"/>
    </row>
    <row r="46" spans="1:15" ht="14.25" customHeight="1">
      <c r="A46" s="87" t="s">
        <v>53</v>
      </c>
      <c r="B46" s="1">
        <v>17593.900000000001</v>
      </c>
      <c r="C46" s="508">
        <v>948</v>
      </c>
      <c r="D46" s="130">
        <v>2852.2</v>
      </c>
      <c r="E46" s="508">
        <v>523801.1</v>
      </c>
      <c r="F46" s="130">
        <f t="shared" ref="F46:F49" si="15">SUM(B46:E46)</f>
        <v>545195.19999999995</v>
      </c>
      <c r="G46" s="508">
        <v>19733.3</v>
      </c>
      <c r="H46" s="130">
        <v>198106</v>
      </c>
      <c r="I46" s="129">
        <f t="shared" ref="I46:I49" si="16">SUM(G46:H46)</f>
        <v>217839.3</v>
      </c>
      <c r="J46" s="130">
        <v>34738.799999999996</v>
      </c>
      <c r="K46" s="129">
        <v>64074.9</v>
      </c>
      <c r="L46" s="130">
        <f t="shared" ref="L46:L49" si="17">SUM(J46:K46)</f>
        <v>98813.7</v>
      </c>
      <c r="M46" s="129">
        <f t="shared" ref="M46:M49" si="18">SUM(F46,I46,L46)</f>
        <v>861848.2</v>
      </c>
      <c r="N46" s="130">
        <v>78483.100000000006</v>
      </c>
      <c r="O46" s="130">
        <f t="shared" ref="O46:O49" si="19">SUM(M46:N46)</f>
        <v>940331.29999999993</v>
      </c>
    </row>
    <row r="47" spans="1:15" ht="14.25" customHeight="1">
      <c r="A47" s="87" t="s">
        <v>44</v>
      </c>
      <c r="B47" s="1">
        <v>17841.100000000002</v>
      </c>
      <c r="C47" s="508">
        <v>16301.600000000002</v>
      </c>
      <c r="D47" s="130">
        <v>5054.2000000000007</v>
      </c>
      <c r="E47" s="508">
        <v>527814.5</v>
      </c>
      <c r="F47" s="130">
        <f t="shared" si="15"/>
        <v>567011.4</v>
      </c>
      <c r="G47" s="508">
        <v>18397.8</v>
      </c>
      <c r="H47" s="130">
        <v>194241.8</v>
      </c>
      <c r="I47" s="129">
        <f t="shared" si="16"/>
        <v>212639.59999999998</v>
      </c>
      <c r="J47" s="130">
        <v>35141.1</v>
      </c>
      <c r="K47" s="129">
        <v>69475.3</v>
      </c>
      <c r="L47" s="130">
        <f t="shared" si="17"/>
        <v>104616.4</v>
      </c>
      <c r="M47" s="129">
        <f t="shared" si="18"/>
        <v>884267.4</v>
      </c>
      <c r="N47" s="130">
        <v>77819</v>
      </c>
      <c r="O47" s="130">
        <f t="shared" si="19"/>
        <v>962086.40000000002</v>
      </c>
    </row>
    <row r="48" spans="1:15" ht="14.25" customHeight="1">
      <c r="A48" s="87" t="s">
        <v>47</v>
      </c>
      <c r="B48" s="1">
        <v>22750.200000000004</v>
      </c>
      <c r="C48" s="508">
        <v>21264.1</v>
      </c>
      <c r="D48" s="130">
        <v>3956.7999999999997</v>
      </c>
      <c r="E48" s="508">
        <v>528607.08333333337</v>
      </c>
      <c r="F48" s="130">
        <f t="shared" si="15"/>
        <v>576578.18333333335</v>
      </c>
      <c r="G48" s="508">
        <v>18375.3</v>
      </c>
      <c r="H48" s="130">
        <v>191513.8</v>
      </c>
      <c r="I48" s="129">
        <f t="shared" si="16"/>
        <v>209889.09999999998</v>
      </c>
      <c r="J48" s="130">
        <v>35044.700000000004</v>
      </c>
      <c r="K48" s="129">
        <v>71652.899999999994</v>
      </c>
      <c r="L48" s="130">
        <f t="shared" si="17"/>
        <v>106697.60000000001</v>
      </c>
      <c r="M48" s="129">
        <f t="shared" si="18"/>
        <v>893164.8833333333</v>
      </c>
      <c r="N48" s="130">
        <v>43778.400000000001</v>
      </c>
      <c r="O48" s="130">
        <f t="shared" si="19"/>
        <v>936943.28333333333</v>
      </c>
    </row>
    <row r="49" spans="1:15" ht="14.25" customHeight="1">
      <c r="A49" s="87" t="s">
        <v>50</v>
      </c>
      <c r="B49" s="1">
        <v>166493.10000000003</v>
      </c>
      <c r="C49" s="508">
        <v>6807.3</v>
      </c>
      <c r="D49" s="130">
        <v>5745.1</v>
      </c>
      <c r="E49" s="508">
        <v>400292.69999999995</v>
      </c>
      <c r="F49" s="130">
        <f t="shared" si="15"/>
        <v>579338.19999999995</v>
      </c>
      <c r="G49" s="508">
        <v>17564.199999999997</v>
      </c>
      <c r="H49" s="130">
        <v>162563.79999999999</v>
      </c>
      <c r="I49" s="129">
        <f t="shared" si="16"/>
        <v>180128</v>
      </c>
      <c r="J49" s="130">
        <v>62507.199999999997</v>
      </c>
      <c r="K49" s="129">
        <v>54034.8</v>
      </c>
      <c r="L49" s="130">
        <f t="shared" si="17"/>
        <v>116542</v>
      </c>
      <c r="M49" s="129">
        <f t="shared" si="18"/>
        <v>876008.2</v>
      </c>
      <c r="N49" s="130">
        <v>84709.4</v>
      </c>
      <c r="O49" s="130">
        <f t="shared" si="19"/>
        <v>960717.6</v>
      </c>
    </row>
    <row r="50" spans="1:15" ht="14.25" customHeight="1">
      <c r="A50" s="87"/>
      <c r="B50" s="1"/>
      <c r="C50" s="508"/>
      <c r="D50" s="130"/>
      <c r="E50" s="508"/>
      <c r="F50" s="130"/>
      <c r="G50" s="508"/>
      <c r="H50" s="130"/>
      <c r="I50" s="129"/>
      <c r="J50" s="130"/>
      <c r="K50" s="129"/>
      <c r="L50" s="130"/>
      <c r="M50" s="129"/>
      <c r="N50" s="130"/>
      <c r="O50" s="130"/>
    </row>
    <row r="51" spans="1:15" ht="14.25" customHeight="1">
      <c r="A51" s="87" t="s">
        <v>65</v>
      </c>
      <c r="B51" s="1">
        <v>180925.99999999997</v>
      </c>
      <c r="C51" s="508">
        <v>2709.9</v>
      </c>
      <c r="D51" s="130">
        <v>5282.1</v>
      </c>
      <c r="E51" s="508">
        <v>408032.92499999999</v>
      </c>
      <c r="F51" s="130">
        <v>590146.94999999995</v>
      </c>
      <c r="G51" s="508">
        <v>17676.199999999997</v>
      </c>
      <c r="H51" s="130">
        <v>167708</v>
      </c>
      <c r="I51" s="129">
        <v>185384.2</v>
      </c>
      <c r="J51" s="130">
        <v>65125.700000000004</v>
      </c>
      <c r="K51" s="129">
        <v>49837.8</v>
      </c>
      <c r="L51" s="130">
        <v>114963.5</v>
      </c>
      <c r="M51" s="129">
        <v>890494.64999999991</v>
      </c>
      <c r="N51" s="130">
        <v>65419.9</v>
      </c>
      <c r="O51" s="130">
        <v>955914.54999999993</v>
      </c>
    </row>
    <row r="52" spans="1:15" ht="14.25" customHeight="1">
      <c r="A52" s="87" t="s">
        <v>44</v>
      </c>
      <c r="B52" s="1">
        <v>188769.1</v>
      </c>
      <c r="C52" s="930">
        <v>1715.2</v>
      </c>
      <c r="D52" s="1">
        <v>5600.2</v>
      </c>
      <c r="E52" s="930">
        <v>436400.95000000007</v>
      </c>
      <c r="F52" s="1">
        <v>625062.1</v>
      </c>
      <c r="G52" s="4">
        <v>18509.699999999997</v>
      </c>
      <c r="H52" s="4">
        <v>166010.90000000002</v>
      </c>
      <c r="I52" s="930">
        <v>184520.60000000003</v>
      </c>
      <c r="J52" s="1">
        <v>64799.400000000009</v>
      </c>
      <c r="K52" s="930">
        <v>49591.599999999991</v>
      </c>
      <c r="L52" s="1">
        <v>114391</v>
      </c>
      <c r="M52" s="930">
        <v>923973.7</v>
      </c>
      <c r="N52" s="1">
        <v>109937.60000000001</v>
      </c>
      <c r="O52" s="4">
        <v>1033911.2999999999</v>
      </c>
    </row>
    <row r="53" spans="1:15" ht="14.25" customHeight="1">
      <c r="A53" s="87" t="s">
        <v>47</v>
      </c>
      <c r="B53" s="1">
        <v>189108.4</v>
      </c>
      <c r="C53" s="930">
        <v>2656.9</v>
      </c>
      <c r="D53" s="1">
        <v>4825.7</v>
      </c>
      <c r="E53" s="930">
        <v>442197.67500000005</v>
      </c>
      <c r="F53" s="1">
        <v>631091.6</v>
      </c>
      <c r="G53" s="4">
        <v>20840</v>
      </c>
      <c r="H53" s="4">
        <v>176016.09999999998</v>
      </c>
      <c r="I53" s="930">
        <v>196856.09999999998</v>
      </c>
      <c r="J53" s="1">
        <v>63979.3</v>
      </c>
      <c r="K53" s="930">
        <v>51445.5</v>
      </c>
      <c r="L53" s="1">
        <v>115424.8</v>
      </c>
      <c r="M53" s="930">
        <v>943372.5</v>
      </c>
      <c r="N53" s="1">
        <v>72466</v>
      </c>
      <c r="O53" s="4">
        <v>1015838.5</v>
      </c>
    </row>
    <row r="54" spans="1:15" ht="14.25" customHeight="1">
      <c r="A54" s="87" t="s">
        <v>50</v>
      </c>
      <c r="B54" s="1">
        <v>199717.09999999998</v>
      </c>
      <c r="C54" s="930">
        <v>438.6</v>
      </c>
      <c r="D54" s="1">
        <v>3280.2999999999997</v>
      </c>
      <c r="E54" s="930">
        <v>410301.4</v>
      </c>
      <c r="F54" s="1">
        <v>605766.6</v>
      </c>
      <c r="G54" s="4">
        <v>21756.2</v>
      </c>
      <c r="H54" s="4">
        <v>174051.59999999998</v>
      </c>
      <c r="I54" s="930">
        <v>195807.8</v>
      </c>
      <c r="J54" s="1">
        <v>67282.900000000009</v>
      </c>
      <c r="K54" s="930">
        <v>53730.900000000009</v>
      </c>
      <c r="L54" s="1">
        <v>121013.80000000002</v>
      </c>
      <c r="M54" s="930">
        <v>922588.2</v>
      </c>
      <c r="N54" s="1">
        <v>65142.400000000001</v>
      </c>
      <c r="O54" s="4">
        <v>987730.6</v>
      </c>
    </row>
    <row r="55" spans="1:15" ht="14.25" customHeight="1">
      <c r="A55" s="87"/>
      <c r="B55" s="1"/>
      <c r="C55" s="508"/>
      <c r="D55" s="130"/>
      <c r="E55" s="508"/>
      <c r="F55" s="130"/>
      <c r="G55" s="508"/>
      <c r="H55" s="130"/>
      <c r="I55" s="129"/>
      <c r="J55" s="130"/>
      <c r="K55" s="129"/>
      <c r="L55" s="130"/>
      <c r="M55" s="129"/>
      <c r="N55" s="130"/>
      <c r="O55" s="130"/>
    </row>
    <row r="56" spans="1:15" ht="14.25" customHeight="1">
      <c r="A56" s="87" t="s">
        <v>66</v>
      </c>
      <c r="B56" s="1">
        <v>135680.70000000001</v>
      </c>
      <c r="C56" s="930">
        <v>5956.5999999999995</v>
      </c>
      <c r="D56" s="1">
        <v>1811.7</v>
      </c>
      <c r="E56" s="930">
        <v>413450.8</v>
      </c>
      <c r="F56" s="1">
        <v>547864.25</v>
      </c>
      <c r="G56" s="4">
        <v>21987.099999999995</v>
      </c>
      <c r="H56" s="4">
        <v>168172.9</v>
      </c>
      <c r="I56" s="930">
        <v>190160</v>
      </c>
      <c r="J56" s="1">
        <v>70224.5</v>
      </c>
      <c r="K56" s="930">
        <v>57444.7</v>
      </c>
      <c r="L56" s="1">
        <v>127669.2</v>
      </c>
      <c r="M56" s="930">
        <v>865693.45</v>
      </c>
      <c r="N56" s="1">
        <v>75183.5</v>
      </c>
      <c r="O56" s="4">
        <v>940876.95</v>
      </c>
    </row>
    <row r="57" spans="1:15" ht="14.25" customHeight="1">
      <c r="A57" s="87" t="s">
        <v>62</v>
      </c>
      <c r="B57" s="1">
        <v>140451.20000000001</v>
      </c>
      <c r="C57" s="930">
        <v>10841.3</v>
      </c>
      <c r="D57" s="1">
        <v>2222.3000000000002</v>
      </c>
      <c r="E57" s="930">
        <v>446697.19999999995</v>
      </c>
      <c r="F57" s="1">
        <v>590184</v>
      </c>
      <c r="G57" s="4">
        <v>21867.5</v>
      </c>
      <c r="H57" s="4">
        <v>178752.2</v>
      </c>
      <c r="I57" s="930">
        <v>200619.7</v>
      </c>
      <c r="J57" s="1">
        <v>76125.100000000006</v>
      </c>
      <c r="K57" s="930">
        <v>54124.4</v>
      </c>
      <c r="L57" s="1">
        <v>130249.5</v>
      </c>
      <c r="M57" s="930">
        <v>921053.2</v>
      </c>
      <c r="N57" s="1">
        <v>40951.800000000003</v>
      </c>
      <c r="O57" s="4">
        <v>962005</v>
      </c>
    </row>
    <row r="58" spans="1:15" ht="14.25" customHeight="1">
      <c r="A58" s="87" t="s">
        <v>63</v>
      </c>
      <c r="B58" s="1">
        <v>153830.70000000001</v>
      </c>
      <c r="C58" s="930">
        <v>11386.4</v>
      </c>
      <c r="D58" s="1">
        <v>2800.1</v>
      </c>
      <c r="E58" s="930">
        <v>486731.6</v>
      </c>
      <c r="F58" s="1">
        <v>644707.34999999986</v>
      </c>
      <c r="G58" s="4">
        <v>23372.799999999999</v>
      </c>
      <c r="H58" s="4">
        <v>173765.8</v>
      </c>
      <c r="I58" s="930">
        <v>197138.59999999998</v>
      </c>
      <c r="J58" s="1">
        <v>78360</v>
      </c>
      <c r="K58" s="930">
        <v>53445.2</v>
      </c>
      <c r="L58" s="1">
        <v>131805.20000000001</v>
      </c>
      <c r="M58" s="930">
        <v>973651.14999999991</v>
      </c>
      <c r="N58" s="1">
        <v>84903</v>
      </c>
      <c r="O58" s="4">
        <v>1058554.1499999999</v>
      </c>
    </row>
    <row r="59" spans="1:15" ht="14.25" customHeight="1">
      <c r="A59" s="87" t="s">
        <v>64</v>
      </c>
      <c r="B59" s="1">
        <v>138435.1</v>
      </c>
      <c r="C59" s="930">
        <v>10346.799999999999</v>
      </c>
      <c r="D59" s="1">
        <v>2339.6</v>
      </c>
      <c r="E59" s="930">
        <v>462317.09999999992</v>
      </c>
      <c r="F59" s="1">
        <v>603383.69999999995</v>
      </c>
      <c r="G59" s="4">
        <v>24281.9</v>
      </c>
      <c r="H59" s="4">
        <v>173855</v>
      </c>
      <c r="I59" s="930">
        <v>198136.9</v>
      </c>
      <c r="J59" s="1">
        <v>81197</v>
      </c>
      <c r="K59" s="930">
        <v>66959.3</v>
      </c>
      <c r="L59" s="1">
        <v>148156.29999999999</v>
      </c>
      <c r="M59" s="930">
        <v>949676.89999999991</v>
      </c>
      <c r="N59" s="1">
        <v>73032.3</v>
      </c>
      <c r="O59" s="4">
        <v>1022709.2</v>
      </c>
    </row>
    <row r="60" spans="1:15" ht="14.25" customHeight="1">
      <c r="A60" s="87"/>
      <c r="B60" s="1"/>
      <c r="C60" s="930"/>
      <c r="D60" s="1"/>
      <c r="E60" s="930"/>
      <c r="F60" s="1"/>
      <c r="G60" s="930"/>
      <c r="H60" s="4"/>
      <c r="I60" s="930"/>
      <c r="J60" s="1"/>
      <c r="K60" s="930"/>
      <c r="L60" s="1"/>
      <c r="M60" s="930"/>
      <c r="N60" s="1"/>
      <c r="O60" s="4"/>
    </row>
    <row r="61" spans="1:15" ht="14.25" customHeight="1">
      <c r="A61" s="87" t="s">
        <v>684</v>
      </c>
      <c r="B61" s="1">
        <v>157753.5</v>
      </c>
      <c r="C61" s="930">
        <v>7114.3</v>
      </c>
      <c r="D61" s="1">
        <v>4490.6000000000004</v>
      </c>
      <c r="E61" s="930">
        <v>462409.59999999992</v>
      </c>
      <c r="F61" s="1">
        <f t="shared" ref="F61:F62" si="20">SUM(B61:E61)</f>
        <v>631767.99999999988</v>
      </c>
      <c r="G61" s="4">
        <v>28196.6</v>
      </c>
      <c r="H61" s="4">
        <v>165693.29999999999</v>
      </c>
      <c r="I61" s="930">
        <f t="shared" ref="I61:I62" si="21">SUM(G61:H61)</f>
        <v>193889.9</v>
      </c>
      <c r="J61" s="1">
        <v>84253.3</v>
      </c>
      <c r="K61" s="930">
        <v>71160</v>
      </c>
      <c r="L61" s="1">
        <f t="shared" ref="L61:L62" si="22">SUM(J61:K61)</f>
        <v>155413.29999999999</v>
      </c>
      <c r="M61" s="930">
        <f t="shared" ref="M61:M62" si="23">SUM(F61,I61,L61)</f>
        <v>981071.2</v>
      </c>
      <c r="N61" s="1">
        <v>76186.2</v>
      </c>
      <c r="O61" s="4">
        <f t="shared" ref="O61:O62" si="24">SUM(M61:N61)</f>
        <v>1057257.3999999999</v>
      </c>
    </row>
    <row r="62" spans="1:15" s="1051" customFormat="1" ht="14.25" customHeight="1">
      <c r="A62" s="1021" t="s">
        <v>62</v>
      </c>
      <c r="B62" s="1">
        <v>154717.6</v>
      </c>
      <c r="C62" s="930">
        <v>9256.7999999999993</v>
      </c>
      <c r="D62" s="1">
        <v>4053.8</v>
      </c>
      <c r="E62" s="930">
        <v>495559.09999999992</v>
      </c>
      <c r="F62" s="1">
        <f t="shared" si="20"/>
        <v>663587.29999999993</v>
      </c>
      <c r="G62" s="4">
        <v>27605.1</v>
      </c>
      <c r="H62" s="4">
        <v>180226.6</v>
      </c>
      <c r="I62" s="930">
        <f t="shared" si="21"/>
        <v>207831.7</v>
      </c>
      <c r="J62" s="1">
        <v>91292.4</v>
      </c>
      <c r="K62" s="930">
        <v>67577.899999999994</v>
      </c>
      <c r="L62" s="1">
        <f t="shared" si="22"/>
        <v>158870.29999999999</v>
      </c>
      <c r="M62" s="930">
        <f t="shared" si="23"/>
        <v>1030289.3</v>
      </c>
      <c r="N62" s="1">
        <v>78832.800000000003</v>
      </c>
      <c r="O62" s="4">
        <f t="shared" si="24"/>
        <v>1109122.1000000001</v>
      </c>
    </row>
    <row r="63" spans="1:15" ht="14.25" customHeight="1">
      <c r="A63" s="87"/>
      <c r="B63" s="1"/>
      <c r="C63" s="508"/>
      <c r="D63" s="130"/>
      <c r="E63" s="508"/>
      <c r="F63" s="130"/>
      <c r="G63" s="508"/>
      <c r="H63" s="130"/>
      <c r="I63" s="129"/>
      <c r="J63" s="130"/>
      <c r="K63" s="129"/>
      <c r="L63" s="130"/>
      <c r="M63" s="129"/>
      <c r="N63" s="130"/>
      <c r="O63" s="130"/>
    </row>
    <row r="64" spans="1:15" ht="14.25" hidden="1" customHeight="1">
      <c r="A64" s="87" t="s">
        <v>60</v>
      </c>
      <c r="B64" s="1">
        <v>4816.7999999999993</v>
      </c>
      <c r="C64" s="508">
        <v>4778.2</v>
      </c>
      <c r="D64" s="130">
        <v>432.5</v>
      </c>
      <c r="E64" s="508">
        <v>155265</v>
      </c>
      <c r="F64" s="130">
        <f t="shared" ref="F64:F132" si="25">SUM(B64:E64)</f>
        <v>165292.5</v>
      </c>
      <c r="G64" s="508">
        <v>12494.6</v>
      </c>
      <c r="H64" s="130">
        <v>45347.500000000007</v>
      </c>
      <c r="I64" s="129">
        <f t="shared" ref="I64:I132" si="26">SUM(G64:H64)</f>
        <v>57842.100000000006</v>
      </c>
      <c r="J64" s="130">
        <v>5253.3</v>
      </c>
      <c r="K64" s="129">
        <v>1093.5999999999999</v>
      </c>
      <c r="L64" s="130">
        <f t="shared" ref="L64:L132" si="27">SUM(J64:K64)</f>
        <v>6346.9</v>
      </c>
      <c r="M64" s="129">
        <f t="shared" ref="M64:M132" si="28">SUM(F64,I64,L64)</f>
        <v>229481.5</v>
      </c>
      <c r="N64" s="130">
        <v>41635.699999999997</v>
      </c>
      <c r="O64" s="130">
        <f t="shared" ref="O64:O132" si="29">SUM(M64:N64)</f>
        <v>271117.2</v>
      </c>
    </row>
    <row r="65" spans="1:15" ht="14.25" hidden="1" customHeight="1">
      <c r="A65" s="87" t="s">
        <v>40</v>
      </c>
      <c r="B65" s="1">
        <v>2797.7</v>
      </c>
      <c r="C65" s="508">
        <v>2909</v>
      </c>
      <c r="D65" s="130">
        <v>1012.8000000000001</v>
      </c>
      <c r="E65" s="508">
        <v>154991.69999999998</v>
      </c>
      <c r="F65" s="130">
        <f t="shared" si="25"/>
        <v>161711.19999999998</v>
      </c>
      <c r="G65" s="508">
        <v>13682.099999999999</v>
      </c>
      <c r="H65" s="130">
        <v>44703</v>
      </c>
      <c r="I65" s="129">
        <f t="shared" si="26"/>
        <v>58385.1</v>
      </c>
      <c r="J65" s="130">
        <v>5426.0999999999995</v>
      </c>
      <c r="K65" s="129">
        <v>1083.3</v>
      </c>
      <c r="L65" s="130">
        <f t="shared" si="27"/>
        <v>6509.4</v>
      </c>
      <c r="M65" s="129">
        <f t="shared" si="28"/>
        <v>226605.69999999998</v>
      </c>
      <c r="N65" s="130">
        <v>38769.199999999997</v>
      </c>
      <c r="O65" s="130">
        <f t="shared" si="29"/>
        <v>265374.89999999997</v>
      </c>
    </row>
    <row r="66" spans="1:15" ht="14.25" hidden="1" customHeight="1">
      <c r="A66" s="87" t="s">
        <v>41</v>
      </c>
      <c r="B66" s="1">
        <v>2702.2</v>
      </c>
      <c r="C66" s="508">
        <v>2197.2999999999997</v>
      </c>
      <c r="D66" s="130">
        <v>1560</v>
      </c>
      <c r="E66" s="508">
        <v>159598.39999999999</v>
      </c>
      <c r="F66" s="130">
        <f t="shared" si="25"/>
        <v>166057.9</v>
      </c>
      <c r="G66" s="508">
        <v>9484.1999999999989</v>
      </c>
      <c r="H66" s="130">
        <v>51488.399999999994</v>
      </c>
      <c r="I66" s="129">
        <f t="shared" si="26"/>
        <v>60972.599999999991</v>
      </c>
      <c r="J66" s="130">
        <v>5516.3</v>
      </c>
      <c r="K66" s="129">
        <v>1076.9000000000001</v>
      </c>
      <c r="L66" s="130">
        <f t="shared" si="27"/>
        <v>6593.2000000000007</v>
      </c>
      <c r="M66" s="129">
        <f t="shared" si="28"/>
        <v>233623.7</v>
      </c>
      <c r="N66" s="130">
        <v>45105.3</v>
      </c>
      <c r="O66" s="130">
        <f t="shared" si="29"/>
        <v>278729</v>
      </c>
    </row>
    <row r="67" spans="1:15" ht="14.25" hidden="1" customHeight="1">
      <c r="A67" s="87" t="s">
        <v>42</v>
      </c>
      <c r="B67" s="1">
        <v>2338.9</v>
      </c>
      <c r="C67" s="508">
        <v>1160.5999999999999</v>
      </c>
      <c r="D67" s="130">
        <v>2004.3999999999999</v>
      </c>
      <c r="E67" s="508">
        <v>162192.09999999998</v>
      </c>
      <c r="F67" s="130">
        <f t="shared" si="25"/>
        <v>167695.99999999997</v>
      </c>
      <c r="G67" s="508">
        <v>8750.2000000000007</v>
      </c>
      <c r="H67" s="130">
        <v>52876.799999999996</v>
      </c>
      <c r="I67" s="129">
        <f t="shared" si="26"/>
        <v>61627</v>
      </c>
      <c r="J67" s="130">
        <v>5643.1</v>
      </c>
      <c r="K67" s="129">
        <v>1207.8</v>
      </c>
      <c r="L67" s="130">
        <f t="shared" si="27"/>
        <v>6850.9000000000005</v>
      </c>
      <c r="M67" s="129">
        <f t="shared" si="28"/>
        <v>236173.89999999997</v>
      </c>
      <c r="N67" s="130">
        <v>45108.2</v>
      </c>
      <c r="O67" s="130">
        <f t="shared" si="29"/>
        <v>281282.09999999998</v>
      </c>
    </row>
    <row r="68" spans="1:15" ht="14.25" hidden="1" customHeight="1">
      <c r="A68" s="87" t="s">
        <v>43</v>
      </c>
      <c r="B68" s="1">
        <v>2408.6</v>
      </c>
      <c r="C68" s="508">
        <v>767.4</v>
      </c>
      <c r="D68" s="130">
        <v>1858.9</v>
      </c>
      <c r="E68" s="508">
        <v>164797.69999999998</v>
      </c>
      <c r="F68" s="130">
        <f t="shared" si="25"/>
        <v>169832.59999999998</v>
      </c>
      <c r="G68" s="508">
        <v>10056.1</v>
      </c>
      <c r="H68" s="130">
        <v>52270.2</v>
      </c>
      <c r="I68" s="129">
        <f t="shared" si="26"/>
        <v>62326.299999999996</v>
      </c>
      <c r="J68" s="130">
        <v>5658.5</v>
      </c>
      <c r="K68" s="129">
        <v>1090.8</v>
      </c>
      <c r="L68" s="130">
        <f t="shared" si="27"/>
        <v>6749.3</v>
      </c>
      <c r="M68" s="129">
        <f t="shared" si="28"/>
        <v>238908.19999999995</v>
      </c>
      <c r="N68" s="130">
        <v>43992.2</v>
      </c>
      <c r="O68" s="130">
        <f t="shared" si="29"/>
        <v>282900.39999999997</v>
      </c>
    </row>
    <row r="69" spans="1:15" ht="14.25" hidden="1" customHeight="1">
      <c r="A69" s="87" t="s">
        <v>44</v>
      </c>
      <c r="B69" s="1">
        <v>2582.2999999999997</v>
      </c>
      <c r="C69" s="508">
        <v>9031.9000000000015</v>
      </c>
      <c r="D69" s="130">
        <v>1794.8000000000002</v>
      </c>
      <c r="E69" s="508">
        <v>171864.99999999997</v>
      </c>
      <c r="F69" s="130">
        <f t="shared" si="25"/>
        <v>185273.99999999997</v>
      </c>
      <c r="G69" s="508">
        <v>11012.1</v>
      </c>
      <c r="H69" s="130">
        <v>52131.600000000006</v>
      </c>
      <c r="I69" s="129">
        <f t="shared" si="26"/>
        <v>63143.700000000004</v>
      </c>
      <c r="J69" s="130">
        <v>5736.2999999999993</v>
      </c>
      <c r="K69" s="129">
        <v>1004.3000000000001</v>
      </c>
      <c r="L69" s="130">
        <f t="shared" si="27"/>
        <v>6740.5999999999995</v>
      </c>
      <c r="M69" s="129">
        <f t="shared" si="28"/>
        <v>255158.3</v>
      </c>
      <c r="N69" s="130">
        <v>37623.199999999997</v>
      </c>
      <c r="O69" s="130">
        <f t="shared" si="29"/>
        <v>292781.5</v>
      </c>
    </row>
    <row r="70" spans="1:15" ht="14.25" hidden="1" customHeight="1">
      <c r="A70" s="87" t="s">
        <v>45</v>
      </c>
      <c r="B70" s="1">
        <v>2627.5</v>
      </c>
      <c r="C70" s="508">
        <v>23371.499999999996</v>
      </c>
      <c r="D70" s="130">
        <v>1800</v>
      </c>
      <c r="E70" s="508">
        <v>174250.4</v>
      </c>
      <c r="F70" s="130">
        <f t="shared" si="25"/>
        <v>202049.4</v>
      </c>
      <c r="G70" s="508">
        <v>10816.6</v>
      </c>
      <c r="H70" s="130">
        <v>54219.7</v>
      </c>
      <c r="I70" s="129">
        <f t="shared" si="26"/>
        <v>65036.299999999996</v>
      </c>
      <c r="J70" s="130">
        <v>5848.5999999999995</v>
      </c>
      <c r="K70" s="129">
        <v>995.19999999999993</v>
      </c>
      <c r="L70" s="130">
        <f t="shared" si="27"/>
        <v>6843.7999999999993</v>
      </c>
      <c r="M70" s="129">
        <f t="shared" si="28"/>
        <v>273929.5</v>
      </c>
      <c r="N70" s="130">
        <v>37913.300000000003</v>
      </c>
      <c r="O70" s="130">
        <f t="shared" si="29"/>
        <v>311842.8</v>
      </c>
    </row>
    <row r="71" spans="1:15" ht="14.25" hidden="1" customHeight="1">
      <c r="A71" s="87" t="s">
        <v>46</v>
      </c>
      <c r="B71" s="1">
        <v>3454.8</v>
      </c>
      <c r="C71" s="508">
        <v>34391.5</v>
      </c>
      <c r="D71" s="130">
        <v>1365.3</v>
      </c>
      <c r="E71" s="508">
        <v>169073.99999999997</v>
      </c>
      <c r="F71" s="130">
        <f t="shared" si="25"/>
        <v>208285.59999999998</v>
      </c>
      <c r="G71" s="508">
        <v>10636.900000000001</v>
      </c>
      <c r="H71" s="130">
        <v>58577.1</v>
      </c>
      <c r="I71" s="129">
        <f t="shared" si="26"/>
        <v>69214</v>
      </c>
      <c r="J71" s="130">
        <v>5985.2</v>
      </c>
      <c r="K71" s="129">
        <v>982.10000000000014</v>
      </c>
      <c r="L71" s="130">
        <f t="shared" si="27"/>
        <v>6967.3</v>
      </c>
      <c r="M71" s="129">
        <f t="shared" si="28"/>
        <v>284466.89999999997</v>
      </c>
      <c r="N71" s="130">
        <v>47120.9</v>
      </c>
      <c r="O71" s="130">
        <f t="shared" si="29"/>
        <v>331587.8</v>
      </c>
    </row>
    <row r="72" spans="1:15" ht="14.25" hidden="1" customHeight="1">
      <c r="A72" s="87" t="s">
        <v>47</v>
      </c>
      <c r="B72" s="1">
        <v>2441.3000000000002</v>
      </c>
      <c r="C72" s="508">
        <v>38552.199999999997</v>
      </c>
      <c r="D72" s="130">
        <v>1065.3</v>
      </c>
      <c r="E72" s="508">
        <v>170987.19999999995</v>
      </c>
      <c r="F72" s="130">
        <f t="shared" si="25"/>
        <v>213045.99999999994</v>
      </c>
      <c r="G72" s="508">
        <v>8832.9</v>
      </c>
      <c r="H72" s="130">
        <v>60822</v>
      </c>
      <c r="I72" s="129">
        <f t="shared" si="26"/>
        <v>69654.899999999994</v>
      </c>
      <c r="J72" s="130">
        <v>5889.2</v>
      </c>
      <c r="K72" s="129">
        <v>964.09999999999991</v>
      </c>
      <c r="L72" s="130">
        <f t="shared" si="27"/>
        <v>6853.2999999999993</v>
      </c>
      <c r="M72" s="129">
        <f t="shared" si="28"/>
        <v>289554.1999999999</v>
      </c>
      <c r="N72" s="130">
        <v>49203.3</v>
      </c>
      <c r="O72" s="130">
        <f t="shared" si="29"/>
        <v>338757.49999999988</v>
      </c>
    </row>
    <row r="73" spans="1:15" ht="14.25" hidden="1" customHeight="1">
      <c r="A73" s="87" t="s">
        <v>48</v>
      </c>
      <c r="B73" s="1">
        <v>3336.9</v>
      </c>
      <c r="C73" s="508">
        <v>34086.300000000003</v>
      </c>
      <c r="D73" s="130">
        <v>1086</v>
      </c>
      <c r="E73" s="508">
        <v>179971.19999999998</v>
      </c>
      <c r="F73" s="130">
        <f t="shared" si="25"/>
        <v>218480.4</v>
      </c>
      <c r="G73" s="508">
        <v>10196.099999999999</v>
      </c>
      <c r="H73" s="130">
        <v>61248.5</v>
      </c>
      <c r="I73" s="129">
        <f t="shared" si="26"/>
        <v>71444.600000000006</v>
      </c>
      <c r="J73" s="130">
        <v>6050.9</v>
      </c>
      <c r="K73" s="129">
        <v>1061.3</v>
      </c>
      <c r="L73" s="130">
        <f t="shared" si="27"/>
        <v>7112.2</v>
      </c>
      <c r="M73" s="129">
        <f t="shared" si="28"/>
        <v>297037.2</v>
      </c>
      <c r="N73" s="130">
        <v>48242.2</v>
      </c>
      <c r="O73" s="130">
        <f t="shared" si="29"/>
        <v>345279.4</v>
      </c>
    </row>
    <row r="74" spans="1:15" ht="14.25" hidden="1" customHeight="1">
      <c r="A74" s="87" t="s">
        <v>49</v>
      </c>
      <c r="B74" s="1">
        <v>4339.1000000000004</v>
      </c>
      <c r="C74" s="508">
        <v>27903.200000000004</v>
      </c>
      <c r="D74" s="130">
        <v>1158.5999999999999</v>
      </c>
      <c r="E74" s="508">
        <v>179499.9</v>
      </c>
      <c r="F74" s="130">
        <f t="shared" si="25"/>
        <v>212900.8</v>
      </c>
      <c r="G74" s="508">
        <v>9918.3000000000011</v>
      </c>
      <c r="H74" s="130">
        <v>63310.100000000006</v>
      </c>
      <c r="I74" s="129">
        <f t="shared" si="26"/>
        <v>73228.400000000009</v>
      </c>
      <c r="J74" s="130">
        <v>6368.3</v>
      </c>
      <c r="K74" s="129">
        <v>949.3</v>
      </c>
      <c r="L74" s="130">
        <f t="shared" si="27"/>
        <v>7317.6</v>
      </c>
      <c r="M74" s="129">
        <f t="shared" si="28"/>
        <v>293446.8</v>
      </c>
      <c r="N74" s="130">
        <v>50153.599999999999</v>
      </c>
      <c r="O74" s="130">
        <f t="shared" si="29"/>
        <v>343600.39999999997</v>
      </c>
    </row>
    <row r="75" spans="1:15" ht="14.25" hidden="1" customHeight="1">
      <c r="A75" s="87" t="s">
        <v>50</v>
      </c>
      <c r="B75" s="1">
        <v>3764.5</v>
      </c>
      <c r="C75" s="508">
        <v>23603.599999999999</v>
      </c>
      <c r="D75" s="130">
        <v>350.1</v>
      </c>
      <c r="E75" s="508">
        <v>177818.8</v>
      </c>
      <c r="F75" s="130">
        <f t="shared" si="25"/>
        <v>205537</v>
      </c>
      <c r="G75" s="508">
        <v>10714.1</v>
      </c>
      <c r="H75" s="130">
        <v>61882.9</v>
      </c>
      <c r="I75" s="129">
        <f t="shared" si="26"/>
        <v>72597</v>
      </c>
      <c r="J75" s="130">
        <v>6532.8</v>
      </c>
      <c r="K75" s="129">
        <v>944.4</v>
      </c>
      <c r="L75" s="130">
        <f t="shared" si="27"/>
        <v>7477.2</v>
      </c>
      <c r="M75" s="129">
        <f t="shared" si="28"/>
        <v>285611.2</v>
      </c>
      <c r="N75" s="130">
        <v>50153.599999999999</v>
      </c>
      <c r="O75" s="130">
        <f t="shared" si="29"/>
        <v>335764.8</v>
      </c>
    </row>
    <row r="76" spans="1:15" ht="14.25" hidden="1" customHeight="1">
      <c r="A76" s="222"/>
      <c r="B76" s="1"/>
      <c r="C76" s="508"/>
      <c r="D76" s="130"/>
      <c r="E76" s="508"/>
      <c r="F76" s="130"/>
      <c r="G76" s="508"/>
      <c r="H76" s="130"/>
      <c r="I76" s="129"/>
      <c r="J76" s="130"/>
      <c r="K76" s="129"/>
      <c r="L76" s="130"/>
      <c r="M76" s="129"/>
      <c r="N76" s="130"/>
      <c r="O76" s="130"/>
    </row>
    <row r="77" spans="1:15" ht="14.25" hidden="1" customHeight="1">
      <c r="A77" s="87" t="s">
        <v>59</v>
      </c>
      <c r="B77" s="1">
        <v>2467.1</v>
      </c>
      <c r="C77" s="508">
        <v>20935.3</v>
      </c>
      <c r="D77" s="130">
        <v>803.7</v>
      </c>
      <c r="E77" s="508">
        <v>176560.90000000002</v>
      </c>
      <c r="F77" s="130">
        <f t="shared" si="25"/>
        <v>200767.00000000003</v>
      </c>
      <c r="G77" s="508">
        <v>11431.1</v>
      </c>
      <c r="H77" s="130">
        <v>61332.700000000004</v>
      </c>
      <c r="I77" s="129">
        <f t="shared" si="26"/>
        <v>72763.8</v>
      </c>
      <c r="J77" s="130">
        <v>6639.2</v>
      </c>
      <c r="K77" s="129">
        <v>941.5</v>
      </c>
      <c r="L77" s="130">
        <f t="shared" si="27"/>
        <v>7580.7</v>
      </c>
      <c r="M77" s="129">
        <f t="shared" si="28"/>
        <v>281111.50000000006</v>
      </c>
      <c r="N77" s="130">
        <v>45888.6</v>
      </c>
      <c r="O77" s="130">
        <f t="shared" si="29"/>
        <v>327000.10000000003</v>
      </c>
    </row>
    <row r="78" spans="1:15" ht="14.25" hidden="1" customHeight="1">
      <c r="A78" s="87" t="s">
        <v>40</v>
      </c>
      <c r="B78" s="1">
        <v>2874.6</v>
      </c>
      <c r="C78" s="508">
        <v>14418.699999999999</v>
      </c>
      <c r="D78" s="130">
        <v>510</v>
      </c>
      <c r="E78" s="508">
        <v>180057.10000000003</v>
      </c>
      <c r="F78" s="130">
        <f t="shared" si="25"/>
        <v>197860.40000000002</v>
      </c>
      <c r="G78" s="508">
        <v>13042.4</v>
      </c>
      <c r="H78" s="130">
        <v>62342</v>
      </c>
      <c r="I78" s="129">
        <f t="shared" si="26"/>
        <v>75384.399999999994</v>
      </c>
      <c r="J78" s="130">
        <v>6811.4000000000005</v>
      </c>
      <c r="K78" s="129">
        <v>1043.8999999999999</v>
      </c>
      <c r="L78" s="130">
        <f t="shared" si="27"/>
        <v>7855.3</v>
      </c>
      <c r="M78" s="129">
        <f t="shared" si="28"/>
        <v>281100.10000000003</v>
      </c>
      <c r="N78" s="130">
        <v>48179.8</v>
      </c>
      <c r="O78" s="130">
        <f t="shared" si="29"/>
        <v>329279.90000000002</v>
      </c>
    </row>
    <row r="79" spans="1:15" ht="14.25" hidden="1" customHeight="1">
      <c r="A79" s="87" t="s">
        <v>41</v>
      </c>
      <c r="B79" s="1">
        <v>2755.1</v>
      </c>
      <c r="C79" s="508">
        <v>11276.8</v>
      </c>
      <c r="D79" s="130">
        <v>990.9</v>
      </c>
      <c r="E79" s="508">
        <v>187487.60000000003</v>
      </c>
      <c r="F79" s="130">
        <f t="shared" si="25"/>
        <v>202510.40000000002</v>
      </c>
      <c r="G79" s="508">
        <v>12117.2</v>
      </c>
      <c r="H79" s="130">
        <v>65453.7</v>
      </c>
      <c r="I79" s="129">
        <f t="shared" si="26"/>
        <v>77570.899999999994</v>
      </c>
      <c r="J79" s="130">
        <v>6861.3</v>
      </c>
      <c r="K79" s="129">
        <v>921.8</v>
      </c>
      <c r="L79" s="130">
        <f t="shared" si="27"/>
        <v>7783.1</v>
      </c>
      <c r="M79" s="129">
        <f t="shared" si="28"/>
        <v>287864.40000000002</v>
      </c>
      <c r="N79" s="130">
        <v>43327.6</v>
      </c>
      <c r="O79" s="130">
        <f t="shared" si="29"/>
        <v>331192</v>
      </c>
    </row>
    <row r="80" spans="1:15" ht="14.25" hidden="1" customHeight="1">
      <c r="A80" s="87" t="s">
        <v>42</v>
      </c>
      <c r="B80" s="1">
        <v>2027.4</v>
      </c>
      <c r="C80" s="508">
        <v>6249.7999999999993</v>
      </c>
      <c r="D80" s="130">
        <v>1063.8</v>
      </c>
      <c r="E80" s="508">
        <v>191355.2</v>
      </c>
      <c r="F80" s="130">
        <f t="shared" si="25"/>
        <v>200696.2</v>
      </c>
      <c r="G80" s="508">
        <v>13364.5</v>
      </c>
      <c r="H80" s="130">
        <v>66523.100000000006</v>
      </c>
      <c r="I80" s="129">
        <f t="shared" si="26"/>
        <v>79887.600000000006</v>
      </c>
      <c r="J80" s="130">
        <v>7215.9000000000005</v>
      </c>
      <c r="K80" s="129">
        <v>918.8</v>
      </c>
      <c r="L80" s="130">
        <f t="shared" si="27"/>
        <v>8134.7000000000007</v>
      </c>
      <c r="M80" s="129">
        <f t="shared" si="28"/>
        <v>288718.50000000006</v>
      </c>
      <c r="N80" s="130">
        <v>42465.2</v>
      </c>
      <c r="O80" s="130">
        <f t="shared" si="29"/>
        <v>331183.70000000007</v>
      </c>
    </row>
    <row r="81" spans="1:15" ht="14.25" hidden="1" customHeight="1">
      <c r="A81" s="87" t="s">
        <v>43</v>
      </c>
      <c r="B81" s="1">
        <v>1654.8</v>
      </c>
      <c r="C81" s="508">
        <v>3173.1000000000004</v>
      </c>
      <c r="D81" s="130">
        <v>967.2</v>
      </c>
      <c r="E81" s="508">
        <v>196022.9</v>
      </c>
      <c r="F81" s="130">
        <f t="shared" si="25"/>
        <v>201818</v>
      </c>
      <c r="G81" s="508">
        <v>12988.800000000003</v>
      </c>
      <c r="H81" s="130">
        <v>70661.399999999994</v>
      </c>
      <c r="I81" s="129">
        <f t="shared" si="26"/>
        <v>83650.2</v>
      </c>
      <c r="J81" s="130">
        <v>7327.5</v>
      </c>
      <c r="K81" s="129">
        <v>907.1</v>
      </c>
      <c r="L81" s="130">
        <f t="shared" si="27"/>
        <v>8234.6</v>
      </c>
      <c r="M81" s="129">
        <f t="shared" si="28"/>
        <v>293702.8</v>
      </c>
      <c r="N81" s="130">
        <v>43239.199999999997</v>
      </c>
      <c r="O81" s="130">
        <f t="shared" si="29"/>
        <v>336942</v>
      </c>
    </row>
    <row r="82" spans="1:15" ht="14.25" hidden="1" customHeight="1">
      <c r="A82" s="87" t="s">
        <v>44</v>
      </c>
      <c r="B82" s="1">
        <v>2130.6999999999998</v>
      </c>
      <c r="C82" s="508">
        <v>604.80000000000007</v>
      </c>
      <c r="D82" s="130">
        <v>1106.7</v>
      </c>
      <c r="E82" s="508">
        <v>199640.3</v>
      </c>
      <c r="F82" s="130">
        <f t="shared" si="25"/>
        <v>203482.5</v>
      </c>
      <c r="G82" s="508">
        <v>12745.199999999999</v>
      </c>
      <c r="H82" s="130">
        <v>74803.099999999991</v>
      </c>
      <c r="I82" s="129">
        <f t="shared" si="26"/>
        <v>87548.299999999988</v>
      </c>
      <c r="J82" s="130">
        <v>7600.6</v>
      </c>
      <c r="K82" s="129">
        <v>901.2</v>
      </c>
      <c r="L82" s="130">
        <f t="shared" si="27"/>
        <v>8501.8000000000011</v>
      </c>
      <c r="M82" s="129">
        <f t="shared" si="28"/>
        <v>299532.59999999998</v>
      </c>
      <c r="N82" s="130">
        <v>49416</v>
      </c>
      <c r="O82" s="130">
        <f t="shared" si="29"/>
        <v>348948.6</v>
      </c>
    </row>
    <row r="83" spans="1:15" ht="14.25" hidden="1" customHeight="1">
      <c r="A83" s="87" t="s">
        <v>45</v>
      </c>
      <c r="B83" s="1">
        <v>3126.4</v>
      </c>
      <c r="C83" s="508">
        <v>5100</v>
      </c>
      <c r="D83" s="130">
        <v>1575.4999999999998</v>
      </c>
      <c r="E83" s="508">
        <v>198634.5</v>
      </c>
      <c r="F83" s="130">
        <f t="shared" si="25"/>
        <v>208436.4</v>
      </c>
      <c r="G83" s="508">
        <v>13059.3</v>
      </c>
      <c r="H83" s="130">
        <v>77378.899999999994</v>
      </c>
      <c r="I83" s="129">
        <f t="shared" si="26"/>
        <v>90438.2</v>
      </c>
      <c r="J83" s="130">
        <v>7852</v>
      </c>
      <c r="K83" s="129">
        <v>898.10000000000014</v>
      </c>
      <c r="L83" s="130">
        <f t="shared" si="27"/>
        <v>8750.1</v>
      </c>
      <c r="M83" s="129">
        <f t="shared" si="28"/>
        <v>307624.69999999995</v>
      </c>
      <c r="N83" s="130">
        <v>50123.399999999994</v>
      </c>
      <c r="O83" s="130">
        <f t="shared" si="29"/>
        <v>357748.1</v>
      </c>
    </row>
    <row r="84" spans="1:15" ht="14.25" hidden="1" customHeight="1">
      <c r="A84" s="87" t="s">
        <v>46</v>
      </c>
      <c r="B84" s="1">
        <v>3078.2000000000003</v>
      </c>
      <c r="C84" s="508">
        <v>8931.9</v>
      </c>
      <c r="D84" s="130">
        <v>1292.7</v>
      </c>
      <c r="E84" s="508">
        <v>194552</v>
      </c>
      <c r="F84" s="130">
        <f t="shared" si="25"/>
        <v>207854.8</v>
      </c>
      <c r="G84" s="508">
        <v>13699.3</v>
      </c>
      <c r="H84" s="130">
        <v>80873.399999999994</v>
      </c>
      <c r="I84" s="129">
        <f t="shared" si="26"/>
        <v>94572.7</v>
      </c>
      <c r="J84" s="130">
        <v>8068.9000000000005</v>
      </c>
      <c r="K84" s="129">
        <v>783.80000000000018</v>
      </c>
      <c r="L84" s="130">
        <f t="shared" si="27"/>
        <v>8852.7000000000007</v>
      </c>
      <c r="M84" s="129">
        <f t="shared" si="28"/>
        <v>311280.2</v>
      </c>
      <c r="N84" s="130">
        <v>53033.5</v>
      </c>
      <c r="O84" s="130">
        <f t="shared" si="29"/>
        <v>364313.7</v>
      </c>
    </row>
    <row r="85" spans="1:15" ht="14.25" hidden="1" customHeight="1">
      <c r="A85" s="87" t="s">
        <v>47</v>
      </c>
      <c r="B85" s="1">
        <v>3224.9</v>
      </c>
      <c r="C85" s="508">
        <v>6915.5999999999995</v>
      </c>
      <c r="D85" s="130">
        <v>1705.8</v>
      </c>
      <c r="E85" s="508">
        <v>203279.50000000003</v>
      </c>
      <c r="F85" s="130">
        <f t="shared" si="25"/>
        <v>215125.80000000002</v>
      </c>
      <c r="G85" s="508">
        <v>14408.199999999999</v>
      </c>
      <c r="H85" s="130">
        <v>81791.200000000012</v>
      </c>
      <c r="I85" s="129">
        <f t="shared" si="26"/>
        <v>96199.400000000009</v>
      </c>
      <c r="J85" s="130">
        <v>8278.9</v>
      </c>
      <c r="K85" s="129">
        <v>778.7</v>
      </c>
      <c r="L85" s="130">
        <f t="shared" si="27"/>
        <v>9057.6</v>
      </c>
      <c r="M85" s="129">
        <f t="shared" si="28"/>
        <v>320382.8</v>
      </c>
      <c r="N85" s="130">
        <v>50075.4</v>
      </c>
      <c r="O85" s="130">
        <f t="shared" si="29"/>
        <v>370458.2</v>
      </c>
    </row>
    <row r="86" spans="1:15" ht="14.25" hidden="1" customHeight="1">
      <c r="A86" s="87" t="s">
        <v>48</v>
      </c>
      <c r="B86" s="1">
        <v>4609</v>
      </c>
      <c r="C86" s="508">
        <v>6147.5</v>
      </c>
      <c r="D86" s="130">
        <v>1180.8</v>
      </c>
      <c r="E86" s="508">
        <v>206430.2</v>
      </c>
      <c r="F86" s="130">
        <f t="shared" si="25"/>
        <v>218367.5</v>
      </c>
      <c r="G86" s="508">
        <v>14759.5</v>
      </c>
      <c r="H86" s="130">
        <v>85837.9</v>
      </c>
      <c r="I86" s="129">
        <f t="shared" si="26"/>
        <v>100597.4</v>
      </c>
      <c r="J86" s="130">
        <v>8330.7000000000007</v>
      </c>
      <c r="K86" s="129">
        <v>708.59999999999991</v>
      </c>
      <c r="L86" s="130">
        <f t="shared" si="27"/>
        <v>9039.3000000000011</v>
      </c>
      <c r="M86" s="129">
        <f t="shared" si="28"/>
        <v>328004.2</v>
      </c>
      <c r="N86" s="130">
        <v>48262</v>
      </c>
      <c r="O86" s="130">
        <f t="shared" si="29"/>
        <v>376266.2</v>
      </c>
    </row>
    <row r="87" spans="1:15" ht="14.25" hidden="1" customHeight="1">
      <c r="A87" s="87" t="s">
        <v>49</v>
      </c>
      <c r="B87" s="1">
        <v>4999</v>
      </c>
      <c r="C87" s="508">
        <v>4753.7</v>
      </c>
      <c r="D87" s="130">
        <v>1747.4</v>
      </c>
      <c r="E87" s="508">
        <v>208882.5</v>
      </c>
      <c r="F87" s="130">
        <f t="shared" si="25"/>
        <v>220382.6</v>
      </c>
      <c r="G87" s="508">
        <v>15333.500000000002</v>
      </c>
      <c r="H87" s="130">
        <v>90395.5</v>
      </c>
      <c r="I87" s="129">
        <f t="shared" si="26"/>
        <v>105729</v>
      </c>
      <c r="J87" s="130">
        <v>8812.7999999999993</v>
      </c>
      <c r="K87" s="129">
        <v>624.90000000000009</v>
      </c>
      <c r="L87" s="130">
        <f t="shared" si="27"/>
        <v>9437.6999999999989</v>
      </c>
      <c r="M87" s="129">
        <f t="shared" si="28"/>
        <v>335549.3</v>
      </c>
      <c r="N87" s="130">
        <v>54266.400000000001</v>
      </c>
      <c r="O87" s="130">
        <f t="shared" si="29"/>
        <v>389815.7</v>
      </c>
    </row>
    <row r="88" spans="1:15" ht="14.25" hidden="1" customHeight="1">
      <c r="A88" s="87" t="s">
        <v>50</v>
      </c>
      <c r="B88" s="1">
        <v>5721.7000000000007</v>
      </c>
      <c r="C88" s="508">
        <v>2961.4</v>
      </c>
      <c r="D88" s="130">
        <v>1946.3</v>
      </c>
      <c r="E88" s="508">
        <v>202413.30000000002</v>
      </c>
      <c r="F88" s="130">
        <f t="shared" si="25"/>
        <v>213042.7</v>
      </c>
      <c r="G88" s="508">
        <v>15338.800000000001</v>
      </c>
      <c r="H88" s="130">
        <v>95369.199999999983</v>
      </c>
      <c r="I88" s="129">
        <f t="shared" si="26"/>
        <v>110707.99999999999</v>
      </c>
      <c r="J88" s="130">
        <v>8684.9000000000015</v>
      </c>
      <c r="K88" s="129">
        <v>509.9</v>
      </c>
      <c r="L88" s="130">
        <f t="shared" si="27"/>
        <v>9194.8000000000011</v>
      </c>
      <c r="M88" s="129">
        <f t="shared" si="28"/>
        <v>332945.5</v>
      </c>
      <c r="N88" s="130">
        <v>52699.200000000004</v>
      </c>
      <c r="O88" s="130">
        <f t="shared" si="29"/>
        <v>385644.7</v>
      </c>
    </row>
    <row r="89" spans="1:15" ht="14.25" hidden="1" customHeight="1">
      <c r="A89" s="87"/>
      <c r="B89" s="1"/>
      <c r="C89" s="508"/>
      <c r="D89" s="130"/>
      <c r="E89" s="508"/>
      <c r="F89" s="130"/>
      <c r="G89" s="508"/>
      <c r="H89" s="130"/>
      <c r="I89" s="129"/>
      <c r="J89" s="130"/>
      <c r="K89" s="129"/>
      <c r="L89" s="130"/>
      <c r="M89" s="129"/>
      <c r="N89" s="130"/>
      <c r="O89" s="130"/>
    </row>
    <row r="90" spans="1:15" ht="14.25" hidden="1" customHeight="1">
      <c r="A90" s="87" t="s">
        <v>58</v>
      </c>
      <c r="B90" s="1">
        <v>6935.2</v>
      </c>
      <c r="C90" s="508">
        <v>1190.4000000000003</v>
      </c>
      <c r="D90" s="130">
        <v>2238.6</v>
      </c>
      <c r="E90" s="508">
        <v>197812.5</v>
      </c>
      <c r="F90" s="130">
        <f t="shared" si="25"/>
        <v>208176.7</v>
      </c>
      <c r="G90" s="508">
        <v>15624.800000000001</v>
      </c>
      <c r="H90" s="130">
        <v>95166.3</v>
      </c>
      <c r="I90" s="129">
        <f t="shared" si="26"/>
        <v>110791.1</v>
      </c>
      <c r="J90" s="130">
        <v>9127.7000000000007</v>
      </c>
      <c r="K90" s="129">
        <v>508.4</v>
      </c>
      <c r="L90" s="130">
        <f t="shared" si="27"/>
        <v>9636.1</v>
      </c>
      <c r="M90" s="129">
        <f t="shared" si="28"/>
        <v>328603.90000000002</v>
      </c>
      <c r="N90" s="130">
        <v>54867.9</v>
      </c>
      <c r="O90" s="130">
        <f t="shared" si="29"/>
        <v>383471.80000000005</v>
      </c>
    </row>
    <row r="91" spans="1:15" ht="14.25" hidden="1" customHeight="1">
      <c r="A91" s="87" t="s">
        <v>40</v>
      </c>
      <c r="B91" s="1">
        <v>6756.4</v>
      </c>
      <c r="C91" s="508">
        <v>822.80000000000007</v>
      </c>
      <c r="D91" s="130">
        <v>2128.6</v>
      </c>
      <c r="E91" s="508">
        <v>207323.69999999998</v>
      </c>
      <c r="F91" s="130">
        <f t="shared" si="25"/>
        <v>217031.49999999997</v>
      </c>
      <c r="G91" s="508">
        <v>16252.1</v>
      </c>
      <c r="H91" s="130">
        <v>96078.799999999988</v>
      </c>
      <c r="I91" s="129">
        <f t="shared" si="26"/>
        <v>112330.9</v>
      </c>
      <c r="J91" s="130">
        <v>9418.6999999999989</v>
      </c>
      <c r="K91" s="129">
        <v>505.1</v>
      </c>
      <c r="L91" s="130">
        <f t="shared" si="27"/>
        <v>9923.7999999999993</v>
      </c>
      <c r="M91" s="129">
        <f t="shared" si="28"/>
        <v>339286.19999999995</v>
      </c>
      <c r="N91" s="130">
        <v>51078.8</v>
      </c>
      <c r="O91" s="130">
        <f t="shared" si="29"/>
        <v>390364.99999999994</v>
      </c>
    </row>
    <row r="92" spans="1:15" ht="14.25" hidden="1" customHeight="1">
      <c r="A92" s="87" t="s">
        <v>41</v>
      </c>
      <c r="B92" s="1">
        <v>6959.6</v>
      </c>
      <c r="C92" s="508">
        <v>516</v>
      </c>
      <c r="D92" s="130">
        <v>2580.6</v>
      </c>
      <c r="E92" s="508">
        <v>215546.20000000004</v>
      </c>
      <c r="F92" s="130">
        <f t="shared" si="25"/>
        <v>225602.40000000005</v>
      </c>
      <c r="G92" s="508">
        <v>17043.599999999999</v>
      </c>
      <c r="H92" s="130">
        <v>96785.299999999988</v>
      </c>
      <c r="I92" s="129">
        <f t="shared" si="26"/>
        <v>113828.9</v>
      </c>
      <c r="J92" s="130">
        <v>9890.6999999999989</v>
      </c>
      <c r="K92" s="129">
        <v>651.70000000000005</v>
      </c>
      <c r="L92" s="130">
        <f t="shared" si="27"/>
        <v>10542.4</v>
      </c>
      <c r="M92" s="129">
        <f t="shared" si="28"/>
        <v>349973.70000000007</v>
      </c>
      <c r="N92" s="130">
        <v>53473.899999999994</v>
      </c>
      <c r="O92" s="130">
        <f t="shared" si="29"/>
        <v>403447.60000000009</v>
      </c>
    </row>
    <row r="93" spans="1:15" ht="14.25" hidden="1" customHeight="1">
      <c r="A93" s="87" t="s">
        <v>42</v>
      </c>
      <c r="B93" s="1">
        <v>7372.6</v>
      </c>
      <c r="C93" s="508">
        <v>40.4</v>
      </c>
      <c r="D93" s="130">
        <v>2459.1999999999998</v>
      </c>
      <c r="E93" s="508">
        <v>218418.5</v>
      </c>
      <c r="F93" s="130">
        <f t="shared" si="25"/>
        <v>228290.7</v>
      </c>
      <c r="G93" s="508">
        <v>17702</v>
      </c>
      <c r="H93" s="130">
        <v>101309.9</v>
      </c>
      <c r="I93" s="129">
        <f t="shared" si="26"/>
        <v>119011.9</v>
      </c>
      <c r="J93" s="130">
        <v>10190.700000000001</v>
      </c>
      <c r="K93" s="129">
        <v>648.5</v>
      </c>
      <c r="L93" s="130">
        <f t="shared" si="27"/>
        <v>10839.2</v>
      </c>
      <c r="M93" s="129">
        <f t="shared" si="28"/>
        <v>358141.8</v>
      </c>
      <c r="N93" s="130">
        <v>0</v>
      </c>
      <c r="O93" s="130">
        <f t="shared" si="29"/>
        <v>358141.8</v>
      </c>
    </row>
    <row r="94" spans="1:15" ht="14.25" hidden="1" customHeight="1">
      <c r="A94" s="87" t="s">
        <v>43</v>
      </c>
      <c r="B94" s="1">
        <v>7654.5000000000009</v>
      </c>
      <c r="C94" s="508">
        <v>86.8</v>
      </c>
      <c r="D94" s="130">
        <v>2349.5</v>
      </c>
      <c r="E94" s="508">
        <v>224381.99999999997</v>
      </c>
      <c r="F94" s="130">
        <f t="shared" si="25"/>
        <v>234472.79999999996</v>
      </c>
      <c r="G94" s="508">
        <v>17989.5</v>
      </c>
      <c r="H94" s="130">
        <v>101996</v>
      </c>
      <c r="I94" s="129">
        <f t="shared" si="26"/>
        <v>119985.5</v>
      </c>
      <c r="J94" s="130">
        <v>10226.800000000001</v>
      </c>
      <c r="K94" s="129">
        <v>645.29999999999995</v>
      </c>
      <c r="L94" s="130">
        <f t="shared" si="27"/>
        <v>10872.1</v>
      </c>
      <c r="M94" s="129">
        <f t="shared" si="28"/>
        <v>365330.39999999991</v>
      </c>
      <c r="N94" s="130">
        <v>53848.9</v>
      </c>
      <c r="O94" s="130">
        <f t="shared" si="29"/>
        <v>419179.29999999993</v>
      </c>
    </row>
    <row r="95" spans="1:15" ht="14.25" hidden="1" customHeight="1">
      <c r="A95" s="87" t="s">
        <v>44</v>
      </c>
      <c r="B95" s="1">
        <v>7699.6</v>
      </c>
      <c r="C95" s="508">
        <v>4612.3</v>
      </c>
      <c r="D95" s="130">
        <v>2182.1999999999998</v>
      </c>
      <c r="E95" s="508">
        <v>238579.69999999998</v>
      </c>
      <c r="F95" s="130">
        <f t="shared" si="25"/>
        <v>253073.8</v>
      </c>
      <c r="G95" s="508">
        <v>19470.5</v>
      </c>
      <c r="H95" s="130">
        <v>106715.7</v>
      </c>
      <c r="I95" s="129">
        <f t="shared" si="26"/>
        <v>126186.2</v>
      </c>
      <c r="J95" s="130">
        <v>10649.2</v>
      </c>
      <c r="K95" s="129">
        <v>639.4</v>
      </c>
      <c r="L95" s="130">
        <f t="shared" si="27"/>
        <v>11288.6</v>
      </c>
      <c r="M95" s="129">
        <f t="shared" si="28"/>
        <v>390548.6</v>
      </c>
      <c r="N95" s="130">
        <v>52055.6</v>
      </c>
      <c r="O95" s="130">
        <f t="shared" si="29"/>
        <v>442604.19999999995</v>
      </c>
    </row>
    <row r="96" spans="1:15" ht="14.25" hidden="1" customHeight="1">
      <c r="A96" s="87" t="s">
        <v>45</v>
      </c>
      <c r="B96" s="1">
        <v>7427.5</v>
      </c>
      <c r="C96" s="508">
        <v>27566.7</v>
      </c>
      <c r="D96" s="130">
        <v>1901.8</v>
      </c>
      <c r="E96" s="508">
        <v>233620.59999999998</v>
      </c>
      <c r="F96" s="130">
        <f t="shared" si="25"/>
        <v>270516.59999999998</v>
      </c>
      <c r="G96" s="508">
        <v>20124.5</v>
      </c>
      <c r="H96" s="130">
        <v>106471.09999999999</v>
      </c>
      <c r="I96" s="129">
        <f t="shared" si="26"/>
        <v>126595.59999999999</v>
      </c>
      <c r="J96" s="130">
        <v>10816.1</v>
      </c>
      <c r="K96" s="129">
        <v>469.6</v>
      </c>
      <c r="L96" s="130">
        <f t="shared" si="27"/>
        <v>11285.7</v>
      </c>
      <c r="M96" s="129">
        <f t="shared" si="28"/>
        <v>408397.89999999997</v>
      </c>
      <c r="N96" s="130">
        <v>53422.599999999991</v>
      </c>
      <c r="O96" s="130">
        <f t="shared" si="29"/>
        <v>461820.49999999994</v>
      </c>
    </row>
    <row r="97" spans="1:17" ht="14.25" hidden="1" customHeight="1">
      <c r="A97" s="87" t="s">
        <v>46</v>
      </c>
      <c r="B97" s="1">
        <v>7833.1</v>
      </c>
      <c r="C97" s="508">
        <v>31312.399999999998</v>
      </c>
      <c r="D97" s="130">
        <v>1278.6000000000001</v>
      </c>
      <c r="E97" s="508">
        <v>238784.69999999998</v>
      </c>
      <c r="F97" s="130">
        <f t="shared" si="25"/>
        <v>279208.8</v>
      </c>
      <c r="G97" s="508">
        <v>21008</v>
      </c>
      <c r="H97" s="130">
        <v>109666.6</v>
      </c>
      <c r="I97" s="129">
        <f t="shared" si="26"/>
        <v>130674.6</v>
      </c>
      <c r="J97" s="130">
        <v>11167.7</v>
      </c>
      <c r="K97" s="129">
        <v>466.4</v>
      </c>
      <c r="L97" s="130">
        <f t="shared" si="27"/>
        <v>11634.1</v>
      </c>
      <c r="M97" s="129">
        <f t="shared" si="28"/>
        <v>421517.5</v>
      </c>
      <c r="N97" s="130">
        <v>53358.400000000009</v>
      </c>
      <c r="O97" s="130">
        <f t="shared" si="29"/>
        <v>474875.9</v>
      </c>
    </row>
    <row r="98" spans="1:17" ht="14.25" hidden="1" customHeight="1">
      <c r="A98" s="87" t="s">
        <v>47</v>
      </c>
      <c r="B98" s="1">
        <v>7820.8</v>
      </c>
      <c r="C98" s="508">
        <v>26935</v>
      </c>
      <c r="D98" s="130">
        <v>1104.3</v>
      </c>
      <c r="E98" s="508">
        <v>246623.49999999997</v>
      </c>
      <c r="F98" s="130">
        <f t="shared" si="25"/>
        <v>282483.59999999998</v>
      </c>
      <c r="G98" s="508">
        <v>21316.9</v>
      </c>
      <c r="H98" s="130">
        <v>113298.4</v>
      </c>
      <c r="I98" s="129">
        <f t="shared" si="26"/>
        <v>134615.29999999999</v>
      </c>
      <c r="J98" s="130">
        <v>11377.800000000001</v>
      </c>
      <c r="K98" s="129">
        <v>786.5</v>
      </c>
      <c r="L98" s="130">
        <f t="shared" si="27"/>
        <v>12164.300000000001</v>
      </c>
      <c r="M98" s="129">
        <f t="shared" si="28"/>
        <v>429263.19999999995</v>
      </c>
      <c r="N98" s="130">
        <v>57016.800000000003</v>
      </c>
      <c r="O98" s="130">
        <f t="shared" si="29"/>
        <v>486279.99999999994</v>
      </c>
    </row>
    <row r="99" spans="1:17" ht="14.25" hidden="1" customHeight="1">
      <c r="A99" s="87" t="s">
        <v>48</v>
      </c>
      <c r="B99" s="1">
        <v>7443.7000000000007</v>
      </c>
      <c r="C99" s="508">
        <v>25691.899999999998</v>
      </c>
      <c r="D99" s="130">
        <v>1715.4</v>
      </c>
      <c r="E99" s="508">
        <v>251844.4</v>
      </c>
      <c r="F99" s="130">
        <f t="shared" si="25"/>
        <v>286695.40000000002</v>
      </c>
      <c r="G99" s="508">
        <v>22569.800000000003</v>
      </c>
      <c r="H99" s="130">
        <v>111655.40000000001</v>
      </c>
      <c r="I99" s="129">
        <f t="shared" si="26"/>
        <v>134225.20000000001</v>
      </c>
      <c r="J99" s="130">
        <v>11775.5</v>
      </c>
      <c r="K99" s="129">
        <v>871.5</v>
      </c>
      <c r="L99" s="130">
        <f t="shared" si="27"/>
        <v>12647</v>
      </c>
      <c r="M99" s="129">
        <f t="shared" si="28"/>
        <v>433567.60000000003</v>
      </c>
      <c r="N99" s="130">
        <v>65173.399999999994</v>
      </c>
      <c r="O99" s="130">
        <f t="shared" si="29"/>
        <v>498741</v>
      </c>
    </row>
    <row r="100" spans="1:17" ht="14.25" hidden="1" customHeight="1">
      <c r="A100" s="87" t="s">
        <v>49</v>
      </c>
      <c r="B100" s="1">
        <v>6715.8</v>
      </c>
      <c r="C100" s="508">
        <v>20585.7</v>
      </c>
      <c r="D100" s="130">
        <v>2057.8000000000002</v>
      </c>
      <c r="E100" s="508">
        <v>245532.1</v>
      </c>
      <c r="F100" s="130">
        <f t="shared" si="25"/>
        <v>274891.40000000002</v>
      </c>
      <c r="G100" s="508">
        <v>22186.800000000003</v>
      </c>
      <c r="H100" s="130">
        <v>121687.59999999999</v>
      </c>
      <c r="I100" s="129">
        <f t="shared" si="26"/>
        <v>143874.4</v>
      </c>
      <c r="J100" s="130">
        <v>11914.1</v>
      </c>
      <c r="K100" s="129">
        <v>971.8</v>
      </c>
      <c r="L100" s="130">
        <f t="shared" si="27"/>
        <v>12885.9</v>
      </c>
      <c r="M100" s="129">
        <f t="shared" si="28"/>
        <v>431651.70000000007</v>
      </c>
      <c r="N100" s="130">
        <v>64542.899999999994</v>
      </c>
      <c r="O100" s="130">
        <f t="shared" si="29"/>
        <v>496194.60000000009</v>
      </c>
    </row>
    <row r="101" spans="1:17" s="88" customFormat="1" ht="14.25" hidden="1" customHeight="1">
      <c r="A101" s="87" t="s">
        <v>50</v>
      </c>
      <c r="B101" s="143">
        <v>6432.4000000000005</v>
      </c>
      <c r="C101" s="1135">
        <v>11832.599999999999</v>
      </c>
      <c r="D101" s="137">
        <v>1895.9</v>
      </c>
      <c r="E101" s="1135">
        <v>294321.3</v>
      </c>
      <c r="F101" s="137">
        <f t="shared" si="25"/>
        <v>314482.2</v>
      </c>
      <c r="G101" s="1135">
        <v>25050.399999999998</v>
      </c>
      <c r="H101" s="137">
        <v>118042.2</v>
      </c>
      <c r="I101" s="136">
        <f t="shared" si="26"/>
        <v>143092.6</v>
      </c>
      <c r="J101" s="137">
        <v>12244.5</v>
      </c>
      <c r="K101" s="136">
        <v>1467.8</v>
      </c>
      <c r="L101" s="137">
        <f t="shared" si="27"/>
        <v>13712.3</v>
      </c>
      <c r="M101" s="136">
        <f t="shared" si="28"/>
        <v>471287.10000000003</v>
      </c>
      <c r="N101" s="137">
        <v>72626.3</v>
      </c>
      <c r="O101" s="137">
        <f t="shared" si="29"/>
        <v>543913.4</v>
      </c>
      <c r="Q101" s="69"/>
    </row>
    <row r="102" spans="1:17" s="88" customFormat="1" ht="14.25" hidden="1" customHeight="1">
      <c r="A102" s="87"/>
      <c r="B102" s="143"/>
      <c r="C102" s="1135"/>
      <c r="D102" s="137"/>
      <c r="E102" s="1135"/>
      <c r="F102" s="137"/>
      <c r="G102" s="1135"/>
      <c r="H102" s="137"/>
      <c r="I102" s="136"/>
      <c r="J102" s="137"/>
      <c r="K102" s="136"/>
      <c r="L102" s="137"/>
      <c r="M102" s="136"/>
      <c r="N102" s="137"/>
      <c r="O102" s="137"/>
      <c r="Q102" s="69"/>
    </row>
    <row r="103" spans="1:17" ht="14.25" hidden="1" customHeight="1">
      <c r="A103" s="87" t="s">
        <v>57</v>
      </c>
      <c r="B103" s="1">
        <v>5864.3</v>
      </c>
      <c r="C103" s="508">
        <v>10189.300000000001</v>
      </c>
      <c r="D103" s="130">
        <v>2041.5000000000002</v>
      </c>
      <c r="E103" s="508">
        <v>300669.08333333331</v>
      </c>
      <c r="F103" s="130">
        <f t="shared" si="25"/>
        <v>318764.18333333329</v>
      </c>
      <c r="G103" s="508">
        <v>26224.799999999999</v>
      </c>
      <c r="H103" s="130">
        <v>113627.2</v>
      </c>
      <c r="I103" s="129">
        <f t="shared" si="26"/>
        <v>139852</v>
      </c>
      <c r="J103" s="130">
        <v>12663.2</v>
      </c>
      <c r="K103" s="129">
        <v>1509.6000000000001</v>
      </c>
      <c r="L103" s="130">
        <f t="shared" si="27"/>
        <v>14172.800000000001</v>
      </c>
      <c r="M103" s="129">
        <f t="shared" si="28"/>
        <v>472788.98333333328</v>
      </c>
      <c r="N103" s="130">
        <v>64825.2</v>
      </c>
      <c r="O103" s="130">
        <f t="shared" si="29"/>
        <v>537614.18333333323</v>
      </c>
    </row>
    <row r="104" spans="1:17" ht="14.25" hidden="1" customHeight="1">
      <c r="A104" s="87" t="s">
        <v>40</v>
      </c>
      <c r="B104" s="1">
        <v>6510.7</v>
      </c>
      <c r="C104" s="508">
        <v>7121.6</v>
      </c>
      <c r="D104" s="130">
        <v>2079.1</v>
      </c>
      <c r="E104" s="508">
        <v>309932.66666666663</v>
      </c>
      <c r="F104" s="130">
        <f t="shared" si="25"/>
        <v>325644.06666666665</v>
      </c>
      <c r="G104" s="508">
        <v>27047.3</v>
      </c>
      <c r="H104" s="130">
        <v>119707.4</v>
      </c>
      <c r="I104" s="129">
        <f t="shared" si="26"/>
        <v>146754.69999999998</v>
      </c>
      <c r="J104" s="130">
        <v>12940.2</v>
      </c>
      <c r="K104" s="129">
        <v>1950.5</v>
      </c>
      <c r="L104" s="130">
        <f t="shared" si="27"/>
        <v>14890.7</v>
      </c>
      <c r="M104" s="129">
        <f t="shared" si="28"/>
        <v>487289.46666666662</v>
      </c>
      <c r="N104" s="130">
        <v>64886.700000000012</v>
      </c>
      <c r="O104" s="130">
        <f t="shared" si="29"/>
        <v>552176.16666666663</v>
      </c>
    </row>
    <row r="105" spans="1:17" ht="14.25" hidden="1" customHeight="1">
      <c r="A105" s="87" t="s">
        <v>41</v>
      </c>
      <c r="B105" s="1">
        <v>6484.5</v>
      </c>
      <c r="C105" s="508">
        <v>4124.7999999999993</v>
      </c>
      <c r="D105" s="130">
        <v>2657.3</v>
      </c>
      <c r="E105" s="508">
        <v>320774.34999999998</v>
      </c>
      <c r="F105" s="130">
        <f t="shared" si="25"/>
        <v>334040.94999999995</v>
      </c>
      <c r="G105" s="508">
        <v>27774.199999999997</v>
      </c>
      <c r="H105" s="130">
        <v>125185.59999999999</v>
      </c>
      <c r="I105" s="129">
        <f t="shared" si="26"/>
        <v>152959.79999999999</v>
      </c>
      <c r="J105" s="130">
        <v>13573.300000000001</v>
      </c>
      <c r="K105" s="129">
        <v>1931.1</v>
      </c>
      <c r="L105" s="130">
        <f t="shared" si="27"/>
        <v>15504.400000000001</v>
      </c>
      <c r="M105" s="129">
        <f t="shared" si="28"/>
        <v>502505.14999999997</v>
      </c>
      <c r="N105" s="130">
        <v>64093.600000000006</v>
      </c>
      <c r="O105" s="130">
        <f t="shared" si="29"/>
        <v>566598.75</v>
      </c>
    </row>
    <row r="106" spans="1:17" ht="14.25" hidden="1" customHeight="1">
      <c r="A106" s="87" t="s">
        <v>42</v>
      </c>
      <c r="B106" s="1">
        <v>6448</v>
      </c>
      <c r="C106" s="508">
        <v>4097.8999999999996</v>
      </c>
      <c r="D106" s="130">
        <v>2737.4</v>
      </c>
      <c r="E106" s="508">
        <v>325782.03333333333</v>
      </c>
      <c r="F106" s="130">
        <f t="shared" si="25"/>
        <v>339065.33333333331</v>
      </c>
      <c r="G106" s="508">
        <v>27765.7</v>
      </c>
      <c r="H106" s="130">
        <v>128634.70000000003</v>
      </c>
      <c r="I106" s="129">
        <f t="shared" si="26"/>
        <v>156400.40000000002</v>
      </c>
      <c r="J106" s="130">
        <v>13427.8</v>
      </c>
      <c r="K106" s="129">
        <v>2168.9</v>
      </c>
      <c r="L106" s="130">
        <f t="shared" si="27"/>
        <v>15596.699999999999</v>
      </c>
      <c r="M106" s="129">
        <f t="shared" si="28"/>
        <v>511062.43333333335</v>
      </c>
      <c r="N106" s="130">
        <v>68121</v>
      </c>
      <c r="O106" s="130">
        <f t="shared" si="29"/>
        <v>579183.43333333335</v>
      </c>
    </row>
    <row r="107" spans="1:17" ht="14.25" hidden="1" customHeight="1">
      <c r="A107" s="87" t="s">
        <v>43</v>
      </c>
      <c r="B107" s="1">
        <v>6762.2</v>
      </c>
      <c r="C107" s="508">
        <v>3222.1000000000004</v>
      </c>
      <c r="D107" s="130">
        <v>3038.2</v>
      </c>
      <c r="E107" s="508">
        <v>342661.51666666672</v>
      </c>
      <c r="F107" s="130">
        <f t="shared" si="25"/>
        <v>355684.01666666672</v>
      </c>
      <c r="G107" s="508">
        <v>27786.9</v>
      </c>
      <c r="H107" s="130">
        <v>132093.59999999998</v>
      </c>
      <c r="I107" s="129">
        <f t="shared" si="26"/>
        <v>159880.49999999997</v>
      </c>
      <c r="J107" s="130">
        <v>13644.3</v>
      </c>
      <c r="K107" s="129">
        <v>2228.1999999999998</v>
      </c>
      <c r="L107" s="130">
        <f t="shared" si="27"/>
        <v>15872.5</v>
      </c>
      <c r="M107" s="129">
        <f t="shared" si="28"/>
        <v>531437.01666666672</v>
      </c>
      <c r="N107" s="130">
        <v>57515.600000000006</v>
      </c>
      <c r="O107" s="130">
        <f t="shared" si="29"/>
        <v>588952.6166666667</v>
      </c>
    </row>
    <row r="108" spans="1:17" ht="14.25" hidden="1" customHeight="1">
      <c r="A108" s="87" t="s">
        <v>44</v>
      </c>
      <c r="B108" s="1">
        <v>7708.3</v>
      </c>
      <c r="C108" s="508">
        <v>10168.4</v>
      </c>
      <c r="D108" s="130">
        <v>2816</v>
      </c>
      <c r="E108" s="508">
        <v>360554.60000000003</v>
      </c>
      <c r="F108" s="130">
        <f t="shared" si="25"/>
        <v>381247.30000000005</v>
      </c>
      <c r="G108" s="508">
        <v>28445.4</v>
      </c>
      <c r="H108" s="130">
        <v>133722.4</v>
      </c>
      <c r="I108" s="129">
        <f t="shared" si="26"/>
        <v>162167.79999999999</v>
      </c>
      <c r="J108" s="130">
        <v>13912.4</v>
      </c>
      <c r="K108" s="129">
        <v>4644.3999999999996</v>
      </c>
      <c r="L108" s="130">
        <f t="shared" si="27"/>
        <v>18556.8</v>
      </c>
      <c r="M108" s="129">
        <f t="shared" si="28"/>
        <v>561971.90000000014</v>
      </c>
      <c r="N108" s="130">
        <v>53930.600000000006</v>
      </c>
      <c r="O108" s="130">
        <f t="shared" si="29"/>
        <v>615902.50000000012</v>
      </c>
    </row>
    <row r="109" spans="1:17" ht="14.25" hidden="1" customHeight="1">
      <c r="A109" s="87" t="s">
        <v>45</v>
      </c>
      <c r="B109" s="1">
        <v>7616.6</v>
      </c>
      <c r="C109" s="508">
        <v>25279.9</v>
      </c>
      <c r="D109" s="130">
        <v>2407.4</v>
      </c>
      <c r="E109" s="508">
        <v>361618.6</v>
      </c>
      <c r="F109" s="130">
        <f t="shared" si="25"/>
        <v>396922.5</v>
      </c>
      <c r="G109" s="508">
        <v>29890.499999999996</v>
      </c>
      <c r="H109" s="130">
        <v>133518.5</v>
      </c>
      <c r="I109" s="129">
        <f t="shared" si="26"/>
        <v>163409</v>
      </c>
      <c r="J109" s="130">
        <v>15298.199999999999</v>
      </c>
      <c r="K109" s="129">
        <v>4991.9000000000005</v>
      </c>
      <c r="L109" s="130">
        <f t="shared" si="27"/>
        <v>20290.099999999999</v>
      </c>
      <c r="M109" s="129">
        <f t="shared" si="28"/>
        <v>580621.6</v>
      </c>
      <c r="N109" s="130">
        <v>63077.1</v>
      </c>
      <c r="O109" s="130">
        <f t="shared" si="29"/>
        <v>643698.69999999995</v>
      </c>
    </row>
    <row r="110" spans="1:17" ht="14.25" hidden="1" customHeight="1">
      <c r="A110" s="87" t="s">
        <v>46</v>
      </c>
      <c r="B110" s="1">
        <v>7738.7999999999993</v>
      </c>
      <c r="C110" s="508">
        <v>29023.7</v>
      </c>
      <c r="D110" s="130">
        <v>2472.4</v>
      </c>
      <c r="E110" s="508">
        <v>378142.50000000006</v>
      </c>
      <c r="F110" s="130">
        <f t="shared" si="25"/>
        <v>417377.40000000008</v>
      </c>
      <c r="G110" s="508">
        <v>30423.8</v>
      </c>
      <c r="H110" s="130">
        <v>131398</v>
      </c>
      <c r="I110" s="129">
        <f t="shared" si="26"/>
        <v>161821.79999999999</v>
      </c>
      <c r="J110" s="130">
        <v>14236.9</v>
      </c>
      <c r="K110" s="129">
        <v>5011.5</v>
      </c>
      <c r="L110" s="130">
        <f t="shared" si="27"/>
        <v>19248.400000000001</v>
      </c>
      <c r="M110" s="129">
        <f t="shared" si="28"/>
        <v>598447.60000000009</v>
      </c>
      <c r="N110" s="130">
        <v>58921.3</v>
      </c>
      <c r="O110" s="130">
        <f t="shared" si="29"/>
        <v>657368.90000000014</v>
      </c>
    </row>
    <row r="111" spans="1:17" ht="14.25" hidden="1" customHeight="1">
      <c r="A111" s="87" t="s">
        <v>47</v>
      </c>
      <c r="B111" s="1">
        <v>8829.5</v>
      </c>
      <c r="C111" s="508">
        <v>25504.9</v>
      </c>
      <c r="D111" s="130">
        <v>1452.2</v>
      </c>
      <c r="E111" s="508">
        <v>388592.20000000007</v>
      </c>
      <c r="F111" s="130">
        <f t="shared" si="25"/>
        <v>424378.80000000005</v>
      </c>
      <c r="G111" s="508">
        <v>30484.400000000005</v>
      </c>
      <c r="H111" s="130">
        <v>131755.00000000003</v>
      </c>
      <c r="I111" s="129">
        <f t="shared" si="26"/>
        <v>162239.40000000002</v>
      </c>
      <c r="J111" s="130">
        <v>14330.9</v>
      </c>
      <c r="K111" s="129">
        <v>6001.5999999999995</v>
      </c>
      <c r="L111" s="130">
        <f t="shared" si="27"/>
        <v>20332.5</v>
      </c>
      <c r="M111" s="129">
        <f t="shared" si="28"/>
        <v>606950.70000000007</v>
      </c>
      <c r="N111" s="130">
        <v>57754.8</v>
      </c>
      <c r="O111" s="130">
        <f t="shared" si="29"/>
        <v>664705.50000000012</v>
      </c>
    </row>
    <row r="112" spans="1:17" ht="14.25" hidden="1" customHeight="1">
      <c r="A112" s="87" t="s">
        <v>48</v>
      </c>
      <c r="B112" s="1">
        <v>9633.7999999999993</v>
      </c>
      <c r="C112" s="508">
        <v>21896.199999999997</v>
      </c>
      <c r="D112" s="130">
        <v>1689.6</v>
      </c>
      <c r="E112" s="508">
        <v>405963.1</v>
      </c>
      <c r="F112" s="130">
        <f t="shared" si="25"/>
        <v>439182.69999999995</v>
      </c>
      <c r="G112" s="508">
        <v>30805.1</v>
      </c>
      <c r="H112" s="130">
        <v>131134</v>
      </c>
      <c r="I112" s="129">
        <f t="shared" si="26"/>
        <v>161939.1</v>
      </c>
      <c r="J112" s="130">
        <v>14508.1</v>
      </c>
      <c r="K112" s="129">
        <v>6552.2999999999993</v>
      </c>
      <c r="L112" s="130">
        <f t="shared" si="27"/>
        <v>21060.400000000001</v>
      </c>
      <c r="M112" s="129">
        <f t="shared" si="28"/>
        <v>622182.19999999995</v>
      </c>
      <c r="N112" s="130">
        <v>64086.6</v>
      </c>
      <c r="O112" s="130">
        <f t="shared" si="29"/>
        <v>686268.79999999993</v>
      </c>
    </row>
    <row r="113" spans="1:17" ht="14.25" hidden="1" customHeight="1">
      <c r="A113" s="87" t="s">
        <v>49</v>
      </c>
      <c r="B113" s="1">
        <v>9939</v>
      </c>
      <c r="C113" s="508">
        <v>18144.100000000002</v>
      </c>
      <c r="D113" s="130">
        <v>1484.2</v>
      </c>
      <c r="E113" s="508">
        <v>415227.10000000003</v>
      </c>
      <c r="F113" s="130">
        <f t="shared" si="25"/>
        <v>444794.4</v>
      </c>
      <c r="G113" s="508">
        <v>30078.799999999999</v>
      </c>
      <c r="H113" s="130">
        <v>134538.29999999999</v>
      </c>
      <c r="I113" s="129">
        <f t="shared" si="26"/>
        <v>164617.09999999998</v>
      </c>
      <c r="J113" s="130">
        <v>14627.8</v>
      </c>
      <c r="K113" s="129">
        <v>6568.7</v>
      </c>
      <c r="L113" s="130">
        <f t="shared" si="27"/>
        <v>21196.5</v>
      </c>
      <c r="M113" s="129">
        <f t="shared" si="28"/>
        <v>630608</v>
      </c>
      <c r="N113" s="130">
        <v>63045.5</v>
      </c>
      <c r="O113" s="130">
        <f t="shared" si="29"/>
        <v>693653.5</v>
      </c>
    </row>
    <row r="114" spans="1:17" ht="14.25" hidden="1" customHeight="1">
      <c r="A114" s="87" t="s">
        <v>50</v>
      </c>
      <c r="B114" s="1">
        <v>10070.199999999999</v>
      </c>
      <c r="C114" s="508">
        <v>12577.599999999999</v>
      </c>
      <c r="D114" s="130">
        <v>1824.6</v>
      </c>
      <c r="E114" s="508">
        <v>415236</v>
      </c>
      <c r="F114" s="130">
        <f t="shared" si="25"/>
        <v>439708.4</v>
      </c>
      <c r="G114" s="508">
        <v>29936.7</v>
      </c>
      <c r="H114" s="130">
        <v>126266.79999999999</v>
      </c>
      <c r="I114" s="129">
        <f t="shared" si="26"/>
        <v>156203.5</v>
      </c>
      <c r="J114" s="130">
        <v>16356.199999999999</v>
      </c>
      <c r="K114" s="129">
        <v>9025.2999999999993</v>
      </c>
      <c r="L114" s="130">
        <f t="shared" si="27"/>
        <v>25381.5</v>
      </c>
      <c r="M114" s="129">
        <f t="shared" si="28"/>
        <v>621293.4</v>
      </c>
      <c r="N114" s="130">
        <v>70478</v>
      </c>
      <c r="O114" s="130">
        <f t="shared" si="29"/>
        <v>691771.4</v>
      </c>
    </row>
    <row r="115" spans="1:17" ht="14.25" hidden="1" customHeight="1">
      <c r="A115" s="214"/>
      <c r="B115" s="1"/>
      <c r="C115" s="508"/>
      <c r="D115" s="130"/>
      <c r="E115" s="508"/>
      <c r="F115" s="130"/>
      <c r="G115" s="508"/>
      <c r="H115" s="130"/>
      <c r="I115" s="129"/>
      <c r="J115" s="130"/>
      <c r="K115" s="129"/>
      <c r="L115" s="130"/>
      <c r="M115" s="129"/>
      <c r="N115" s="130"/>
      <c r="O115" s="130"/>
    </row>
    <row r="116" spans="1:17" ht="14.25" hidden="1" customHeight="1">
      <c r="A116" s="87" t="s">
        <v>56</v>
      </c>
      <c r="B116" s="1">
        <v>11728.4</v>
      </c>
      <c r="C116" s="508">
        <v>8814.7000000000007</v>
      </c>
      <c r="D116" s="130">
        <v>2006</v>
      </c>
      <c r="E116" s="508">
        <v>410983.64166666666</v>
      </c>
      <c r="F116" s="130">
        <f t="shared" si="25"/>
        <v>433532.74166666664</v>
      </c>
      <c r="G116" s="508">
        <v>30415.000000000004</v>
      </c>
      <c r="H116" s="130">
        <v>129307.8</v>
      </c>
      <c r="I116" s="129">
        <f t="shared" si="26"/>
        <v>159722.80000000002</v>
      </c>
      <c r="J116" s="130">
        <v>16245.2</v>
      </c>
      <c r="K116" s="129">
        <v>11844.199999999999</v>
      </c>
      <c r="L116" s="130">
        <f t="shared" si="27"/>
        <v>28089.4</v>
      </c>
      <c r="M116" s="129">
        <f t="shared" si="28"/>
        <v>621344.94166666665</v>
      </c>
      <c r="N116" s="130">
        <v>69250</v>
      </c>
      <c r="O116" s="130">
        <f t="shared" si="29"/>
        <v>690594.94166666665</v>
      </c>
    </row>
    <row r="117" spans="1:17" ht="14.25" hidden="1" customHeight="1">
      <c r="A117" s="87" t="s">
        <v>40</v>
      </c>
      <c r="B117" s="1">
        <v>11160.8</v>
      </c>
      <c r="C117" s="508">
        <v>6329.7</v>
      </c>
      <c r="D117" s="130">
        <v>1756</v>
      </c>
      <c r="E117" s="508">
        <v>413484.28333333333</v>
      </c>
      <c r="F117" s="130">
        <f t="shared" si="25"/>
        <v>432730.78333333333</v>
      </c>
      <c r="G117" s="508">
        <v>29688.800000000003</v>
      </c>
      <c r="H117" s="130">
        <v>133174.19999999998</v>
      </c>
      <c r="I117" s="129">
        <f t="shared" si="26"/>
        <v>162863</v>
      </c>
      <c r="J117" s="130">
        <v>16202.8</v>
      </c>
      <c r="K117" s="129">
        <v>11805</v>
      </c>
      <c r="L117" s="130">
        <f t="shared" si="27"/>
        <v>28007.8</v>
      </c>
      <c r="M117" s="129">
        <f t="shared" si="28"/>
        <v>623601.58333333337</v>
      </c>
      <c r="N117" s="130">
        <v>68697.100000000006</v>
      </c>
      <c r="O117" s="130">
        <f t="shared" si="29"/>
        <v>692298.68333333335</v>
      </c>
    </row>
    <row r="118" spans="1:17" ht="14.25" hidden="1" customHeight="1">
      <c r="A118" s="87" t="s">
        <v>41</v>
      </c>
      <c r="B118" s="1">
        <v>10915</v>
      </c>
      <c r="C118" s="508">
        <v>4275.3999999999996</v>
      </c>
      <c r="D118" s="130">
        <v>2298.4</v>
      </c>
      <c r="E118" s="508">
        <v>429146.52500000002</v>
      </c>
      <c r="F118" s="130">
        <f t="shared" si="25"/>
        <v>446635.32500000001</v>
      </c>
      <c r="G118" s="508">
        <v>30552.400000000001</v>
      </c>
      <c r="H118" s="130">
        <v>132937.20000000001</v>
      </c>
      <c r="I118" s="129">
        <f t="shared" si="26"/>
        <v>163489.60000000001</v>
      </c>
      <c r="J118" s="130">
        <v>15216.3</v>
      </c>
      <c r="K118" s="129">
        <v>13600.199999999999</v>
      </c>
      <c r="L118" s="130">
        <f t="shared" si="27"/>
        <v>28816.5</v>
      </c>
      <c r="M118" s="129">
        <f t="shared" si="28"/>
        <v>638941.42500000005</v>
      </c>
      <c r="N118" s="130">
        <v>67994</v>
      </c>
      <c r="O118" s="130">
        <f t="shared" si="29"/>
        <v>706935.42500000005</v>
      </c>
    </row>
    <row r="119" spans="1:17" ht="14.25" hidden="1" customHeight="1">
      <c r="A119" s="87" t="s">
        <v>42</v>
      </c>
      <c r="B119" s="1">
        <v>11889.699999999999</v>
      </c>
      <c r="C119" s="508">
        <v>3554.3999999999996</v>
      </c>
      <c r="D119" s="130">
        <v>1677.1</v>
      </c>
      <c r="E119" s="508">
        <v>435669.56666666665</v>
      </c>
      <c r="F119" s="130">
        <f t="shared" si="25"/>
        <v>452790.76666666666</v>
      </c>
      <c r="G119" s="508">
        <v>30886.3</v>
      </c>
      <c r="H119" s="130">
        <v>134006.69999999995</v>
      </c>
      <c r="I119" s="129">
        <f t="shared" si="26"/>
        <v>164892.99999999994</v>
      </c>
      <c r="J119" s="130">
        <v>15273</v>
      </c>
      <c r="K119" s="129">
        <v>13600.9</v>
      </c>
      <c r="L119" s="130">
        <f t="shared" si="27"/>
        <v>28873.9</v>
      </c>
      <c r="M119" s="129">
        <f t="shared" si="28"/>
        <v>646557.66666666663</v>
      </c>
      <c r="N119" s="130">
        <v>65819.3</v>
      </c>
      <c r="O119" s="130">
        <f t="shared" si="29"/>
        <v>712376.96666666667</v>
      </c>
    </row>
    <row r="120" spans="1:17" ht="14.25" hidden="1" customHeight="1">
      <c r="A120" s="87" t="s">
        <v>43</v>
      </c>
      <c r="B120" s="1">
        <v>12241.8</v>
      </c>
      <c r="C120" s="508">
        <v>7700.9</v>
      </c>
      <c r="D120" s="130">
        <v>2465.3999999999996</v>
      </c>
      <c r="E120" s="508">
        <v>454061.30833333323</v>
      </c>
      <c r="F120" s="130">
        <f t="shared" si="25"/>
        <v>476469.40833333321</v>
      </c>
      <c r="G120" s="508">
        <v>31030.999999999996</v>
      </c>
      <c r="H120" s="130">
        <v>136972.1</v>
      </c>
      <c r="I120" s="129">
        <f t="shared" si="26"/>
        <v>168003.1</v>
      </c>
      <c r="J120" s="130">
        <v>15469.5</v>
      </c>
      <c r="K120" s="129">
        <v>14282.500000000002</v>
      </c>
      <c r="L120" s="130">
        <f t="shared" si="27"/>
        <v>29752</v>
      </c>
      <c r="M120" s="129">
        <f t="shared" si="28"/>
        <v>674224.50833333319</v>
      </c>
      <c r="N120" s="130">
        <v>71359</v>
      </c>
      <c r="O120" s="130">
        <f t="shared" si="29"/>
        <v>745583.50833333319</v>
      </c>
    </row>
    <row r="121" spans="1:17" s="145" customFormat="1" ht="14.25" hidden="1" customHeight="1">
      <c r="A121" s="87" t="s">
        <v>44</v>
      </c>
      <c r="B121" s="10">
        <v>11814.699999999999</v>
      </c>
      <c r="C121" s="509">
        <v>13069.5</v>
      </c>
      <c r="D121" s="140">
        <v>3244.8</v>
      </c>
      <c r="E121" s="509">
        <v>463802.55000000005</v>
      </c>
      <c r="F121" s="130">
        <f t="shared" si="25"/>
        <v>491931.55000000005</v>
      </c>
      <c r="G121" s="509">
        <v>32286.1</v>
      </c>
      <c r="H121" s="140">
        <v>146302.49999999997</v>
      </c>
      <c r="I121" s="129">
        <f t="shared" si="26"/>
        <v>178588.59999999998</v>
      </c>
      <c r="J121" s="140">
        <v>15309.8</v>
      </c>
      <c r="K121" s="133">
        <v>13391.6</v>
      </c>
      <c r="L121" s="130">
        <f t="shared" si="27"/>
        <v>28701.4</v>
      </c>
      <c r="M121" s="129">
        <f t="shared" si="28"/>
        <v>699221.55</v>
      </c>
      <c r="N121" s="140">
        <v>65701.899999999994</v>
      </c>
      <c r="O121" s="130">
        <f t="shared" si="29"/>
        <v>764923.45000000007</v>
      </c>
      <c r="Q121" s="69"/>
    </row>
    <row r="122" spans="1:17" ht="14.25" hidden="1" customHeight="1">
      <c r="A122" s="87" t="s">
        <v>45</v>
      </c>
      <c r="B122" s="1">
        <v>12418</v>
      </c>
      <c r="C122" s="508">
        <v>18130.3</v>
      </c>
      <c r="D122" s="130">
        <v>3102.8</v>
      </c>
      <c r="E122" s="508">
        <v>460093.07499999995</v>
      </c>
      <c r="F122" s="130">
        <f t="shared" si="25"/>
        <v>493744.17499999993</v>
      </c>
      <c r="G122" s="508">
        <v>31725.3</v>
      </c>
      <c r="H122" s="130">
        <v>146301.4</v>
      </c>
      <c r="I122" s="129">
        <f t="shared" si="26"/>
        <v>178026.69999999998</v>
      </c>
      <c r="J122" s="130">
        <v>15381.8</v>
      </c>
      <c r="K122" s="129">
        <v>13600.6</v>
      </c>
      <c r="L122" s="130">
        <f t="shared" si="27"/>
        <v>28982.400000000001</v>
      </c>
      <c r="M122" s="129">
        <f t="shared" si="28"/>
        <v>700753.27499999991</v>
      </c>
      <c r="N122" s="130">
        <v>65090.399999999994</v>
      </c>
      <c r="O122" s="130">
        <f t="shared" si="29"/>
        <v>765843.67499999993</v>
      </c>
    </row>
    <row r="123" spans="1:17" ht="14.25" hidden="1" customHeight="1">
      <c r="A123" s="87" t="s">
        <v>46</v>
      </c>
      <c r="B123" s="1">
        <v>12063.4</v>
      </c>
      <c r="C123" s="508">
        <v>29254.199999999997</v>
      </c>
      <c r="D123" s="130">
        <v>2822.8</v>
      </c>
      <c r="E123" s="508">
        <v>463561.30000000005</v>
      </c>
      <c r="F123" s="130">
        <f t="shared" si="25"/>
        <v>507701.70000000007</v>
      </c>
      <c r="G123" s="508">
        <v>32549.100000000002</v>
      </c>
      <c r="H123" s="130">
        <v>146685.49999999997</v>
      </c>
      <c r="I123" s="129">
        <f t="shared" si="26"/>
        <v>179234.59999999998</v>
      </c>
      <c r="J123" s="130">
        <v>15918.4</v>
      </c>
      <c r="K123" s="129">
        <v>15597.7</v>
      </c>
      <c r="L123" s="130">
        <f t="shared" si="27"/>
        <v>31516.1</v>
      </c>
      <c r="M123" s="129">
        <f t="shared" si="28"/>
        <v>718452.4</v>
      </c>
      <c r="N123" s="130">
        <v>75058</v>
      </c>
      <c r="O123" s="130">
        <f t="shared" si="29"/>
        <v>793510.40000000002</v>
      </c>
    </row>
    <row r="124" spans="1:17" ht="14.25" hidden="1" customHeight="1">
      <c r="A124" s="87" t="s">
        <v>47</v>
      </c>
      <c r="B124" s="1">
        <v>12247.400000000001</v>
      </c>
      <c r="C124" s="508">
        <v>23044.799999999999</v>
      </c>
      <c r="D124" s="130">
        <v>2443.3000000000002</v>
      </c>
      <c r="E124" s="508">
        <v>467556.52500000002</v>
      </c>
      <c r="F124" s="130">
        <f t="shared" si="25"/>
        <v>505292.02500000002</v>
      </c>
      <c r="G124" s="508">
        <v>32547.9</v>
      </c>
      <c r="H124" s="130">
        <v>144314.79999999999</v>
      </c>
      <c r="I124" s="129">
        <f t="shared" si="26"/>
        <v>176862.69999999998</v>
      </c>
      <c r="J124" s="130">
        <v>15839.599999999999</v>
      </c>
      <c r="K124" s="129">
        <v>15786.9</v>
      </c>
      <c r="L124" s="130">
        <f t="shared" si="27"/>
        <v>31626.5</v>
      </c>
      <c r="M124" s="129">
        <f t="shared" si="28"/>
        <v>713781.22499999998</v>
      </c>
      <c r="N124" s="130">
        <v>75089.600000000006</v>
      </c>
      <c r="O124" s="130">
        <f t="shared" si="29"/>
        <v>788870.82499999995</v>
      </c>
    </row>
    <row r="125" spans="1:17" ht="14.25" hidden="1" customHeight="1">
      <c r="A125" s="87" t="s">
        <v>48</v>
      </c>
      <c r="B125" s="1">
        <v>11203.2</v>
      </c>
      <c r="C125" s="508">
        <v>16832.5</v>
      </c>
      <c r="D125" s="130">
        <v>3394.8</v>
      </c>
      <c r="E125" s="508">
        <v>480718.44999999995</v>
      </c>
      <c r="F125" s="130">
        <f t="shared" si="25"/>
        <v>512148.94999999995</v>
      </c>
      <c r="G125" s="508">
        <v>32421.1</v>
      </c>
      <c r="H125" s="130">
        <v>144651</v>
      </c>
      <c r="I125" s="129">
        <f t="shared" si="26"/>
        <v>177072.1</v>
      </c>
      <c r="J125" s="130">
        <v>15979.8</v>
      </c>
      <c r="K125" s="129">
        <v>16348.1</v>
      </c>
      <c r="L125" s="130">
        <f t="shared" si="27"/>
        <v>32327.9</v>
      </c>
      <c r="M125" s="129">
        <f t="shared" si="28"/>
        <v>721548.95</v>
      </c>
      <c r="N125" s="130">
        <v>69632.399999999994</v>
      </c>
      <c r="O125" s="130">
        <f t="shared" si="29"/>
        <v>791181.35</v>
      </c>
    </row>
    <row r="126" spans="1:17" ht="14.25" hidden="1" customHeight="1">
      <c r="A126" s="87" t="s">
        <v>49</v>
      </c>
      <c r="B126" s="1">
        <v>10996.2</v>
      </c>
      <c r="C126" s="508">
        <v>11872.9</v>
      </c>
      <c r="D126" s="130">
        <v>2605.1999999999998</v>
      </c>
      <c r="E126" s="508">
        <v>487169.375</v>
      </c>
      <c r="F126" s="130">
        <f t="shared" si="25"/>
        <v>512643.67499999999</v>
      </c>
      <c r="G126" s="508">
        <v>33176.200000000004</v>
      </c>
      <c r="H126" s="130">
        <v>144992.19999999998</v>
      </c>
      <c r="I126" s="129">
        <f t="shared" si="26"/>
        <v>178168.4</v>
      </c>
      <c r="J126" s="130">
        <v>16220.300000000001</v>
      </c>
      <c r="K126" s="129">
        <v>16272.9</v>
      </c>
      <c r="L126" s="130">
        <f t="shared" si="27"/>
        <v>32493.200000000001</v>
      </c>
      <c r="M126" s="129">
        <f t="shared" si="28"/>
        <v>723305.27499999991</v>
      </c>
      <c r="N126" s="130">
        <v>65538.5</v>
      </c>
      <c r="O126" s="130">
        <f t="shared" si="29"/>
        <v>788843.77499999991</v>
      </c>
    </row>
    <row r="127" spans="1:17" ht="14.25" hidden="1" customHeight="1">
      <c r="A127" s="87" t="s">
        <v>50</v>
      </c>
      <c r="B127" s="1">
        <v>8670.6</v>
      </c>
      <c r="C127" s="508">
        <v>10386.6</v>
      </c>
      <c r="D127" s="130">
        <v>2652.5</v>
      </c>
      <c r="E127" s="508">
        <v>466009.7</v>
      </c>
      <c r="F127" s="130">
        <f t="shared" si="25"/>
        <v>487719.4</v>
      </c>
      <c r="G127" s="508">
        <v>32498.1</v>
      </c>
      <c r="H127" s="130">
        <v>151216.1</v>
      </c>
      <c r="I127" s="129">
        <f t="shared" si="26"/>
        <v>183714.2</v>
      </c>
      <c r="J127" s="130">
        <v>16420.8</v>
      </c>
      <c r="K127" s="129">
        <v>21741.1</v>
      </c>
      <c r="L127" s="130">
        <f t="shared" si="27"/>
        <v>38161.899999999994</v>
      </c>
      <c r="M127" s="129">
        <f t="shared" si="28"/>
        <v>709595.50000000012</v>
      </c>
      <c r="N127" s="130">
        <v>68758.7</v>
      </c>
      <c r="O127" s="130">
        <f t="shared" si="29"/>
        <v>778354.20000000007</v>
      </c>
    </row>
    <row r="128" spans="1:17" ht="14.25" hidden="1" customHeight="1">
      <c r="A128" s="87"/>
      <c r="B128" s="1"/>
      <c r="C128" s="508"/>
      <c r="D128" s="130"/>
      <c r="E128" s="508"/>
      <c r="F128" s="130"/>
      <c r="G128" s="508"/>
      <c r="H128" s="130"/>
      <c r="I128" s="129"/>
      <c r="J128" s="130"/>
      <c r="K128" s="129"/>
      <c r="L128" s="130"/>
      <c r="M128" s="129"/>
      <c r="N128" s="130"/>
      <c r="O128" s="130"/>
    </row>
    <row r="129" spans="1:15" ht="14.25" hidden="1" customHeight="1">
      <c r="A129" s="87" t="s">
        <v>55</v>
      </c>
      <c r="B129" s="1">
        <v>8486.1</v>
      </c>
      <c r="C129" s="508">
        <v>7702.5</v>
      </c>
      <c r="D129" s="130">
        <v>3022.8</v>
      </c>
      <c r="E129" s="508">
        <v>477020.82500000001</v>
      </c>
      <c r="F129" s="130">
        <f t="shared" si="25"/>
        <v>496232.22500000003</v>
      </c>
      <c r="G129" s="508">
        <v>32281.699999999997</v>
      </c>
      <c r="H129" s="130">
        <v>153487.5</v>
      </c>
      <c r="I129" s="129">
        <f t="shared" si="26"/>
        <v>185769.2</v>
      </c>
      <c r="J129" s="130">
        <v>16559.8</v>
      </c>
      <c r="K129" s="129">
        <v>22018.7</v>
      </c>
      <c r="L129" s="130">
        <f t="shared" si="27"/>
        <v>38578.5</v>
      </c>
      <c r="M129" s="129">
        <f t="shared" si="28"/>
        <v>720579.92500000005</v>
      </c>
      <c r="N129" s="130">
        <v>66092.799999999988</v>
      </c>
      <c r="O129" s="130">
        <f t="shared" si="29"/>
        <v>786672.72500000009</v>
      </c>
    </row>
    <row r="130" spans="1:15" ht="14.25" hidden="1" customHeight="1">
      <c r="A130" s="87" t="s">
        <v>40</v>
      </c>
      <c r="B130" s="1">
        <v>8362.9</v>
      </c>
      <c r="C130" s="508">
        <v>6931.0999999999995</v>
      </c>
      <c r="D130" s="130">
        <v>3183.3</v>
      </c>
      <c r="E130" s="508">
        <v>484348.65000000014</v>
      </c>
      <c r="F130" s="130">
        <f t="shared" si="25"/>
        <v>502825.95000000013</v>
      </c>
      <c r="G130" s="508">
        <v>32004.1</v>
      </c>
      <c r="H130" s="130">
        <v>152340</v>
      </c>
      <c r="I130" s="129">
        <f t="shared" si="26"/>
        <v>184344.1</v>
      </c>
      <c r="J130" s="130">
        <v>16745.300000000003</v>
      </c>
      <c r="K130" s="129">
        <v>20504.7</v>
      </c>
      <c r="L130" s="130">
        <f t="shared" si="27"/>
        <v>37250</v>
      </c>
      <c r="M130" s="129">
        <f t="shared" si="28"/>
        <v>724420.05000000016</v>
      </c>
      <c r="N130" s="130">
        <v>63604.599999999991</v>
      </c>
      <c r="O130" s="130">
        <f t="shared" si="29"/>
        <v>788024.65000000014</v>
      </c>
    </row>
    <row r="131" spans="1:15" ht="14.25" hidden="1" customHeight="1">
      <c r="A131" s="87" t="s">
        <v>41</v>
      </c>
      <c r="B131" s="1">
        <v>8387.9</v>
      </c>
      <c r="C131" s="508">
        <v>4756.3</v>
      </c>
      <c r="D131" s="130">
        <v>3363.9</v>
      </c>
      <c r="E131" s="508">
        <v>505347.875</v>
      </c>
      <c r="F131" s="130">
        <f t="shared" si="25"/>
        <v>521855.97499999998</v>
      </c>
      <c r="G131" s="508">
        <v>25974.2</v>
      </c>
      <c r="H131" s="130">
        <v>151275.40000000002</v>
      </c>
      <c r="I131" s="129">
        <f t="shared" si="26"/>
        <v>177249.60000000003</v>
      </c>
      <c r="J131" s="130">
        <v>23163.300000000003</v>
      </c>
      <c r="K131" s="129">
        <v>20180.3</v>
      </c>
      <c r="L131" s="130">
        <f t="shared" si="27"/>
        <v>43343.600000000006</v>
      </c>
      <c r="M131" s="129">
        <f t="shared" si="28"/>
        <v>742449.17499999993</v>
      </c>
      <c r="N131" s="130">
        <v>61326.7</v>
      </c>
      <c r="O131" s="130">
        <f t="shared" si="29"/>
        <v>803775.87499999988</v>
      </c>
    </row>
    <row r="132" spans="1:15" ht="14.25" hidden="1" customHeight="1">
      <c r="A132" s="87" t="s">
        <v>42</v>
      </c>
      <c r="B132" s="1">
        <v>9901.1999999999989</v>
      </c>
      <c r="C132" s="508">
        <v>4460.7999999999993</v>
      </c>
      <c r="D132" s="130">
        <v>3380.1</v>
      </c>
      <c r="E132" s="508">
        <v>498351.3</v>
      </c>
      <c r="F132" s="130">
        <f t="shared" si="25"/>
        <v>516093.39999999997</v>
      </c>
      <c r="G132" s="508">
        <v>26478.9</v>
      </c>
      <c r="H132" s="130">
        <v>155026.39999999997</v>
      </c>
      <c r="I132" s="129">
        <f t="shared" si="26"/>
        <v>181505.29999999996</v>
      </c>
      <c r="J132" s="130">
        <v>23321.200000000001</v>
      </c>
      <c r="K132" s="129">
        <v>22599.599999999999</v>
      </c>
      <c r="L132" s="130">
        <f t="shared" si="27"/>
        <v>45920.800000000003</v>
      </c>
      <c r="M132" s="129">
        <f t="shared" si="28"/>
        <v>743519.5</v>
      </c>
      <c r="N132" s="130">
        <v>72004.099999999991</v>
      </c>
      <c r="O132" s="130">
        <f t="shared" si="29"/>
        <v>815523.6</v>
      </c>
    </row>
    <row r="133" spans="1:15" ht="14.25" hidden="1" customHeight="1">
      <c r="A133" s="87" t="s">
        <v>43</v>
      </c>
      <c r="B133" s="1">
        <v>9649.1</v>
      </c>
      <c r="C133" s="508">
        <v>2951.5</v>
      </c>
      <c r="D133" s="130">
        <v>3297.8</v>
      </c>
      <c r="E133" s="508">
        <v>504373.625</v>
      </c>
      <c r="F133" s="130">
        <f t="shared" ref="F133:F153" si="30">SUM(B133:E133)</f>
        <v>520272.02500000002</v>
      </c>
      <c r="G133" s="508">
        <v>25524.899999999998</v>
      </c>
      <c r="H133" s="130">
        <v>160319.70000000001</v>
      </c>
      <c r="I133" s="129">
        <f t="shared" ref="I133:I153" si="31">SUM(G133:H133)</f>
        <v>185844.6</v>
      </c>
      <c r="J133" s="130">
        <v>23398.1</v>
      </c>
      <c r="K133" s="129">
        <v>18648.199999999997</v>
      </c>
      <c r="L133" s="130">
        <f t="shared" ref="L133:L153" si="32">SUM(J133:K133)</f>
        <v>42046.299999999996</v>
      </c>
      <c r="M133" s="129">
        <f t="shared" ref="M133:M153" si="33">SUM(F133,I133,L133)</f>
        <v>748162.92500000005</v>
      </c>
      <c r="N133" s="130">
        <v>72390.299999999988</v>
      </c>
      <c r="O133" s="130">
        <f t="shared" ref="O133:O153" si="34">SUM(M133:N133)</f>
        <v>820553.22500000009</v>
      </c>
    </row>
    <row r="134" spans="1:15" ht="14.25" hidden="1" customHeight="1">
      <c r="A134" s="87" t="s">
        <v>44</v>
      </c>
      <c r="B134" s="1">
        <v>9775.7999999999993</v>
      </c>
      <c r="C134" s="508">
        <v>2280.5</v>
      </c>
      <c r="D134" s="130">
        <v>3173.9</v>
      </c>
      <c r="E134" s="508">
        <v>510966.35</v>
      </c>
      <c r="F134" s="130">
        <f t="shared" si="30"/>
        <v>526196.54999999993</v>
      </c>
      <c r="G134" s="508">
        <v>28097.200000000001</v>
      </c>
      <c r="H134" s="130">
        <v>165588.6</v>
      </c>
      <c r="I134" s="129">
        <f t="shared" si="31"/>
        <v>193685.80000000002</v>
      </c>
      <c r="J134" s="130">
        <v>17596.900000000001</v>
      </c>
      <c r="K134" s="129">
        <v>18410.899999999998</v>
      </c>
      <c r="L134" s="130">
        <f t="shared" si="32"/>
        <v>36007.800000000003</v>
      </c>
      <c r="M134" s="129">
        <f t="shared" si="33"/>
        <v>755890.15</v>
      </c>
      <c r="N134" s="130">
        <v>72301.200000000012</v>
      </c>
      <c r="O134" s="130">
        <f t="shared" si="34"/>
        <v>828191.35000000009</v>
      </c>
    </row>
    <row r="135" spans="1:15" ht="14.25" hidden="1" customHeight="1">
      <c r="A135" s="87" t="s">
        <v>45</v>
      </c>
      <c r="B135" s="1">
        <v>9798.5</v>
      </c>
      <c r="C135" s="508">
        <v>4954</v>
      </c>
      <c r="D135" s="130">
        <v>3021.5</v>
      </c>
      <c r="E135" s="508">
        <v>494401.50833333336</v>
      </c>
      <c r="F135" s="130">
        <f t="shared" si="30"/>
        <v>512175.50833333336</v>
      </c>
      <c r="G135" s="508">
        <v>28656.799999999999</v>
      </c>
      <c r="H135" s="130">
        <v>185594.60000000003</v>
      </c>
      <c r="I135" s="129">
        <f t="shared" si="31"/>
        <v>214251.40000000002</v>
      </c>
      <c r="J135" s="130">
        <v>17622.5</v>
      </c>
      <c r="K135" s="129">
        <v>24649.899999999998</v>
      </c>
      <c r="L135" s="130">
        <f t="shared" si="32"/>
        <v>42272.399999999994</v>
      </c>
      <c r="M135" s="129">
        <f t="shared" si="33"/>
        <v>768699.30833333347</v>
      </c>
      <c r="N135" s="130">
        <v>69137.399999999994</v>
      </c>
      <c r="O135" s="130">
        <f t="shared" si="34"/>
        <v>837836.70833333349</v>
      </c>
    </row>
    <row r="136" spans="1:15" ht="14.25" hidden="1" customHeight="1">
      <c r="A136" s="87" t="s">
        <v>46</v>
      </c>
      <c r="B136" s="1">
        <v>10186.200000000001</v>
      </c>
      <c r="C136" s="508">
        <v>7259.2000000000007</v>
      </c>
      <c r="D136" s="130">
        <v>3298.3</v>
      </c>
      <c r="E136" s="508">
        <v>498958.26666666666</v>
      </c>
      <c r="F136" s="130">
        <f t="shared" si="30"/>
        <v>519701.96666666667</v>
      </c>
      <c r="G136" s="508">
        <v>28811.3</v>
      </c>
      <c r="H136" s="130">
        <v>184959.90000000002</v>
      </c>
      <c r="I136" s="129">
        <f t="shared" si="31"/>
        <v>213771.2</v>
      </c>
      <c r="J136" s="130">
        <v>20067.199999999997</v>
      </c>
      <c r="K136" s="129">
        <v>18835.900000000001</v>
      </c>
      <c r="L136" s="130">
        <f t="shared" si="32"/>
        <v>38903.1</v>
      </c>
      <c r="M136" s="129">
        <f t="shared" si="33"/>
        <v>772376.26666666672</v>
      </c>
      <c r="N136" s="130">
        <v>68175.899999999994</v>
      </c>
      <c r="O136" s="130">
        <f t="shared" si="34"/>
        <v>840552.16666666674</v>
      </c>
    </row>
    <row r="137" spans="1:15" ht="14.25" hidden="1" customHeight="1">
      <c r="A137" s="87" t="s">
        <v>47</v>
      </c>
      <c r="B137" s="1">
        <v>10368.299999999999</v>
      </c>
      <c r="C137" s="508">
        <v>10040.700000000001</v>
      </c>
      <c r="D137" s="130">
        <v>3400.7</v>
      </c>
      <c r="E137" s="508">
        <v>505996.62499999994</v>
      </c>
      <c r="F137" s="130">
        <f t="shared" si="30"/>
        <v>529806.32499999995</v>
      </c>
      <c r="G137" s="508">
        <v>29023.8</v>
      </c>
      <c r="H137" s="130">
        <v>180069.5</v>
      </c>
      <c r="I137" s="129">
        <f t="shared" si="31"/>
        <v>209093.3</v>
      </c>
      <c r="J137" s="130">
        <v>23371.599999999999</v>
      </c>
      <c r="K137" s="129">
        <v>28211.800000000003</v>
      </c>
      <c r="L137" s="130">
        <f t="shared" si="32"/>
        <v>51583.4</v>
      </c>
      <c r="M137" s="129">
        <f t="shared" si="33"/>
        <v>790483.02500000002</v>
      </c>
      <c r="N137" s="130">
        <v>77369.2</v>
      </c>
      <c r="O137" s="130">
        <f t="shared" si="34"/>
        <v>867852.22499999998</v>
      </c>
    </row>
    <row r="138" spans="1:15" ht="14.25" hidden="1" customHeight="1">
      <c r="A138" s="87" t="s">
        <v>48</v>
      </c>
      <c r="B138" s="1">
        <v>10325.5</v>
      </c>
      <c r="C138" s="508">
        <v>8334.1</v>
      </c>
      <c r="D138" s="130">
        <v>2815.9</v>
      </c>
      <c r="E138" s="508">
        <v>500359.38333333336</v>
      </c>
      <c r="F138" s="130">
        <f t="shared" si="30"/>
        <v>521834.88333333336</v>
      </c>
      <c r="G138" s="508">
        <v>26375.299999999996</v>
      </c>
      <c r="H138" s="130">
        <v>183755.7</v>
      </c>
      <c r="I138" s="129">
        <f t="shared" si="31"/>
        <v>210131</v>
      </c>
      <c r="J138" s="130">
        <v>20877.699999999997</v>
      </c>
      <c r="K138" s="129">
        <v>32375.999999999996</v>
      </c>
      <c r="L138" s="130">
        <f t="shared" si="32"/>
        <v>53253.7</v>
      </c>
      <c r="M138" s="129">
        <f t="shared" si="33"/>
        <v>785219.58333333326</v>
      </c>
      <c r="N138" s="130">
        <v>72657.700000000012</v>
      </c>
      <c r="O138" s="130">
        <f t="shared" si="34"/>
        <v>857877.28333333321</v>
      </c>
    </row>
    <row r="139" spans="1:15" ht="14.25" hidden="1" customHeight="1">
      <c r="A139" s="87" t="s">
        <v>49</v>
      </c>
      <c r="B139" s="1">
        <v>31152.799999999996</v>
      </c>
      <c r="C139" s="508">
        <v>7732.5</v>
      </c>
      <c r="D139" s="130">
        <v>2608.4</v>
      </c>
      <c r="E139" s="508">
        <v>479854.24166666676</v>
      </c>
      <c r="F139" s="130">
        <f t="shared" si="30"/>
        <v>521347.94166666677</v>
      </c>
      <c r="G139" s="508">
        <v>28276.3</v>
      </c>
      <c r="H139" s="130">
        <v>179282.19999999998</v>
      </c>
      <c r="I139" s="129">
        <f t="shared" si="31"/>
        <v>207558.49999999997</v>
      </c>
      <c r="J139" s="130">
        <v>19805.399999999998</v>
      </c>
      <c r="K139" s="129">
        <v>34175.5</v>
      </c>
      <c r="L139" s="130">
        <f t="shared" si="32"/>
        <v>53980.899999999994</v>
      </c>
      <c r="M139" s="129">
        <f t="shared" si="33"/>
        <v>782887.34166666679</v>
      </c>
      <c r="N139" s="130">
        <v>72528.900000000009</v>
      </c>
      <c r="O139" s="130">
        <f t="shared" si="34"/>
        <v>855416.24166666681</v>
      </c>
    </row>
    <row r="140" spans="1:15" ht="14.25" hidden="1" customHeight="1">
      <c r="A140" s="87" t="s">
        <v>50</v>
      </c>
      <c r="B140" s="1">
        <v>27883.9</v>
      </c>
      <c r="C140" s="508">
        <v>6959.0999999999995</v>
      </c>
      <c r="D140" s="130">
        <v>3893.5</v>
      </c>
      <c r="E140" s="508">
        <v>474569.70000000007</v>
      </c>
      <c r="F140" s="130">
        <f t="shared" si="30"/>
        <v>513306.20000000007</v>
      </c>
      <c r="G140" s="508">
        <v>27499.200000000004</v>
      </c>
      <c r="H140" s="130">
        <v>182002.60000000003</v>
      </c>
      <c r="I140" s="129">
        <f t="shared" si="31"/>
        <v>209501.80000000005</v>
      </c>
      <c r="J140" s="130">
        <v>19923.2</v>
      </c>
      <c r="K140" s="129">
        <v>35392.1</v>
      </c>
      <c r="L140" s="130">
        <f t="shared" si="32"/>
        <v>55315.3</v>
      </c>
      <c r="M140" s="129">
        <f t="shared" si="33"/>
        <v>778123.30000000016</v>
      </c>
      <c r="N140" s="130">
        <v>86828.200000000012</v>
      </c>
      <c r="O140" s="130">
        <f t="shared" si="34"/>
        <v>864951.50000000023</v>
      </c>
    </row>
    <row r="141" spans="1:15" ht="14.25" hidden="1" customHeight="1">
      <c r="A141" s="222"/>
      <c r="B141" s="1"/>
      <c r="C141" s="508"/>
      <c r="D141" s="130"/>
      <c r="E141" s="508"/>
      <c r="F141" s="130"/>
      <c r="G141" s="508"/>
      <c r="H141" s="130"/>
      <c r="I141" s="129"/>
      <c r="J141" s="130"/>
      <c r="K141" s="129"/>
      <c r="L141" s="130"/>
      <c r="M141" s="129"/>
      <c r="N141" s="130"/>
      <c r="O141" s="130"/>
    </row>
    <row r="142" spans="1:15" ht="14.25" hidden="1" customHeight="1">
      <c r="A142" s="87" t="s">
        <v>54</v>
      </c>
      <c r="B142" s="1">
        <v>24652.7</v>
      </c>
      <c r="C142" s="508">
        <v>4917.4000000000005</v>
      </c>
      <c r="D142" s="130">
        <v>2491.5</v>
      </c>
      <c r="E142" s="508">
        <v>485224.25833333324</v>
      </c>
      <c r="F142" s="130">
        <f t="shared" si="30"/>
        <v>517285.85833333322</v>
      </c>
      <c r="G142" s="508">
        <v>27565</v>
      </c>
      <c r="H142" s="130">
        <v>184059.59999999998</v>
      </c>
      <c r="I142" s="129">
        <f t="shared" si="31"/>
        <v>211624.59999999998</v>
      </c>
      <c r="J142" s="130">
        <v>19961</v>
      </c>
      <c r="K142" s="129">
        <v>34997.200000000004</v>
      </c>
      <c r="L142" s="130">
        <f t="shared" si="32"/>
        <v>54958.200000000004</v>
      </c>
      <c r="M142" s="129">
        <f t="shared" si="33"/>
        <v>783868.65833333321</v>
      </c>
      <c r="N142" s="130">
        <v>81923.3</v>
      </c>
      <c r="O142" s="130">
        <f t="shared" si="34"/>
        <v>865791.95833333326</v>
      </c>
    </row>
    <row r="143" spans="1:15" ht="14.25" hidden="1" customHeight="1">
      <c r="A143" s="87" t="s">
        <v>40</v>
      </c>
      <c r="B143" s="1">
        <v>27441.5</v>
      </c>
      <c r="C143" s="508">
        <v>4616</v>
      </c>
      <c r="D143" s="130">
        <v>2547.5</v>
      </c>
      <c r="E143" s="508">
        <v>490034.11666666664</v>
      </c>
      <c r="F143" s="130">
        <f t="shared" si="30"/>
        <v>524639.1166666667</v>
      </c>
      <c r="G143" s="508">
        <v>27067.700000000004</v>
      </c>
      <c r="H143" s="130">
        <v>179935</v>
      </c>
      <c r="I143" s="129">
        <f t="shared" si="31"/>
        <v>207002.7</v>
      </c>
      <c r="J143" s="130">
        <v>20374.400000000001</v>
      </c>
      <c r="K143" s="129">
        <v>34584.1</v>
      </c>
      <c r="L143" s="130">
        <f t="shared" si="32"/>
        <v>54958.5</v>
      </c>
      <c r="M143" s="129">
        <f t="shared" si="33"/>
        <v>786600.31666666665</v>
      </c>
      <c r="N143" s="130">
        <v>91046.700000000012</v>
      </c>
      <c r="O143" s="130">
        <f t="shared" si="34"/>
        <v>877647.0166666666</v>
      </c>
    </row>
    <row r="144" spans="1:15" ht="14.25" hidden="1" customHeight="1">
      <c r="A144" s="87" t="s">
        <v>41</v>
      </c>
      <c r="B144" s="1">
        <v>29163.899999999998</v>
      </c>
      <c r="C144" s="508">
        <v>3429.7000000000003</v>
      </c>
      <c r="D144" s="130">
        <v>2473.4</v>
      </c>
      <c r="E144" s="508">
        <v>493722.07500000007</v>
      </c>
      <c r="F144" s="130">
        <f t="shared" si="30"/>
        <v>528789.07500000007</v>
      </c>
      <c r="G144" s="508">
        <v>27124.3</v>
      </c>
      <c r="H144" s="130">
        <v>176360.3</v>
      </c>
      <c r="I144" s="129">
        <f t="shared" si="31"/>
        <v>203484.59999999998</v>
      </c>
      <c r="J144" s="130">
        <v>20450.199999999997</v>
      </c>
      <c r="K144" s="129">
        <v>33467.5</v>
      </c>
      <c r="L144" s="130">
        <f t="shared" si="32"/>
        <v>53917.7</v>
      </c>
      <c r="M144" s="129">
        <f t="shared" si="33"/>
        <v>786191.375</v>
      </c>
      <c r="N144" s="130">
        <v>87233.2</v>
      </c>
      <c r="O144" s="130">
        <f t="shared" si="34"/>
        <v>873424.57499999995</v>
      </c>
    </row>
    <row r="145" spans="1:15" ht="14.25" hidden="1" customHeight="1">
      <c r="A145" s="87" t="s">
        <v>42</v>
      </c>
      <c r="B145" s="1">
        <v>29706.799999999996</v>
      </c>
      <c r="C145" s="508">
        <v>3442.8</v>
      </c>
      <c r="D145" s="130">
        <v>2313.6</v>
      </c>
      <c r="E145" s="508">
        <v>493844.83333333331</v>
      </c>
      <c r="F145" s="130">
        <f t="shared" si="30"/>
        <v>529308.03333333333</v>
      </c>
      <c r="G145" s="508">
        <v>26811</v>
      </c>
      <c r="H145" s="130">
        <v>174259.9</v>
      </c>
      <c r="I145" s="129">
        <f t="shared" si="31"/>
        <v>201070.9</v>
      </c>
      <c r="J145" s="130">
        <v>20539.800000000003</v>
      </c>
      <c r="K145" s="129">
        <v>36459.4</v>
      </c>
      <c r="L145" s="130">
        <f t="shared" si="32"/>
        <v>56999.200000000004</v>
      </c>
      <c r="M145" s="129">
        <f t="shared" si="33"/>
        <v>787378.1333333333</v>
      </c>
      <c r="N145" s="130">
        <v>82881.7</v>
      </c>
      <c r="O145" s="130">
        <f t="shared" si="34"/>
        <v>870259.83333333326</v>
      </c>
    </row>
    <row r="146" spans="1:15" ht="14.25" hidden="1" customHeight="1">
      <c r="A146" s="87" t="s">
        <v>43</v>
      </c>
      <c r="B146" s="1">
        <v>29348.1</v>
      </c>
      <c r="C146" s="508">
        <v>6125.6</v>
      </c>
      <c r="D146" s="130">
        <v>2862.7</v>
      </c>
      <c r="E146" s="508">
        <v>490855.09166666667</v>
      </c>
      <c r="F146" s="130">
        <f t="shared" si="30"/>
        <v>529191.4916666667</v>
      </c>
      <c r="G146" s="508">
        <v>27127.4</v>
      </c>
      <c r="H146" s="130">
        <v>178115.80000000002</v>
      </c>
      <c r="I146" s="129">
        <f t="shared" si="31"/>
        <v>205243.2</v>
      </c>
      <c r="J146" s="130">
        <v>21800.5</v>
      </c>
      <c r="K146" s="129">
        <v>37840</v>
      </c>
      <c r="L146" s="130">
        <f t="shared" si="32"/>
        <v>59640.5</v>
      </c>
      <c r="M146" s="129">
        <f t="shared" si="33"/>
        <v>794075.19166666665</v>
      </c>
      <c r="N146" s="130">
        <v>82500.5</v>
      </c>
      <c r="O146" s="130">
        <f t="shared" si="34"/>
        <v>876575.69166666665</v>
      </c>
    </row>
    <row r="147" spans="1:15" ht="14.25" hidden="1" customHeight="1">
      <c r="A147" s="87" t="s">
        <v>44</v>
      </c>
      <c r="B147" s="1">
        <v>29476.400000000001</v>
      </c>
      <c r="C147" s="508">
        <v>8897.7999999999993</v>
      </c>
      <c r="D147" s="130">
        <v>2762.2</v>
      </c>
      <c r="E147" s="508">
        <v>505269.05</v>
      </c>
      <c r="F147" s="130">
        <f t="shared" si="30"/>
        <v>546405.44999999995</v>
      </c>
      <c r="G147" s="508">
        <v>27046.1</v>
      </c>
      <c r="H147" s="130">
        <v>177298.6</v>
      </c>
      <c r="I147" s="129">
        <f t="shared" si="31"/>
        <v>204344.7</v>
      </c>
      <c r="J147" s="130">
        <v>24684.999999999996</v>
      </c>
      <c r="K147" s="129">
        <v>43095.199999999997</v>
      </c>
      <c r="L147" s="130">
        <f t="shared" si="32"/>
        <v>67780.2</v>
      </c>
      <c r="M147" s="129">
        <f t="shared" si="33"/>
        <v>818530.34999999986</v>
      </c>
      <c r="N147" s="130">
        <v>84208.6</v>
      </c>
      <c r="O147" s="130">
        <f t="shared" si="34"/>
        <v>902738.94999999984</v>
      </c>
    </row>
    <row r="148" spans="1:15" ht="14.25" hidden="1" customHeight="1">
      <c r="A148" s="87" t="s">
        <v>45</v>
      </c>
      <c r="B148" s="1">
        <v>11392</v>
      </c>
      <c r="C148" s="508">
        <v>17144.100000000002</v>
      </c>
      <c r="D148" s="130">
        <v>2940.2</v>
      </c>
      <c r="E148" s="508">
        <v>493378.99166666664</v>
      </c>
      <c r="F148" s="130">
        <f t="shared" si="30"/>
        <v>524855.29166666663</v>
      </c>
      <c r="G148" s="508">
        <v>27127.200000000001</v>
      </c>
      <c r="H148" s="130">
        <v>195093.7</v>
      </c>
      <c r="I148" s="129">
        <f t="shared" si="31"/>
        <v>222220.90000000002</v>
      </c>
      <c r="J148" s="130">
        <v>21335.9</v>
      </c>
      <c r="K148" s="129">
        <v>62848.7</v>
      </c>
      <c r="L148" s="130">
        <f t="shared" si="32"/>
        <v>84184.6</v>
      </c>
      <c r="M148" s="129">
        <f t="shared" si="33"/>
        <v>831260.79166666663</v>
      </c>
      <c r="N148" s="130">
        <v>63391.5</v>
      </c>
      <c r="O148" s="130">
        <f t="shared" si="34"/>
        <v>894652.29166666663</v>
      </c>
    </row>
    <row r="149" spans="1:15" ht="14.25" hidden="1" customHeight="1">
      <c r="A149" s="87" t="s">
        <v>46</v>
      </c>
      <c r="B149" s="1">
        <v>11215.3</v>
      </c>
      <c r="C149" s="508">
        <v>14401.300000000001</v>
      </c>
      <c r="D149" s="130">
        <v>3251.5</v>
      </c>
      <c r="E149" s="508">
        <v>522631.67777777772</v>
      </c>
      <c r="F149" s="130">
        <f t="shared" si="30"/>
        <v>551499.77777777775</v>
      </c>
      <c r="G149" s="508">
        <v>28076.6</v>
      </c>
      <c r="H149" s="130">
        <v>182298.2</v>
      </c>
      <c r="I149" s="129">
        <f t="shared" si="31"/>
        <v>210374.80000000002</v>
      </c>
      <c r="J149" s="130">
        <v>21664.199999999997</v>
      </c>
      <c r="K149" s="129">
        <v>64787.700000000004</v>
      </c>
      <c r="L149" s="130">
        <f t="shared" si="32"/>
        <v>86451.9</v>
      </c>
      <c r="M149" s="129">
        <f t="shared" si="33"/>
        <v>848326.47777777782</v>
      </c>
      <c r="N149" s="130">
        <v>103931.1</v>
      </c>
      <c r="O149" s="130">
        <f t="shared" si="34"/>
        <v>952257.5777777778</v>
      </c>
    </row>
    <row r="150" spans="1:15" ht="14.25" hidden="1" customHeight="1">
      <c r="A150" s="87" t="s">
        <v>47</v>
      </c>
      <c r="B150" s="1">
        <v>12049</v>
      </c>
      <c r="C150" s="508">
        <v>9326.7999999999993</v>
      </c>
      <c r="D150" s="130">
        <v>2205</v>
      </c>
      <c r="E150" s="508">
        <v>521714.68611111102</v>
      </c>
      <c r="F150" s="130">
        <f t="shared" si="30"/>
        <v>545295.48611111101</v>
      </c>
      <c r="G150" s="508">
        <v>28163.9</v>
      </c>
      <c r="H150" s="130">
        <v>177514</v>
      </c>
      <c r="I150" s="129">
        <f t="shared" si="31"/>
        <v>205677.9</v>
      </c>
      <c r="J150" s="130">
        <v>22031.600000000002</v>
      </c>
      <c r="K150" s="129">
        <v>69409.600000000006</v>
      </c>
      <c r="L150" s="130">
        <f t="shared" si="32"/>
        <v>91441.200000000012</v>
      </c>
      <c r="M150" s="129">
        <f t="shared" si="33"/>
        <v>842414.5861111111</v>
      </c>
      <c r="N150" s="130">
        <v>83066</v>
      </c>
      <c r="O150" s="130">
        <f t="shared" si="34"/>
        <v>925480.5861111111</v>
      </c>
    </row>
    <row r="151" spans="1:15" ht="14.25" hidden="1" customHeight="1">
      <c r="A151" s="87" t="s">
        <v>48</v>
      </c>
      <c r="B151" s="1">
        <v>13123.3</v>
      </c>
      <c r="C151" s="508">
        <v>5299.8</v>
      </c>
      <c r="D151" s="130">
        <v>3600.4</v>
      </c>
      <c r="E151" s="508">
        <v>523103.94259259256</v>
      </c>
      <c r="F151" s="130">
        <f t="shared" si="30"/>
        <v>545127.44259259256</v>
      </c>
      <c r="G151" s="508">
        <v>20182.400000000001</v>
      </c>
      <c r="H151" s="130">
        <v>177154.6</v>
      </c>
      <c r="I151" s="129">
        <f t="shared" si="31"/>
        <v>197337</v>
      </c>
      <c r="J151" s="130">
        <v>32212.300000000003</v>
      </c>
      <c r="K151" s="129">
        <v>71879.199999999997</v>
      </c>
      <c r="L151" s="130">
        <f t="shared" si="32"/>
        <v>104091.5</v>
      </c>
      <c r="M151" s="129">
        <f t="shared" si="33"/>
        <v>846555.94259259256</v>
      </c>
      <c r="N151" s="130">
        <v>87831.2</v>
      </c>
      <c r="O151" s="130">
        <f t="shared" si="34"/>
        <v>934387.14259259251</v>
      </c>
    </row>
    <row r="152" spans="1:15" ht="14.25" hidden="1" customHeight="1">
      <c r="A152" s="87" t="s">
        <v>49</v>
      </c>
      <c r="B152" s="1">
        <v>13482.5</v>
      </c>
      <c r="C152" s="508">
        <v>2124.3999999999996</v>
      </c>
      <c r="D152" s="130">
        <v>5206.4000000000005</v>
      </c>
      <c r="E152" s="508">
        <v>520401.36450617289</v>
      </c>
      <c r="F152" s="130">
        <f t="shared" si="30"/>
        <v>541214.66450617288</v>
      </c>
      <c r="G152" s="508">
        <v>20347.8</v>
      </c>
      <c r="H152" s="130">
        <v>185413.40000000002</v>
      </c>
      <c r="I152" s="129">
        <f t="shared" si="31"/>
        <v>205761.2</v>
      </c>
      <c r="J152" s="130">
        <v>32884.699999999997</v>
      </c>
      <c r="K152" s="129">
        <v>75042.599999999991</v>
      </c>
      <c r="L152" s="130">
        <f t="shared" si="32"/>
        <v>107927.29999999999</v>
      </c>
      <c r="M152" s="129">
        <f t="shared" si="33"/>
        <v>854903.16450617299</v>
      </c>
      <c r="N152" s="130">
        <v>100417.2</v>
      </c>
      <c r="O152" s="130">
        <f t="shared" si="34"/>
        <v>955320.36450617295</v>
      </c>
    </row>
    <row r="153" spans="1:15" ht="14.25" hidden="1" customHeight="1">
      <c r="A153" s="87" t="s">
        <v>50</v>
      </c>
      <c r="B153" s="1">
        <v>14479.800000000001</v>
      </c>
      <c r="C153" s="508">
        <v>1179.5999999999999</v>
      </c>
      <c r="D153" s="130">
        <v>5745.1</v>
      </c>
      <c r="E153" s="508">
        <v>530683.6</v>
      </c>
      <c r="F153" s="130">
        <f t="shared" si="30"/>
        <v>552088.1</v>
      </c>
      <c r="G153" s="508">
        <v>20459.5</v>
      </c>
      <c r="H153" s="130">
        <v>192646.5</v>
      </c>
      <c r="I153" s="129">
        <f t="shared" si="31"/>
        <v>213106</v>
      </c>
      <c r="J153" s="130">
        <v>32849.9</v>
      </c>
      <c r="K153" s="129">
        <v>71698.200000000012</v>
      </c>
      <c r="L153" s="130">
        <f t="shared" si="32"/>
        <v>104548.1</v>
      </c>
      <c r="M153" s="129">
        <f t="shared" si="33"/>
        <v>869742.2</v>
      </c>
      <c r="N153" s="130">
        <v>90359.4</v>
      </c>
      <c r="O153" s="130">
        <f t="shared" si="34"/>
        <v>960101.6</v>
      </c>
    </row>
    <row r="154" spans="1:15" ht="14.25" hidden="1" customHeight="1">
      <c r="A154" s="87"/>
      <c r="B154" s="1"/>
      <c r="C154" s="508"/>
      <c r="D154" s="130"/>
      <c r="E154" s="508"/>
      <c r="F154" s="130"/>
      <c r="G154" s="508"/>
      <c r="H154" s="130"/>
      <c r="I154" s="129"/>
      <c r="J154" s="130"/>
      <c r="K154" s="129"/>
      <c r="L154" s="130"/>
      <c r="M154" s="129"/>
      <c r="N154" s="130"/>
      <c r="O154" s="130"/>
    </row>
    <row r="155" spans="1:15" ht="14.25" hidden="1" customHeight="1">
      <c r="A155" s="87" t="s">
        <v>51</v>
      </c>
      <c r="B155" s="1">
        <v>14978.7</v>
      </c>
      <c r="C155" s="508">
        <v>805</v>
      </c>
      <c r="D155" s="130">
        <v>3290.4</v>
      </c>
      <c r="E155" s="508">
        <v>523888.69999999995</v>
      </c>
      <c r="F155" s="130">
        <f t="shared" ref="F155:F166" si="35">SUM(B155:E155)</f>
        <v>542962.79999999993</v>
      </c>
      <c r="G155" s="508">
        <v>20324.600000000002</v>
      </c>
      <c r="H155" s="130">
        <v>193755.59999999998</v>
      </c>
      <c r="I155" s="129">
        <f t="shared" ref="I155:I166" si="36">SUM(G155:H155)</f>
        <v>214080.19999999998</v>
      </c>
      <c r="J155" s="130">
        <v>33109.9</v>
      </c>
      <c r="K155" s="129">
        <v>69865.400000000009</v>
      </c>
      <c r="L155" s="130">
        <f t="shared" ref="L155:L166" si="37">SUM(J155:K155)</f>
        <v>102975.30000000002</v>
      </c>
      <c r="M155" s="129">
        <f t="shared" ref="M155:M166" si="38">SUM(F155,I155,L155)</f>
        <v>860018.29999999993</v>
      </c>
      <c r="N155" s="130">
        <v>82322.7</v>
      </c>
      <c r="O155" s="130">
        <f t="shared" ref="O155:O166" si="39">SUM(M155:N155)</f>
        <v>942340.99999999988</v>
      </c>
    </row>
    <row r="156" spans="1:15" ht="14.25" hidden="1" customHeight="1">
      <c r="A156" s="87" t="s">
        <v>52</v>
      </c>
      <c r="B156" s="1">
        <v>16868.7</v>
      </c>
      <c r="C156" s="508">
        <v>802.4</v>
      </c>
      <c r="D156" s="130">
        <v>2478.1</v>
      </c>
      <c r="E156" s="508">
        <v>519555</v>
      </c>
      <c r="F156" s="130">
        <f t="shared" si="35"/>
        <v>539704.19999999995</v>
      </c>
      <c r="G156" s="508">
        <v>19904.3</v>
      </c>
      <c r="H156" s="130">
        <v>191955.90000000002</v>
      </c>
      <c r="I156" s="129">
        <f t="shared" si="36"/>
        <v>211860.2</v>
      </c>
      <c r="J156" s="130">
        <v>34558</v>
      </c>
      <c r="K156" s="129">
        <v>65448.1</v>
      </c>
      <c r="L156" s="130">
        <f t="shared" si="37"/>
        <v>100006.1</v>
      </c>
      <c r="M156" s="129">
        <f t="shared" si="38"/>
        <v>851570.49999999988</v>
      </c>
      <c r="N156" s="130">
        <v>75041.899999999994</v>
      </c>
      <c r="O156" s="130">
        <f t="shared" si="39"/>
        <v>926612.39999999991</v>
      </c>
    </row>
    <row r="157" spans="1:15" ht="14.25" hidden="1" customHeight="1">
      <c r="A157" s="87" t="s">
        <v>53</v>
      </c>
      <c r="B157" s="1">
        <v>17593.900000000001</v>
      </c>
      <c r="C157" s="508">
        <v>948</v>
      </c>
      <c r="D157" s="130">
        <v>2852.2</v>
      </c>
      <c r="E157" s="508">
        <v>523801.1</v>
      </c>
      <c r="F157" s="130">
        <f t="shared" si="35"/>
        <v>545195.19999999995</v>
      </c>
      <c r="G157" s="508">
        <v>19733.3</v>
      </c>
      <c r="H157" s="130">
        <v>198106</v>
      </c>
      <c r="I157" s="129">
        <f t="shared" si="36"/>
        <v>217839.3</v>
      </c>
      <c r="J157" s="130">
        <v>34738.799999999996</v>
      </c>
      <c r="K157" s="129">
        <v>64074.9</v>
      </c>
      <c r="L157" s="130">
        <f t="shared" si="37"/>
        <v>98813.7</v>
      </c>
      <c r="M157" s="129">
        <f t="shared" si="38"/>
        <v>861848.2</v>
      </c>
      <c r="N157" s="130">
        <v>78483.100000000006</v>
      </c>
      <c r="O157" s="130">
        <f t="shared" si="39"/>
        <v>940331.29999999993</v>
      </c>
    </row>
    <row r="158" spans="1:15" ht="14.25" hidden="1" customHeight="1">
      <c r="A158" s="87" t="s">
        <v>603</v>
      </c>
      <c r="B158" s="1">
        <v>19446.199999999997</v>
      </c>
      <c r="C158" s="508">
        <v>6028.7</v>
      </c>
      <c r="D158" s="130">
        <v>2742.9</v>
      </c>
      <c r="E158" s="508">
        <v>528455.6</v>
      </c>
      <c r="F158" s="130">
        <f t="shared" si="35"/>
        <v>556673.4</v>
      </c>
      <c r="G158" s="508">
        <v>19426.899999999998</v>
      </c>
      <c r="H158" s="130">
        <v>203114.7</v>
      </c>
      <c r="I158" s="129">
        <f t="shared" si="36"/>
        <v>222541.6</v>
      </c>
      <c r="J158" s="130">
        <v>35368.199999999997</v>
      </c>
      <c r="K158" s="129">
        <v>65598.099999999991</v>
      </c>
      <c r="L158" s="130">
        <f t="shared" si="37"/>
        <v>100966.29999999999</v>
      </c>
      <c r="M158" s="129">
        <f t="shared" si="38"/>
        <v>880181.3</v>
      </c>
      <c r="N158" s="130">
        <v>63454.5</v>
      </c>
      <c r="O158" s="130">
        <f t="shared" si="39"/>
        <v>943635.8</v>
      </c>
    </row>
    <row r="159" spans="1:15" ht="14.25" hidden="1" customHeight="1">
      <c r="A159" s="87" t="s">
        <v>612</v>
      </c>
      <c r="B159" s="1">
        <v>18267</v>
      </c>
      <c r="C159" s="508">
        <v>12004.200000000003</v>
      </c>
      <c r="D159" s="130">
        <v>4722.1000000000004</v>
      </c>
      <c r="E159" s="508">
        <v>523243.7</v>
      </c>
      <c r="F159" s="130">
        <f t="shared" si="35"/>
        <v>558237</v>
      </c>
      <c r="G159" s="508">
        <v>19287.300000000003</v>
      </c>
      <c r="H159" s="130">
        <v>204358.89999999997</v>
      </c>
      <c r="I159" s="129">
        <f t="shared" si="36"/>
        <v>223646.19999999995</v>
      </c>
      <c r="J159" s="130">
        <v>35226.9</v>
      </c>
      <c r="K159" s="129">
        <v>68235.899999999994</v>
      </c>
      <c r="L159" s="130">
        <f t="shared" si="37"/>
        <v>103462.79999999999</v>
      </c>
      <c r="M159" s="129">
        <f t="shared" si="38"/>
        <v>885346</v>
      </c>
      <c r="N159" s="130">
        <v>58533.2</v>
      </c>
      <c r="O159" s="130">
        <f t="shared" si="39"/>
        <v>943879.2</v>
      </c>
    </row>
    <row r="160" spans="1:15" ht="14.25" hidden="1" customHeight="1">
      <c r="A160" s="87" t="s">
        <v>44</v>
      </c>
      <c r="B160" s="1">
        <v>17841.100000000002</v>
      </c>
      <c r="C160" s="508">
        <v>16301.600000000002</v>
      </c>
      <c r="D160" s="130">
        <v>5054.2000000000007</v>
      </c>
      <c r="E160" s="508">
        <v>527814.5</v>
      </c>
      <c r="F160" s="130">
        <f t="shared" si="35"/>
        <v>567011.4</v>
      </c>
      <c r="G160" s="508">
        <v>18397.8</v>
      </c>
      <c r="H160" s="130">
        <v>194241.8</v>
      </c>
      <c r="I160" s="129">
        <f t="shared" si="36"/>
        <v>212639.59999999998</v>
      </c>
      <c r="J160" s="130">
        <v>35141.1</v>
      </c>
      <c r="K160" s="129">
        <v>69475.3</v>
      </c>
      <c r="L160" s="130">
        <f t="shared" si="37"/>
        <v>104616.4</v>
      </c>
      <c r="M160" s="129">
        <f t="shared" si="38"/>
        <v>884267.4</v>
      </c>
      <c r="N160" s="130">
        <v>77819</v>
      </c>
      <c r="O160" s="130">
        <f t="shared" si="39"/>
        <v>962086.40000000002</v>
      </c>
    </row>
    <row r="161" spans="1:15" ht="14.25" hidden="1" customHeight="1">
      <c r="A161" s="87" t="s">
        <v>617</v>
      </c>
      <c r="B161" s="1">
        <v>17053.900000000001</v>
      </c>
      <c r="C161" s="508">
        <v>19153.599999999999</v>
      </c>
      <c r="D161" s="130">
        <v>4536.4000000000005</v>
      </c>
      <c r="E161" s="508">
        <v>531845.58333333326</v>
      </c>
      <c r="F161" s="130">
        <f t="shared" si="35"/>
        <v>572589.48333333328</v>
      </c>
      <c r="G161" s="508">
        <v>18259.100000000002</v>
      </c>
      <c r="H161" s="130">
        <v>191028.40000000002</v>
      </c>
      <c r="I161" s="129">
        <f t="shared" si="36"/>
        <v>209287.50000000003</v>
      </c>
      <c r="J161" s="130">
        <v>35104.300000000003</v>
      </c>
      <c r="K161" s="129">
        <v>70702.899999999994</v>
      </c>
      <c r="L161" s="130">
        <f t="shared" si="37"/>
        <v>105807.2</v>
      </c>
      <c r="M161" s="129">
        <f t="shared" si="38"/>
        <v>887684.18333333323</v>
      </c>
      <c r="N161" s="130">
        <v>86095.9</v>
      </c>
      <c r="O161" s="130">
        <f t="shared" si="39"/>
        <v>973780.08333333326</v>
      </c>
    </row>
    <row r="162" spans="1:15" ht="14.25" hidden="1" customHeight="1">
      <c r="A162" s="87" t="s">
        <v>621</v>
      </c>
      <c r="B162" s="1">
        <v>21136.6</v>
      </c>
      <c r="C162" s="508">
        <v>20936.000000000007</v>
      </c>
      <c r="D162" s="130">
        <v>4096.3</v>
      </c>
      <c r="E162" s="508">
        <v>520777.39999999997</v>
      </c>
      <c r="F162" s="130">
        <f t="shared" si="35"/>
        <v>566946.29999999993</v>
      </c>
      <c r="G162" s="508">
        <v>18670.7</v>
      </c>
      <c r="H162" s="130">
        <v>197921.2</v>
      </c>
      <c r="I162" s="129">
        <f t="shared" si="36"/>
        <v>216591.90000000002</v>
      </c>
      <c r="J162" s="130">
        <v>35379.1</v>
      </c>
      <c r="K162" s="129">
        <v>71407.8</v>
      </c>
      <c r="L162" s="130">
        <f t="shared" si="37"/>
        <v>106786.9</v>
      </c>
      <c r="M162" s="129">
        <f t="shared" si="38"/>
        <v>890325.1</v>
      </c>
      <c r="N162" s="130">
        <v>72370.899999999994</v>
      </c>
      <c r="O162" s="130">
        <f t="shared" si="39"/>
        <v>962696</v>
      </c>
    </row>
    <row r="163" spans="1:15" ht="14.25" hidden="1" customHeight="1">
      <c r="A163" s="87" t="s">
        <v>47</v>
      </c>
      <c r="B163" s="1">
        <v>22750.200000000004</v>
      </c>
      <c r="C163" s="508">
        <v>21264.1</v>
      </c>
      <c r="D163" s="130">
        <v>3956.7999999999997</v>
      </c>
      <c r="E163" s="508">
        <v>528607.08333333337</v>
      </c>
      <c r="F163" s="130">
        <f t="shared" si="35"/>
        <v>576578.18333333335</v>
      </c>
      <c r="G163" s="508">
        <v>18375.3</v>
      </c>
      <c r="H163" s="130">
        <v>191513.8</v>
      </c>
      <c r="I163" s="129">
        <f t="shared" si="36"/>
        <v>209889.09999999998</v>
      </c>
      <c r="J163" s="130">
        <v>35044.700000000004</v>
      </c>
      <c r="K163" s="129">
        <v>71652.899999999994</v>
      </c>
      <c r="L163" s="130">
        <f t="shared" si="37"/>
        <v>106697.60000000001</v>
      </c>
      <c r="M163" s="129">
        <f t="shared" si="38"/>
        <v>893164.8833333333</v>
      </c>
      <c r="N163" s="130">
        <v>43778.400000000001</v>
      </c>
      <c r="O163" s="130">
        <f t="shared" si="39"/>
        <v>936943.28333333333</v>
      </c>
    </row>
    <row r="164" spans="1:15" ht="14.25" hidden="1" customHeight="1">
      <c r="A164" s="87" t="s">
        <v>631</v>
      </c>
      <c r="B164" s="1">
        <v>20561.3</v>
      </c>
      <c r="C164" s="508">
        <v>18146.099999999999</v>
      </c>
      <c r="D164" s="130">
        <v>3975.5</v>
      </c>
      <c r="E164" s="508">
        <v>529813.64444444457</v>
      </c>
      <c r="F164" s="130">
        <f t="shared" si="35"/>
        <v>572496.54444444459</v>
      </c>
      <c r="G164" s="508">
        <v>18926.000000000004</v>
      </c>
      <c r="H164" s="130">
        <v>184904.19999999998</v>
      </c>
      <c r="I164" s="129">
        <f t="shared" si="36"/>
        <v>203830.19999999998</v>
      </c>
      <c r="J164" s="130">
        <v>37852</v>
      </c>
      <c r="K164" s="129">
        <v>71308.3</v>
      </c>
      <c r="L164" s="130">
        <f t="shared" si="37"/>
        <v>109160.3</v>
      </c>
      <c r="M164" s="129">
        <f t="shared" si="38"/>
        <v>885487.04444444459</v>
      </c>
      <c r="N164" s="130">
        <v>57922.399999999994</v>
      </c>
      <c r="O164" s="130">
        <f t="shared" si="39"/>
        <v>943409.44444444461</v>
      </c>
    </row>
    <row r="165" spans="1:15" ht="14.25" hidden="1" customHeight="1">
      <c r="A165" s="87" t="s">
        <v>654</v>
      </c>
      <c r="B165" s="1">
        <v>164284.09999999998</v>
      </c>
      <c r="C165" s="508">
        <v>9523.2000000000007</v>
      </c>
      <c r="D165" s="130">
        <v>11144.8</v>
      </c>
      <c r="E165" s="508">
        <v>415554.05740740738</v>
      </c>
      <c r="F165" s="130">
        <f t="shared" si="35"/>
        <v>600506.15740740742</v>
      </c>
      <c r="G165" s="508">
        <v>18540.3</v>
      </c>
      <c r="H165" s="130">
        <v>162616.5</v>
      </c>
      <c r="I165" s="129">
        <f t="shared" si="36"/>
        <v>181156.8</v>
      </c>
      <c r="J165" s="130">
        <v>63262.19999999999</v>
      </c>
      <c r="K165" s="129">
        <v>51573</v>
      </c>
      <c r="L165" s="130">
        <f t="shared" si="37"/>
        <v>114835.19999999998</v>
      </c>
      <c r="M165" s="129">
        <f t="shared" si="38"/>
        <v>896498.15740740742</v>
      </c>
      <c r="N165" s="130">
        <v>38298.800000000003</v>
      </c>
      <c r="O165" s="130">
        <f t="shared" si="39"/>
        <v>934796.95740740746</v>
      </c>
    </row>
    <row r="166" spans="1:15" ht="14.25" hidden="1" customHeight="1">
      <c r="A166" s="87" t="s">
        <v>665</v>
      </c>
      <c r="B166" s="1">
        <v>166493.10000000003</v>
      </c>
      <c r="C166" s="508">
        <v>6807.3</v>
      </c>
      <c r="D166" s="130">
        <v>5745.1</v>
      </c>
      <c r="E166" s="508">
        <v>400292.69999999995</v>
      </c>
      <c r="F166" s="130">
        <f t="shared" si="35"/>
        <v>579338.19999999995</v>
      </c>
      <c r="G166" s="508">
        <v>17564.199999999997</v>
      </c>
      <c r="H166" s="130">
        <v>162563.79999999999</v>
      </c>
      <c r="I166" s="129">
        <f t="shared" si="36"/>
        <v>180128</v>
      </c>
      <c r="J166" s="130">
        <v>62507.199999999997</v>
      </c>
      <c r="K166" s="129">
        <v>54034.8</v>
      </c>
      <c r="L166" s="130">
        <f t="shared" si="37"/>
        <v>116542</v>
      </c>
      <c r="M166" s="129">
        <f t="shared" si="38"/>
        <v>876008.2</v>
      </c>
      <c r="N166" s="130">
        <v>84709.4</v>
      </c>
      <c r="O166" s="130">
        <f t="shared" si="39"/>
        <v>960717.6</v>
      </c>
    </row>
    <row r="167" spans="1:15" s="1051" customFormat="1" ht="14.25" hidden="1" customHeight="1">
      <c r="A167" s="1021"/>
      <c r="B167" s="1"/>
      <c r="C167" s="508"/>
      <c r="D167" s="130"/>
      <c r="E167" s="508"/>
      <c r="F167" s="130"/>
      <c r="G167" s="508"/>
      <c r="H167" s="130"/>
      <c r="I167" s="129"/>
      <c r="J167" s="130"/>
      <c r="K167" s="129"/>
      <c r="L167" s="130"/>
      <c r="M167" s="129"/>
      <c r="N167" s="130"/>
      <c r="O167" s="130"/>
    </row>
    <row r="168" spans="1:15" ht="14.25" hidden="1" customHeight="1">
      <c r="A168" s="87" t="s">
        <v>39</v>
      </c>
      <c r="B168" s="1">
        <v>178092.9</v>
      </c>
      <c r="C168" s="508">
        <v>5608.2</v>
      </c>
      <c r="D168" s="130">
        <v>5751.2</v>
      </c>
      <c r="E168" s="508">
        <v>404692.80833333329</v>
      </c>
      <c r="F168" s="130">
        <f t="shared" ref="F168:F179" si="40">SUM(B168:E168)</f>
        <v>594145.10833333328</v>
      </c>
      <c r="G168" s="508">
        <v>17668.300000000003</v>
      </c>
      <c r="H168" s="130">
        <v>162720.29999999999</v>
      </c>
      <c r="I168" s="129">
        <f t="shared" ref="I168:I179" si="41">SUM(G168:H168)</f>
        <v>180388.59999999998</v>
      </c>
      <c r="J168" s="130">
        <v>64902.1</v>
      </c>
      <c r="K168" s="129">
        <v>51990.6</v>
      </c>
      <c r="L168" s="130">
        <f t="shared" ref="L168:L179" si="42">SUM(J168:K168)</f>
        <v>116892.7</v>
      </c>
      <c r="M168" s="129">
        <f t="shared" ref="M168:M179" si="43">SUM(F168,I168,L168)</f>
        <v>891426.40833333321</v>
      </c>
      <c r="N168" s="130">
        <v>83258</v>
      </c>
      <c r="O168" s="130">
        <f t="shared" ref="O168:O179" si="44">SUM(M168:N168)</f>
        <v>974684.40833333321</v>
      </c>
    </row>
    <row r="169" spans="1:15" ht="14.25" hidden="1" customHeight="1">
      <c r="A169" s="87" t="s">
        <v>682</v>
      </c>
      <c r="B169" s="1">
        <v>183679.99999999997</v>
      </c>
      <c r="C169" s="508">
        <v>3600.2000000000003</v>
      </c>
      <c r="D169" s="130">
        <v>4880.3999999999996</v>
      </c>
      <c r="E169" s="508">
        <v>406954.51666666666</v>
      </c>
      <c r="F169" s="130">
        <f t="shared" si="40"/>
        <v>599115.1166666667</v>
      </c>
      <c r="G169" s="508">
        <v>17961.600000000002</v>
      </c>
      <c r="H169" s="130">
        <v>159341.5</v>
      </c>
      <c r="I169" s="129">
        <f t="shared" si="41"/>
        <v>177303.1</v>
      </c>
      <c r="J169" s="130">
        <v>66562.400000000009</v>
      </c>
      <c r="K169" s="129">
        <v>49910.900000000009</v>
      </c>
      <c r="L169" s="130">
        <f t="shared" si="42"/>
        <v>116473.30000000002</v>
      </c>
      <c r="M169" s="129">
        <f t="shared" si="43"/>
        <v>892891.51666666672</v>
      </c>
      <c r="N169" s="130">
        <v>76793.899999999994</v>
      </c>
      <c r="O169" s="130">
        <f t="shared" si="44"/>
        <v>969685.41666666674</v>
      </c>
    </row>
    <row r="170" spans="1:15" ht="14.25" hidden="1" customHeight="1">
      <c r="A170" s="87" t="s">
        <v>65</v>
      </c>
      <c r="B170" s="1">
        <v>180925.99999999997</v>
      </c>
      <c r="C170" s="508">
        <v>2709.9</v>
      </c>
      <c r="D170" s="130">
        <v>5282.1</v>
      </c>
      <c r="E170" s="508">
        <v>408032.92499999999</v>
      </c>
      <c r="F170" s="130">
        <f t="shared" si="40"/>
        <v>596950.92499999993</v>
      </c>
      <c r="G170" s="508">
        <v>17676.199999999997</v>
      </c>
      <c r="H170" s="130">
        <v>167708</v>
      </c>
      <c r="I170" s="129">
        <f t="shared" si="41"/>
        <v>185384.2</v>
      </c>
      <c r="J170" s="130">
        <v>65125.700000000004</v>
      </c>
      <c r="K170" s="129">
        <v>49837.8</v>
      </c>
      <c r="L170" s="130">
        <f t="shared" si="42"/>
        <v>114963.5</v>
      </c>
      <c r="M170" s="129">
        <f t="shared" si="43"/>
        <v>897298.625</v>
      </c>
      <c r="N170" s="130">
        <v>65419.9</v>
      </c>
      <c r="O170" s="130">
        <f t="shared" si="44"/>
        <v>962718.52500000002</v>
      </c>
    </row>
    <row r="171" spans="1:15" ht="14.25" hidden="1" customHeight="1">
      <c r="A171" s="87" t="s">
        <v>692</v>
      </c>
      <c r="B171" s="1">
        <v>181159.00000000003</v>
      </c>
      <c r="C171" s="508">
        <v>5827.7</v>
      </c>
      <c r="D171" s="130">
        <v>2533.8000000000002</v>
      </c>
      <c r="E171" s="508">
        <v>405346.03333333333</v>
      </c>
      <c r="F171" s="130">
        <f t="shared" si="40"/>
        <v>594866.53333333333</v>
      </c>
      <c r="G171" s="508">
        <v>17791.599999999999</v>
      </c>
      <c r="H171" s="130">
        <v>169913.60000000001</v>
      </c>
      <c r="I171" s="129">
        <f t="shared" si="41"/>
        <v>187705.2</v>
      </c>
      <c r="J171" s="130">
        <v>65827.3</v>
      </c>
      <c r="K171" s="129">
        <v>49700</v>
      </c>
      <c r="L171" s="130">
        <f t="shared" si="42"/>
        <v>115527.3</v>
      </c>
      <c r="M171" s="129">
        <f t="shared" si="43"/>
        <v>898099.03333333344</v>
      </c>
      <c r="N171" s="130">
        <v>75210.3</v>
      </c>
      <c r="O171" s="130">
        <f t="shared" si="44"/>
        <v>973309.33333333349</v>
      </c>
    </row>
    <row r="172" spans="1:15" ht="14.25" hidden="1" customHeight="1">
      <c r="A172" s="87" t="s">
        <v>700</v>
      </c>
      <c r="B172" s="1">
        <v>183580.99999999997</v>
      </c>
      <c r="C172" s="508">
        <v>5867.8</v>
      </c>
      <c r="D172" s="130">
        <v>2196.9</v>
      </c>
      <c r="E172" s="508">
        <v>417663.54166666669</v>
      </c>
      <c r="F172" s="130">
        <f t="shared" si="40"/>
        <v>609309.2416666667</v>
      </c>
      <c r="G172" s="508">
        <v>17867.3</v>
      </c>
      <c r="H172" s="130">
        <v>172020.69999999998</v>
      </c>
      <c r="I172" s="129">
        <f t="shared" si="41"/>
        <v>189887.99999999997</v>
      </c>
      <c r="J172" s="130">
        <v>62926.999999999993</v>
      </c>
      <c r="K172" s="129">
        <v>52058.599999999991</v>
      </c>
      <c r="L172" s="130">
        <f t="shared" si="42"/>
        <v>114985.59999999998</v>
      </c>
      <c r="M172" s="129">
        <f t="shared" si="43"/>
        <v>914182.84166666667</v>
      </c>
      <c r="N172" s="130">
        <v>77045.100000000006</v>
      </c>
      <c r="O172" s="130">
        <f t="shared" si="44"/>
        <v>991227.94166666665</v>
      </c>
    </row>
    <row r="173" spans="1:15" ht="14.25" hidden="1" customHeight="1">
      <c r="A173" s="87" t="s">
        <v>711</v>
      </c>
      <c r="B173" s="1">
        <v>188769.1</v>
      </c>
      <c r="C173" s="930">
        <v>1715.2</v>
      </c>
      <c r="D173" s="1">
        <v>5600.2</v>
      </c>
      <c r="E173" s="930">
        <v>436400.95000000007</v>
      </c>
      <c r="F173" s="1">
        <f t="shared" si="40"/>
        <v>632485.45000000007</v>
      </c>
      <c r="G173" s="4">
        <v>18509.699999999997</v>
      </c>
      <c r="H173" s="4">
        <v>166010.90000000002</v>
      </c>
      <c r="I173" s="930">
        <f t="shared" si="41"/>
        <v>184520.60000000003</v>
      </c>
      <c r="J173" s="1">
        <v>64799.400000000009</v>
      </c>
      <c r="K173" s="930">
        <v>49591.599999999991</v>
      </c>
      <c r="L173" s="1">
        <f t="shared" si="42"/>
        <v>114391</v>
      </c>
      <c r="M173" s="930">
        <f t="shared" si="43"/>
        <v>931397.05</v>
      </c>
      <c r="N173" s="1">
        <v>109937.60000000001</v>
      </c>
      <c r="O173" s="4">
        <f t="shared" si="44"/>
        <v>1041334.65</v>
      </c>
    </row>
    <row r="174" spans="1:15" ht="14.25" customHeight="1">
      <c r="A174" s="87" t="s">
        <v>735</v>
      </c>
      <c r="B174" s="1">
        <v>189199.4</v>
      </c>
      <c r="C174" s="930">
        <v>4680</v>
      </c>
      <c r="D174" s="1">
        <v>5474.5999999999995</v>
      </c>
      <c r="E174" s="930">
        <v>435081.35833333334</v>
      </c>
      <c r="F174" s="1">
        <f t="shared" si="40"/>
        <v>634435.3583333334</v>
      </c>
      <c r="G174" s="4">
        <v>18821.5</v>
      </c>
      <c r="H174" s="4">
        <v>163110.59999999998</v>
      </c>
      <c r="I174" s="930">
        <f t="shared" si="41"/>
        <v>181932.09999999998</v>
      </c>
      <c r="J174" s="1">
        <v>64997.8</v>
      </c>
      <c r="K174" s="930">
        <v>49801.7</v>
      </c>
      <c r="L174" s="1">
        <f t="shared" si="42"/>
        <v>114799.5</v>
      </c>
      <c r="M174" s="930">
        <f t="shared" si="43"/>
        <v>931166.95833333337</v>
      </c>
      <c r="N174" s="1">
        <v>99336.5</v>
      </c>
      <c r="O174" s="4">
        <f t="shared" si="44"/>
        <v>1030503.4583333334</v>
      </c>
    </row>
    <row r="175" spans="1:15" ht="14.25" customHeight="1">
      <c r="A175" s="87" t="s">
        <v>46</v>
      </c>
      <c r="B175" s="1">
        <v>188270.1</v>
      </c>
      <c r="C175" s="930">
        <v>3286.1</v>
      </c>
      <c r="D175" s="1">
        <v>5546.7</v>
      </c>
      <c r="E175" s="930">
        <v>439689.8666666667</v>
      </c>
      <c r="F175" s="1">
        <f t="shared" si="40"/>
        <v>636792.76666666672</v>
      </c>
      <c r="G175" s="4">
        <v>20121</v>
      </c>
      <c r="H175" s="4">
        <v>184095.9</v>
      </c>
      <c r="I175" s="930">
        <f t="shared" si="41"/>
        <v>204216.9</v>
      </c>
      <c r="J175" s="1">
        <v>67489.8</v>
      </c>
      <c r="K175" s="930">
        <v>46517.7</v>
      </c>
      <c r="L175" s="1">
        <f t="shared" si="42"/>
        <v>114007.5</v>
      </c>
      <c r="M175" s="930">
        <f t="shared" si="43"/>
        <v>955017.16666666674</v>
      </c>
      <c r="N175" s="1">
        <v>97926.9</v>
      </c>
      <c r="O175" s="4">
        <f t="shared" si="44"/>
        <v>1052944.0666666667</v>
      </c>
    </row>
    <row r="176" spans="1:15" ht="14.25" customHeight="1">
      <c r="A176" s="87" t="s">
        <v>47</v>
      </c>
      <c r="B176" s="1">
        <v>189108.4</v>
      </c>
      <c r="C176" s="930">
        <v>2656.9</v>
      </c>
      <c r="D176" s="1">
        <v>4825.7</v>
      </c>
      <c r="E176" s="930">
        <v>442197.67500000005</v>
      </c>
      <c r="F176" s="1">
        <f t="shared" si="40"/>
        <v>638788.67500000005</v>
      </c>
      <c r="G176" s="4">
        <v>20840</v>
      </c>
      <c r="H176" s="4">
        <v>176016.09999999998</v>
      </c>
      <c r="I176" s="930">
        <f t="shared" si="41"/>
        <v>196856.09999999998</v>
      </c>
      <c r="J176" s="1">
        <v>63979.3</v>
      </c>
      <c r="K176" s="930">
        <v>51445.5</v>
      </c>
      <c r="L176" s="1">
        <f t="shared" si="42"/>
        <v>115424.8</v>
      </c>
      <c r="M176" s="930">
        <f t="shared" si="43"/>
        <v>951069.57500000007</v>
      </c>
      <c r="N176" s="1">
        <v>72466</v>
      </c>
      <c r="O176" s="4">
        <f t="shared" si="44"/>
        <v>1023535.5750000001</v>
      </c>
    </row>
    <row r="177" spans="1:15" ht="14.25" customHeight="1">
      <c r="A177" s="87" t="s">
        <v>48</v>
      </c>
      <c r="B177" s="1">
        <v>189572.40000000002</v>
      </c>
      <c r="C177" s="930">
        <v>1763.9</v>
      </c>
      <c r="D177" s="1">
        <v>4400.2</v>
      </c>
      <c r="E177" s="930">
        <v>438737.18333333335</v>
      </c>
      <c r="F177" s="1">
        <f t="shared" si="40"/>
        <v>634473.68333333335</v>
      </c>
      <c r="G177" s="4">
        <v>20879.300000000003</v>
      </c>
      <c r="H177" s="4">
        <v>173508.3</v>
      </c>
      <c r="I177" s="930">
        <f t="shared" si="41"/>
        <v>194387.59999999998</v>
      </c>
      <c r="J177" s="1">
        <v>68753.3</v>
      </c>
      <c r="K177" s="930">
        <v>49043.700000000012</v>
      </c>
      <c r="L177" s="1">
        <f t="shared" si="42"/>
        <v>117797.00000000001</v>
      </c>
      <c r="M177" s="930">
        <f t="shared" si="43"/>
        <v>946658.28333333333</v>
      </c>
      <c r="N177" s="1">
        <v>69409.899999999994</v>
      </c>
      <c r="O177" s="4">
        <f t="shared" si="44"/>
        <v>1016068.1833333333</v>
      </c>
    </row>
    <row r="178" spans="1:15" ht="14.25" customHeight="1">
      <c r="A178" s="87" t="s">
        <v>49</v>
      </c>
      <c r="B178" s="1">
        <v>190690.8</v>
      </c>
      <c r="C178" s="930">
        <v>909.9</v>
      </c>
      <c r="D178" s="1">
        <v>3679.8</v>
      </c>
      <c r="E178" s="930">
        <v>423924.90277777775</v>
      </c>
      <c r="F178" s="1">
        <f t="shared" si="40"/>
        <v>619205.40277777775</v>
      </c>
      <c r="G178" s="4">
        <v>21524.899999999998</v>
      </c>
      <c r="H178" s="4">
        <v>179760.1</v>
      </c>
      <c r="I178" s="930">
        <f t="shared" si="41"/>
        <v>201285</v>
      </c>
      <c r="J178" s="1">
        <v>69455</v>
      </c>
      <c r="K178" s="930">
        <v>50289.600000000006</v>
      </c>
      <c r="L178" s="1">
        <f t="shared" si="42"/>
        <v>119744.6</v>
      </c>
      <c r="M178" s="930">
        <f t="shared" si="43"/>
        <v>940235.00277777773</v>
      </c>
      <c r="N178" s="1">
        <v>70049.3</v>
      </c>
      <c r="O178" s="4">
        <f t="shared" si="44"/>
        <v>1010284.3027777778</v>
      </c>
    </row>
    <row r="179" spans="1:15" ht="14.25" customHeight="1">
      <c r="A179" s="87" t="s">
        <v>50</v>
      </c>
      <c r="B179" s="1">
        <v>199717.09999999998</v>
      </c>
      <c r="C179" s="930">
        <v>438.6</v>
      </c>
      <c r="D179" s="1">
        <v>3280.2999999999997</v>
      </c>
      <c r="E179" s="930">
        <v>410301.4</v>
      </c>
      <c r="F179" s="1">
        <f t="shared" si="40"/>
        <v>613737.4</v>
      </c>
      <c r="G179" s="4">
        <v>21756.2</v>
      </c>
      <c r="H179" s="4">
        <v>174051.59999999998</v>
      </c>
      <c r="I179" s="930">
        <f t="shared" si="41"/>
        <v>195807.8</v>
      </c>
      <c r="J179" s="1">
        <v>67282.900000000009</v>
      </c>
      <c r="K179" s="930">
        <v>53730.900000000009</v>
      </c>
      <c r="L179" s="1">
        <f t="shared" si="42"/>
        <v>121013.80000000002</v>
      </c>
      <c r="M179" s="930">
        <f t="shared" si="43"/>
        <v>930559</v>
      </c>
      <c r="N179" s="1">
        <v>65142.400000000001</v>
      </c>
      <c r="O179" s="4">
        <f t="shared" si="44"/>
        <v>995701.4</v>
      </c>
    </row>
    <row r="180" spans="1:15" ht="14.25" customHeight="1">
      <c r="A180" s="87"/>
      <c r="B180" s="1"/>
      <c r="C180" s="930"/>
      <c r="D180" s="1"/>
      <c r="E180" s="930"/>
      <c r="F180" s="1"/>
      <c r="G180" s="4"/>
      <c r="H180" s="4"/>
      <c r="I180" s="930"/>
      <c r="J180" s="1"/>
      <c r="K180" s="930"/>
      <c r="L180" s="1"/>
      <c r="M180" s="930"/>
      <c r="N180" s="1"/>
      <c r="O180" s="4"/>
    </row>
    <row r="181" spans="1:15" ht="14.25" customHeight="1">
      <c r="A181" s="87" t="s">
        <v>36</v>
      </c>
      <c r="B181" s="1">
        <v>195922.49999999997</v>
      </c>
      <c r="C181" s="930">
        <v>5354.4</v>
      </c>
      <c r="D181" s="1">
        <v>2366.1999999999998</v>
      </c>
      <c r="E181" s="930">
        <v>402505.56666666671</v>
      </c>
      <c r="F181" s="1">
        <f t="shared" ref="F181:F200" si="45">SUM(B181:E181)</f>
        <v>606148.66666666674</v>
      </c>
      <c r="G181" s="4">
        <v>21338.800000000003</v>
      </c>
      <c r="H181" s="4">
        <v>160421.29999999999</v>
      </c>
      <c r="I181" s="930">
        <f t="shared" ref="I181:I200" si="46">SUM(G181:H181)</f>
        <v>181760.09999999998</v>
      </c>
      <c r="J181" s="1">
        <v>74119.299999999988</v>
      </c>
      <c r="K181" s="930">
        <v>64192.799999999988</v>
      </c>
      <c r="L181" s="1">
        <f t="shared" ref="L181:L200" si="47">SUM(J181:K181)</f>
        <v>138312.09999999998</v>
      </c>
      <c r="M181" s="930">
        <f t="shared" ref="M181:M200" si="48">SUM(F181,I181,L181)</f>
        <v>926220.8666666667</v>
      </c>
      <c r="N181" s="1">
        <v>61851.700000000004</v>
      </c>
      <c r="O181" s="4">
        <f t="shared" ref="O181:O200" si="49">SUM(M181:N181)</f>
        <v>988072.56666666665</v>
      </c>
    </row>
    <row r="182" spans="1:15" ht="14.25" customHeight="1">
      <c r="A182" s="87" t="s">
        <v>37</v>
      </c>
      <c r="B182" s="1">
        <v>137801.80000000002</v>
      </c>
      <c r="C182" s="930">
        <v>6198.3</v>
      </c>
      <c r="D182" s="1">
        <v>2365</v>
      </c>
      <c r="E182" s="930">
        <v>410631.23333333328</v>
      </c>
      <c r="F182" s="1">
        <f t="shared" si="45"/>
        <v>556996.33333333326</v>
      </c>
      <c r="G182" s="4">
        <v>30658.699999999997</v>
      </c>
      <c r="H182" s="4">
        <v>159625.10000000003</v>
      </c>
      <c r="I182" s="930">
        <f t="shared" si="46"/>
        <v>190283.80000000005</v>
      </c>
      <c r="J182" s="1">
        <v>76410.899999999994</v>
      </c>
      <c r="K182" s="930">
        <v>54164.800000000003</v>
      </c>
      <c r="L182" s="1">
        <f t="shared" si="47"/>
        <v>130575.7</v>
      </c>
      <c r="M182" s="930">
        <f t="shared" si="48"/>
        <v>877855.83333333326</v>
      </c>
      <c r="N182" s="1">
        <v>59889</v>
      </c>
      <c r="O182" s="4">
        <f t="shared" si="49"/>
        <v>937744.83333333326</v>
      </c>
    </row>
    <row r="183" spans="1:15" ht="14.25" customHeight="1">
      <c r="A183" s="87" t="s">
        <v>38</v>
      </c>
      <c r="B183" s="1">
        <v>135680.70000000001</v>
      </c>
      <c r="C183" s="930">
        <v>5956.5999999999995</v>
      </c>
      <c r="D183" s="1">
        <v>1811.7</v>
      </c>
      <c r="E183" s="930">
        <v>413450.8</v>
      </c>
      <c r="F183" s="1">
        <f t="shared" si="45"/>
        <v>556899.80000000005</v>
      </c>
      <c r="G183" s="4">
        <v>21987.099999999995</v>
      </c>
      <c r="H183" s="4">
        <v>168172.9</v>
      </c>
      <c r="I183" s="930">
        <f t="shared" si="46"/>
        <v>190160</v>
      </c>
      <c r="J183" s="1">
        <v>70224.5</v>
      </c>
      <c r="K183" s="930">
        <v>57444.7</v>
      </c>
      <c r="L183" s="1">
        <f t="shared" si="47"/>
        <v>127669.2</v>
      </c>
      <c r="M183" s="930">
        <f t="shared" si="48"/>
        <v>874729</v>
      </c>
      <c r="N183" s="1">
        <v>75183.5</v>
      </c>
      <c r="O183" s="4">
        <f t="shared" si="49"/>
        <v>949912.5</v>
      </c>
    </row>
    <row r="184" spans="1:15" ht="14.25" customHeight="1">
      <c r="A184" s="87" t="s">
        <v>42</v>
      </c>
      <c r="B184" s="1">
        <v>140439.70000000001</v>
      </c>
      <c r="C184" s="930">
        <v>3680.9</v>
      </c>
      <c r="D184" s="1">
        <v>1982.8</v>
      </c>
      <c r="E184" s="930">
        <v>402322.83333333343</v>
      </c>
      <c r="F184" s="1">
        <f t="shared" si="45"/>
        <v>548426.2333333334</v>
      </c>
      <c r="G184" s="4">
        <v>21741</v>
      </c>
      <c r="H184" s="4">
        <v>170510.8</v>
      </c>
      <c r="I184" s="930">
        <f t="shared" si="46"/>
        <v>192251.8</v>
      </c>
      <c r="J184" s="1">
        <v>75595.100000000006</v>
      </c>
      <c r="K184" s="930">
        <v>55469.2</v>
      </c>
      <c r="L184" s="1">
        <f t="shared" si="47"/>
        <v>131064.3</v>
      </c>
      <c r="M184" s="930">
        <f t="shared" si="48"/>
        <v>871742.33333333349</v>
      </c>
      <c r="N184" s="1">
        <v>68760</v>
      </c>
      <c r="O184" s="4">
        <f t="shared" si="49"/>
        <v>940502.33333333349</v>
      </c>
    </row>
    <row r="185" spans="1:15" ht="14.25" customHeight="1">
      <c r="A185" s="87" t="s">
        <v>606</v>
      </c>
      <c r="B185" s="1">
        <v>139780.79999999999</v>
      </c>
      <c r="C185" s="930">
        <v>4853.1000000000004</v>
      </c>
      <c r="D185" s="1">
        <v>2251.1</v>
      </c>
      <c r="E185" s="930">
        <v>421203.66666666663</v>
      </c>
      <c r="F185" s="1">
        <f t="shared" si="45"/>
        <v>568088.66666666663</v>
      </c>
      <c r="G185" s="4">
        <v>21309</v>
      </c>
      <c r="H185" s="4">
        <v>173215.7</v>
      </c>
      <c r="I185" s="930">
        <f t="shared" si="46"/>
        <v>194524.7</v>
      </c>
      <c r="J185" s="1">
        <v>73703.3</v>
      </c>
      <c r="K185" s="930">
        <v>51564.2</v>
      </c>
      <c r="L185" s="1">
        <f t="shared" si="47"/>
        <v>125267.5</v>
      </c>
      <c r="M185" s="930">
        <f t="shared" si="48"/>
        <v>887880.8666666667</v>
      </c>
      <c r="N185" s="1">
        <v>47311.9</v>
      </c>
      <c r="O185" s="4">
        <f t="shared" si="49"/>
        <v>935192.76666666672</v>
      </c>
    </row>
    <row r="186" spans="1:15" ht="14.25" customHeight="1">
      <c r="A186" s="87" t="s">
        <v>62</v>
      </c>
      <c r="B186" s="1">
        <v>140451.20000000001</v>
      </c>
      <c r="C186" s="930">
        <v>10841.3</v>
      </c>
      <c r="D186" s="1">
        <v>2222.3000000000002</v>
      </c>
      <c r="E186" s="930">
        <v>446697.19999999995</v>
      </c>
      <c r="F186" s="1">
        <f t="shared" si="45"/>
        <v>600212</v>
      </c>
      <c r="G186" s="4">
        <v>21867.5</v>
      </c>
      <c r="H186" s="4">
        <v>178752.2</v>
      </c>
      <c r="I186" s="930">
        <f t="shared" si="46"/>
        <v>200619.7</v>
      </c>
      <c r="J186" s="1">
        <v>76125.100000000006</v>
      </c>
      <c r="K186" s="930">
        <v>54124.4</v>
      </c>
      <c r="L186" s="1">
        <f t="shared" si="47"/>
        <v>130249.5</v>
      </c>
      <c r="M186" s="930">
        <f t="shared" si="48"/>
        <v>931081.2</v>
      </c>
      <c r="N186" s="1">
        <v>40951.800000000003</v>
      </c>
      <c r="O186" s="4">
        <f t="shared" si="49"/>
        <v>972033</v>
      </c>
    </row>
    <row r="187" spans="1:15" ht="14.25" customHeight="1">
      <c r="A187" s="87" t="s">
        <v>614</v>
      </c>
      <c r="B187" s="1">
        <v>137017.20000000001</v>
      </c>
      <c r="C187" s="930">
        <v>9798.7999999999993</v>
      </c>
      <c r="D187" s="1">
        <v>2467.1</v>
      </c>
      <c r="E187" s="930">
        <v>469069.33333333331</v>
      </c>
      <c r="F187" s="1">
        <f t="shared" si="45"/>
        <v>618352.43333333335</v>
      </c>
      <c r="G187" s="4">
        <v>21877.200000000001</v>
      </c>
      <c r="H187" s="4">
        <v>178734.3</v>
      </c>
      <c r="I187" s="930">
        <f t="shared" si="46"/>
        <v>200611.5</v>
      </c>
      <c r="J187" s="1">
        <v>76721.399999999994</v>
      </c>
      <c r="K187" s="930">
        <v>60318.6</v>
      </c>
      <c r="L187" s="1">
        <f t="shared" si="47"/>
        <v>137040</v>
      </c>
      <c r="M187" s="930">
        <f t="shared" si="48"/>
        <v>956003.93333333335</v>
      </c>
      <c r="N187" s="1">
        <v>78257.5</v>
      </c>
      <c r="O187" s="4">
        <f t="shared" si="49"/>
        <v>1034261.4333333333</v>
      </c>
    </row>
    <row r="188" spans="1:15" ht="14.25" customHeight="1">
      <c r="A188" s="87" t="s">
        <v>620</v>
      </c>
      <c r="B188" s="1">
        <v>138615.6</v>
      </c>
      <c r="C188" s="930">
        <v>11925.7</v>
      </c>
      <c r="D188" s="1">
        <v>3469.8</v>
      </c>
      <c r="E188" s="930">
        <v>480619.76666666666</v>
      </c>
      <c r="F188" s="1">
        <f t="shared" si="45"/>
        <v>634630.8666666667</v>
      </c>
      <c r="G188" s="4">
        <v>23907.7</v>
      </c>
      <c r="H188" s="4">
        <v>182356.1</v>
      </c>
      <c r="I188" s="930">
        <f t="shared" si="46"/>
        <v>206263.80000000002</v>
      </c>
      <c r="J188" s="1">
        <v>78095.3</v>
      </c>
      <c r="K188" s="930">
        <v>54304.4</v>
      </c>
      <c r="L188" s="1">
        <f t="shared" si="47"/>
        <v>132399.70000000001</v>
      </c>
      <c r="M188" s="930">
        <f t="shared" si="48"/>
        <v>973294.3666666667</v>
      </c>
      <c r="N188" s="1">
        <v>78362</v>
      </c>
      <c r="O188" s="4">
        <f t="shared" si="49"/>
        <v>1051656.3666666667</v>
      </c>
    </row>
    <row r="189" spans="1:15" ht="14.25" customHeight="1">
      <c r="A189" s="87" t="s">
        <v>63</v>
      </c>
      <c r="B189" s="1">
        <v>153830.70000000001</v>
      </c>
      <c r="C189" s="930">
        <v>11386.4</v>
      </c>
      <c r="D189" s="1">
        <v>2800.1</v>
      </c>
      <c r="E189" s="930">
        <v>486731.6</v>
      </c>
      <c r="F189" s="1">
        <f t="shared" si="45"/>
        <v>654748.80000000005</v>
      </c>
      <c r="G189" s="4">
        <v>23372.799999999999</v>
      </c>
      <c r="H189" s="4">
        <v>173765.8</v>
      </c>
      <c r="I189" s="930">
        <f t="shared" si="46"/>
        <v>197138.59999999998</v>
      </c>
      <c r="J189" s="1">
        <v>78360</v>
      </c>
      <c r="K189" s="930">
        <v>53445.2</v>
      </c>
      <c r="L189" s="1">
        <f t="shared" si="47"/>
        <v>131805.20000000001</v>
      </c>
      <c r="M189" s="930">
        <f t="shared" si="48"/>
        <v>983692.60000000009</v>
      </c>
      <c r="N189" s="1">
        <v>84903</v>
      </c>
      <c r="O189" s="4">
        <f t="shared" si="49"/>
        <v>1068595.6000000001</v>
      </c>
    </row>
    <row r="190" spans="1:15" ht="14.25" customHeight="1">
      <c r="A190" s="87" t="s">
        <v>632</v>
      </c>
      <c r="B190" s="1">
        <v>153414</v>
      </c>
      <c r="C190" s="930">
        <v>10834.2</v>
      </c>
      <c r="D190" s="1">
        <v>1813.1</v>
      </c>
      <c r="E190" s="930">
        <v>494897.99999999988</v>
      </c>
      <c r="F190" s="1">
        <f t="shared" si="45"/>
        <v>660959.29999999993</v>
      </c>
      <c r="G190" s="4">
        <v>23615.7</v>
      </c>
      <c r="H190" s="4">
        <v>172657.2</v>
      </c>
      <c r="I190" s="930">
        <f t="shared" si="46"/>
        <v>196272.90000000002</v>
      </c>
      <c r="J190" s="1">
        <v>78975.899999999994</v>
      </c>
      <c r="K190" s="930">
        <v>61909.4</v>
      </c>
      <c r="L190" s="1">
        <f t="shared" si="47"/>
        <v>140885.29999999999</v>
      </c>
      <c r="M190" s="930">
        <f t="shared" si="48"/>
        <v>998117.5</v>
      </c>
      <c r="N190" s="1">
        <v>86187.1</v>
      </c>
      <c r="O190" s="4">
        <f t="shared" si="49"/>
        <v>1084304.6000000001</v>
      </c>
    </row>
    <row r="191" spans="1:15" ht="14.25" customHeight="1">
      <c r="A191" s="87" t="s">
        <v>653</v>
      </c>
      <c r="B191" s="1">
        <v>150562.1</v>
      </c>
      <c r="C191" s="930">
        <v>13053.7</v>
      </c>
      <c r="D191" s="1">
        <v>2343.3000000000002</v>
      </c>
      <c r="E191" s="930">
        <v>505190.30000000005</v>
      </c>
      <c r="F191" s="1">
        <f t="shared" si="45"/>
        <v>671149.4</v>
      </c>
      <c r="G191" s="4">
        <v>23740.1</v>
      </c>
      <c r="H191" s="4">
        <v>171872.8</v>
      </c>
      <c r="I191" s="930">
        <f t="shared" si="46"/>
        <v>195612.9</v>
      </c>
      <c r="J191" s="1">
        <v>78985.100000000006</v>
      </c>
      <c r="K191" s="930">
        <v>65137.4</v>
      </c>
      <c r="L191" s="1">
        <f t="shared" si="47"/>
        <v>144122.5</v>
      </c>
      <c r="M191" s="930">
        <f t="shared" si="48"/>
        <v>1010884.8</v>
      </c>
      <c r="N191" s="1">
        <v>81638.3</v>
      </c>
      <c r="O191" s="4">
        <f t="shared" si="49"/>
        <v>1092523.1000000001</v>
      </c>
    </row>
    <row r="192" spans="1:15" ht="14.25" customHeight="1">
      <c r="A192" s="87" t="s">
        <v>64</v>
      </c>
      <c r="B192" s="1">
        <v>138435.1</v>
      </c>
      <c r="C192" s="930">
        <v>10346.799999999999</v>
      </c>
      <c r="D192" s="1">
        <v>2339.6</v>
      </c>
      <c r="E192" s="930">
        <v>462317.09999999992</v>
      </c>
      <c r="F192" s="1">
        <f t="shared" si="45"/>
        <v>613438.59999999986</v>
      </c>
      <c r="G192" s="4">
        <v>24281.9</v>
      </c>
      <c r="H192" s="4">
        <v>173855</v>
      </c>
      <c r="I192" s="930">
        <f t="shared" si="46"/>
        <v>198136.9</v>
      </c>
      <c r="J192" s="1">
        <v>81197</v>
      </c>
      <c r="K192" s="930">
        <v>66959.3</v>
      </c>
      <c r="L192" s="1">
        <f t="shared" si="47"/>
        <v>148156.29999999999</v>
      </c>
      <c r="M192" s="930">
        <f t="shared" si="48"/>
        <v>959731.79999999981</v>
      </c>
      <c r="N192" s="1">
        <v>73032.3</v>
      </c>
      <c r="O192" s="4">
        <f t="shared" si="49"/>
        <v>1032764.0999999999</v>
      </c>
    </row>
    <row r="193" spans="1:15" ht="14.25" customHeight="1">
      <c r="A193" s="87"/>
      <c r="B193" s="1"/>
      <c r="C193" s="930"/>
      <c r="D193" s="1"/>
      <c r="E193" s="1051"/>
      <c r="F193" s="1"/>
      <c r="G193" s="4"/>
      <c r="H193" s="4"/>
      <c r="I193" s="930"/>
      <c r="J193" s="1"/>
      <c r="K193" s="930"/>
      <c r="L193" s="1"/>
      <c r="M193" s="930"/>
      <c r="N193" s="1"/>
      <c r="O193" s="4"/>
    </row>
    <row r="194" spans="1:15" ht="14.25" customHeight="1">
      <c r="A194" s="87" t="s">
        <v>671</v>
      </c>
      <c r="B194" s="1">
        <v>136064</v>
      </c>
      <c r="C194" s="930">
        <v>9003</v>
      </c>
      <c r="D194" s="1">
        <v>2551.6000000000004</v>
      </c>
      <c r="E194" s="930">
        <v>464894.38333333336</v>
      </c>
      <c r="F194" s="1">
        <f t="shared" si="45"/>
        <v>612512.9833333334</v>
      </c>
      <c r="G194" s="4">
        <v>24672.2</v>
      </c>
      <c r="H194" s="4">
        <v>175646.7</v>
      </c>
      <c r="I194" s="930">
        <f t="shared" si="46"/>
        <v>200318.90000000002</v>
      </c>
      <c r="J194" s="1">
        <v>81758.7</v>
      </c>
      <c r="K194" s="930">
        <v>66046.600000000006</v>
      </c>
      <c r="L194" s="1">
        <f t="shared" si="47"/>
        <v>147805.29999999999</v>
      </c>
      <c r="M194" s="930">
        <f t="shared" si="48"/>
        <v>960637.18333333335</v>
      </c>
      <c r="N194" s="1">
        <v>52484.7</v>
      </c>
      <c r="O194" s="4">
        <f t="shared" si="49"/>
        <v>1013121.8833333333</v>
      </c>
    </row>
    <row r="195" spans="1:15" ht="14.25" customHeight="1">
      <c r="A195" s="87" t="s">
        <v>263</v>
      </c>
      <c r="B195" s="1">
        <v>140069</v>
      </c>
      <c r="C195" s="930">
        <v>8104.6</v>
      </c>
      <c r="D195" s="1">
        <v>3459</v>
      </c>
      <c r="E195" s="930">
        <v>472112.86666666676</v>
      </c>
      <c r="F195" s="1">
        <f t="shared" si="45"/>
        <v>623745.46666666679</v>
      </c>
      <c r="G195" s="4">
        <v>25642.7</v>
      </c>
      <c r="H195" s="4">
        <v>181845</v>
      </c>
      <c r="I195" s="930">
        <f t="shared" si="46"/>
        <v>207487.7</v>
      </c>
      <c r="J195" s="1">
        <v>83930.7</v>
      </c>
      <c r="K195" s="930">
        <v>67574.399999999994</v>
      </c>
      <c r="L195" s="1">
        <f t="shared" si="47"/>
        <v>151505.09999999998</v>
      </c>
      <c r="M195" s="930">
        <f t="shared" si="48"/>
        <v>982738.26666666672</v>
      </c>
      <c r="N195" s="1">
        <v>76255.399999999994</v>
      </c>
      <c r="O195" s="4">
        <f t="shared" si="49"/>
        <v>1058993.6666666667</v>
      </c>
    </row>
    <row r="196" spans="1:15" ht="14.25" customHeight="1">
      <c r="A196" s="87" t="s">
        <v>41</v>
      </c>
      <c r="B196" s="1">
        <v>157753.5</v>
      </c>
      <c r="C196" s="930">
        <v>7114.3</v>
      </c>
      <c r="D196" s="1">
        <v>4490.6000000000004</v>
      </c>
      <c r="E196" s="930">
        <v>462409.59999999992</v>
      </c>
      <c r="F196" s="1">
        <f t="shared" si="45"/>
        <v>631767.99999999988</v>
      </c>
      <c r="G196" s="4">
        <v>28196.6</v>
      </c>
      <c r="H196" s="4">
        <v>165693.29999999999</v>
      </c>
      <c r="I196" s="930">
        <f t="shared" si="46"/>
        <v>193889.9</v>
      </c>
      <c r="J196" s="1">
        <v>84253.3</v>
      </c>
      <c r="K196" s="930">
        <v>71160</v>
      </c>
      <c r="L196" s="1">
        <f t="shared" si="47"/>
        <v>155413.29999999999</v>
      </c>
      <c r="M196" s="930">
        <f t="shared" si="48"/>
        <v>981071.2</v>
      </c>
      <c r="N196" s="1">
        <v>76186.2</v>
      </c>
      <c r="O196" s="4">
        <f t="shared" si="49"/>
        <v>1057257.3999999999</v>
      </c>
    </row>
    <row r="197" spans="1:15" ht="14.25" customHeight="1">
      <c r="A197" s="87" t="s">
        <v>42</v>
      </c>
      <c r="B197" s="1">
        <v>157141.49999999997</v>
      </c>
      <c r="C197" s="930">
        <v>4740.2</v>
      </c>
      <c r="D197" s="1">
        <v>4242.6000000000004</v>
      </c>
      <c r="E197" s="930">
        <v>466607.09999999992</v>
      </c>
      <c r="F197" s="1">
        <f t="shared" si="45"/>
        <v>632731.39999999991</v>
      </c>
      <c r="G197" s="4">
        <v>27553.9</v>
      </c>
      <c r="H197" s="4">
        <v>171029.3</v>
      </c>
      <c r="I197" s="930">
        <f t="shared" si="46"/>
        <v>198583.19999999998</v>
      </c>
      <c r="J197" s="1">
        <v>89160.900000000009</v>
      </c>
      <c r="K197" s="930">
        <v>67303.899999999994</v>
      </c>
      <c r="L197" s="1">
        <f t="shared" si="47"/>
        <v>156464.79999999999</v>
      </c>
      <c r="M197" s="930">
        <f t="shared" si="48"/>
        <v>987779.39999999991</v>
      </c>
      <c r="N197" s="1">
        <v>74629.2</v>
      </c>
      <c r="O197" s="4">
        <f t="shared" si="49"/>
        <v>1062408.5999999999</v>
      </c>
    </row>
    <row r="198" spans="1:15" ht="14.25" customHeight="1">
      <c r="A198" s="87" t="s">
        <v>43</v>
      </c>
      <c r="B198" s="1">
        <v>152480</v>
      </c>
      <c r="C198" s="930">
        <v>4710.2999999999993</v>
      </c>
      <c r="D198" s="1">
        <v>4176.6000000000004</v>
      </c>
      <c r="E198" s="930">
        <v>465133.7</v>
      </c>
      <c r="F198" s="1">
        <f t="shared" si="45"/>
        <v>626500.6</v>
      </c>
      <c r="G198" s="4">
        <v>26955.800000000003</v>
      </c>
      <c r="H198" s="4">
        <v>167933.39999999997</v>
      </c>
      <c r="I198" s="930">
        <f t="shared" si="46"/>
        <v>194889.19999999995</v>
      </c>
      <c r="J198" s="1">
        <v>89563.7</v>
      </c>
      <c r="K198" s="930">
        <v>67920.200000000012</v>
      </c>
      <c r="L198" s="1">
        <f t="shared" si="47"/>
        <v>157483.90000000002</v>
      </c>
      <c r="M198" s="930">
        <f t="shared" si="48"/>
        <v>978873.7</v>
      </c>
      <c r="N198" s="1">
        <v>97161.3</v>
      </c>
      <c r="O198" s="4">
        <f t="shared" si="49"/>
        <v>1076035</v>
      </c>
    </row>
    <row r="199" spans="1:15" s="1051" customFormat="1" ht="14.25" customHeight="1">
      <c r="A199" s="1021" t="s">
        <v>44</v>
      </c>
      <c r="B199" s="1">
        <v>154717.6</v>
      </c>
      <c r="C199" s="930">
        <v>9256.7999999999993</v>
      </c>
      <c r="D199" s="1">
        <v>4053.8</v>
      </c>
      <c r="E199" s="930">
        <v>495559.09999999992</v>
      </c>
      <c r="F199" s="1">
        <f t="shared" si="45"/>
        <v>663587.29999999993</v>
      </c>
      <c r="G199" s="4">
        <v>27605.1</v>
      </c>
      <c r="H199" s="4">
        <v>180226.6</v>
      </c>
      <c r="I199" s="930">
        <f t="shared" si="46"/>
        <v>207831.7</v>
      </c>
      <c r="J199" s="1">
        <v>91292.4</v>
      </c>
      <c r="K199" s="930">
        <v>67577.899999999994</v>
      </c>
      <c r="L199" s="1">
        <f t="shared" si="47"/>
        <v>158870.29999999999</v>
      </c>
      <c r="M199" s="930">
        <f t="shared" si="48"/>
        <v>1030289.3</v>
      </c>
      <c r="N199" s="1">
        <v>78832.800000000003</v>
      </c>
      <c r="O199" s="4">
        <f t="shared" si="49"/>
        <v>1109122.1000000001</v>
      </c>
    </row>
    <row r="200" spans="1:15" s="1051" customFormat="1" ht="14.25" customHeight="1">
      <c r="A200" s="1021" t="s">
        <v>619</v>
      </c>
      <c r="B200" s="4">
        <v>162918.20000000001</v>
      </c>
      <c r="C200" s="930">
        <v>19772</v>
      </c>
      <c r="D200" s="1">
        <v>3737.4</v>
      </c>
      <c r="E200" s="930">
        <v>511525.3</v>
      </c>
      <c r="F200" s="1">
        <f t="shared" si="45"/>
        <v>697952.9</v>
      </c>
      <c r="G200" s="4">
        <v>27264.1</v>
      </c>
      <c r="H200" s="4">
        <v>174199.6</v>
      </c>
      <c r="I200" s="930">
        <f t="shared" si="46"/>
        <v>201463.7</v>
      </c>
      <c r="J200" s="1">
        <v>93233.3</v>
      </c>
      <c r="K200" s="930">
        <v>68970.100000000006</v>
      </c>
      <c r="L200" s="1">
        <f t="shared" si="47"/>
        <v>162203.40000000002</v>
      </c>
      <c r="M200" s="930">
        <f t="shared" si="48"/>
        <v>1061620</v>
      </c>
      <c r="N200" s="1">
        <v>82090.5</v>
      </c>
      <c r="O200" s="4">
        <f t="shared" si="49"/>
        <v>1143710.5</v>
      </c>
    </row>
    <row r="201" spans="1:15" ht="14.25" customHeight="1">
      <c r="A201" s="552"/>
      <c r="B201" s="788"/>
      <c r="C201" s="788"/>
      <c r="D201" s="788"/>
      <c r="E201" s="788"/>
      <c r="F201" s="788"/>
      <c r="G201" s="788"/>
      <c r="H201" s="788"/>
      <c r="I201" s="788"/>
      <c r="J201" s="788"/>
      <c r="K201" s="788"/>
      <c r="L201" s="788"/>
      <c r="M201" s="788"/>
      <c r="N201" s="788"/>
      <c r="O201" s="788"/>
    </row>
    <row r="202" spans="1:15">
      <c r="A202" s="95"/>
      <c r="B202" s="602"/>
      <c r="C202" s="602"/>
      <c r="D202" s="602"/>
      <c r="E202" s="602"/>
      <c r="F202" s="602"/>
      <c r="G202" s="602"/>
      <c r="H202" s="602"/>
      <c r="I202" s="602"/>
      <c r="J202" s="602"/>
      <c r="K202" s="602"/>
      <c r="L202" s="602"/>
      <c r="M202" s="602"/>
      <c r="N202" s="602"/>
      <c r="O202" s="637"/>
    </row>
    <row r="203" spans="1:15" hidden="1">
      <c r="A203" s="270"/>
      <c r="B203" s="638"/>
      <c r="C203" s="638"/>
      <c r="D203" s="638"/>
      <c r="E203" s="638"/>
      <c r="F203" s="638"/>
      <c r="G203" s="638"/>
      <c r="H203" s="638"/>
      <c r="I203" s="638"/>
      <c r="J203" s="638"/>
      <c r="K203" s="638"/>
      <c r="L203" s="638"/>
      <c r="M203" s="638"/>
      <c r="N203" s="638"/>
      <c r="O203" s="639"/>
    </row>
    <row r="204" spans="1:15">
      <c r="A204" s="94" t="s">
        <v>661</v>
      </c>
      <c r="B204" s="619"/>
      <c r="C204" s="619"/>
      <c r="D204" s="619"/>
      <c r="E204" s="619"/>
      <c r="F204" s="619"/>
      <c r="G204" s="619"/>
      <c r="H204" s="619"/>
      <c r="I204" s="619"/>
      <c r="J204" s="619"/>
      <c r="K204" s="619"/>
      <c r="L204" s="619"/>
      <c r="M204" s="619"/>
      <c r="N204" s="619"/>
      <c r="O204" s="769"/>
    </row>
    <row r="205" spans="1:15">
      <c r="A205" s="102"/>
      <c r="B205" s="638"/>
      <c r="C205" s="638"/>
      <c r="D205" s="638"/>
      <c r="E205" s="638"/>
      <c r="F205" s="638"/>
      <c r="G205" s="638"/>
      <c r="H205" s="638"/>
      <c r="I205" s="638"/>
      <c r="J205" s="638"/>
      <c r="K205" s="638"/>
      <c r="L205" s="638"/>
      <c r="M205" s="638"/>
      <c r="N205" s="638"/>
      <c r="O205" s="639"/>
    </row>
    <row r="206" spans="1:15">
      <c r="B206" s="566"/>
      <c r="C206" s="566"/>
      <c r="D206" s="566"/>
      <c r="E206" s="566"/>
      <c r="F206" s="566"/>
      <c r="G206" s="566"/>
      <c r="H206" s="566"/>
      <c r="I206" s="566"/>
      <c r="J206" s="566"/>
      <c r="K206" s="566"/>
      <c r="L206" s="566"/>
      <c r="M206" s="566"/>
      <c r="N206" s="566"/>
      <c r="O206" s="566"/>
    </row>
    <row r="207" spans="1:15">
      <c r="B207" s="566"/>
      <c r="C207" s="566"/>
      <c r="D207" s="566"/>
      <c r="E207" s="566"/>
      <c r="F207" s="566"/>
      <c r="G207" s="566"/>
      <c r="H207" s="566"/>
      <c r="I207" s="566"/>
      <c r="J207" s="566"/>
      <c r="K207" s="566"/>
      <c r="L207" s="566"/>
      <c r="M207" s="566"/>
      <c r="N207" s="566"/>
      <c r="O207" s="566"/>
    </row>
    <row r="208" spans="1:15">
      <c r="B208" s="566"/>
      <c r="C208" s="566"/>
      <c r="D208" s="566"/>
      <c r="E208" s="566"/>
      <c r="F208" s="566"/>
      <c r="G208" s="566"/>
      <c r="H208" s="566"/>
      <c r="I208" s="566"/>
      <c r="J208" s="566"/>
      <c r="K208" s="566"/>
      <c r="L208" s="566"/>
      <c r="M208" s="566"/>
      <c r="N208" s="566"/>
      <c r="O208" s="566"/>
    </row>
    <row r="209" spans="2:15">
      <c r="B209" s="566"/>
      <c r="C209" s="566"/>
      <c r="D209" s="566"/>
      <c r="E209" s="566"/>
      <c r="F209" s="566"/>
      <c r="G209" s="566"/>
      <c r="H209" s="566"/>
      <c r="I209" s="566"/>
      <c r="J209" s="566"/>
      <c r="K209" s="566"/>
      <c r="L209" s="566"/>
      <c r="M209" s="566"/>
      <c r="N209" s="566"/>
      <c r="O209" s="566"/>
    </row>
    <row r="210" spans="2:15">
      <c r="B210" s="566"/>
      <c r="C210" s="566"/>
      <c r="D210" s="566"/>
      <c r="E210" s="566"/>
      <c r="F210" s="566"/>
      <c r="G210" s="566"/>
      <c r="H210" s="566"/>
      <c r="I210" s="566"/>
      <c r="J210" s="566"/>
      <c r="K210" s="566"/>
      <c r="L210" s="566"/>
      <c r="M210" s="566"/>
      <c r="N210" s="566"/>
      <c r="O210" s="566"/>
    </row>
    <row r="211" spans="2:15">
      <c r="B211" s="566"/>
      <c r="C211" s="566"/>
      <c r="D211" s="566"/>
      <c r="E211" s="566"/>
      <c r="F211" s="566"/>
      <c r="G211" s="566"/>
      <c r="H211" s="566"/>
      <c r="I211" s="566"/>
      <c r="J211" s="566"/>
      <c r="K211" s="566"/>
      <c r="L211" s="566"/>
      <c r="M211" s="566"/>
      <c r="N211" s="566"/>
      <c r="O211" s="566"/>
    </row>
    <row r="212" spans="2:15">
      <c r="B212" s="566"/>
      <c r="C212" s="566"/>
      <c r="D212" s="566"/>
      <c r="E212" s="566"/>
      <c r="F212" s="566"/>
      <c r="G212" s="566"/>
      <c r="H212" s="566"/>
      <c r="I212" s="566"/>
      <c r="J212" s="566"/>
      <c r="K212" s="566"/>
      <c r="L212" s="566"/>
      <c r="M212" s="566"/>
      <c r="N212" s="566"/>
      <c r="O212" s="566"/>
    </row>
    <row r="213" spans="2:15">
      <c r="B213" s="566"/>
      <c r="C213" s="566"/>
      <c r="D213" s="566"/>
      <c r="E213" s="566"/>
      <c r="F213" s="566"/>
      <c r="G213" s="566"/>
      <c r="H213" s="566"/>
      <c r="I213" s="566"/>
      <c r="J213" s="566"/>
      <c r="K213" s="566"/>
      <c r="L213" s="566"/>
      <c r="M213" s="566"/>
      <c r="N213" s="566"/>
      <c r="O213" s="566"/>
    </row>
    <row r="214" spans="2:15">
      <c r="B214" s="566"/>
      <c r="C214" s="566"/>
    </row>
    <row r="215" spans="2:15">
      <c r="B215" s="566"/>
      <c r="C215" s="566"/>
    </row>
    <row r="216" spans="2:15">
      <c r="B216" s="566"/>
      <c r="C216" s="566"/>
    </row>
    <row r="217" spans="2:15">
      <c r="B217" s="566"/>
      <c r="C217" s="566"/>
    </row>
    <row r="218" spans="2:15">
      <c r="B218" s="566"/>
      <c r="C218" s="566"/>
    </row>
    <row r="219" spans="2:15">
      <c r="B219" s="566"/>
      <c r="C219" s="566"/>
    </row>
    <row r="220" spans="2:15">
      <c r="B220" s="566"/>
      <c r="C220" s="566"/>
    </row>
    <row r="221" spans="2:15">
      <c r="B221" s="566"/>
      <c r="C221" s="566"/>
    </row>
    <row r="222" spans="2:15">
      <c r="B222" s="566"/>
      <c r="C222" s="566"/>
    </row>
    <row r="223" spans="2:15">
      <c r="B223" s="566"/>
      <c r="C223" s="566"/>
    </row>
    <row r="224" spans="2:15">
      <c r="B224" s="566"/>
      <c r="C224" s="566"/>
    </row>
    <row r="225" spans="2:3">
      <c r="B225" s="566"/>
      <c r="C225" s="566"/>
    </row>
    <row r="226" spans="2:3">
      <c r="B226" s="566"/>
      <c r="C226" s="566"/>
    </row>
    <row r="227" spans="2:3">
      <c r="B227" s="566"/>
      <c r="C227" s="566"/>
    </row>
    <row r="228" spans="2:3">
      <c r="B228" s="566"/>
      <c r="C228" s="566"/>
    </row>
    <row r="229" spans="2:3">
      <c r="B229" s="566"/>
      <c r="C229" s="566"/>
    </row>
    <row r="230" spans="2:3">
      <c r="B230" s="566"/>
      <c r="C230" s="566"/>
    </row>
    <row r="231" spans="2:3">
      <c r="B231" s="566"/>
      <c r="C231" s="566"/>
    </row>
    <row r="232" spans="2:3">
      <c r="B232" s="566"/>
      <c r="C232" s="566"/>
    </row>
  </sheetData>
  <mergeCells count="6">
    <mergeCell ref="G9:I9"/>
    <mergeCell ref="B2:N2"/>
    <mergeCell ref="B3:N3"/>
    <mergeCell ref="J9:L9"/>
    <mergeCell ref="B9:F9"/>
    <mergeCell ref="B6:L6"/>
  </mergeCells>
  <pageMargins left="2.2834645669291338" right="0.70866141732283472" top="0.74803149606299213" bottom="0.74803149606299213" header="0.31496062992125984" footer="0.31496062992125984"/>
  <pageSetup paperSize="9" scale="51" orientation="landscape" horizontalDpi="4294967295" verticalDpi="4294967295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4"/>
  <sheetViews>
    <sheetView showGridLines="0" view="pageBreakPreview" topLeftCell="A165" zoomScale="80" zoomScaleNormal="100" zoomScaleSheetLayoutView="80" workbookViewId="0">
      <selection activeCell="C184" sqref="C184"/>
    </sheetView>
  </sheetViews>
  <sheetFormatPr defaultColWidth="13.88671875" defaultRowHeight="12.75"/>
  <cols>
    <col min="1" max="1" width="14.77734375" style="863" bestFit="1" customWidth="1"/>
    <col min="2" max="2" width="13.109375" style="863" customWidth="1"/>
    <col min="3" max="3" width="12.88671875" style="863" customWidth="1"/>
    <col min="4" max="4" width="12.77734375" style="863" hidden="1" customWidth="1"/>
    <col min="5" max="5" width="11.44140625" style="863" hidden="1" customWidth="1"/>
    <col min="6" max="6" width="9.77734375" style="863" hidden="1" customWidth="1"/>
    <col min="7" max="7" width="11.6640625" style="863" hidden="1" customWidth="1"/>
    <col min="8" max="8" width="11.77734375" style="229" hidden="1" customWidth="1"/>
    <col min="9" max="9" width="9.77734375" style="863" hidden="1" customWidth="1"/>
    <col min="10" max="10" width="12.88671875" style="863" customWidth="1"/>
    <col min="11" max="11" width="15.109375" style="863" customWidth="1"/>
    <col min="12" max="12" width="13.6640625" style="863" customWidth="1"/>
    <col min="13" max="13" width="12" style="863" customWidth="1"/>
    <col min="14" max="14" width="11.88671875" style="863" hidden="1" customWidth="1"/>
    <col min="15" max="15" width="13.33203125" style="863" customWidth="1"/>
    <col min="16" max="16" width="10.5546875" style="908" hidden="1" customWidth="1"/>
    <col min="17" max="17" width="11.21875" style="863" customWidth="1"/>
    <col min="18" max="18" width="12.109375" style="863" customWidth="1"/>
    <col min="19" max="19" width="15.5546875" style="909" customWidth="1"/>
    <col min="20" max="16384" width="13.88671875" style="863"/>
  </cols>
  <sheetData>
    <row r="1" spans="1:19">
      <c r="A1" s="859"/>
      <c r="B1" s="860"/>
      <c r="C1" s="860"/>
      <c r="D1" s="860"/>
      <c r="E1" s="860"/>
      <c r="F1" s="860"/>
      <c r="G1" s="860"/>
      <c r="H1" s="157"/>
      <c r="I1" s="860"/>
      <c r="J1" s="860"/>
      <c r="K1" s="860"/>
      <c r="L1" s="860"/>
      <c r="M1" s="860"/>
      <c r="N1" s="860"/>
      <c r="O1" s="860"/>
      <c r="P1" s="861"/>
      <c r="Q1" s="860"/>
      <c r="R1" s="860"/>
      <c r="S1" s="862"/>
    </row>
    <row r="2" spans="1:19">
      <c r="A2" s="864" t="s">
        <v>33</v>
      </c>
      <c r="B2" s="336"/>
      <c r="C2" s="243"/>
      <c r="D2" s="243"/>
      <c r="E2" s="243"/>
      <c r="F2" s="242" t="s">
        <v>0</v>
      </c>
      <c r="G2" s="243"/>
      <c r="H2" s="182"/>
      <c r="I2" s="243"/>
      <c r="J2" s="243"/>
      <c r="K2" s="243"/>
      <c r="L2" s="243"/>
      <c r="M2" s="243"/>
      <c r="N2" s="243"/>
      <c r="O2" s="243"/>
      <c r="P2" s="865"/>
      <c r="Q2" s="243"/>
      <c r="R2" s="243"/>
      <c r="S2" s="866" t="s">
        <v>68</v>
      </c>
    </row>
    <row r="3" spans="1:19">
      <c r="A3" s="1193" t="s">
        <v>102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194"/>
      <c r="R3" s="1194"/>
      <c r="S3" s="1195"/>
    </row>
    <row r="4" spans="1:19">
      <c r="A4" s="1193" t="s">
        <v>113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94"/>
      <c r="O4" s="1194"/>
      <c r="P4" s="1194"/>
      <c r="Q4" s="1194"/>
      <c r="R4" s="1194"/>
      <c r="S4" s="1195"/>
    </row>
    <row r="5" spans="1:19">
      <c r="A5" s="867" t="s">
        <v>0</v>
      </c>
      <c r="B5" s="242" t="s">
        <v>0</v>
      </c>
      <c r="C5" s="243"/>
      <c r="D5" s="242" t="s">
        <v>0</v>
      </c>
      <c r="E5" s="242"/>
      <c r="F5" s="242" t="s">
        <v>0</v>
      </c>
      <c r="G5" s="242" t="s">
        <v>0</v>
      </c>
      <c r="H5" s="182"/>
      <c r="I5" s="243"/>
      <c r="J5" s="243"/>
      <c r="K5" s="243"/>
      <c r="L5" s="242" t="s">
        <v>0</v>
      </c>
      <c r="M5" s="242" t="s">
        <v>0</v>
      </c>
      <c r="N5" s="242" t="s">
        <v>0</v>
      </c>
      <c r="O5" s="242" t="s">
        <v>0</v>
      </c>
      <c r="P5" s="868"/>
      <c r="Q5" s="242" t="s">
        <v>0</v>
      </c>
      <c r="R5" s="243"/>
      <c r="S5" s="869"/>
    </row>
    <row r="6" spans="1:19">
      <c r="A6" s="306"/>
      <c r="B6" s="870"/>
      <c r="C6" s="242"/>
      <c r="D6" s="242"/>
      <c r="E6" s="242"/>
      <c r="F6" s="242"/>
      <c r="G6" s="242"/>
      <c r="H6" s="155"/>
      <c r="I6" s="242"/>
      <c r="J6" s="242"/>
      <c r="K6" s="242"/>
      <c r="L6" s="242"/>
      <c r="M6" s="870"/>
      <c r="N6" s="870"/>
      <c r="O6" s="870"/>
      <c r="P6" s="871"/>
      <c r="Q6" s="870"/>
      <c r="R6" s="870"/>
      <c r="S6" s="872"/>
    </row>
    <row r="7" spans="1:19">
      <c r="A7" s="873"/>
      <c r="B7" s="874"/>
      <c r="C7" s="407"/>
      <c r="D7" s="407"/>
      <c r="E7" s="407"/>
      <c r="F7" s="407"/>
      <c r="G7" s="407"/>
      <c r="H7" s="875"/>
      <c r="I7" s="407"/>
      <c r="J7" s="407"/>
      <c r="K7" s="407"/>
      <c r="L7" s="407"/>
      <c r="M7" s="101"/>
      <c r="N7" s="407"/>
      <c r="O7" s="874"/>
      <c r="P7" s="876"/>
      <c r="Q7" s="407"/>
      <c r="R7" s="874"/>
      <c r="S7" s="877"/>
    </row>
    <row r="8" spans="1:19" ht="15.75" customHeight="1">
      <c r="A8" s="878" t="s">
        <v>91</v>
      </c>
      <c r="B8" s="106" t="s">
        <v>92</v>
      </c>
      <c r="C8" s="1198" t="s">
        <v>101</v>
      </c>
      <c r="D8" s="1199"/>
      <c r="E8" s="1199"/>
      <c r="F8" s="1199"/>
      <c r="G8" s="1199"/>
      <c r="H8" s="1199"/>
      <c r="I8" s="1199"/>
      <c r="J8" s="1199"/>
      <c r="K8" s="1199"/>
      <c r="L8" s="1200"/>
      <c r="M8" s="110" t="s">
        <v>103</v>
      </c>
      <c r="N8" s="879" t="s">
        <v>69</v>
      </c>
      <c r="O8" s="106" t="s">
        <v>107</v>
      </c>
      <c r="P8" s="880" t="s">
        <v>70</v>
      </c>
      <c r="Q8" s="879" t="s">
        <v>103</v>
      </c>
      <c r="R8" s="115" t="s">
        <v>111</v>
      </c>
      <c r="S8" s="881" t="s">
        <v>74</v>
      </c>
    </row>
    <row r="9" spans="1:19">
      <c r="A9" s="878"/>
      <c r="B9" s="106" t="s">
        <v>93</v>
      </c>
      <c r="C9" s="242"/>
      <c r="D9" s="242"/>
      <c r="E9" s="242"/>
      <c r="F9" s="242"/>
      <c r="G9" s="242"/>
      <c r="H9" s="155"/>
      <c r="I9" s="242"/>
      <c r="J9" s="242"/>
      <c r="K9" s="242"/>
      <c r="L9" s="242"/>
      <c r="M9" s="106" t="s">
        <v>104</v>
      </c>
      <c r="N9" s="858" t="s">
        <v>71</v>
      </c>
      <c r="O9" s="106" t="s">
        <v>108</v>
      </c>
      <c r="P9" s="880" t="s">
        <v>72</v>
      </c>
      <c r="Q9" s="858" t="s">
        <v>104</v>
      </c>
      <c r="R9" s="115" t="s">
        <v>28</v>
      </c>
      <c r="S9" s="881" t="s">
        <v>33</v>
      </c>
    </row>
    <row r="10" spans="1:19">
      <c r="A10" s="878"/>
      <c r="B10" s="106" t="s">
        <v>94</v>
      </c>
      <c r="C10" s="243"/>
      <c r="D10" s="243"/>
      <c r="E10" s="243"/>
      <c r="F10" s="243"/>
      <c r="G10" s="243"/>
      <c r="H10" s="182"/>
      <c r="I10" s="243"/>
      <c r="J10" s="243"/>
      <c r="K10" s="243"/>
      <c r="L10" s="243"/>
      <c r="M10" s="106" t="s">
        <v>105</v>
      </c>
      <c r="N10" s="855" t="s">
        <v>75</v>
      </c>
      <c r="O10" s="106" t="s">
        <v>110</v>
      </c>
      <c r="P10" s="880" t="s">
        <v>76</v>
      </c>
      <c r="Q10" s="858" t="s">
        <v>112</v>
      </c>
      <c r="R10" s="594"/>
      <c r="S10" s="882"/>
    </row>
    <row r="11" spans="1:19">
      <c r="A11" s="878"/>
      <c r="B11" s="883"/>
      <c r="C11" s="592"/>
      <c r="D11" s="592"/>
      <c r="E11" s="592"/>
      <c r="F11" s="592"/>
      <c r="G11" s="592"/>
      <c r="H11" s="884"/>
      <c r="I11" s="592"/>
      <c r="J11" s="592"/>
      <c r="K11" s="592"/>
      <c r="L11" s="592"/>
      <c r="M11" s="106" t="s">
        <v>106</v>
      </c>
      <c r="N11" s="858" t="s">
        <v>77</v>
      </c>
      <c r="O11" s="106" t="s">
        <v>109</v>
      </c>
      <c r="P11" s="880"/>
      <c r="Q11" s="858" t="s">
        <v>106</v>
      </c>
      <c r="R11" s="115"/>
      <c r="S11" s="885"/>
    </row>
    <row r="12" spans="1:19">
      <c r="A12" s="878" t="s">
        <v>34</v>
      </c>
      <c r="B12" s="594"/>
      <c r="C12" s="856" t="s">
        <v>95</v>
      </c>
      <c r="D12" s="109" t="s">
        <v>79</v>
      </c>
      <c r="E12" s="390" t="s">
        <v>79</v>
      </c>
      <c r="F12" s="242" t="s">
        <v>78</v>
      </c>
      <c r="G12" s="109" t="s">
        <v>80</v>
      </c>
      <c r="H12" s="854" t="s">
        <v>81</v>
      </c>
      <c r="I12" s="101" t="s">
        <v>73</v>
      </c>
      <c r="J12" s="109" t="s">
        <v>97</v>
      </c>
      <c r="K12" s="109" t="s">
        <v>99</v>
      </c>
      <c r="L12" s="106" t="s">
        <v>9</v>
      </c>
      <c r="M12" s="594"/>
      <c r="N12" s="243"/>
      <c r="O12" s="594"/>
      <c r="P12" s="865"/>
      <c r="Q12" s="73"/>
      <c r="R12" s="594"/>
      <c r="S12" s="886" t="s">
        <v>0</v>
      </c>
    </row>
    <row r="13" spans="1:19">
      <c r="A13" s="878"/>
      <c r="B13" s="594"/>
      <c r="C13" s="856" t="s">
        <v>96</v>
      </c>
      <c r="D13" s="115" t="s">
        <v>82</v>
      </c>
      <c r="E13" s="857" t="s">
        <v>83</v>
      </c>
      <c r="F13" s="242" t="s">
        <v>84</v>
      </c>
      <c r="G13" s="115" t="s">
        <v>85</v>
      </c>
      <c r="H13" s="854" t="s">
        <v>86</v>
      </c>
      <c r="I13" s="120" t="s">
        <v>87</v>
      </c>
      <c r="J13" s="115" t="s">
        <v>98</v>
      </c>
      <c r="K13" s="115" t="s">
        <v>100</v>
      </c>
      <c r="M13" s="594"/>
      <c r="N13" s="243"/>
      <c r="O13" s="594"/>
      <c r="P13" s="865"/>
      <c r="Q13" s="243"/>
      <c r="R13" s="887" t="s">
        <v>0</v>
      </c>
      <c r="S13" s="888"/>
    </row>
    <row r="14" spans="1:19">
      <c r="A14" s="874"/>
      <c r="B14" s="874"/>
      <c r="C14" s="407"/>
      <c r="D14" s="874"/>
      <c r="E14" s="408"/>
      <c r="F14" s="571" t="s">
        <v>0</v>
      </c>
      <c r="G14" s="874"/>
      <c r="H14" s="875"/>
      <c r="I14" s="889"/>
      <c r="J14" s="889"/>
      <c r="K14" s="890"/>
      <c r="L14" s="874"/>
      <c r="M14" s="874"/>
      <c r="N14" s="407"/>
      <c r="O14" s="874"/>
      <c r="P14" s="891"/>
      <c r="Q14" s="408"/>
      <c r="R14" s="407"/>
      <c r="S14" s="877"/>
    </row>
    <row r="15" spans="1:19" s="475" customFormat="1" ht="15.75" hidden="1" customHeight="1">
      <c r="A15" s="892" t="s">
        <v>4</v>
      </c>
      <c r="B15" s="893">
        <v>332289</v>
      </c>
      <c r="C15" s="130">
        <v>32841.300000000003</v>
      </c>
      <c r="D15" s="893">
        <v>2975.6</v>
      </c>
      <c r="E15" s="893">
        <v>9561.7000000000007</v>
      </c>
      <c r="F15" s="894">
        <v>0</v>
      </c>
      <c r="G15" s="893">
        <v>71410</v>
      </c>
      <c r="H15" s="136" t="s">
        <v>88</v>
      </c>
      <c r="I15" s="893">
        <v>54010.3</v>
      </c>
      <c r="J15" s="137" t="s">
        <v>88</v>
      </c>
      <c r="K15" s="136" t="s">
        <v>88</v>
      </c>
      <c r="L15" s="893">
        <f t="shared" ref="L15" si="0">SUM(C15:I15)</f>
        <v>170798.90000000002</v>
      </c>
      <c r="M15" s="131" t="s">
        <v>88</v>
      </c>
      <c r="N15" s="131" t="s">
        <v>88</v>
      </c>
      <c r="O15" s="893">
        <v>25</v>
      </c>
      <c r="P15" s="820"/>
      <c r="Q15" s="895">
        <f>9.4+3891.8+1023.7+380.9+11.2</f>
        <v>5317</v>
      </c>
      <c r="R15" s="896">
        <v>5180.5</v>
      </c>
      <c r="S15" s="897">
        <f>SUM(B15,L15:R15)</f>
        <v>513610.4</v>
      </c>
    </row>
    <row r="16" spans="1:19" s="243" customFormat="1" ht="15.75" hidden="1" customHeight="1">
      <c r="A16" s="898" t="s">
        <v>5</v>
      </c>
      <c r="B16" s="154">
        <v>400951.3</v>
      </c>
      <c r="C16" s="154">
        <v>95224</v>
      </c>
      <c r="D16" s="154">
        <v>2816.6</v>
      </c>
      <c r="E16" s="154">
        <v>4651.7</v>
      </c>
      <c r="F16" s="819">
        <v>0</v>
      </c>
      <c r="G16" s="154">
        <v>65897.399999999994</v>
      </c>
      <c r="H16" s="155">
        <f>32841.2+1870.6</f>
        <v>34711.799999999996</v>
      </c>
      <c r="I16" s="154">
        <v>47032.6</v>
      </c>
      <c r="J16" s="130" t="s">
        <v>88</v>
      </c>
      <c r="K16" s="129" t="s">
        <v>88</v>
      </c>
      <c r="L16" s="154">
        <f t="shared" ref="L16" si="1">SUM(C16:I16)</f>
        <v>250334.1</v>
      </c>
      <c r="M16" s="130" t="s">
        <v>88</v>
      </c>
      <c r="N16" s="130" t="s">
        <v>88</v>
      </c>
      <c r="O16" s="154">
        <v>20</v>
      </c>
      <c r="P16" s="820"/>
      <c r="Q16" s="153">
        <f>9.4+4333.3+1013.8+380.9+13.3</f>
        <v>5750.7</v>
      </c>
      <c r="R16" s="155">
        <v>2918.8000000000347</v>
      </c>
      <c r="S16" s="154">
        <f t="shared" ref="S16:S24" si="2">SUM(B16,L16:R16)</f>
        <v>659974.9</v>
      </c>
    </row>
    <row r="17" spans="1:19" s="243" customFormat="1" ht="15.75" hidden="1" customHeight="1">
      <c r="A17" s="898" t="s">
        <v>89</v>
      </c>
      <c r="B17" s="153">
        <v>418272.20000000007</v>
      </c>
      <c r="C17" s="130">
        <v>19134.2</v>
      </c>
      <c r="D17" s="130" t="s">
        <v>88</v>
      </c>
      <c r="E17" s="130" t="s">
        <v>88</v>
      </c>
      <c r="F17" s="819"/>
      <c r="G17" s="130" t="s">
        <v>88</v>
      </c>
      <c r="H17" s="130" t="s">
        <v>88</v>
      </c>
      <c r="I17" s="130" t="s">
        <v>88</v>
      </c>
      <c r="J17" s="154">
        <v>88925</v>
      </c>
      <c r="K17" s="154">
        <v>145130.9</v>
      </c>
      <c r="L17" s="154">
        <f t="shared" ref="L17" si="3">SUM(C17:K17)</f>
        <v>253190.09999999998</v>
      </c>
      <c r="M17" s="130" t="s">
        <v>88</v>
      </c>
      <c r="N17" s="130" t="s">
        <v>88</v>
      </c>
      <c r="O17" s="154">
        <v>20</v>
      </c>
      <c r="P17" s="820"/>
      <c r="Q17" s="153">
        <f>9.4+4662.6+905.9+380.9+11.8</f>
        <v>5970.5999999999995</v>
      </c>
      <c r="R17" s="155">
        <v>2976.0999999999185</v>
      </c>
      <c r="S17" s="154">
        <f t="shared" si="2"/>
        <v>680429</v>
      </c>
    </row>
    <row r="18" spans="1:19" s="243" customFormat="1" ht="15.75" hidden="1" customHeight="1">
      <c r="A18" s="898" t="s">
        <v>8</v>
      </c>
      <c r="B18" s="153">
        <v>412743.80000000005</v>
      </c>
      <c r="C18" s="141">
        <v>86260.6</v>
      </c>
      <c r="D18" s="130" t="s">
        <v>88</v>
      </c>
      <c r="E18" s="130" t="s">
        <v>88</v>
      </c>
      <c r="F18" s="819"/>
      <c r="G18" s="130" t="s">
        <v>88</v>
      </c>
      <c r="H18" s="130" t="s">
        <v>88</v>
      </c>
      <c r="I18" s="130" t="s">
        <v>88</v>
      </c>
      <c r="J18" s="154">
        <v>94325</v>
      </c>
      <c r="K18" s="154">
        <v>141433.29999999999</v>
      </c>
      <c r="L18" s="154">
        <f t="shared" ref="L18" si="4">SUM(C18:K18)</f>
        <v>322018.90000000002</v>
      </c>
      <c r="M18" s="130">
        <v>25301.3</v>
      </c>
      <c r="N18" s="129"/>
      <c r="O18" s="154">
        <v>20</v>
      </c>
      <c r="P18" s="820"/>
      <c r="Q18" s="153">
        <f>9.4+6174.8+887.9+380.9+14.4</f>
        <v>7467.3999999999987</v>
      </c>
      <c r="R18" s="155">
        <v>4483.1999999999771</v>
      </c>
      <c r="S18" s="154">
        <f t="shared" si="2"/>
        <v>772034.60000000009</v>
      </c>
    </row>
    <row r="19" spans="1:19" s="243" customFormat="1" hidden="1">
      <c r="A19" s="898" t="s">
        <v>10</v>
      </c>
      <c r="B19" s="153">
        <v>485025.5</v>
      </c>
      <c r="C19" s="130" t="s">
        <v>88</v>
      </c>
      <c r="D19" s="130" t="s">
        <v>88</v>
      </c>
      <c r="E19" s="130" t="s">
        <v>88</v>
      </c>
      <c r="F19" s="819"/>
      <c r="G19" s="130" t="s">
        <v>88</v>
      </c>
      <c r="H19" s="130" t="s">
        <v>88</v>
      </c>
      <c r="I19" s="130" t="s">
        <v>88</v>
      </c>
      <c r="J19" s="154">
        <v>117037.4</v>
      </c>
      <c r="K19" s="154">
        <f>137735.7+155251.9</f>
        <v>292987.59999999998</v>
      </c>
      <c r="L19" s="154">
        <f t="shared" ref="L19" si="5">SUM(C19:K19)</f>
        <v>410025</v>
      </c>
      <c r="M19" s="130" t="s">
        <v>88</v>
      </c>
      <c r="N19" s="129"/>
      <c r="O19" s="154">
        <v>20</v>
      </c>
      <c r="P19" s="820"/>
      <c r="Q19" s="153">
        <f>9.4+8116.1+887.9+26</f>
        <v>9039.4</v>
      </c>
      <c r="R19" s="155">
        <v>7843.899999999976</v>
      </c>
      <c r="S19" s="154">
        <f t="shared" si="2"/>
        <v>911953.8</v>
      </c>
    </row>
    <row r="20" spans="1:19" s="243" customFormat="1">
      <c r="A20" s="898" t="s">
        <v>11</v>
      </c>
      <c r="B20" s="153">
        <v>501323.49999999994</v>
      </c>
      <c r="C20" s="130" t="s">
        <v>88</v>
      </c>
      <c r="D20" s="130" t="s">
        <v>88</v>
      </c>
      <c r="E20" s="130" t="s">
        <v>88</v>
      </c>
      <c r="F20" s="819"/>
      <c r="G20" s="130" t="s">
        <v>88</v>
      </c>
      <c r="H20" s="130" t="s">
        <v>88</v>
      </c>
      <c r="I20" s="130" t="s">
        <v>88</v>
      </c>
      <c r="J20" s="154">
        <v>107284.3</v>
      </c>
      <c r="K20" s="155">
        <v>289290</v>
      </c>
      <c r="L20" s="154">
        <f t="shared" ref="L20" si="6">SUM(C20:K20)</f>
        <v>396574.3</v>
      </c>
      <c r="M20" s="130" t="s">
        <v>88</v>
      </c>
      <c r="N20" s="129"/>
      <c r="O20" s="154">
        <v>20</v>
      </c>
      <c r="P20" s="820"/>
      <c r="Q20" s="153">
        <v>11039.999999999998</v>
      </c>
      <c r="R20" s="155">
        <v>14789.2</v>
      </c>
      <c r="S20" s="154">
        <f t="shared" si="2"/>
        <v>923746.99999999988</v>
      </c>
    </row>
    <row r="21" spans="1:19" s="243" customFormat="1">
      <c r="A21" s="898" t="s">
        <v>13</v>
      </c>
      <c r="B21" s="153">
        <f>500016.3+1198.4</f>
        <v>501214.7</v>
      </c>
      <c r="C21" s="130">
        <v>55186.9</v>
      </c>
      <c r="D21" s="130" t="s">
        <v>88</v>
      </c>
      <c r="E21" s="130" t="s">
        <v>88</v>
      </c>
      <c r="F21" s="819"/>
      <c r="G21" s="130" t="s">
        <v>88</v>
      </c>
      <c r="H21" s="130" t="s">
        <v>88</v>
      </c>
      <c r="I21" s="130" t="s">
        <v>88</v>
      </c>
      <c r="J21" s="154">
        <v>106976.2</v>
      </c>
      <c r="K21" s="155">
        <v>285900.5</v>
      </c>
      <c r="L21" s="154">
        <f t="shared" ref="L21:L24" si="7">SUM(C21:K21)</f>
        <v>448063.6</v>
      </c>
      <c r="M21" s="130">
        <f>2000</f>
        <v>2000</v>
      </c>
      <c r="N21" s="129"/>
      <c r="O21" s="154">
        <v>20</v>
      </c>
      <c r="P21" s="820"/>
      <c r="Q21" s="153">
        <f>887.9+12093.9+9.4+21.3</f>
        <v>13012.499999999998</v>
      </c>
      <c r="R21" s="155">
        <f>65554.3-1198.4</f>
        <v>64355.9</v>
      </c>
      <c r="S21" s="154">
        <f t="shared" si="2"/>
        <v>1028666.7000000001</v>
      </c>
    </row>
    <row r="22" spans="1:19" s="243" customFormat="1">
      <c r="A22" s="898" t="s">
        <v>14</v>
      </c>
      <c r="B22" s="153">
        <f>220631.2+1198.4</f>
        <v>221829.6</v>
      </c>
      <c r="C22" s="130">
        <v>273246</v>
      </c>
      <c r="D22" s="130" t="s">
        <v>88</v>
      </c>
      <c r="E22" s="130" t="s">
        <v>88</v>
      </c>
      <c r="F22" s="819"/>
      <c r="G22" s="130" t="s">
        <v>88</v>
      </c>
      <c r="H22" s="130" t="s">
        <v>88</v>
      </c>
      <c r="I22" s="130" t="s">
        <v>88</v>
      </c>
      <c r="J22" s="154">
        <v>90564.7</v>
      </c>
      <c r="K22" s="155">
        <v>277913.90000000002</v>
      </c>
      <c r="L22" s="154">
        <f t="shared" si="7"/>
        <v>641724.60000000009</v>
      </c>
      <c r="M22" s="130">
        <v>21800</v>
      </c>
      <c r="N22" s="129"/>
      <c r="O22" s="154">
        <v>20</v>
      </c>
      <c r="P22" s="820"/>
      <c r="Q22" s="153">
        <f>887.9+14924.5+9.4+48.3</f>
        <v>15870.099999999999</v>
      </c>
      <c r="R22" s="155">
        <f>70740.6-1198.4</f>
        <v>69542.200000000012</v>
      </c>
      <c r="S22" s="154">
        <f t="shared" si="2"/>
        <v>970786.5</v>
      </c>
    </row>
    <row r="23" spans="1:19" s="243" customFormat="1">
      <c r="A23" s="898" t="s">
        <v>15</v>
      </c>
      <c r="B23" s="153">
        <f>165236.3+1198.4</f>
        <v>166434.69999999998</v>
      </c>
      <c r="C23" s="141">
        <v>134973.1</v>
      </c>
      <c r="D23" s="130"/>
      <c r="E23" s="128"/>
      <c r="F23" s="819"/>
      <c r="G23" s="130"/>
      <c r="H23" s="129"/>
      <c r="I23" s="130"/>
      <c r="J23" s="154">
        <v>73845.100000000006</v>
      </c>
      <c r="K23" s="155">
        <v>543481.59999999998</v>
      </c>
      <c r="L23" s="154">
        <f t="shared" si="7"/>
        <v>752299.8</v>
      </c>
      <c r="M23" s="130">
        <v>89000</v>
      </c>
      <c r="N23" s="129"/>
      <c r="O23" s="154">
        <v>20</v>
      </c>
      <c r="P23" s="820"/>
      <c r="Q23" s="153">
        <f>15721.6+9.4+887.8+83.3</f>
        <v>16702.099999999999</v>
      </c>
      <c r="R23" s="155">
        <f>84074.1-1198.4</f>
        <v>82875.700000000012</v>
      </c>
      <c r="S23" s="154">
        <f t="shared" si="2"/>
        <v>1107332.3</v>
      </c>
    </row>
    <row r="24" spans="1:19" s="243" customFormat="1">
      <c r="A24" s="898" t="s">
        <v>669</v>
      </c>
      <c r="B24" s="153">
        <v>194000.2</v>
      </c>
      <c r="C24" s="141">
        <v>194279.4</v>
      </c>
      <c r="D24" s="130"/>
      <c r="E24" s="128"/>
      <c r="F24" s="819"/>
      <c r="G24" s="130"/>
      <c r="H24" s="129"/>
      <c r="I24" s="130"/>
      <c r="J24" s="154">
        <v>57125.4</v>
      </c>
      <c r="K24" s="155">
        <v>535803.19999999995</v>
      </c>
      <c r="L24" s="154">
        <f t="shared" si="7"/>
        <v>787208</v>
      </c>
      <c r="M24" s="130">
        <v>159990</v>
      </c>
      <c r="N24" s="129"/>
      <c r="O24" s="154">
        <v>20</v>
      </c>
      <c r="P24" s="820"/>
      <c r="Q24" s="153">
        <f>887.8+22686.1+83.3</f>
        <v>23657.199999999997</v>
      </c>
      <c r="R24" s="155">
        <f>110090.6-1198.4</f>
        <v>108892.20000000001</v>
      </c>
      <c r="S24" s="154">
        <f t="shared" si="2"/>
        <v>1273767.5999999999</v>
      </c>
    </row>
    <row r="25" spans="1:19" s="243" customFormat="1">
      <c r="A25" s="898"/>
      <c r="B25" s="153"/>
      <c r="C25" s="130"/>
      <c r="D25" s="130"/>
      <c r="E25" s="130"/>
      <c r="F25" s="819"/>
      <c r="G25" s="130"/>
      <c r="H25" s="130"/>
      <c r="I25" s="130"/>
      <c r="J25" s="154"/>
      <c r="K25" s="154"/>
      <c r="L25" s="154"/>
      <c r="M25" s="130"/>
      <c r="N25" s="130"/>
      <c r="O25" s="154"/>
      <c r="P25" s="820"/>
      <c r="Q25" s="153"/>
      <c r="R25" s="155"/>
      <c r="S25" s="154"/>
    </row>
    <row r="26" spans="1:19" s="243" customFormat="1" hidden="1">
      <c r="A26" s="113" t="s">
        <v>61</v>
      </c>
      <c r="B26" s="153">
        <f>490364.5+1198.4</f>
        <v>491562.9</v>
      </c>
      <c r="C26" s="130">
        <v>8513</v>
      </c>
      <c r="D26" s="130" t="s">
        <v>88</v>
      </c>
      <c r="E26" s="130" t="s">
        <v>88</v>
      </c>
      <c r="F26" s="819"/>
      <c r="G26" s="130" t="s">
        <v>88</v>
      </c>
      <c r="H26" s="130" t="s">
        <v>88</v>
      </c>
      <c r="I26" s="130" t="s">
        <v>88</v>
      </c>
      <c r="J26" s="154">
        <v>107284.3</v>
      </c>
      <c r="K26" s="155">
        <v>288673.7</v>
      </c>
      <c r="L26" s="154">
        <f t="shared" ref="L26:L29" si="8">SUM(C26:K26)</f>
        <v>404471</v>
      </c>
      <c r="M26" s="130">
        <v>2239.9</v>
      </c>
      <c r="N26" s="129"/>
      <c r="O26" s="154">
        <v>20</v>
      </c>
      <c r="P26" s="820"/>
      <c r="Q26" s="153">
        <f>887.9+11758.1+21.3</f>
        <v>12667.3</v>
      </c>
      <c r="R26" s="155">
        <f>16389.1-1198.4</f>
        <v>15190.699999999999</v>
      </c>
      <c r="S26" s="154">
        <f t="shared" ref="S26:S29" si="9">SUM(B26,L26:R26)</f>
        <v>926151.8</v>
      </c>
    </row>
    <row r="27" spans="1:19" s="243" customFormat="1" hidden="1">
      <c r="A27" s="113" t="s">
        <v>710</v>
      </c>
      <c r="B27" s="153">
        <f>485405.9+1198.4</f>
        <v>486604.30000000005</v>
      </c>
      <c r="C27" s="130">
        <v>39309.599999999999</v>
      </c>
      <c r="D27" s="130" t="s">
        <v>88</v>
      </c>
      <c r="E27" s="130" t="s">
        <v>88</v>
      </c>
      <c r="F27" s="819"/>
      <c r="G27" s="130" t="s">
        <v>88</v>
      </c>
      <c r="H27" s="130" t="s">
        <v>88</v>
      </c>
      <c r="I27" s="130" t="s">
        <v>88</v>
      </c>
      <c r="J27" s="154">
        <v>107284.3</v>
      </c>
      <c r="K27" s="155">
        <v>287441.2</v>
      </c>
      <c r="L27" s="154">
        <f t="shared" si="8"/>
        <v>434035.1</v>
      </c>
      <c r="M27" s="130">
        <v>1914.8</v>
      </c>
      <c r="N27" s="129"/>
      <c r="O27" s="154">
        <v>20</v>
      </c>
      <c r="P27" s="820"/>
      <c r="Q27" s="153">
        <f>887.9+12491.3+9.4+21.3</f>
        <v>13409.899999999998</v>
      </c>
      <c r="R27" s="155">
        <f>46067.1-1198.4</f>
        <v>44868.7</v>
      </c>
      <c r="S27" s="154">
        <f t="shared" si="9"/>
        <v>980852.8</v>
      </c>
    </row>
    <row r="28" spans="1:19" s="243" customFormat="1" hidden="1">
      <c r="A28" s="113" t="s">
        <v>636</v>
      </c>
      <c r="B28" s="153">
        <f>523706.4+1198.4</f>
        <v>524904.80000000005</v>
      </c>
      <c r="C28" s="130">
        <v>27300.1</v>
      </c>
      <c r="D28" s="130" t="s">
        <v>88</v>
      </c>
      <c r="E28" s="130" t="s">
        <v>88</v>
      </c>
      <c r="F28" s="819"/>
      <c r="G28" s="130" t="s">
        <v>88</v>
      </c>
      <c r="H28" s="130" t="s">
        <v>88</v>
      </c>
      <c r="I28" s="130" t="s">
        <v>88</v>
      </c>
      <c r="J28" s="154">
        <v>107284.3</v>
      </c>
      <c r="K28" s="155">
        <v>286825</v>
      </c>
      <c r="L28" s="154">
        <f t="shared" si="8"/>
        <v>421409.4</v>
      </c>
      <c r="M28" s="130">
        <f>2000+231.9</f>
        <v>2231.9</v>
      </c>
      <c r="N28" s="129"/>
      <c r="O28" s="154">
        <v>20</v>
      </c>
      <c r="P28" s="820"/>
      <c r="Q28" s="153">
        <f>887.9+12400.2+9.4+21.3</f>
        <v>13318.8</v>
      </c>
      <c r="R28" s="155">
        <f>57430-1198.4</f>
        <v>56231.6</v>
      </c>
      <c r="S28" s="154">
        <f t="shared" si="9"/>
        <v>1018116.5000000001</v>
      </c>
    </row>
    <row r="29" spans="1:19" s="243" customFormat="1" hidden="1">
      <c r="A29" s="113" t="s">
        <v>664</v>
      </c>
      <c r="B29" s="153">
        <f>500016.3+1198.4</f>
        <v>501214.7</v>
      </c>
      <c r="C29" s="130">
        <v>55186.9</v>
      </c>
      <c r="D29" s="130" t="s">
        <v>88</v>
      </c>
      <c r="E29" s="130" t="s">
        <v>88</v>
      </c>
      <c r="F29" s="819"/>
      <c r="G29" s="130" t="s">
        <v>88</v>
      </c>
      <c r="H29" s="130" t="s">
        <v>88</v>
      </c>
      <c r="I29" s="130" t="s">
        <v>88</v>
      </c>
      <c r="J29" s="154">
        <v>106976.2</v>
      </c>
      <c r="K29" s="155">
        <v>285900.5</v>
      </c>
      <c r="L29" s="154">
        <f t="shared" si="8"/>
        <v>448063.6</v>
      </c>
      <c r="M29" s="130">
        <f>2000</f>
        <v>2000</v>
      </c>
      <c r="N29" s="129"/>
      <c r="O29" s="154">
        <v>20</v>
      </c>
      <c r="P29" s="820"/>
      <c r="Q29" s="153">
        <f>887.9+12093.9+9.4+21.3</f>
        <v>13012.499999999998</v>
      </c>
      <c r="R29" s="155">
        <f>65554.3-1198.4</f>
        <v>64355.9</v>
      </c>
      <c r="S29" s="154">
        <f t="shared" si="9"/>
        <v>1028666.7000000001</v>
      </c>
    </row>
    <row r="30" spans="1:19" s="243" customFormat="1" ht="12" hidden="1" customHeight="1">
      <c r="A30" s="113"/>
      <c r="B30" s="153"/>
      <c r="C30" s="130"/>
      <c r="D30" s="130"/>
      <c r="E30" s="130"/>
      <c r="F30" s="819"/>
      <c r="G30" s="130"/>
      <c r="H30" s="130"/>
      <c r="I30" s="130"/>
      <c r="J30" s="154"/>
      <c r="K30" s="155"/>
      <c r="L30" s="154"/>
      <c r="M30" s="130"/>
      <c r="N30" s="129"/>
      <c r="O30" s="154"/>
      <c r="P30" s="820"/>
      <c r="Q30" s="153"/>
      <c r="R30" s="155"/>
      <c r="S30" s="154"/>
    </row>
    <row r="31" spans="1:19" s="243" customFormat="1">
      <c r="A31" s="113" t="s">
        <v>53</v>
      </c>
      <c r="B31" s="153">
        <f>471312.6+1198.4</f>
        <v>472511</v>
      </c>
      <c r="C31" s="130">
        <v>23590.1</v>
      </c>
      <c r="D31" s="130" t="s">
        <v>88</v>
      </c>
      <c r="E31" s="130" t="s">
        <v>88</v>
      </c>
      <c r="F31" s="819"/>
      <c r="G31" s="130" t="s">
        <v>88</v>
      </c>
      <c r="H31" s="130" t="s">
        <v>88</v>
      </c>
      <c r="I31" s="130" t="s">
        <v>88</v>
      </c>
      <c r="J31" s="154">
        <v>104166</v>
      </c>
      <c r="K31" s="155">
        <v>284644.40000000002</v>
      </c>
      <c r="L31" s="154">
        <f t="shared" ref="L31:L34" si="10">SUM(C31:K31)</f>
        <v>412400.5</v>
      </c>
      <c r="M31" s="130">
        <v>3178.9</v>
      </c>
      <c r="N31" s="129"/>
      <c r="O31" s="154">
        <v>20</v>
      </c>
      <c r="P31" s="820"/>
      <c r="Q31" s="153">
        <f>887.9+12644.8+9.4+21.3</f>
        <v>13563.399999999998</v>
      </c>
      <c r="R31" s="155">
        <f>70415.3-1198.4</f>
        <v>69216.900000000009</v>
      </c>
      <c r="S31" s="154">
        <f t="shared" ref="S31:S34" si="11">SUM(B31,L31:R31)</f>
        <v>970890.70000000007</v>
      </c>
    </row>
    <row r="32" spans="1:19" s="243" customFormat="1">
      <c r="A32" s="113" t="s">
        <v>44</v>
      </c>
      <c r="B32" s="153">
        <f>372018.8+1198.4</f>
        <v>373217.2</v>
      </c>
      <c r="C32" s="130">
        <v>121700.8</v>
      </c>
      <c r="D32" s="130" t="s">
        <v>88</v>
      </c>
      <c r="E32" s="130" t="s">
        <v>88</v>
      </c>
      <c r="F32" s="819"/>
      <c r="G32" s="130" t="s">
        <v>88</v>
      </c>
      <c r="H32" s="130" t="s">
        <v>88</v>
      </c>
      <c r="I32" s="130" t="s">
        <v>88</v>
      </c>
      <c r="J32" s="154">
        <v>100317.8</v>
      </c>
      <c r="K32" s="155">
        <v>282393.09999999998</v>
      </c>
      <c r="L32" s="154">
        <f t="shared" si="10"/>
        <v>504411.69999999995</v>
      </c>
      <c r="M32" s="130">
        <v>22000</v>
      </c>
      <c r="N32" s="129"/>
      <c r="O32" s="154">
        <v>20</v>
      </c>
      <c r="P32" s="820"/>
      <c r="Q32" s="153">
        <f>887.9+13119.4+9.4+61</f>
        <v>14077.699999999999</v>
      </c>
      <c r="R32" s="155">
        <f>72615.2-1198.4</f>
        <v>71416.800000000003</v>
      </c>
      <c r="S32" s="154">
        <f t="shared" si="11"/>
        <v>985143.39999999991</v>
      </c>
    </row>
    <row r="33" spans="1:19" s="243" customFormat="1">
      <c r="A33" s="113" t="s">
        <v>47</v>
      </c>
      <c r="B33" s="153">
        <f>273056.3+1198.4</f>
        <v>274254.7</v>
      </c>
      <c r="C33" s="130">
        <v>201450.1</v>
      </c>
      <c r="D33" s="130" t="s">
        <v>88</v>
      </c>
      <c r="E33" s="130" t="s">
        <v>88</v>
      </c>
      <c r="F33" s="819"/>
      <c r="G33" s="130" t="s">
        <v>88</v>
      </c>
      <c r="H33" s="130" t="s">
        <v>88</v>
      </c>
      <c r="I33" s="130" t="s">
        <v>88</v>
      </c>
      <c r="J33" s="154">
        <v>96137.9</v>
      </c>
      <c r="K33" s="155">
        <v>280473.5</v>
      </c>
      <c r="L33" s="154">
        <f t="shared" si="10"/>
        <v>578061.5</v>
      </c>
      <c r="M33" s="130">
        <v>6840.3</v>
      </c>
      <c r="N33" s="129"/>
      <c r="O33" s="154">
        <v>20</v>
      </c>
      <c r="P33" s="820"/>
      <c r="Q33" s="153">
        <f>887.9+14704.5+9.4+61.4</f>
        <v>15663.199999999999</v>
      </c>
      <c r="R33" s="155">
        <f>69762.2-1198.4</f>
        <v>68563.8</v>
      </c>
      <c r="S33" s="154">
        <f t="shared" si="11"/>
        <v>943403.5</v>
      </c>
    </row>
    <row r="34" spans="1:19" s="243" customFormat="1">
      <c r="A34" s="113" t="s">
        <v>50</v>
      </c>
      <c r="B34" s="153">
        <f>220631.2+1198.4</f>
        <v>221829.6</v>
      </c>
      <c r="C34" s="130">
        <v>273246</v>
      </c>
      <c r="D34" s="130" t="s">
        <v>88</v>
      </c>
      <c r="E34" s="130" t="s">
        <v>88</v>
      </c>
      <c r="F34" s="819"/>
      <c r="G34" s="130" t="s">
        <v>88</v>
      </c>
      <c r="H34" s="130" t="s">
        <v>88</v>
      </c>
      <c r="I34" s="130" t="s">
        <v>88</v>
      </c>
      <c r="J34" s="154">
        <v>90564.7</v>
      </c>
      <c r="K34" s="155">
        <v>277913.90000000002</v>
      </c>
      <c r="L34" s="154">
        <f t="shared" si="10"/>
        <v>641724.60000000009</v>
      </c>
      <c r="M34" s="130">
        <v>21800</v>
      </c>
      <c r="N34" s="129"/>
      <c r="O34" s="154">
        <v>20</v>
      </c>
      <c r="P34" s="820"/>
      <c r="Q34" s="153">
        <f>887.9+14924.5+9.4+48.3</f>
        <v>15870.099999999999</v>
      </c>
      <c r="R34" s="155">
        <f>70740.6-1198.4</f>
        <v>69542.200000000012</v>
      </c>
      <c r="S34" s="154">
        <f t="shared" si="11"/>
        <v>970786.5</v>
      </c>
    </row>
    <row r="35" spans="1:19" s="243" customFormat="1" ht="12" customHeight="1">
      <c r="A35" s="113"/>
      <c r="B35" s="153"/>
      <c r="C35" s="130"/>
      <c r="D35" s="130"/>
      <c r="E35" s="130"/>
      <c r="F35" s="819"/>
      <c r="G35" s="130"/>
      <c r="H35" s="130"/>
      <c r="I35" s="130"/>
      <c r="J35" s="154"/>
      <c r="K35" s="155"/>
      <c r="L35" s="154"/>
      <c r="M35" s="130"/>
      <c r="N35" s="129"/>
      <c r="O35" s="154"/>
      <c r="P35" s="820"/>
      <c r="Q35" s="153"/>
      <c r="R35" s="155"/>
      <c r="S35" s="154"/>
    </row>
    <row r="36" spans="1:19" s="243" customFormat="1">
      <c r="A36" s="113" t="s">
        <v>65</v>
      </c>
      <c r="B36" s="153">
        <f>154021.4+1198.4</f>
        <v>155219.79999999999</v>
      </c>
      <c r="C36" s="130">
        <v>273246</v>
      </c>
      <c r="D36" s="130" t="s">
        <v>88</v>
      </c>
      <c r="E36" s="130" t="s">
        <v>88</v>
      </c>
      <c r="F36" s="819"/>
      <c r="G36" s="130" t="s">
        <v>88</v>
      </c>
      <c r="H36" s="130" t="s">
        <v>88</v>
      </c>
      <c r="I36" s="130" t="s">
        <v>88</v>
      </c>
      <c r="J36" s="154">
        <v>86384.8</v>
      </c>
      <c r="K36" s="155">
        <v>275994.3</v>
      </c>
      <c r="L36" s="154">
        <f t="shared" ref="L36:L39" si="12">SUM(C36:K36)</f>
        <v>635625.1</v>
      </c>
      <c r="M36" s="130">
        <v>73850</v>
      </c>
      <c r="N36" s="129"/>
      <c r="O36" s="154">
        <v>20</v>
      </c>
      <c r="P36" s="820"/>
      <c r="Q36" s="153">
        <f>887.9+15883.6+9.4+48.3</f>
        <v>16829.2</v>
      </c>
      <c r="R36" s="155">
        <f>345279.5-1198.4-273246</f>
        <v>70835.099999999977</v>
      </c>
      <c r="S36" s="154">
        <f t="shared" ref="S36:S39" si="13">SUM(B36,L36:R36)</f>
        <v>952379.19999999984</v>
      </c>
    </row>
    <row r="37" spans="1:19" s="243" customFormat="1">
      <c r="A37" s="113" t="s">
        <v>44</v>
      </c>
      <c r="B37" s="153">
        <f>164637+1198.4</f>
        <v>165835.4</v>
      </c>
      <c r="C37" s="141">
        <v>292750.7</v>
      </c>
      <c r="D37" s="130"/>
      <c r="E37" s="128"/>
      <c r="F37" s="819"/>
      <c r="G37" s="130"/>
      <c r="H37" s="129"/>
      <c r="I37" s="130"/>
      <c r="J37" s="154">
        <v>83598.2</v>
      </c>
      <c r="K37" s="155">
        <v>274074.7</v>
      </c>
      <c r="L37" s="154">
        <f t="shared" si="12"/>
        <v>650423.60000000009</v>
      </c>
      <c r="M37" s="130">
        <v>103000</v>
      </c>
      <c r="N37" s="129"/>
      <c r="O37" s="154">
        <v>20</v>
      </c>
      <c r="P37" s="820"/>
      <c r="Q37" s="153">
        <f>887.9+16543.8+9.4+73.2</f>
        <v>17514.300000000003</v>
      </c>
      <c r="R37" s="155">
        <f>72742.7-1198.4</f>
        <v>71544.3</v>
      </c>
      <c r="S37" s="154">
        <f t="shared" si="13"/>
        <v>1008337.6000000002</v>
      </c>
    </row>
    <row r="38" spans="1:19" s="243" customFormat="1">
      <c r="A38" s="113" t="s">
        <v>47</v>
      </c>
      <c r="B38" s="153">
        <f>156195.1+1198.4</f>
        <v>157393.5</v>
      </c>
      <c r="C38" s="141">
        <v>18972.7</v>
      </c>
      <c r="D38" s="130"/>
      <c r="E38" s="128"/>
      <c r="F38" s="819"/>
      <c r="G38" s="130"/>
      <c r="H38" s="129"/>
      <c r="I38" s="130"/>
      <c r="J38" s="154">
        <v>79418.3</v>
      </c>
      <c r="K38" s="155">
        <v>546041</v>
      </c>
      <c r="L38" s="154">
        <f t="shared" si="12"/>
        <v>644432</v>
      </c>
      <c r="M38" s="130">
        <v>120705</v>
      </c>
      <c r="N38" s="129"/>
      <c r="O38" s="154">
        <v>20</v>
      </c>
      <c r="P38" s="820"/>
      <c r="Q38" s="153">
        <f>9.4+16282+102.9+887.8</f>
        <v>17282.099999999999</v>
      </c>
      <c r="R38" s="155">
        <f>72767.7-1198.4</f>
        <v>71569.3</v>
      </c>
      <c r="S38" s="154">
        <f t="shared" si="13"/>
        <v>1011401.9</v>
      </c>
    </row>
    <row r="39" spans="1:19" s="243" customFormat="1">
      <c r="A39" s="113" t="s">
        <v>50</v>
      </c>
      <c r="B39" s="153">
        <f>165236.3+1198.4</f>
        <v>166434.69999999998</v>
      </c>
      <c r="C39" s="141">
        <v>134973.1</v>
      </c>
      <c r="D39" s="130"/>
      <c r="E39" s="128"/>
      <c r="F39" s="819"/>
      <c r="G39" s="130"/>
      <c r="H39" s="129"/>
      <c r="I39" s="130"/>
      <c r="J39" s="154">
        <v>73845.100000000006</v>
      </c>
      <c r="K39" s="155">
        <v>543481.59999999998</v>
      </c>
      <c r="L39" s="154">
        <f t="shared" si="12"/>
        <v>752299.8</v>
      </c>
      <c r="M39" s="130">
        <v>89000</v>
      </c>
      <c r="N39" s="129"/>
      <c r="O39" s="154">
        <v>20</v>
      </c>
      <c r="P39" s="820"/>
      <c r="Q39" s="153">
        <f>15721.6+9.4+887.8+83.3</f>
        <v>16702.099999999999</v>
      </c>
      <c r="R39" s="155">
        <f>84074.1-1198.4</f>
        <v>82875.700000000012</v>
      </c>
      <c r="S39" s="154">
        <f t="shared" si="13"/>
        <v>1107332.3</v>
      </c>
    </row>
    <row r="40" spans="1:19" s="243" customFormat="1" ht="12" customHeight="1">
      <c r="A40" s="113"/>
      <c r="B40" s="153"/>
      <c r="C40" s="129"/>
      <c r="D40" s="130"/>
      <c r="E40" s="128"/>
      <c r="F40" s="819"/>
      <c r="G40" s="130"/>
      <c r="H40" s="129"/>
      <c r="I40" s="130"/>
      <c r="J40" s="154"/>
      <c r="K40" s="155"/>
      <c r="L40" s="154"/>
      <c r="M40" s="130"/>
      <c r="N40" s="129"/>
      <c r="O40" s="154"/>
      <c r="P40" s="820"/>
      <c r="Q40" s="153"/>
      <c r="R40" s="155"/>
      <c r="S40" s="154"/>
    </row>
    <row r="41" spans="1:19" s="243" customFormat="1">
      <c r="A41" s="113" t="s">
        <v>66</v>
      </c>
      <c r="B41" s="153">
        <f>1198.4+193593.9</f>
        <v>194792.3</v>
      </c>
      <c r="C41" s="141">
        <v>130042.5</v>
      </c>
      <c r="D41" s="130"/>
      <c r="E41" s="128"/>
      <c r="F41" s="819"/>
      <c r="G41" s="130"/>
      <c r="H41" s="129"/>
      <c r="I41" s="130"/>
      <c r="J41" s="154">
        <v>69665.100000000006</v>
      </c>
      <c r="K41" s="155">
        <v>541562</v>
      </c>
      <c r="L41" s="154">
        <f t="shared" ref="L41:L44" si="14">SUM(C41:K41)</f>
        <v>741269.6</v>
      </c>
      <c r="M41" s="130">
        <v>88840</v>
      </c>
      <c r="N41" s="129"/>
      <c r="O41" s="154">
        <v>20</v>
      </c>
      <c r="P41" s="820"/>
      <c r="Q41" s="153">
        <f>887.8+9.4+20517.6+83.3</f>
        <v>21498.1</v>
      </c>
      <c r="R41" s="155">
        <f>93988.3-1198.4</f>
        <v>92789.900000000009</v>
      </c>
      <c r="S41" s="154">
        <f t="shared" ref="S41:S44" si="15">SUM(B41,L41:R41)</f>
        <v>1139209.8999999999</v>
      </c>
    </row>
    <row r="42" spans="1:19" s="243" customFormat="1">
      <c r="A42" s="113" t="s">
        <v>62</v>
      </c>
      <c r="B42" s="153">
        <f>1198.4+199629.2</f>
        <v>200827.6</v>
      </c>
      <c r="C42" s="141">
        <v>141652.79999999999</v>
      </c>
      <c r="D42" s="130"/>
      <c r="E42" s="128"/>
      <c r="F42" s="819"/>
      <c r="G42" s="130"/>
      <c r="H42" s="129"/>
      <c r="I42" s="130"/>
      <c r="J42" s="154">
        <v>66878.5</v>
      </c>
      <c r="K42" s="155">
        <v>540282.30000000005</v>
      </c>
      <c r="L42" s="154">
        <f t="shared" si="14"/>
        <v>748813.60000000009</v>
      </c>
      <c r="M42" s="130">
        <v>70737.5</v>
      </c>
      <c r="N42" s="129"/>
      <c r="O42" s="154">
        <v>20</v>
      </c>
      <c r="P42" s="820"/>
      <c r="Q42" s="153">
        <f>887.8+9.4+22518.5+83.3</f>
        <v>23499</v>
      </c>
      <c r="R42" s="155">
        <f>99923.4-1198.4</f>
        <v>98725</v>
      </c>
      <c r="S42" s="154">
        <f t="shared" si="15"/>
        <v>1142622.7000000002</v>
      </c>
    </row>
    <row r="43" spans="1:19" s="243" customFormat="1">
      <c r="A43" s="113" t="s">
        <v>63</v>
      </c>
      <c r="B43" s="153">
        <f>1198.4+197530</f>
        <v>198728.4</v>
      </c>
      <c r="C43" s="141">
        <v>112382.3</v>
      </c>
      <c r="D43" s="130"/>
      <c r="E43" s="128"/>
      <c r="F43" s="819"/>
      <c r="G43" s="130"/>
      <c r="H43" s="129"/>
      <c r="I43" s="130"/>
      <c r="J43" s="154">
        <v>62698.6</v>
      </c>
      <c r="K43" s="155">
        <v>538362.6</v>
      </c>
      <c r="L43" s="154">
        <f t="shared" si="14"/>
        <v>713443.5</v>
      </c>
      <c r="M43" s="130">
        <v>123150</v>
      </c>
      <c r="N43" s="129"/>
      <c r="O43" s="154">
        <v>20</v>
      </c>
      <c r="P43" s="820"/>
      <c r="Q43" s="153">
        <f>23325.1+83.3+887.8</f>
        <v>24296.199999999997</v>
      </c>
      <c r="R43" s="155">
        <f>134316.4-1198.4</f>
        <v>133118</v>
      </c>
      <c r="S43" s="154">
        <f t="shared" si="15"/>
        <v>1192756.1000000001</v>
      </c>
    </row>
    <row r="44" spans="1:19" s="243" customFormat="1">
      <c r="A44" s="113" t="s">
        <v>64</v>
      </c>
      <c r="B44" s="153">
        <f>198191.4+1198.4</f>
        <v>199389.8</v>
      </c>
      <c r="C44" s="141">
        <v>194279.5</v>
      </c>
      <c r="D44" s="130"/>
      <c r="E44" s="128"/>
      <c r="F44" s="819"/>
      <c r="G44" s="130"/>
      <c r="H44" s="129"/>
      <c r="I44" s="130"/>
      <c r="J44" s="154">
        <v>57125.4</v>
      </c>
      <c r="K44" s="155">
        <v>535803.19999999995</v>
      </c>
      <c r="L44" s="154">
        <f t="shared" si="14"/>
        <v>787208.1</v>
      </c>
      <c r="M44" s="130">
        <v>159990</v>
      </c>
      <c r="N44" s="129"/>
      <c r="O44" s="154">
        <v>20</v>
      </c>
      <c r="P44" s="820"/>
      <c r="Q44" s="153">
        <f>887.8+22686.1+83.3</f>
        <v>23657.199999999997</v>
      </c>
      <c r="R44" s="155">
        <f>140231.7-1198.4</f>
        <v>139033.30000000002</v>
      </c>
      <c r="S44" s="154">
        <f t="shared" si="15"/>
        <v>1309298.3999999999</v>
      </c>
    </row>
    <row r="45" spans="1:19" s="243" customFormat="1">
      <c r="A45" s="113"/>
      <c r="B45" s="153"/>
      <c r="C45" s="129"/>
      <c r="D45" s="130"/>
      <c r="E45" s="128"/>
      <c r="F45" s="819"/>
      <c r="G45" s="130"/>
      <c r="H45" s="129"/>
      <c r="I45" s="130"/>
      <c r="J45" s="154"/>
      <c r="K45" s="155"/>
      <c r="L45" s="154"/>
      <c r="M45" s="130"/>
      <c r="N45" s="129"/>
      <c r="O45" s="154"/>
      <c r="P45" s="820"/>
      <c r="Q45" s="153"/>
      <c r="R45" s="155"/>
      <c r="S45" s="154"/>
    </row>
    <row r="46" spans="1:19" s="243" customFormat="1">
      <c r="A46" s="113" t="s">
        <v>684</v>
      </c>
      <c r="B46" s="153">
        <v>153639.19999999998</v>
      </c>
      <c r="C46" s="141">
        <v>151279.20000000001</v>
      </c>
      <c r="D46" s="130"/>
      <c r="E46" s="128"/>
      <c r="F46" s="819"/>
      <c r="G46" s="130"/>
      <c r="H46" s="129"/>
      <c r="I46" s="130"/>
      <c r="J46" s="154">
        <v>52945.5</v>
      </c>
      <c r="K46" s="155">
        <v>533314.30000000005</v>
      </c>
      <c r="L46" s="154">
        <v>737539</v>
      </c>
      <c r="M46" s="130">
        <v>185103.2</v>
      </c>
      <c r="N46" s="129"/>
      <c r="O46" s="154">
        <v>20</v>
      </c>
      <c r="P46" s="820"/>
      <c r="Q46" s="153">
        <v>24049.3</v>
      </c>
      <c r="R46" s="155">
        <v>134141.80000000002</v>
      </c>
      <c r="S46" s="154">
        <v>1234492.5</v>
      </c>
    </row>
    <row r="47" spans="1:19" s="243" customFormat="1">
      <c r="A47" s="113" t="s">
        <v>44</v>
      </c>
      <c r="B47" s="153">
        <v>153564.80000000002</v>
      </c>
      <c r="C47" s="141">
        <v>201181.6</v>
      </c>
      <c r="D47" s="130"/>
      <c r="E47" s="128"/>
      <c r="F47" s="819"/>
      <c r="G47" s="130"/>
      <c r="H47" s="129"/>
      <c r="I47" s="130"/>
      <c r="J47" s="154">
        <v>50158.9</v>
      </c>
      <c r="K47" s="155">
        <v>529117.6</v>
      </c>
      <c r="L47" s="154">
        <v>780458.1</v>
      </c>
      <c r="M47" s="130">
        <v>283075.3</v>
      </c>
      <c r="N47" s="129"/>
      <c r="O47" s="154">
        <v>20</v>
      </c>
      <c r="P47" s="820"/>
      <c r="Q47" s="153">
        <v>24856.5</v>
      </c>
      <c r="R47" s="155">
        <v>148862.5</v>
      </c>
      <c r="S47" s="154">
        <v>1390837.2</v>
      </c>
    </row>
    <row r="48" spans="1:19" s="243" customFormat="1">
      <c r="A48" s="113"/>
      <c r="B48" s="154"/>
      <c r="C48" s="819"/>
      <c r="D48" s="154"/>
      <c r="E48" s="154"/>
      <c r="F48" s="819"/>
      <c r="G48" s="154"/>
      <c r="H48" s="155"/>
      <c r="I48" s="154"/>
      <c r="J48" s="154"/>
      <c r="K48" s="155"/>
      <c r="L48" s="154"/>
      <c r="M48" s="154"/>
      <c r="N48" s="155"/>
      <c r="O48" s="154"/>
      <c r="P48" s="820"/>
      <c r="Q48" s="153"/>
      <c r="R48" s="155"/>
      <c r="S48" s="154"/>
    </row>
    <row r="49" spans="1:23" s="243" customFormat="1" ht="15.75" hidden="1" customHeight="1">
      <c r="A49" s="113" t="s">
        <v>60</v>
      </c>
      <c r="B49" s="154">
        <v>228560.99999999997</v>
      </c>
      <c r="C49" s="154">
        <v>5542.2</v>
      </c>
      <c r="D49" s="154">
        <v>3044.4</v>
      </c>
      <c r="E49" s="154">
        <v>14722.5</v>
      </c>
      <c r="F49" s="819">
        <v>0</v>
      </c>
      <c r="G49" s="154">
        <v>75320.399999999994</v>
      </c>
      <c r="H49" s="130" t="s">
        <v>88</v>
      </c>
      <c r="I49" s="154">
        <v>59510.2</v>
      </c>
      <c r="J49" s="130" t="s">
        <v>88</v>
      </c>
      <c r="K49" s="130" t="s">
        <v>88</v>
      </c>
      <c r="L49" s="154">
        <f t="shared" ref="L49:L54" si="16">SUM(C49:I49)</f>
        <v>158139.70000000001</v>
      </c>
      <c r="M49" s="154">
        <v>1804</v>
      </c>
      <c r="N49" s="154" t="s">
        <v>88</v>
      </c>
      <c r="O49" s="154">
        <v>25</v>
      </c>
      <c r="P49" s="820"/>
      <c r="Q49" s="153">
        <f>380.9+3815.5+1023.7+15.7</f>
        <v>5235.7999999999993</v>
      </c>
      <c r="R49" s="155">
        <v>4379.6000000000349</v>
      </c>
      <c r="S49" s="154">
        <f t="shared" ref="S49:S60" si="17">SUM(B49,L49:R49)</f>
        <v>398145.1</v>
      </c>
      <c r="W49" s="243">
        <f>+U49-V49</f>
        <v>0</v>
      </c>
    </row>
    <row r="50" spans="1:23" s="243" customFormat="1" ht="15.75" hidden="1" customHeight="1">
      <c r="A50" s="113" t="s">
        <v>40</v>
      </c>
      <c r="B50" s="154">
        <v>221904.40000000002</v>
      </c>
      <c r="C50" s="154">
        <v>11906.1</v>
      </c>
      <c r="D50" s="154">
        <v>3044.4</v>
      </c>
      <c r="E50" s="154">
        <v>14523.3</v>
      </c>
      <c r="F50" s="819">
        <v>0</v>
      </c>
      <c r="G50" s="154">
        <v>74951.3</v>
      </c>
      <c r="H50" s="130" t="s">
        <v>88</v>
      </c>
      <c r="I50" s="154">
        <v>59376.9</v>
      </c>
      <c r="J50" s="130" t="s">
        <v>88</v>
      </c>
      <c r="K50" s="130" t="s">
        <v>88</v>
      </c>
      <c r="L50" s="154">
        <f t="shared" si="16"/>
        <v>163802</v>
      </c>
      <c r="M50" s="154">
        <v>1000</v>
      </c>
      <c r="N50" s="154" t="s">
        <v>88</v>
      </c>
      <c r="O50" s="154">
        <v>25</v>
      </c>
      <c r="P50" s="820"/>
      <c r="Q50" s="153">
        <f>380.9+3781.3+1023.7+63.1</f>
        <v>5249</v>
      </c>
      <c r="R50" s="155">
        <v>3000.9999999999764</v>
      </c>
      <c r="S50" s="154">
        <f t="shared" si="17"/>
        <v>394981.4</v>
      </c>
    </row>
    <row r="51" spans="1:23" s="243" customFormat="1" ht="15.75" hidden="1" customHeight="1">
      <c r="A51" s="113" t="s">
        <v>41</v>
      </c>
      <c r="B51" s="154">
        <v>228695</v>
      </c>
      <c r="C51" s="154">
        <v>23202.6</v>
      </c>
      <c r="D51" s="154">
        <v>3044.4</v>
      </c>
      <c r="E51" s="154">
        <v>13544.2</v>
      </c>
      <c r="F51" s="819">
        <v>0</v>
      </c>
      <c r="G51" s="154">
        <v>74582.100000000006</v>
      </c>
      <c r="H51" s="130" t="s">
        <v>88</v>
      </c>
      <c r="I51" s="154">
        <v>59243.6</v>
      </c>
      <c r="J51" s="130" t="s">
        <v>88</v>
      </c>
      <c r="K51" s="130" t="s">
        <v>88</v>
      </c>
      <c r="L51" s="154">
        <f t="shared" si="16"/>
        <v>173616.9</v>
      </c>
      <c r="M51" s="154">
        <v>1000</v>
      </c>
      <c r="N51" s="154" t="s">
        <v>88</v>
      </c>
      <c r="O51" s="154">
        <v>25</v>
      </c>
      <c r="P51" s="820"/>
      <c r="Q51" s="153">
        <f>380.9+3922.4+9.4+1023.7+46.9</f>
        <v>5383.2999999999993</v>
      </c>
      <c r="R51" s="155">
        <v>3023.2000000000062</v>
      </c>
      <c r="S51" s="154">
        <f t="shared" si="17"/>
        <v>411743.4</v>
      </c>
    </row>
    <row r="52" spans="1:23" s="243" customFormat="1" ht="15.75" hidden="1" customHeight="1">
      <c r="A52" s="113" t="s">
        <v>42</v>
      </c>
      <c r="B52" s="154">
        <v>229113.49999999997</v>
      </c>
      <c r="C52" s="154">
        <v>30407.599999999999</v>
      </c>
      <c r="D52" s="154">
        <v>3044.4</v>
      </c>
      <c r="E52" s="154">
        <v>13345</v>
      </c>
      <c r="F52" s="819">
        <v>0</v>
      </c>
      <c r="G52" s="154">
        <v>74213.100000000006</v>
      </c>
      <c r="H52" s="130" t="s">
        <v>88</v>
      </c>
      <c r="I52" s="154">
        <v>58662</v>
      </c>
      <c r="J52" s="130" t="s">
        <v>88</v>
      </c>
      <c r="K52" s="130" t="s">
        <v>88</v>
      </c>
      <c r="L52" s="154">
        <f t="shared" si="16"/>
        <v>179672.1</v>
      </c>
      <c r="M52" s="154">
        <v>1000</v>
      </c>
      <c r="N52" s="154" t="s">
        <v>88</v>
      </c>
      <c r="O52" s="154">
        <v>25</v>
      </c>
      <c r="P52" s="820"/>
      <c r="Q52" s="153">
        <f>9.4+3944.1+1023.7+380.9+46.9</f>
        <v>5404.9999999999991</v>
      </c>
      <c r="R52" s="155">
        <v>3019.8000000000347</v>
      </c>
      <c r="S52" s="154">
        <f t="shared" si="17"/>
        <v>418235.4</v>
      </c>
    </row>
    <row r="53" spans="1:23" s="243" customFormat="1" ht="15.75" hidden="1" customHeight="1">
      <c r="A53" s="113" t="s">
        <v>43</v>
      </c>
      <c r="B53" s="154">
        <v>225037.40000000002</v>
      </c>
      <c r="C53" s="154">
        <v>34467.599999999999</v>
      </c>
      <c r="D53" s="154">
        <v>3044.4</v>
      </c>
      <c r="E53" s="154">
        <v>13145.8</v>
      </c>
      <c r="F53" s="819">
        <v>0</v>
      </c>
      <c r="G53" s="154">
        <v>73843.899999999994</v>
      </c>
      <c r="H53" s="130" t="s">
        <v>88</v>
      </c>
      <c r="I53" s="154">
        <v>58080.6</v>
      </c>
      <c r="J53" s="130" t="s">
        <v>88</v>
      </c>
      <c r="K53" s="130" t="s">
        <v>88</v>
      </c>
      <c r="L53" s="154">
        <f t="shared" si="16"/>
        <v>182582.3</v>
      </c>
      <c r="M53" s="130" t="s">
        <v>88</v>
      </c>
      <c r="N53" s="154" t="s">
        <v>88</v>
      </c>
      <c r="O53" s="154">
        <v>25</v>
      </c>
      <c r="P53" s="820"/>
      <c r="Q53" s="153">
        <f>9.4+4074.7+1023.7+380.9+41.5</f>
        <v>5530.2</v>
      </c>
      <c r="R53" s="155">
        <v>3082.1999999999771</v>
      </c>
      <c r="S53" s="154">
        <f t="shared" si="17"/>
        <v>416257.1</v>
      </c>
    </row>
    <row r="54" spans="1:23" s="243" customFormat="1" ht="15.75" hidden="1" customHeight="1">
      <c r="A54" s="113" t="s">
        <v>44</v>
      </c>
      <c r="B54" s="154">
        <v>223062</v>
      </c>
      <c r="C54" s="154">
        <v>38928.800000000003</v>
      </c>
      <c r="D54" s="154">
        <v>3044.4</v>
      </c>
      <c r="E54" s="154">
        <v>12166.7</v>
      </c>
      <c r="F54" s="819">
        <v>0</v>
      </c>
      <c r="G54" s="154">
        <v>73474.8</v>
      </c>
      <c r="H54" s="130" t="s">
        <v>88</v>
      </c>
      <c r="I54" s="154">
        <v>57499.1</v>
      </c>
      <c r="J54" s="130" t="s">
        <v>88</v>
      </c>
      <c r="K54" s="130" t="s">
        <v>88</v>
      </c>
      <c r="L54" s="154">
        <f t="shared" si="16"/>
        <v>185113.80000000002</v>
      </c>
      <c r="M54" s="154">
        <v>1474.9</v>
      </c>
      <c r="N54" s="154" t="s">
        <v>88</v>
      </c>
      <c r="O54" s="154">
        <v>25</v>
      </c>
      <c r="P54" s="820"/>
      <c r="Q54" s="153">
        <v>5569.4</v>
      </c>
      <c r="R54" s="155">
        <v>4503.5000000000055</v>
      </c>
      <c r="S54" s="154">
        <f t="shared" si="17"/>
        <v>419748.60000000009</v>
      </c>
    </row>
    <row r="55" spans="1:23" s="243" customFormat="1" ht="15.75" hidden="1" customHeight="1">
      <c r="A55" s="113" t="s">
        <v>45</v>
      </c>
      <c r="B55" s="154">
        <v>247877.4</v>
      </c>
      <c r="C55" s="154">
        <v>32957.9</v>
      </c>
      <c r="D55" s="154">
        <v>2975.6</v>
      </c>
      <c r="E55" s="154">
        <v>11967.5</v>
      </c>
      <c r="F55" s="819">
        <v>0</v>
      </c>
      <c r="G55" s="154">
        <v>73105.7</v>
      </c>
      <c r="H55" s="130" t="s">
        <v>88</v>
      </c>
      <c r="I55" s="154">
        <v>56917.599999999999</v>
      </c>
      <c r="J55" s="130" t="s">
        <v>88</v>
      </c>
      <c r="K55" s="130" t="s">
        <v>88</v>
      </c>
      <c r="L55" s="154">
        <f t="shared" ref="L55:L60" si="18">SUM(C55:I55)</f>
        <v>177924.3</v>
      </c>
      <c r="M55" s="154">
        <v>3006.3</v>
      </c>
      <c r="N55" s="154" t="s">
        <v>88</v>
      </c>
      <c r="O55" s="154">
        <v>25</v>
      </c>
      <c r="P55" s="820"/>
      <c r="Q55" s="153">
        <f>9.4+4077.4+1023.7+380.9+37.1</f>
        <v>5528.5</v>
      </c>
      <c r="R55" s="155">
        <v>6056.8000000000065</v>
      </c>
      <c r="S55" s="154">
        <f t="shared" si="17"/>
        <v>440418.29999999993</v>
      </c>
    </row>
    <row r="56" spans="1:23" s="243" customFormat="1" ht="15.75" hidden="1" customHeight="1">
      <c r="A56" s="113" t="s">
        <v>46</v>
      </c>
      <c r="B56" s="154">
        <v>250006.90000000002</v>
      </c>
      <c r="C56" s="154">
        <v>37677.9</v>
      </c>
      <c r="D56" s="154">
        <v>2975.6</v>
      </c>
      <c r="E56" s="154">
        <v>11768.3</v>
      </c>
      <c r="F56" s="819">
        <v>0</v>
      </c>
      <c r="G56" s="154">
        <v>72736.5</v>
      </c>
      <c r="H56" s="130" t="s">
        <v>88</v>
      </c>
      <c r="I56" s="154">
        <v>56336.2</v>
      </c>
      <c r="J56" s="130" t="s">
        <v>88</v>
      </c>
      <c r="K56" s="130" t="s">
        <v>88</v>
      </c>
      <c r="L56" s="154">
        <f t="shared" si="18"/>
        <v>181494.5</v>
      </c>
      <c r="M56" s="154">
        <v>6000</v>
      </c>
      <c r="N56" s="154" t="s">
        <v>88</v>
      </c>
      <c r="O56" s="154">
        <v>25</v>
      </c>
      <c r="P56" s="820"/>
      <c r="Q56" s="153">
        <f>9.4+4035.9+1023.7+380.9+37.1</f>
        <v>5487</v>
      </c>
      <c r="R56" s="155">
        <v>4581.3999999999769</v>
      </c>
      <c r="S56" s="154">
        <f t="shared" si="17"/>
        <v>447594.8</v>
      </c>
    </row>
    <row r="57" spans="1:23" s="243" customFormat="1" ht="15.75" hidden="1" customHeight="1">
      <c r="A57" s="113" t="s">
        <v>47</v>
      </c>
      <c r="B57" s="154">
        <v>248003.19999999998</v>
      </c>
      <c r="C57" s="154">
        <v>23869.8</v>
      </c>
      <c r="D57" s="154">
        <v>2975.6</v>
      </c>
      <c r="E57" s="154">
        <v>11768.3</v>
      </c>
      <c r="F57" s="819">
        <v>0</v>
      </c>
      <c r="G57" s="154">
        <v>72736.5</v>
      </c>
      <c r="H57" s="129" t="s">
        <v>88</v>
      </c>
      <c r="I57" s="154">
        <v>56336.2</v>
      </c>
      <c r="J57" s="130" t="s">
        <v>88</v>
      </c>
      <c r="K57" s="130" t="s">
        <v>88</v>
      </c>
      <c r="L57" s="154">
        <f t="shared" si="18"/>
        <v>167686.39999999999</v>
      </c>
      <c r="M57" s="154">
        <v>10622.1</v>
      </c>
      <c r="N57" s="130" t="s">
        <v>88</v>
      </c>
      <c r="O57" s="154">
        <v>25</v>
      </c>
      <c r="P57" s="820"/>
      <c r="Q57" s="153">
        <f>9.4+3962.5+1023.7+380.9+20.6</f>
        <v>5397.1</v>
      </c>
      <c r="R57" s="155">
        <v>4471.900000000006</v>
      </c>
      <c r="S57" s="154">
        <f t="shared" si="17"/>
        <v>436205.69999999995</v>
      </c>
    </row>
    <row r="58" spans="1:23" s="243" customFormat="1" ht="15.75" hidden="1" customHeight="1">
      <c r="A58" s="113" t="s">
        <v>48</v>
      </c>
      <c r="B58" s="154">
        <v>262774.2</v>
      </c>
      <c r="C58" s="154">
        <v>20909.3</v>
      </c>
      <c r="D58" s="154">
        <v>2975.6</v>
      </c>
      <c r="E58" s="154">
        <v>10590</v>
      </c>
      <c r="F58" s="819">
        <v>0</v>
      </c>
      <c r="G58" s="154">
        <v>71998.3</v>
      </c>
      <c r="H58" s="129" t="s">
        <v>88</v>
      </c>
      <c r="I58" s="154">
        <v>55173.2</v>
      </c>
      <c r="J58" s="130" t="s">
        <v>88</v>
      </c>
      <c r="K58" s="130" t="s">
        <v>88</v>
      </c>
      <c r="L58" s="154">
        <f t="shared" si="18"/>
        <v>161646.39999999999</v>
      </c>
      <c r="M58" s="154">
        <v>5355.8</v>
      </c>
      <c r="N58" s="130" t="s">
        <v>88</v>
      </c>
      <c r="O58" s="154">
        <v>25</v>
      </c>
      <c r="P58" s="820"/>
      <c r="Q58" s="153">
        <f>9.4+4014.5+1023.7+380.9+15.1</f>
        <v>5443.6</v>
      </c>
      <c r="R58" s="155">
        <v>4968.5999999999767</v>
      </c>
      <c r="S58" s="154">
        <f t="shared" si="17"/>
        <v>440213.59999999992</v>
      </c>
    </row>
    <row r="59" spans="1:23" s="243" customFormat="1" ht="15.75" hidden="1" customHeight="1">
      <c r="A59" s="113" t="s">
        <v>49</v>
      </c>
      <c r="B59" s="154">
        <v>277128.90000000002</v>
      </c>
      <c r="C59" s="154">
        <v>7252.5</v>
      </c>
      <c r="D59" s="154">
        <v>2975.6</v>
      </c>
      <c r="E59" s="154">
        <v>10390.799999999999</v>
      </c>
      <c r="F59" s="819">
        <v>0</v>
      </c>
      <c r="G59" s="154">
        <v>71629.2</v>
      </c>
      <c r="H59" s="129" t="s">
        <v>88</v>
      </c>
      <c r="I59" s="154">
        <v>54591.8</v>
      </c>
      <c r="J59" s="130" t="s">
        <v>88</v>
      </c>
      <c r="K59" s="130" t="s">
        <v>88</v>
      </c>
      <c r="L59" s="154">
        <f t="shared" si="18"/>
        <v>146839.90000000002</v>
      </c>
      <c r="M59" s="154">
        <v>5508.8</v>
      </c>
      <c r="N59" s="130" t="s">
        <v>88</v>
      </c>
      <c r="O59" s="154">
        <v>25</v>
      </c>
      <c r="P59" s="820"/>
      <c r="Q59" s="153">
        <f>9.4+4007+1023.7+380.9+10.3</f>
        <v>5431.3</v>
      </c>
      <c r="R59" s="155">
        <v>4572.2999999999765</v>
      </c>
      <c r="S59" s="154">
        <f t="shared" si="17"/>
        <v>439506.2</v>
      </c>
    </row>
    <row r="60" spans="1:23" s="243" customFormat="1" ht="15.75" hidden="1" customHeight="1">
      <c r="A60" s="113" t="s">
        <v>50</v>
      </c>
      <c r="B60" s="154">
        <v>334489.89999999997</v>
      </c>
      <c r="C60" s="154">
        <v>32841.300000000003</v>
      </c>
      <c r="D60" s="154">
        <v>2975.6</v>
      </c>
      <c r="E60" s="154">
        <v>9561.7000000000007</v>
      </c>
      <c r="F60" s="819">
        <v>0</v>
      </c>
      <c r="G60" s="154">
        <v>71410</v>
      </c>
      <c r="H60" s="129" t="s">
        <v>88</v>
      </c>
      <c r="I60" s="154">
        <v>54010.3</v>
      </c>
      <c r="J60" s="130" t="s">
        <v>88</v>
      </c>
      <c r="K60" s="130" t="s">
        <v>88</v>
      </c>
      <c r="L60" s="154">
        <f t="shared" si="18"/>
        <v>170798.90000000002</v>
      </c>
      <c r="M60" s="130" t="s">
        <v>88</v>
      </c>
      <c r="N60" s="130" t="s">
        <v>88</v>
      </c>
      <c r="O60" s="154">
        <v>25</v>
      </c>
      <c r="P60" s="820"/>
      <c r="Q60" s="153">
        <f>9.4+3891.8+1023.7+380.9+11.2</f>
        <v>5317</v>
      </c>
      <c r="R60" s="155">
        <v>2979.6000000000931</v>
      </c>
      <c r="S60" s="154">
        <f t="shared" si="17"/>
        <v>513610.40000000008</v>
      </c>
    </row>
    <row r="61" spans="1:23" s="243" customFormat="1" ht="15.75" hidden="1" customHeight="1">
      <c r="A61" s="142"/>
      <c r="B61" s="154"/>
      <c r="C61" s="154"/>
      <c r="D61" s="154"/>
      <c r="E61" s="154"/>
      <c r="F61" s="819"/>
      <c r="G61" s="154"/>
      <c r="H61" s="129"/>
      <c r="I61" s="154"/>
      <c r="J61" s="130"/>
      <c r="K61" s="129"/>
      <c r="L61" s="154"/>
      <c r="M61" s="130"/>
      <c r="N61" s="130"/>
      <c r="O61" s="154"/>
      <c r="P61" s="820"/>
      <c r="Q61" s="153"/>
      <c r="R61" s="155"/>
      <c r="S61" s="154"/>
    </row>
    <row r="62" spans="1:23" s="243" customFormat="1" ht="15.75" hidden="1" customHeight="1">
      <c r="A62" s="113" t="s">
        <v>59</v>
      </c>
      <c r="B62" s="154">
        <v>312053.3</v>
      </c>
      <c r="C62" s="154">
        <v>11563.1</v>
      </c>
      <c r="D62" s="154">
        <v>2885.4</v>
      </c>
      <c r="E62" s="154">
        <v>9362.5</v>
      </c>
      <c r="F62" s="819">
        <v>0</v>
      </c>
      <c r="G62" s="154">
        <v>70950.7</v>
      </c>
      <c r="H62" s="129" t="s">
        <v>88</v>
      </c>
      <c r="I62" s="154">
        <v>53428.800000000003</v>
      </c>
      <c r="J62" s="130" t="s">
        <v>88</v>
      </c>
      <c r="K62" s="129" t="s">
        <v>88</v>
      </c>
      <c r="L62" s="154">
        <f t="shared" ref="L62:L67" si="19">SUM(C62:I62)</f>
        <v>148190.5</v>
      </c>
      <c r="M62" s="130" t="s">
        <v>88</v>
      </c>
      <c r="N62" s="130" t="s">
        <v>88</v>
      </c>
      <c r="O62" s="154">
        <v>25</v>
      </c>
      <c r="P62" s="820"/>
      <c r="Q62" s="153">
        <f>9.4+4665.8+1013.8+380.9+11.2</f>
        <v>6081.0999999999995</v>
      </c>
      <c r="R62" s="155">
        <v>2988.2000000000353</v>
      </c>
      <c r="S62" s="154">
        <f t="shared" ref="S62:S73" si="20">SUM(B62,L62:R62)</f>
        <v>469338.1</v>
      </c>
    </row>
    <row r="63" spans="1:23" s="243" customFormat="1" ht="15.75" hidden="1" customHeight="1">
      <c r="A63" s="113" t="s">
        <v>40</v>
      </c>
      <c r="B63" s="154">
        <v>303604.7</v>
      </c>
      <c r="C63" s="154">
        <v>18760.599999999999</v>
      </c>
      <c r="D63" s="154">
        <v>2885.4</v>
      </c>
      <c r="E63" s="154">
        <v>9163.2999999999993</v>
      </c>
      <c r="F63" s="819">
        <v>0</v>
      </c>
      <c r="G63" s="154">
        <v>70491.3</v>
      </c>
      <c r="H63" s="129" t="s">
        <v>88</v>
      </c>
      <c r="I63" s="154">
        <v>52847.3</v>
      </c>
      <c r="J63" s="130" t="s">
        <v>88</v>
      </c>
      <c r="K63" s="129" t="s">
        <v>88</v>
      </c>
      <c r="L63" s="154">
        <f t="shared" si="19"/>
        <v>154147.90000000002</v>
      </c>
      <c r="M63" s="130" t="s">
        <v>88</v>
      </c>
      <c r="N63" s="130" t="s">
        <v>88</v>
      </c>
      <c r="O63" s="154">
        <v>25</v>
      </c>
      <c r="P63" s="820"/>
      <c r="Q63" s="153">
        <f>9.4+4579.1+1013.8+380.9+15.6</f>
        <v>5998.8</v>
      </c>
      <c r="R63" s="155">
        <v>3557.0999999999767</v>
      </c>
      <c r="S63" s="154">
        <f t="shared" si="20"/>
        <v>467333.5</v>
      </c>
    </row>
    <row r="64" spans="1:23" s="243" customFormat="1" ht="15.75" hidden="1" customHeight="1">
      <c r="A64" s="113" t="s">
        <v>41</v>
      </c>
      <c r="B64" s="154">
        <v>286649.10000000003</v>
      </c>
      <c r="C64" s="154">
        <v>22137.8</v>
      </c>
      <c r="D64" s="154">
        <v>2885.4</v>
      </c>
      <c r="E64" s="154">
        <v>9163.2999999999993</v>
      </c>
      <c r="F64" s="819">
        <v>0</v>
      </c>
      <c r="G64" s="154">
        <v>70491.3</v>
      </c>
      <c r="H64" s="129" t="s">
        <v>88</v>
      </c>
      <c r="I64" s="154">
        <v>52847.3</v>
      </c>
      <c r="J64" s="130" t="s">
        <v>88</v>
      </c>
      <c r="K64" s="129" t="s">
        <v>88</v>
      </c>
      <c r="L64" s="154">
        <f t="shared" si="19"/>
        <v>157525.1</v>
      </c>
      <c r="M64" s="130" t="s">
        <v>88</v>
      </c>
      <c r="N64" s="130" t="s">
        <v>88</v>
      </c>
      <c r="O64" s="154">
        <v>25</v>
      </c>
      <c r="P64" s="820"/>
      <c r="Q64" s="153">
        <f>9.4+4544.1+1013.8+380.9+43.2</f>
        <v>5991.4</v>
      </c>
      <c r="R64" s="155">
        <v>7086.1999999999771</v>
      </c>
      <c r="S64" s="154">
        <f t="shared" si="20"/>
        <v>457276.80000000005</v>
      </c>
    </row>
    <row r="65" spans="1:19" s="243" customFormat="1" ht="15.75" hidden="1" customHeight="1">
      <c r="A65" s="113" t="s">
        <v>42</v>
      </c>
      <c r="B65" s="154">
        <v>271927.8</v>
      </c>
      <c r="C65" s="154">
        <v>31416.400000000001</v>
      </c>
      <c r="D65" s="154">
        <v>2885.4</v>
      </c>
      <c r="E65" s="154">
        <v>8135</v>
      </c>
      <c r="F65" s="819">
        <v>0</v>
      </c>
      <c r="G65" s="154">
        <v>69572.5</v>
      </c>
      <c r="H65" s="129" t="s">
        <v>88</v>
      </c>
      <c r="I65" s="154">
        <v>51684.4</v>
      </c>
      <c r="J65" s="130" t="s">
        <v>88</v>
      </c>
      <c r="K65" s="129" t="s">
        <v>88</v>
      </c>
      <c r="L65" s="154">
        <f t="shared" si="19"/>
        <v>163693.70000000001</v>
      </c>
      <c r="M65" s="130" t="s">
        <v>88</v>
      </c>
      <c r="N65" s="130" t="s">
        <v>88</v>
      </c>
      <c r="O65" s="154">
        <v>25</v>
      </c>
      <c r="P65" s="820"/>
      <c r="Q65" s="153">
        <f>9.4+4550.5+1013.8+380.9+43.2</f>
        <v>5997.7999999999993</v>
      </c>
      <c r="R65" s="155">
        <v>3819.4000000000351</v>
      </c>
      <c r="S65" s="154">
        <f t="shared" si="20"/>
        <v>445463.7</v>
      </c>
    </row>
    <row r="66" spans="1:19" s="243" customFormat="1" ht="15.75" hidden="1" customHeight="1">
      <c r="A66" s="113" t="s">
        <v>43</v>
      </c>
      <c r="B66" s="154">
        <v>281111.7</v>
      </c>
      <c r="C66" s="130" t="s">
        <v>88</v>
      </c>
      <c r="D66" s="154">
        <v>2885.4</v>
      </c>
      <c r="E66" s="154">
        <v>7935.8</v>
      </c>
      <c r="F66" s="819">
        <v>0</v>
      </c>
      <c r="G66" s="154">
        <v>69113.100000000006</v>
      </c>
      <c r="H66" s="155">
        <v>32841.199999999997</v>
      </c>
      <c r="I66" s="154">
        <v>51102.9</v>
      </c>
      <c r="J66" s="130" t="s">
        <v>88</v>
      </c>
      <c r="K66" s="129" t="s">
        <v>88</v>
      </c>
      <c r="L66" s="154">
        <f t="shared" si="19"/>
        <v>163878.39999999999</v>
      </c>
      <c r="M66" s="130" t="s">
        <v>88</v>
      </c>
      <c r="N66" s="130" t="s">
        <v>88</v>
      </c>
      <c r="O66" s="154">
        <v>25</v>
      </c>
      <c r="P66" s="820"/>
      <c r="Q66" s="153">
        <f>9.4+4623.6+1013.8+380.9+53.6</f>
        <v>6081.3</v>
      </c>
      <c r="R66" s="155">
        <v>3895.1999999999771</v>
      </c>
      <c r="S66" s="154">
        <f t="shared" si="20"/>
        <v>454991.59999999992</v>
      </c>
    </row>
    <row r="67" spans="1:19" s="243" customFormat="1" ht="15.75" hidden="1" customHeight="1">
      <c r="A67" s="113" t="s">
        <v>44</v>
      </c>
      <c r="B67" s="154">
        <v>275910.89999999997</v>
      </c>
      <c r="C67" s="154">
        <v>23978.1</v>
      </c>
      <c r="D67" s="154">
        <v>2885.4</v>
      </c>
      <c r="E67" s="154">
        <v>7106.7</v>
      </c>
      <c r="F67" s="819">
        <v>0</v>
      </c>
      <c r="G67" s="154">
        <v>68653.7</v>
      </c>
      <c r="H67" s="155">
        <v>32841.199999999997</v>
      </c>
      <c r="I67" s="154">
        <v>50521.4</v>
      </c>
      <c r="J67" s="130" t="s">
        <v>88</v>
      </c>
      <c r="K67" s="129" t="s">
        <v>88</v>
      </c>
      <c r="L67" s="154">
        <f t="shared" si="19"/>
        <v>185986.49999999997</v>
      </c>
      <c r="M67" s="130" t="s">
        <v>88</v>
      </c>
      <c r="N67" s="130" t="s">
        <v>88</v>
      </c>
      <c r="O67" s="154">
        <v>25</v>
      </c>
      <c r="P67" s="820"/>
      <c r="Q67" s="153">
        <f>9.4+4649.1+1013.8+380.9+53.6</f>
        <v>6106.8</v>
      </c>
      <c r="R67" s="155">
        <v>3794.2000000000353</v>
      </c>
      <c r="S67" s="154">
        <f t="shared" si="20"/>
        <v>471823.39999999991</v>
      </c>
    </row>
    <row r="68" spans="1:19" s="243" customFormat="1" ht="15.75" hidden="1" customHeight="1">
      <c r="A68" s="113" t="s">
        <v>45</v>
      </c>
      <c r="B68" s="154">
        <v>272188.10000000003</v>
      </c>
      <c r="C68" s="154">
        <v>19199.599999999999</v>
      </c>
      <c r="D68" s="154">
        <v>2816.6</v>
      </c>
      <c r="E68" s="154">
        <v>6907.5</v>
      </c>
      <c r="F68" s="819">
        <v>0</v>
      </c>
      <c r="G68" s="154">
        <v>68194.399999999994</v>
      </c>
      <c r="H68" s="155">
        <v>32841.199999999997</v>
      </c>
      <c r="I68" s="154">
        <v>49939.9</v>
      </c>
      <c r="J68" s="130" t="s">
        <v>88</v>
      </c>
      <c r="K68" s="129" t="s">
        <v>88</v>
      </c>
      <c r="L68" s="154">
        <f t="shared" ref="L68:L73" si="21">SUM(C68:I68)</f>
        <v>179899.19999999998</v>
      </c>
      <c r="M68" s="130" t="s">
        <v>88</v>
      </c>
      <c r="N68" s="130" t="s">
        <v>88</v>
      </c>
      <c r="O68" s="154">
        <v>25</v>
      </c>
      <c r="P68" s="820"/>
      <c r="Q68" s="153">
        <f>9.4+4661.3+1013.8+380.9+31.3</f>
        <v>6096.7</v>
      </c>
      <c r="R68" s="155">
        <v>3821.7999999999765</v>
      </c>
      <c r="S68" s="154">
        <f t="shared" si="20"/>
        <v>462030.80000000005</v>
      </c>
    </row>
    <row r="69" spans="1:19" s="243" customFormat="1" ht="15.75" hidden="1" customHeight="1">
      <c r="A69" s="113" t="s">
        <v>46</v>
      </c>
      <c r="B69" s="154">
        <v>366666.19999999995</v>
      </c>
      <c r="C69" s="154">
        <v>29723.3</v>
      </c>
      <c r="D69" s="154">
        <v>2816.5</v>
      </c>
      <c r="E69" s="154">
        <v>6708.3</v>
      </c>
      <c r="F69" s="819">
        <v>0</v>
      </c>
      <c r="G69" s="154">
        <v>67735</v>
      </c>
      <c r="H69" s="155">
        <f>32841.2+882.7</f>
        <v>33723.899999999994</v>
      </c>
      <c r="I69" s="154">
        <v>49358.5</v>
      </c>
      <c r="J69" s="130" t="s">
        <v>88</v>
      </c>
      <c r="K69" s="129" t="s">
        <v>88</v>
      </c>
      <c r="L69" s="154">
        <f t="shared" si="21"/>
        <v>190065.5</v>
      </c>
      <c r="M69" s="130" t="s">
        <v>88</v>
      </c>
      <c r="N69" s="130" t="s">
        <v>88</v>
      </c>
      <c r="O69" s="154">
        <v>25</v>
      </c>
      <c r="P69" s="820"/>
      <c r="Q69" s="153">
        <f>9.4+4644.5+1013.8+380.9+27.3</f>
        <v>6075.9</v>
      </c>
      <c r="R69" s="155">
        <v>3906.4000000000351</v>
      </c>
      <c r="S69" s="154">
        <f t="shared" si="20"/>
        <v>566739</v>
      </c>
    </row>
    <row r="70" spans="1:19" s="243" customFormat="1" hidden="1">
      <c r="A70" s="113" t="s">
        <v>47</v>
      </c>
      <c r="B70" s="154">
        <v>393262.6</v>
      </c>
      <c r="C70" s="154">
        <v>13325.8</v>
      </c>
      <c r="D70" s="154">
        <v>2816.5</v>
      </c>
      <c r="E70" s="154">
        <v>5879.2</v>
      </c>
      <c r="F70" s="819">
        <v>0</v>
      </c>
      <c r="G70" s="154">
        <v>67275.600000000006</v>
      </c>
      <c r="H70" s="155">
        <f>32841.2+1125.6</f>
        <v>33966.799999999996</v>
      </c>
      <c r="I70" s="154">
        <v>48777</v>
      </c>
      <c r="J70" s="130" t="s">
        <v>88</v>
      </c>
      <c r="K70" s="129" t="s">
        <v>88</v>
      </c>
      <c r="L70" s="154">
        <f t="shared" si="21"/>
        <v>172040.9</v>
      </c>
      <c r="M70" s="130" t="s">
        <v>88</v>
      </c>
      <c r="N70" s="130" t="s">
        <v>88</v>
      </c>
      <c r="O70" s="154">
        <v>25</v>
      </c>
      <c r="P70" s="820"/>
      <c r="Q70" s="153">
        <f>9.4+4608.3+1013.8+380.9+23.4</f>
        <v>6035.7999999999993</v>
      </c>
      <c r="R70" s="155">
        <v>3770.4000000000351</v>
      </c>
      <c r="S70" s="154">
        <f t="shared" si="20"/>
        <v>575134.70000000007</v>
      </c>
    </row>
    <row r="71" spans="1:19" s="243" customFormat="1" ht="15.75" hidden="1" customHeight="1">
      <c r="A71" s="113" t="s">
        <v>48</v>
      </c>
      <c r="B71" s="154">
        <v>389967.10000000003</v>
      </c>
      <c r="C71" s="154">
        <v>25022.7</v>
      </c>
      <c r="D71" s="154">
        <v>2816.6</v>
      </c>
      <c r="E71" s="154">
        <v>5680</v>
      </c>
      <c r="F71" s="819">
        <v>0</v>
      </c>
      <c r="G71" s="154">
        <v>66816.2</v>
      </c>
      <c r="H71" s="155">
        <f>32841.2+1368.5</f>
        <v>34209.699999999997</v>
      </c>
      <c r="I71" s="154">
        <v>48195.5</v>
      </c>
      <c r="J71" s="130" t="s">
        <v>88</v>
      </c>
      <c r="K71" s="129" t="s">
        <v>88</v>
      </c>
      <c r="L71" s="154">
        <f t="shared" si="21"/>
        <v>182740.7</v>
      </c>
      <c r="M71" s="130" t="s">
        <v>88</v>
      </c>
      <c r="N71" s="130" t="s">
        <v>88</v>
      </c>
      <c r="O71" s="154">
        <v>25</v>
      </c>
      <c r="P71" s="820"/>
      <c r="Q71" s="153">
        <f>9.4+4527+1013.8+380.9+23.4</f>
        <v>5954.4999999999991</v>
      </c>
      <c r="R71" s="155">
        <v>3817.1999999999771</v>
      </c>
      <c r="S71" s="154">
        <f t="shared" si="20"/>
        <v>582504.5</v>
      </c>
    </row>
    <row r="72" spans="1:19" s="243" customFormat="1" ht="15.75" hidden="1" customHeight="1">
      <c r="A72" s="113" t="s">
        <v>49</v>
      </c>
      <c r="B72" s="154">
        <v>384234.3</v>
      </c>
      <c r="C72" s="154">
        <v>52307.5</v>
      </c>
      <c r="D72" s="154">
        <v>2816.6</v>
      </c>
      <c r="E72" s="154">
        <v>5480.8</v>
      </c>
      <c r="F72" s="819">
        <v>0</v>
      </c>
      <c r="G72" s="154">
        <v>66356.800000000003</v>
      </c>
      <c r="H72" s="155">
        <f>32841.2+1619.6</f>
        <v>34460.799999999996</v>
      </c>
      <c r="I72" s="154">
        <v>47614.1</v>
      </c>
      <c r="J72" s="130" t="s">
        <v>88</v>
      </c>
      <c r="K72" s="129" t="s">
        <v>88</v>
      </c>
      <c r="L72" s="154">
        <f t="shared" si="21"/>
        <v>209036.6</v>
      </c>
      <c r="M72" s="130" t="s">
        <v>88</v>
      </c>
      <c r="N72" s="130" t="s">
        <v>88</v>
      </c>
      <c r="O72" s="154">
        <v>25</v>
      </c>
      <c r="P72" s="820"/>
      <c r="Q72" s="153">
        <f>9.4+4458.9+1013.8+380.9+20.5</f>
        <v>5883.4999999999991</v>
      </c>
      <c r="R72" s="155">
        <v>3860.3000000000347</v>
      </c>
      <c r="S72" s="154">
        <f t="shared" si="20"/>
        <v>603039.70000000007</v>
      </c>
    </row>
    <row r="73" spans="1:19" s="243" customFormat="1" ht="15.75" hidden="1" customHeight="1">
      <c r="A73" s="113" t="s">
        <v>50</v>
      </c>
      <c r="B73" s="154">
        <v>400951.3</v>
      </c>
      <c r="C73" s="154">
        <v>95224</v>
      </c>
      <c r="D73" s="154">
        <v>2816.6</v>
      </c>
      <c r="E73" s="154">
        <v>4651.7</v>
      </c>
      <c r="F73" s="819">
        <v>0</v>
      </c>
      <c r="G73" s="154">
        <v>65897.399999999994</v>
      </c>
      <c r="H73" s="155">
        <f>32841.2+1870.6</f>
        <v>34711.799999999996</v>
      </c>
      <c r="I73" s="154">
        <v>47032.6</v>
      </c>
      <c r="J73" s="130" t="s">
        <v>88</v>
      </c>
      <c r="K73" s="129" t="s">
        <v>88</v>
      </c>
      <c r="L73" s="154">
        <f t="shared" si="21"/>
        <v>250334.1</v>
      </c>
      <c r="M73" s="130" t="s">
        <v>88</v>
      </c>
      <c r="N73" s="130" t="s">
        <v>88</v>
      </c>
      <c r="O73" s="154">
        <v>20</v>
      </c>
      <c r="P73" s="820"/>
      <c r="Q73" s="153">
        <f>9.4+4333.3+1013.8+380.9+13.3</f>
        <v>5750.7</v>
      </c>
      <c r="R73" s="155">
        <v>2918.8000000000347</v>
      </c>
      <c r="S73" s="154">
        <f t="shared" si="20"/>
        <v>659974.9</v>
      </c>
    </row>
    <row r="74" spans="1:19" s="243" customFormat="1" ht="15.75" hidden="1" customHeight="1">
      <c r="A74" s="113"/>
      <c r="B74" s="154"/>
      <c r="C74" s="154"/>
      <c r="D74" s="154"/>
      <c r="E74" s="154"/>
      <c r="F74" s="819"/>
      <c r="G74" s="154"/>
      <c r="H74" s="155"/>
      <c r="I74" s="154"/>
      <c r="J74" s="130"/>
      <c r="K74" s="129"/>
      <c r="L74" s="154"/>
      <c r="M74" s="130"/>
      <c r="N74" s="130"/>
      <c r="O74" s="154"/>
      <c r="P74" s="820"/>
      <c r="Q74" s="153"/>
      <c r="R74" s="155"/>
      <c r="S74" s="154"/>
    </row>
    <row r="75" spans="1:19" s="243" customFormat="1" hidden="1">
      <c r="A75" s="113" t="s">
        <v>58</v>
      </c>
      <c r="B75" s="154">
        <v>407989.20000000007</v>
      </c>
      <c r="C75" s="154">
        <v>42756.1</v>
      </c>
      <c r="D75" s="154">
        <v>2726.3</v>
      </c>
      <c r="E75" s="154">
        <f>10977.5-6525</f>
        <v>4452.5</v>
      </c>
      <c r="F75" s="819">
        <v>0</v>
      </c>
      <c r="G75" s="154">
        <v>65438.1</v>
      </c>
      <c r="H75" s="155">
        <f>32841.2+2121.6</f>
        <v>34962.799999999996</v>
      </c>
      <c r="I75" s="154">
        <v>46451.1</v>
      </c>
      <c r="J75" s="154">
        <v>6525</v>
      </c>
      <c r="K75" s="129" t="s">
        <v>88</v>
      </c>
      <c r="L75" s="154">
        <f>SUM(C75:J75)</f>
        <v>203311.9</v>
      </c>
      <c r="M75" s="130" t="s">
        <v>88</v>
      </c>
      <c r="N75" s="130" t="s">
        <v>88</v>
      </c>
      <c r="O75" s="154">
        <v>20</v>
      </c>
      <c r="P75" s="820"/>
      <c r="Q75" s="153">
        <f>9.4+5176.5+1013.8+380.9+13.3</f>
        <v>6593.9</v>
      </c>
      <c r="R75" s="155">
        <v>3026.4999999999181</v>
      </c>
      <c r="S75" s="154">
        <f t="shared" ref="S75:S86" si="22">SUM(B75,L75:R75)</f>
        <v>620941.5</v>
      </c>
    </row>
    <row r="76" spans="1:19" s="243" customFormat="1" ht="15.75" hidden="1" customHeight="1">
      <c r="A76" s="113" t="s">
        <v>40</v>
      </c>
      <c r="B76" s="154">
        <v>412010.10000000003</v>
      </c>
      <c r="C76" s="154">
        <v>53606.7</v>
      </c>
      <c r="D76" s="154">
        <v>2726.3</v>
      </c>
      <c r="E76" s="154">
        <f>4253.3</f>
        <v>4253.3</v>
      </c>
      <c r="F76" s="819">
        <v>0</v>
      </c>
      <c r="G76" s="154">
        <v>64978.6</v>
      </c>
      <c r="H76" s="155">
        <f>32841.2+2348.4</f>
        <v>35189.599999999999</v>
      </c>
      <c r="I76" s="154">
        <v>45869.7</v>
      </c>
      <c r="J76" s="154">
        <v>6525</v>
      </c>
      <c r="K76" s="129" t="s">
        <v>88</v>
      </c>
      <c r="L76" s="154">
        <f>SUM(C76:J76)</f>
        <v>213149.2</v>
      </c>
      <c r="M76" s="130" t="s">
        <v>88</v>
      </c>
      <c r="N76" s="130" t="s">
        <v>88</v>
      </c>
      <c r="O76" s="154">
        <v>20</v>
      </c>
      <c r="P76" s="820"/>
      <c r="Q76" s="153">
        <f>9.4+5099.8+1013.8+380.9+42.4</f>
        <v>6546.2999999999993</v>
      </c>
      <c r="R76" s="155">
        <v>3048.4999999999764</v>
      </c>
      <c r="S76" s="154">
        <f t="shared" si="22"/>
        <v>634774.10000000009</v>
      </c>
    </row>
    <row r="77" spans="1:19" s="243" customFormat="1" ht="15.75" hidden="1" customHeight="1">
      <c r="A77" s="113" t="s">
        <v>41</v>
      </c>
      <c r="B77" s="154">
        <v>396544.5</v>
      </c>
      <c r="C77" s="154">
        <v>38983.599999999999</v>
      </c>
      <c r="D77" s="154">
        <v>2726.3</v>
      </c>
      <c r="E77" s="154">
        <v>3424.2</v>
      </c>
      <c r="F77" s="819">
        <v>0</v>
      </c>
      <c r="G77" s="154">
        <v>64519.3</v>
      </c>
      <c r="H77" s="155">
        <f>32841.2+2635.5</f>
        <v>35476.699999999997</v>
      </c>
      <c r="I77" s="154">
        <v>45288.2</v>
      </c>
      <c r="J77" s="154">
        <v>18525</v>
      </c>
      <c r="K77" s="129" t="s">
        <v>88</v>
      </c>
      <c r="L77" s="154">
        <f>SUM(C77:J77)</f>
        <v>208943.3</v>
      </c>
      <c r="M77" s="130" t="s">
        <v>88</v>
      </c>
      <c r="N77" s="130" t="s">
        <v>88</v>
      </c>
      <c r="O77" s="154">
        <v>20</v>
      </c>
      <c r="P77" s="820"/>
      <c r="Q77" s="153">
        <f>9.4+5042.5+905.9+380.9+42.4</f>
        <v>6381.0999999999985</v>
      </c>
      <c r="R77" s="155">
        <v>2992.0999999999767</v>
      </c>
      <c r="S77" s="154">
        <f t="shared" si="22"/>
        <v>614881</v>
      </c>
    </row>
    <row r="78" spans="1:19" s="243" customFormat="1" ht="15.75" hidden="1" customHeight="1">
      <c r="A78" s="113" t="s">
        <v>42</v>
      </c>
      <c r="B78" s="154">
        <v>382639.60000000003</v>
      </c>
      <c r="C78" s="154">
        <v>44626.400000000001</v>
      </c>
      <c r="D78" s="130" t="s">
        <v>88</v>
      </c>
      <c r="E78" s="154">
        <v>895</v>
      </c>
      <c r="F78" s="819">
        <v>0</v>
      </c>
      <c r="G78" s="130" t="s">
        <v>88</v>
      </c>
      <c r="H78" s="130" t="s">
        <v>88</v>
      </c>
      <c r="I78" s="130" t="s">
        <v>88</v>
      </c>
      <c r="J78" s="154">
        <v>18525</v>
      </c>
      <c r="K78" s="154">
        <v>147596</v>
      </c>
      <c r="L78" s="154">
        <f t="shared" ref="L78:L83" si="23">SUM(C78:K78)</f>
        <v>211642.4</v>
      </c>
      <c r="M78" s="130" t="s">
        <v>88</v>
      </c>
      <c r="N78" s="130" t="s">
        <v>88</v>
      </c>
      <c r="O78" s="154">
        <v>20</v>
      </c>
      <c r="P78" s="820"/>
      <c r="Q78" s="153">
        <f>9.4+5039.3+905.9+380.9+28.4</f>
        <v>6363.8999999999987</v>
      </c>
      <c r="R78" s="155">
        <v>3054.9999999999764</v>
      </c>
      <c r="S78" s="154">
        <f t="shared" si="22"/>
        <v>603720.9</v>
      </c>
    </row>
    <row r="79" spans="1:19" s="243" customFormat="1" ht="15.75" hidden="1" customHeight="1">
      <c r="A79" s="113" t="s">
        <v>43</v>
      </c>
      <c r="B79" s="153">
        <v>362432.6</v>
      </c>
      <c r="C79" s="153">
        <v>23770.799999999999</v>
      </c>
      <c r="D79" s="130" t="s">
        <v>88</v>
      </c>
      <c r="E79" s="154">
        <v>895</v>
      </c>
      <c r="F79" s="819"/>
      <c r="G79" s="130" t="s">
        <v>88</v>
      </c>
      <c r="H79" s="130" t="s">
        <v>88</v>
      </c>
      <c r="I79" s="130" t="s">
        <v>88</v>
      </c>
      <c r="J79" s="154">
        <v>18525</v>
      </c>
      <c r="K79" s="154">
        <v>147287.9</v>
      </c>
      <c r="L79" s="154">
        <f t="shared" si="23"/>
        <v>190478.7</v>
      </c>
      <c r="M79" s="130" t="s">
        <v>88</v>
      </c>
      <c r="N79" s="130" t="s">
        <v>88</v>
      </c>
      <c r="O79" s="154">
        <v>20</v>
      </c>
      <c r="P79" s="820"/>
      <c r="Q79" s="153">
        <v>6312.8</v>
      </c>
      <c r="R79" s="155">
        <v>3267.4000000000351</v>
      </c>
      <c r="S79" s="154">
        <f t="shared" si="22"/>
        <v>562511.50000000012</v>
      </c>
    </row>
    <row r="80" spans="1:19" s="243" customFormat="1" ht="15.75" hidden="1" customHeight="1">
      <c r="A80" s="113" t="s">
        <v>44</v>
      </c>
      <c r="B80" s="153">
        <v>346259.1</v>
      </c>
      <c r="C80" s="130">
        <v>33066.199999999997</v>
      </c>
      <c r="D80" s="130" t="s">
        <v>88</v>
      </c>
      <c r="E80" s="154">
        <v>265</v>
      </c>
      <c r="F80" s="819"/>
      <c r="G80" s="130" t="s">
        <v>88</v>
      </c>
      <c r="H80" s="130" t="s">
        <v>88</v>
      </c>
      <c r="I80" s="130" t="s">
        <v>88</v>
      </c>
      <c r="J80" s="154">
        <v>40525</v>
      </c>
      <c r="K80" s="154">
        <v>146979.70000000001</v>
      </c>
      <c r="L80" s="154">
        <f t="shared" si="23"/>
        <v>220835.90000000002</v>
      </c>
      <c r="M80" s="130" t="s">
        <v>88</v>
      </c>
      <c r="N80" s="130" t="s">
        <v>88</v>
      </c>
      <c r="O80" s="154">
        <v>20</v>
      </c>
      <c r="P80" s="820"/>
      <c r="Q80" s="153">
        <f>9.4+4884.3+905.9+380.9+32.9</f>
        <v>6213.3999999999987</v>
      </c>
      <c r="R80" s="155">
        <v>3040.5000000000346</v>
      </c>
      <c r="S80" s="154">
        <f t="shared" si="22"/>
        <v>576368.9</v>
      </c>
    </row>
    <row r="81" spans="1:19" s="243" customFormat="1" ht="15.75" hidden="1" customHeight="1">
      <c r="A81" s="113" t="s">
        <v>45</v>
      </c>
      <c r="B81" s="153">
        <v>352027.89999999997</v>
      </c>
      <c r="C81" s="130">
        <v>29996.7</v>
      </c>
      <c r="D81" s="130" t="s">
        <v>88</v>
      </c>
      <c r="E81" s="154">
        <v>265</v>
      </c>
      <c r="F81" s="819"/>
      <c r="G81" s="130" t="s">
        <v>88</v>
      </c>
      <c r="H81" s="130" t="s">
        <v>88</v>
      </c>
      <c r="I81" s="130" t="s">
        <v>88</v>
      </c>
      <c r="J81" s="154">
        <v>50525</v>
      </c>
      <c r="K81" s="154">
        <v>146671.6</v>
      </c>
      <c r="L81" s="154">
        <f t="shared" si="23"/>
        <v>227458.3</v>
      </c>
      <c r="M81" s="130" t="s">
        <v>88</v>
      </c>
      <c r="N81" s="130" t="s">
        <v>88</v>
      </c>
      <c r="O81" s="154">
        <v>20</v>
      </c>
      <c r="P81" s="820"/>
      <c r="Q81" s="153">
        <f>9.4+4844.7+905.9+380.9+37.5</f>
        <v>6178.3999999999987</v>
      </c>
      <c r="R81" s="155">
        <v>2965.7000000000353</v>
      </c>
      <c r="S81" s="154">
        <f t="shared" si="22"/>
        <v>588650.30000000005</v>
      </c>
    </row>
    <row r="82" spans="1:19" s="243" customFormat="1" ht="15.75" hidden="1" customHeight="1">
      <c r="A82" s="113" t="s">
        <v>46</v>
      </c>
      <c r="B82" s="153">
        <v>354270.1</v>
      </c>
      <c r="C82" s="130">
        <v>37576.9</v>
      </c>
      <c r="D82" s="130" t="s">
        <v>88</v>
      </c>
      <c r="E82" s="154">
        <v>265</v>
      </c>
      <c r="F82" s="819"/>
      <c r="G82" s="130" t="s">
        <v>88</v>
      </c>
      <c r="H82" s="130" t="s">
        <v>88</v>
      </c>
      <c r="I82" s="130" t="s">
        <v>88</v>
      </c>
      <c r="J82" s="154">
        <v>50525</v>
      </c>
      <c r="K82" s="154">
        <v>146363.5</v>
      </c>
      <c r="L82" s="154">
        <f t="shared" si="23"/>
        <v>234730.4</v>
      </c>
      <c r="M82" s="154">
        <v>598.6</v>
      </c>
      <c r="N82" s="130" t="s">
        <v>88</v>
      </c>
      <c r="O82" s="154">
        <v>20</v>
      </c>
      <c r="P82" s="820"/>
      <c r="Q82" s="153">
        <f>9.4+4797.4+905.9+380.9+26.3</f>
        <v>6119.8999999999987</v>
      </c>
      <c r="R82" s="155">
        <v>3025.3000000000347</v>
      </c>
      <c r="S82" s="154">
        <f t="shared" si="22"/>
        <v>598764.30000000005</v>
      </c>
    </row>
    <row r="83" spans="1:19" s="243" customFormat="1" ht="15.75" hidden="1" customHeight="1">
      <c r="A83" s="113" t="s">
        <v>47</v>
      </c>
      <c r="B83" s="153">
        <v>348756.89999999997</v>
      </c>
      <c r="C83" s="130">
        <v>37014.199999999997</v>
      </c>
      <c r="D83" s="130" t="s">
        <v>88</v>
      </c>
      <c r="E83" s="130" t="s">
        <v>88</v>
      </c>
      <c r="F83" s="819"/>
      <c r="G83" s="130" t="s">
        <v>88</v>
      </c>
      <c r="H83" s="130" t="s">
        <v>88</v>
      </c>
      <c r="I83" s="130" t="s">
        <v>88</v>
      </c>
      <c r="J83" s="154">
        <v>50525</v>
      </c>
      <c r="K83" s="154">
        <v>146055.29999999999</v>
      </c>
      <c r="L83" s="154">
        <f t="shared" si="23"/>
        <v>233594.5</v>
      </c>
      <c r="M83" s="130" t="s">
        <v>88</v>
      </c>
      <c r="N83" s="130" t="s">
        <v>88</v>
      </c>
      <c r="O83" s="154">
        <v>20</v>
      </c>
      <c r="P83" s="820"/>
      <c r="Q83" s="153">
        <f>9.4+4807.8+905.9+380.9+22.7</f>
        <v>6126.6999999999989</v>
      </c>
      <c r="R83" s="155">
        <v>3062.8000000000347</v>
      </c>
      <c r="S83" s="154">
        <f t="shared" si="22"/>
        <v>591560.89999999991</v>
      </c>
    </row>
    <row r="84" spans="1:19" s="243" customFormat="1" ht="15.75" hidden="1" customHeight="1">
      <c r="A84" s="113" t="s">
        <v>48</v>
      </c>
      <c r="B84" s="153">
        <v>347779.4</v>
      </c>
      <c r="C84" s="130">
        <v>25932</v>
      </c>
      <c r="D84" s="130" t="s">
        <v>88</v>
      </c>
      <c r="E84" s="130" t="s">
        <v>88</v>
      </c>
      <c r="F84" s="819"/>
      <c r="G84" s="130" t="s">
        <v>88</v>
      </c>
      <c r="H84" s="130" t="s">
        <v>88</v>
      </c>
      <c r="I84" s="130" t="s">
        <v>88</v>
      </c>
      <c r="J84" s="154">
        <v>50525</v>
      </c>
      <c r="K84" s="154">
        <v>145747.20000000001</v>
      </c>
      <c r="L84" s="154">
        <f t="shared" ref="L84" si="24">SUM(C84:K84)</f>
        <v>222204.2</v>
      </c>
      <c r="M84" s="130">
        <v>3740.2</v>
      </c>
      <c r="N84" s="130" t="s">
        <v>88</v>
      </c>
      <c r="O84" s="154">
        <v>20</v>
      </c>
      <c r="P84" s="820"/>
      <c r="Q84" s="153">
        <f>9.4+4687+905.9+380.9+19</f>
        <v>6002.1999999999989</v>
      </c>
      <c r="R84" s="155">
        <v>3057.0999999999767</v>
      </c>
      <c r="S84" s="154">
        <f t="shared" si="22"/>
        <v>582803.1</v>
      </c>
    </row>
    <row r="85" spans="1:19" s="243" customFormat="1" ht="15.75" hidden="1" customHeight="1">
      <c r="A85" s="113" t="s">
        <v>49</v>
      </c>
      <c r="B85" s="153">
        <v>349199.30000000005</v>
      </c>
      <c r="C85" s="130">
        <v>35424.1</v>
      </c>
      <c r="D85" s="130" t="s">
        <v>88</v>
      </c>
      <c r="E85" s="130" t="s">
        <v>88</v>
      </c>
      <c r="F85" s="819"/>
      <c r="G85" s="130" t="s">
        <v>88</v>
      </c>
      <c r="H85" s="130" t="s">
        <v>88</v>
      </c>
      <c r="I85" s="130" t="s">
        <v>88</v>
      </c>
      <c r="J85" s="154">
        <v>50525</v>
      </c>
      <c r="K85" s="154">
        <v>145439.1</v>
      </c>
      <c r="L85" s="154">
        <f t="shared" ref="L85:L86" si="25">SUM(C85:K85)</f>
        <v>231388.2</v>
      </c>
      <c r="M85" s="130" t="s">
        <v>88</v>
      </c>
      <c r="N85" s="130" t="s">
        <v>88</v>
      </c>
      <c r="O85" s="154">
        <v>20</v>
      </c>
      <c r="P85" s="820"/>
      <c r="Q85" s="153">
        <f>9.4+4563.6+905.9+380.9+15.5</f>
        <v>5875.2999999999993</v>
      </c>
      <c r="R85" s="155">
        <v>3093.7999999999765</v>
      </c>
      <c r="S85" s="154">
        <f t="shared" si="22"/>
        <v>589576.6</v>
      </c>
    </row>
    <row r="86" spans="1:19" s="243" customFormat="1" ht="15.75" hidden="1" customHeight="1">
      <c r="A86" s="113" t="s">
        <v>50</v>
      </c>
      <c r="B86" s="153">
        <v>418272.20000000007</v>
      </c>
      <c r="C86" s="130">
        <v>19134.2</v>
      </c>
      <c r="D86" s="130" t="s">
        <v>88</v>
      </c>
      <c r="E86" s="130" t="s">
        <v>88</v>
      </c>
      <c r="F86" s="819"/>
      <c r="G86" s="130" t="s">
        <v>88</v>
      </c>
      <c r="H86" s="130" t="s">
        <v>88</v>
      </c>
      <c r="I86" s="130" t="s">
        <v>88</v>
      </c>
      <c r="J86" s="154">
        <v>88925</v>
      </c>
      <c r="K86" s="154">
        <v>145130.9</v>
      </c>
      <c r="L86" s="154">
        <f t="shared" si="25"/>
        <v>253190.09999999998</v>
      </c>
      <c r="M86" s="130" t="s">
        <v>88</v>
      </c>
      <c r="N86" s="130" t="s">
        <v>88</v>
      </c>
      <c r="O86" s="154">
        <v>20</v>
      </c>
      <c r="P86" s="820"/>
      <c r="Q86" s="153">
        <f>9.4+4662.6+905.9+380.9+11.8</f>
        <v>5970.5999999999995</v>
      </c>
      <c r="R86" s="155">
        <v>2976.0999999999185</v>
      </c>
      <c r="S86" s="154">
        <f t="shared" si="22"/>
        <v>680429</v>
      </c>
    </row>
    <row r="87" spans="1:19" s="243" customFormat="1" ht="15.75" hidden="1" customHeight="1">
      <c r="A87" s="113"/>
      <c r="B87" s="153"/>
      <c r="C87" s="130"/>
      <c r="D87" s="130"/>
      <c r="E87" s="130"/>
      <c r="F87" s="819"/>
      <c r="G87" s="130"/>
      <c r="H87" s="130"/>
      <c r="I87" s="130"/>
      <c r="J87" s="154"/>
      <c r="K87" s="154"/>
      <c r="L87" s="154"/>
      <c r="M87" s="130"/>
      <c r="N87" s="130"/>
      <c r="O87" s="154"/>
      <c r="P87" s="820"/>
      <c r="Q87" s="153"/>
      <c r="R87" s="155"/>
      <c r="S87" s="154"/>
    </row>
    <row r="88" spans="1:19" s="243" customFormat="1" ht="15.75" hidden="1" customHeight="1">
      <c r="A88" s="113" t="s">
        <v>57</v>
      </c>
      <c r="B88" s="153">
        <v>413034</v>
      </c>
      <c r="C88" s="130" t="s">
        <v>88</v>
      </c>
      <c r="D88" s="130" t="s">
        <v>88</v>
      </c>
      <c r="E88" s="130" t="s">
        <v>88</v>
      </c>
      <c r="F88" s="819"/>
      <c r="G88" s="130" t="s">
        <v>88</v>
      </c>
      <c r="H88" s="130" t="s">
        <v>88</v>
      </c>
      <c r="I88" s="130" t="s">
        <v>88</v>
      </c>
      <c r="J88" s="154">
        <v>88925</v>
      </c>
      <c r="K88" s="154">
        <v>144822.79999999999</v>
      </c>
      <c r="L88" s="154">
        <f t="shared" ref="L88" si="26">SUM(C88:K88)</f>
        <v>233747.8</v>
      </c>
      <c r="M88" s="130" t="s">
        <v>88</v>
      </c>
      <c r="N88" s="130" t="s">
        <v>88</v>
      </c>
      <c r="O88" s="154">
        <v>20</v>
      </c>
      <c r="P88" s="820"/>
      <c r="Q88" s="153">
        <f>9.4+5565+905.9+380.9+8.7</f>
        <v>6869.8999999999987</v>
      </c>
      <c r="R88" s="155">
        <v>3106.0999999999767</v>
      </c>
      <c r="S88" s="154">
        <f t="shared" ref="S88:S99" si="27">SUM(B88,L88:R88)</f>
        <v>656777.80000000005</v>
      </c>
    </row>
    <row r="89" spans="1:19" s="243" customFormat="1" ht="15.75" hidden="1" customHeight="1">
      <c r="A89" s="113" t="s">
        <v>40</v>
      </c>
      <c r="B89" s="153">
        <v>437928.80000000005</v>
      </c>
      <c r="C89" s="130" t="s">
        <v>88</v>
      </c>
      <c r="D89" s="130" t="s">
        <v>88</v>
      </c>
      <c r="E89" s="130" t="s">
        <v>88</v>
      </c>
      <c r="F89" s="819"/>
      <c r="G89" s="130" t="s">
        <v>88</v>
      </c>
      <c r="H89" s="130" t="s">
        <v>88</v>
      </c>
      <c r="I89" s="130" t="s">
        <v>88</v>
      </c>
      <c r="J89" s="154">
        <v>88925</v>
      </c>
      <c r="K89" s="154">
        <v>144514.70000000001</v>
      </c>
      <c r="L89" s="154">
        <f t="shared" ref="L89:L97" si="28">SUM(C89:K89)</f>
        <v>233439.7</v>
      </c>
      <c r="M89" s="130">
        <v>1723.4</v>
      </c>
      <c r="N89" s="130" t="s">
        <v>88</v>
      </c>
      <c r="O89" s="154">
        <v>20</v>
      </c>
      <c r="P89" s="820"/>
      <c r="Q89" s="153">
        <f>9.4+5565.2+905.9+380.9+66.4</f>
        <v>6927.7999999999984</v>
      </c>
      <c r="R89" s="155">
        <v>3042.3999999999769</v>
      </c>
      <c r="S89" s="154">
        <f t="shared" si="27"/>
        <v>683082.10000000009</v>
      </c>
    </row>
    <row r="90" spans="1:19" s="243" customFormat="1" ht="15.75" hidden="1" customHeight="1">
      <c r="A90" s="113" t="s">
        <v>41</v>
      </c>
      <c r="B90" s="153">
        <v>426628.60000000003</v>
      </c>
      <c r="C90" s="130">
        <v>2480.5</v>
      </c>
      <c r="D90" s="130" t="s">
        <v>88</v>
      </c>
      <c r="E90" s="130" t="s">
        <v>88</v>
      </c>
      <c r="F90" s="819"/>
      <c r="G90" s="130" t="s">
        <v>88</v>
      </c>
      <c r="H90" s="130" t="s">
        <v>88</v>
      </c>
      <c r="I90" s="130" t="s">
        <v>88</v>
      </c>
      <c r="J90" s="154">
        <v>74325</v>
      </c>
      <c r="K90" s="154">
        <v>144206.6</v>
      </c>
      <c r="L90" s="154">
        <f t="shared" si="28"/>
        <v>221012.1</v>
      </c>
      <c r="M90" s="130">
        <v>3410.3</v>
      </c>
      <c r="N90" s="130" t="s">
        <v>88</v>
      </c>
      <c r="O90" s="154">
        <v>20</v>
      </c>
      <c r="P90" s="820"/>
      <c r="Q90" s="153">
        <f>9.4+5486.6+905.9+380.9+60.3</f>
        <v>6843.0999999999995</v>
      </c>
      <c r="R90" s="155">
        <v>2952.3999999999769</v>
      </c>
      <c r="S90" s="154">
        <f t="shared" si="27"/>
        <v>660866.50000000012</v>
      </c>
    </row>
    <row r="91" spans="1:19" s="243" customFormat="1" ht="15.75" hidden="1" customHeight="1">
      <c r="A91" s="113" t="s">
        <v>42</v>
      </c>
      <c r="B91" s="153">
        <v>455684.39999999997</v>
      </c>
      <c r="C91" s="130" t="s">
        <v>88</v>
      </c>
      <c r="D91" s="130" t="s">
        <v>88</v>
      </c>
      <c r="E91" s="130" t="s">
        <v>88</v>
      </c>
      <c r="F91" s="819"/>
      <c r="G91" s="130" t="s">
        <v>88</v>
      </c>
      <c r="H91" s="130" t="s">
        <v>88</v>
      </c>
      <c r="I91" s="130" t="s">
        <v>88</v>
      </c>
      <c r="J91" s="154">
        <v>74325</v>
      </c>
      <c r="K91" s="154">
        <v>143898.4</v>
      </c>
      <c r="L91" s="154">
        <f t="shared" si="28"/>
        <v>218223.4</v>
      </c>
      <c r="M91" s="130">
        <v>4017</v>
      </c>
      <c r="N91" s="130" t="s">
        <v>88</v>
      </c>
      <c r="O91" s="154">
        <v>20</v>
      </c>
      <c r="P91" s="820"/>
      <c r="Q91" s="153">
        <f>9.4+5472.4+905.9+380.9+60.3</f>
        <v>6828.8999999999987</v>
      </c>
      <c r="R91" s="155">
        <v>2987.4000000000351</v>
      </c>
      <c r="S91" s="154">
        <f t="shared" si="27"/>
        <v>687761.1</v>
      </c>
    </row>
    <row r="92" spans="1:19" s="243" customFormat="1" ht="15.75" hidden="1" customHeight="1">
      <c r="A92" s="113" t="s">
        <v>43</v>
      </c>
      <c r="B92" s="153">
        <v>444611.20000000007</v>
      </c>
      <c r="C92" s="130">
        <v>12986.3</v>
      </c>
      <c r="D92" s="130" t="s">
        <v>88</v>
      </c>
      <c r="E92" s="130" t="s">
        <v>88</v>
      </c>
      <c r="F92" s="819"/>
      <c r="G92" s="130" t="s">
        <v>88</v>
      </c>
      <c r="H92" s="130" t="s">
        <v>88</v>
      </c>
      <c r="I92" s="130" t="s">
        <v>88</v>
      </c>
      <c r="J92" s="154">
        <v>74325</v>
      </c>
      <c r="K92" s="154">
        <v>143590.29999999999</v>
      </c>
      <c r="L92" s="154">
        <f t="shared" si="28"/>
        <v>230901.59999999998</v>
      </c>
      <c r="M92" s="130">
        <v>8670.2999999999993</v>
      </c>
      <c r="N92" s="130" t="s">
        <v>88</v>
      </c>
      <c r="O92" s="154">
        <v>20</v>
      </c>
      <c r="P92" s="820"/>
      <c r="Q92" s="153">
        <f>9.4+5596.5+905.9+380.9+48.8</f>
        <v>6941.4999999999991</v>
      </c>
      <c r="R92" s="155">
        <v>3038.6999999999189</v>
      </c>
      <c r="S92" s="154">
        <f t="shared" si="27"/>
        <v>694183.3</v>
      </c>
    </row>
    <row r="93" spans="1:19" s="243" customFormat="1" ht="15.75" hidden="1" customHeight="1">
      <c r="A93" s="113" t="s">
        <v>44</v>
      </c>
      <c r="B93" s="153">
        <v>434242</v>
      </c>
      <c r="C93" s="130">
        <v>24462.799999999999</v>
      </c>
      <c r="D93" s="130" t="s">
        <v>88</v>
      </c>
      <c r="E93" s="130" t="s">
        <v>88</v>
      </c>
      <c r="F93" s="819"/>
      <c r="G93" s="130" t="s">
        <v>88</v>
      </c>
      <c r="H93" s="130" t="s">
        <v>88</v>
      </c>
      <c r="I93" s="130" t="s">
        <v>88</v>
      </c>
      <c r="J93" s="154">
        <v>74325</v>
      </c>
      <c r="K93" s="154">
        <v>143282.1</v>
      </c>
      <c r="L93" s="154">
        <f t="shared" si="28"/>
        <v>242069.90000000002</v>
      </c>
      <c r="M93" s="130">
        <v>21978.1</v>
      </c>
      <c r="N93" s="130" t="s">
        <v>88</v>
      </c>
      <c r="O93" s="154">
        <v>20</v>
      </c>
      <c r="P93" s="820"/>
      <c r="Q93" s="153">
        <f>9.4+5850.8+905.9+380.9+51.1</f>
        <v>7198.0999999999995</v>
      </c>
      <c r="R93" s="155">
        <v>3398.1999999999771</v>
      </c>
      <c r="S93" s="154">
        <f t="shared" si="27"/>
        <v>708906.29999999993</v>
      </c>
    </row>
    <row r="94" spans="1:19" s="243" customFormat="1" ht="15.75" hidden="1" customHeight="1">
      <c r="A94" s="113" t="s">
        <v>45</v>
      </c>
      <c r="B94" s="153">
        <v>436973.5</v>
      </c>
      <c r="C94" s="130">
        <v>31447.8</v>
      </c>
      <c r="D94" s="130" t="s">
        <v>88</v>
      </c>
      <c r="E94" s="130" t="s">
        <v>88</v>
      </c>
      <c r="F94" s="819"/>
      <c r="G94" s="130" t="s">
        <v>88</v>
      </c>
      <c r="H94" s="130" t="s">
        <v>88</v>
      </c>
      <c r="I94" s="130" t="s">
        <v>88</v>
      </c>
      <c r="J94" s="154">
        <v>74325</v>
      </c>
      <c r="K94" s="154">
        <v>142974</v>
      </c>
      <c r="L94" s="154">
        <f t="shared" si="28"/>
        <v>248746.8</v>
      </c>
      <c r="M94" s="130">
        <v>28323</v>
      </c>
      <c r="N94" s="130" t="s">
        <v>88</v>
      </c>
      <c r="O94" s="154">
        <v>20</v>
      </c>
      <c r="P94" s="820"/>
      <c r="Q94" s="153">
        <f>9.4+5853.9+887.9+380.9+44.9</f>
        <v>7176.9999999999982</v>
      </c>
      <c r="R94" s="155">
        <v>3684.3999999999769</v>
      </c>
      <c r="S94" s="154">
        <f t="shared" si="27"/>
        <v>724924.70000000007</v>
      </c>
    </row>
    <row r="95" spans="1:19" s="243" customFormat="1" ht="15.75" hidden="1" customHeight="1">
      <c r="A95" s="113" t="s">
        <v>46</v>
      </c>
      <c r="B95" s="153">
        <v>420092.9</v>
      </c>
      <c r="C95" s="130">
        <v>35035.800000000003</v>
      </c>
      <c r="D95" s="130" t="s">
        <v>88</v>
      </c>
      <c r="E95" s="130" t="s">
        <v>88</v>
      </c>
      <c r="F95" s="819"/>
      <c r="G95" s="130" t="s">
        <v>88</v>
      </c>
      <c r="H95" s="130" t="s">
        <v>88</v>
      </c>
      <c r="I95" s="130" t="s">
        <v>88</v>
      </c>
      <c r="J95" s="154">
        <v>74325</v>
      </c>
      <c r="K95" s="154">
        <v>142665.9</v>
      </c>
      <c r="L95" s="154">
        <f t="shared" si="28"/>
        <v>252026.7</v>
      </c>
      <c r="M95" s="130">
        <v>30627.200000000001</v>
      </c>
      <c r="N95" s="130" t="s">
        <v>88</v>
      </c>
      <c r="O95" s="154">
        <v>20</v>
      </c>
      <c r="P95" s="820"/>
      <c r="Q95" s="153">
        <f>9.4+5877+887.9+380.9+38.7</f>
        <v>7193.8999999999987</v>
      </c>
      <c r="R95" s="155">
        <v>4038.5999999999767</v>
      </c>
      <c r="S95" s="154">
        <f t="shared" si="27"/>
        <v>713999.3</v>
      </c>
    </row>
    <row r="96" spans="1:19" s="243" customFormat="1" ht="15.75" hidden="1" customHeight="1">
      <c r="A96" s="113" t="s">
        <v>47</v>
      </c>
      <c r="B96" s="153">
        <v>394890.3</v>
      </c>
      <c r="C96" s="130">
        <v>29256.3</v>
      </c>
      <c r="D96" s="130" t="s">
        <v>88</v>
      </c>
      <c r="E96" s="130" t="s">
        <v>88</v>
      </c>
      <c r="F96" s="819"/>
      <c r="G96" s="130" t="s">
        <v>88</v>
      </c>
      <c r="H96" s="130" t="s">
        <v>88</v>
      </c>
      <c r="I96" s="130" t="s">
        <v>88</v>
      </c>
      <c r="J96" s="154">
        <v>74325</v>
      </c>
      <c r="K96" s="154">
        <v>142357.70000000001</v>
      </c>
      <c r="L96" s="154">
        <f t="shared" si="28"/>
        <v>245939</v>
      </c>
      <c r="M96" s="130">
        <v>41214.800000000003</v>
      </c>
      <c r="N96" s="130" t="s">
        <v>88</v>
      </c>
      <c r="O96" s="154">
        <v>20</v>
      </c>
      <c r="P96" s="820"/>
      <c r="Q96" s="153">
        <f>9.4+6239.3+887.9+380.9+32.7</f>
        <v>7550.1999999999989</v>
      </c>
      <c r="R96" s="155">
        <v>4223.3000000000347</v>
      </c>
      <c r="S96" s="154">
        <f t="shared" si="27"/>
        <v>693837.60000000009</v>
      </c>
    </row>
    <row r="97" spans="1:19" s="243" customFormat="1" ht="15.75" hidden="1" customHeight="1">
      <c r="A97" s="113" t="s">
        <v>48</v>
      </c>
      <c r="B97" s="153">
        <v>388609.7</v>
      </c>
      <c r="C97" s="141">
        <v>29858.9</v>
      </c>
      <c r="D97" s="130" t="s">
        <v>88</v>
      </c>
      <c r="E97" s="130" t="s">
        <v>88</v>
      </c>
      <c r="F97" s="819"/>
      <c r="G97" s="130" t="s">
        <v>88</v>
      </c>
      <c r="H97" s="130" t="s">
        <v>88</v>
      </c>
      <c r="I97" s="130" t="s">
        <v>88</v>
      </c>
      <c r="J97" s="154">
        <v>94325</v>
      </c>
      <c r="K97" s="154">
        <v>142049.60000000001</v>
      </c>
      <c r="L97" s="154">
        <f t="shared" si="28"/>
        <v>266233.5</v>
      </c>
      <c r="M97" s="130">
        <v>33892.300000000003</v>
      </c>
      <c r="N97" s="129"/>
      <c r="O97" s="154">
        <v>20</v>
      </c>
      <c r="P97" s="820"/>
      <c r="Q97" s="153">
        <f>9.4+6140.1+887.9+380.9+26.6</f>
        <v>7444.9</v>
      </c>
      <c r="R97" s="155">
        <v>4388.1999999999771</v>
      </c>
      <c r="S97" s="154">
        <f t="shared" si="27"/>
        <v>700588.6</v>
      </c>
    </row>
    <row r="98" spans="1:19" s="243" customFormat="1" ht="15.75" hidden="1" customHeight="1">
      <c r="A98" s="113" t="s">
        <v>49</v>
      </c>
      <c r="B98" s="153">
        <v>388023.6</v>
      </c>
      <c r="C98" s="141">
        <v>13631.5</v>
      </c>
      <c r="D98" s="130" t="s">
        <v>88</v>
      </c>
      <c r="E98" s="130" t="s">
        <v>88</v>
      </c>
      <c r="F98" s="819"/>
      <c r="G98" s="130" t="s">
        <v>88</v>
      </c>
      <c r="H98" s="130" t="s">
        <v>88</v>
      </c>
      <c r="I98" s="130" t="s">
        <v>88</v>
      </c>
      <c r="J98" s="154">
        <v>94325</v>
      </c>
      <c r="K98" s="154">
        <v>142049.60000000001</v>
      </c>
      <c r="L98" s="154">
        <f t="shared" ref="L98" si="29">SUM(C98:K98)</f>
        <v>250006.1</v>
      </c>
      <c r="M98" s="130">
        <v>39419.1</v>
      </c>
      <c r="N98" s="129"/>
      <c r="O98" s="154">
        <v>20</v>
      </c>
      <c r="P98" s="820"/>
      <c r="Q98" s="153">
        <f>9.4+6121.4+887.9+380.9+20.6</f>
        <v>7420.1999999999989</v>
      </c>
      <c r="R98" s="155">
        <v>4112.6000000000349</v>
      </c>
      <c r="S98" s="154">
        <f t="shared" si="27"/>
        <v>689001.59999999986</v>
      </c>
    </row>
    <row r="99" spans="1:19" s="243" customFormat="1" ht="15.75" hidden="1" customHeight="1">
      <c r="A99" s="113" t="s">
        <v>50</v>
      </c>
      <c r="B99" s="153">
        <v>412743.80000000005</v>
      </c>
      <c r="C99" s="141">
        <v>86260.6</v>
      </c>
      <c r="D99" s="130" t="s">
        <v>88</v>
      </c>
      <c r="E99" s="130" t="s">
        <v>88</v>
      </c>
      <c r="F99" s="819"/>
      <c r="G99" s="130" t="s">
        <v>88</v>
      </c>
      <c r="H99" s="130" t="s">
        <v>88</v>
      </c>
      <c r="I99" s="130" t="s">
        <v>88</v>
      </c>
      <c r="J99" s="154">
        <v>94325</v>
      </c>
      <c r="K99" s="154">
        <v>141433.29999999999</v>
      </c>
      <c r="L99" s="154">
        <f t="shared" ref="L99" si="30">SUM(C99:K99)</f>
        <v>322018.90000000002</v>
      </c>
      <c r="M99" s="130">
        <v>25301.3</v>
      </c>
      <c r="N99" s="129"/>
      <c r="O99" s="154">
        <v>20</v>
      </c>
      <c r="P99" s="820"/>
      <c r="Q99" s="153">
        <f>9.4+6174.8+887.9+380.9+14.4</f>
        <v>7467.3999999999987</v>
      </c>
      <c r="R99" s="155">
        <v>4483.1999999999771</v>
      </c>
      <c r="S99" s="154">
        <f t="shared" si="27"/>
        <v>772034.60000000009</v>
      </c>
    </row>
    <row r="100" spans="1:19" s="243" customFormat="1" ht="15.75" hidden="1" customHeight="1">
      <c r="A100" s="113"/>
      <c r="B100" s="153"/>
      <c r="C100" s="141"/>
      <c r="D100" s="130"/>
      <c r="E100" s="130"/>
      <c r="F100" s="819"/>
      <c r="G100" s="130"/>
      <c r="H100" s="130"/>
      <c r="I100" s="130"/>
      <c r="J100" s="154"/>
      <c r="K100" s="154"/>
      <c r="L100" s="154"/>
      <c r="M100" s="130"/>
      <c r="N100" s="129"/>
      <c r="O100" s="154"/>
      <c r="P100" s="820"/>
      <c r="Q100" s="153"/>
      <c r="R100" s="155"/>
      <c r="S100" s="154"/>
    </row>
    <row r="101" spans="1:19" s="243" customFormat="1" ht="15.75" hidden="1" customHeight="1">
      <c r="A101" s="113" t="s">
        <v>56</v>
      </c>
      <c r="B101" s="153">
        <v>460100.90000000008</v>
      </c>
      <c r="C101" s="141">
        <v>23225.200000000001</v>
      </c>
      <c r="D101" s="130" t="s">
        <v>88</v>
      </c>
      <c r="E101" s="130" t="s">
        <v>88</v>
      </c>
      <c r="F101" s="819"/>
      <c r="G101" s="130" t="s">
        <v>88</v>
      </c>
      <c r="H101" s="130" t="s">
        <v>88</v>
      </c>
      <c r="I101" s="130" t="s">
        <v>88</v>
      </c>
      <c r="J101" s="154">
        <v>94325</v>
      </c>
      <c r="K101" s="154">
        <v>141125.20000000001</v>
      </c>
      <c r="L101" s="154">
        <f t="shared" ref="L101:L111" si="31">SUM(C101:K101)</f>
        <v>258675.40000000002</v>
      </c>
      <c r="M101" s="130">
        <v>17713.400000000001</v>
      </c>
      <c r="N101" s="129"/>
      <c r="O101" s="154">
        <v>20</v>
      </c>
      <c r="P101" s="820"/>
      <c r="Q101" s="153">
        <f>9.4+7017.5+887.9+380.9+3.8</f>
        <v>8299.4999999999982</v>
      </c>
      <c r="R101" s="155">
        <v>6370.7999999999183</v>
      </c>
      <c r="S101" s="154">
        <f t="shared" ref="S101:S112" si="32">SUM(B101,L101:R101)</f>
        <v>751180</v>
      </c>
    </row>
    <row r="102" spans="1:19" s="243" customFormat="1" ht="15.75" hidden="1" customHeight="1">
      <c r="A102" s="113" t="s">
        <v>40</v>
      </c>
      <c r="B102" s="153">
        <v>453162.9</v>
      </c>
      <c r="C102" s="141">
        <v>19733.599999999999</v>
      </c>
      <c r="D102" s="130" t="s">
        <v>88</v>
      </c>
      <c r="E102" s="130" t="s">
        <v>88</v>
      </c>
      <c r="F102" s="819"/>
      <c r="G102" s="130" t="s">
        <v>88</v>
      </c>
      <c r="H102" s="130" t="s">
        <v>88</v>
      </c>
      <c r="I102" s="130" t="s">
        <v>88</v>
      </c>
      <c r="J102" s="154">
        <v>94325</v>
      </c>
      <c r="K102" s="154">
        <v>140817.1</v>
      </c>
      <c r="L102" s="154">
        <f t="shared" si="31"/>
        <v>254875.7</v>
      </c>
      <c r="M102" s="130">
        <v>29586.1</v>
      </c>
      <c r="N102" s="129"/>
      <c r="O102" s="154">
        <v>20</v>
      </c>
      <c r="P102" s="820"/>
      <c r="Q102" s="153">
        <f>9.4+7168.5+887.9+380.9+9.1</f>
        <v>8455.7999999999993</v>
      </c>
      <c r="R102" s="155">
        <v>5032.5999999999767</v>
      </c>
      <c r="S102" s="154">
        <f t="shared" si="32"/>
        <v>751133.10000000009</v>
      </c>
    </row>
    <row r="103" spans="1:19" s="243" customFormat="1" ht="15.75" hidden="1" customHeight="1">
      <c r="A103" s="113" t="s">
        <v>41</v>
      </c>
      <c r="B103" s="153">
        <v>419222.4</v>
      </c>
      <c r="C103" s="141">
        <v>41361.199999999997</v>
      </c>
      <c r="D103" s="130" t="s">
        <v>88</v>
      </c>
      <c r="E103" s="130" t="s">
        <v>88</v>
      </c>
      <c r="F103" s="819"/>
      <c r="G103" s="130" t="s">
        <v>88</v>
      </c>
      <c r="H103" s="130" t="s">
        <v>88</v>
      </c>
      <c r="I103" s="130" t="s">
        <v>88</v>
      </c>
      <c r="J103" s="154">
        <v>94325</v>
      </c>
      <c r="K103" s="154">
        <v>140508.9</v>
      </c>
      <c r="L103" s="154">
        <f t="shared" si="31"/>
        <v>276195.09999999998</v>
      </c>
      <c r="M103" s="130">
        <v>31811.4</v>
      </c>
      <c r="N103" s="129"/>
      <c r="O103" s="154">
        <v>20</v>
      </c>
      <c r="P103" s="820"/>
      <c r="Q103" s="153">
        <f>9.4+7111.3+887.9+380.9+9.1</f>
        <v>8398.6</v>
      </c>
      <c r="R103" s="155">
        <v>4735.1999999999771</v>
      </c>
      <c r="S103" s="154">
        <f t="shared" si="32"/>
        <v>740382.7</v>
      </c>
    </row>
    <row r="104" spans="1:19" s="243" customFormat="1" ht="15.75" hidden="1" customHeight="1">
      <c r="A104" s="113" t="s">
        <v>42</v>
      </c>
      <c r="B104" s="153">
        <v>409988.69999999995</v>
      </c>
      <c r="C104" s="141">
        <v>51796.5</v>
      </c>
      <c r="D104" s="130" t="s">
        <v>88</v>
      </c>
      <c r="E104" s="130" t="s">
        <v>88</v>
      </c>
      <c r="F104" s="819"/>
      <c r="G104" s="130" t="s">
        <v>88</v>
      </c>
      <c r="H104" s="130" t="s">
        <v>88</v>
      </c>
      <c r="I104" s="130" t="s">
        <v>88</v>
      </c>
      <c r="J104" s="154">
        <v>94325</v>
      </c>
      <c r="K104" s="154">
        <v>140200.79999999999</v>
      </c>
      <c r="L104" s="154">
        <f t="shared" si="31"/>
        <v>286322.3</v>
      </c>
      <c r="M104" s="130">
        <v>44281</v>
      </c>
      <c r="N104" s="129"/>
      <c r="O104" s="154">
        <v>20</v>
      </c>
      <c r="P104" s="820"/>
      <c r="Q104" s="153">
        <f>9.4+7217.8+887.9+380.9+9.1</f>
        <v>8505.1</v>
      </c>
      <c r="R104" s="155">
        <v>4810.5000000000346</v>
      </c>
      <c r="S104" s="154">
        <f t="shared" si="32"/>
        <v>753927.6</v>
      </c>
    </row>
    <row r="105" spans="1:19" s="243" customFormat="1" ht="15.75" hidden="1" customHeight="1">
      <c r="A105" s="113" t="s">
        <v>43</v>
      </c>
      <c r="B105" s="153">
        <v>407031.99999999994</v>
      </c>
      <c r="C105" s="141">
        <v>32561.9</v>
      </c>
      <c r="D105" s="130" t="s">
        <v>88</v>
      </c>
      <c r="E105" s="130" t="s">
        <v>88</v>
      </c>
      <c r="F105" s="819"/>
      <c r="G105" s="130" t="s">
        <v>88</v>
      </c>
      <c r="H105" s="130" t="s">
        <v>88</v>
      </c>
      <c r="I105" s="130" t="s">
        <v>88</v>
      </c>
      <c r="J105" s="154">
        <v>94325</v>
      </c>
      <c r="K105" s="154">
        <v>140200.79999999999</v>
      </c>
      <c r="L105" s="154">
        <f t="shared" si="31"/>
        <v>267087.69999999995</v>
      </c>
      <c r="M105" s="130">
        <v>51288.800000000003</v>
      </c>
      <c r="N105" s="129"/>
      <c r="O105" s="154">
        <v>20</v>
      </c>
      <c r="P105" s="820"/>
      <c r="Q105" s="153">
        <f>9.4+7323.2+887.9+39.7</f>
        <v>8260.2000000000007</v>
      </c>
      <c r="R105" s="155">
        <v>4934.2000000000353</v>
      </c>
      <c r="S105" s="154">
        <f t="shared" si="32"/>
        <v>738622.9</v>
      </c>
    </row>
    <row r="106" spans="1:19" s="243" customFormat="1" ht="15.75" hidden="1" customHeight="1">
      <c r="A106" s="113" t="s">
        <v>44</v>
      </c>
      <c r="B106" s="153">
        <v>402417.6</v>
      </c>
      <c r="C106" s="141">
        <v>49375</v>
      </c>
      <c r="D106" s="130" t="s">
        <v>88</v>
      </c>
      <c r="E106" s="130" t="s">
        <v>88</v>
      </c>
      <c r="F106" s="819"/>
      <c r="G106" s="130" t="s">
        <v>88</v>
      </c>
      <c r="H106" s="130" t="s">
        <v>88</v>
      </c>
      <c r="I106" s="130" t="s">
        <v>88</v>
      </c>
      <c r="J106" s="154">
        <v>94325</v>
      </c>
      <c r="K106" s="154">
        <v>139584.5</v>
      </c>
      <c r="L106" s="154">
        <f t="shared" si="31"/>
        <v>283284.5</v>
      </c>
      <c r="M106" s="130">
        <v>60598.8</v>
      </c>
      <c r="N106" s="129"/>
      <c r="O106" s="154">
        <v>20</v>
      </c>
      <c r="P106" s="820"/>
      <c r="Q106" s="153">
        <f>9.4+7444.6+887.9+48.5</f>
        <v>8390.4</v>
      </c>
      <c r="R106" s="155">
        <v>5100.5000000000346</v>
      </c>
      <c r="S106" s="154">
        <f t="shared" si="32"/>
        <v>759811.8</v>
      </c>
    </row>
    <row r="107" spans="1:19" s="243" customFormat="1" ht="15.75" hidden="1" customHeight="1">
      <c r="A107" s="113" t="s">
        <v>45</v>
      </c>
      <c r="B107" s="153">
        <v>408385.5</v>
      </c>
      <c r="C107" s="141">
        <v>53695.7</v>
      </c>
      <c r="D107" s="130" t="s">
        <v>88</v>
      </c>
      <c r="E107" s="130" t="s">
        <v>88</v>
      </c>
      <c r="F107" s="819"/>
      <c r="G107" s="130" t="s">
        <v>88</v>
      </c>
      <c r="H107" s="130" t="s">
        <v>88</v>
      </c>
      <c r="I107" s="130" t="s">
        <v>88</v>
      </c>
      <c r="J107" s="154">
        <v>108925</v>
      </c>
      <c r="K107" s="154">
        <v>139276.4</v>
      </c>
      <c r="L107" s="154">
        <f t="shared" si="31"/>
        <v>301897.09999999998</v>
      </c>
      <c r="M107" s="130">
        <v>53762</v>
      </c>
      <c r="N107" s="129"/>
      <c r="O107" s="154">
        <v>20</v>
      </c>
      <c r="P107" s="820"/>
      <c r="Q107" s="153">
        <f>9.4+7540.2+887.9+39.2</f>
        <v>8476.7000000000007</v>
      </c>
      <c r="R107" s="155">
        <v>5760.2999999999765</v>
      </c>
      <c r="S107" s="154">
        <f t="shared" si="32"/>
        <v>778301.59999999986</v>
      </c>
    </row>
    <row r="108" spans="1:19" s="243" customFormat="1" ht="15.75" hidden="1" customHeight="1">
      <c r="A108" s="113" t="s">
        <v>46</v>
      </c>
      <c r="B108" s="153">
        <v>412945.4</v>
      </c>
      <c r="C108" s="141">
        <v>65092</v>
      </c>
      <c r="D108" s="130" t="s">
        <v>88</v>
      </c>
      <c r="E108" s="130" t="s">
        <v>88</v>
      </c>
      <c r="F108" s="819"/>
      <c r="G108" s="130" t="s">
        <v>88</v>
      </c>
      <c r="H108" s="130" t="s">
        <v>88</v>
      </c>
      <c r="I108" s="130" t="s">
        <v>88</v>
      </c>
      <c r="J108" s="154">
        <v>108925</v>
      </c>
      <c r="K108" s="154">
        <v>138968.29999999999</v>
      </c>
      <c r="L108" s="154">
        <f t="shared" si="31"/>
        <v>312985.3</v>
      </c>
      <c r="M108" s="130">
        <v>40499.300000000003</v>
      </c>
      <c r="N108" s="129"/>
      <c r="O108" s="154">
        <v>20</v>
      </c>
      <c r="P108" s="820"/>
      <c r="Q108" s="153">
        <f>9.4+7672.3+887.9+41.7</f>
        <v>8611.3000000000011</v>
      </c>
      <c r="R108" s="155">
        <v>6493.5999999999767</v>
      </c>
      <c r="S108" s="154">
        <f t="shared" si="32"/>
        <v>781554.9</v>
      </c>
    </row>
    <row r="109" spans="1:19" s="243" customFormat="1" ht="15.75" hidden="1" customHeight="1">
      <c r="A109" s="113" t="s">
        <v>47</v>
      </c>
      <c r="B109" s="153">
        <v>432825.59999999998</v>
      </c>
      <c r="C109" s="141">
        <v>51763.199999999997</v>
      </c>
      <c r="D109" s="130" t="s">
        <v>88</v>
      </c>
      <c r="E109" s="130" t="s">
        <v>88</v>
      </c>
      <c r="F109" s="819"/>
      <c r="G109" s="130" t="s">
        <v>88</v>
      </c>
      <c r="H109" s="130" t="s">
        <v>88</v>
      </c>
      <c r="I109" s="130" t="s">
        <v>88</v>
      </c>
      <c r="J109" s="154">
        <v>108925</v>
      </c>
      <c r="K109" s="154">
        <v>138968.29999999999</v>
      </c>
      <c r="L109" s="154">
        <f t="shared" si="31"/>
        <v>299656.5</v>
      </c>
      <c r="M109" s="130">
        <v>29808.6</v>
      </c>
      <c r="N109" s="129"/>
      <c r="O109" s="154">
        <v>20</v>
      </c>
      <c r="P109" s="820"/>
      <c r="Q109" s="153">
        <f>9.4+8051.3+887.9+41.7</f>
        <v>8990.3000000000011</v>
      </c>
      <c r="R109" s="155">
        <v>6733.2000000000353</v>
      </c>
      <c r="S109" s="154">
        <f t="shared" si="32"/>
        <v>778034.20000000007</v>
      </c>
    </row>
    <row r="110" spans="1:19" s="243" customFormat="1" ht="15.75" hidden="1" customHeight="1">
      <c r="A110" s="113" t="s">
        <v>48</v>
      </c>
      <c r="B110" s="153">
        <v>423492.60000000003</v>
      </c>
      <c r="C110" s="141">
        <v>78836.5</v>
      </c>
      <c r="D110" s="130" t="s">
        <v>88</v>
      </c>
      <c r="E110" s="130" t="s">
        <v>88</v>
      </c>
      <c r="F110" s="819"/>
      <c r="G110" s="130" t="s">
        <v>88</v>
      </c>
      <c r="H110" s="130" t="s">
        <v>88</v>
      </c>
      <c r="I110" s="130" t="s">
        <v>88</v>
      </c>
      <c r="J110" s="154">
        <v>108925</v>
      </c>
      <c r="K110" s="154">
        <v>138352</v>
      </c>
      <c r="L110" s="154">
        <f t="shared" si="31"/>
        <v>326113.5</v>
      </c>
      <c r="M110" s="130">
        <v>15843.6</v>
      </c>
      <c r="N110" s="129"/>
      <c r="O110" s="154">
        <v>20</v>
      </c>
      <c r="P110" s="820"/>
      <c r="Q110" s="153">
        <f>9.4+8131.5+887.9+35.3</f>
        <v>9064.0999999999985</v>
      </c>
      <c r="R110" s="155">
        <v>7394.0999999999767</v>
      </c>
      <c r="S110" s="154">
        <f t="shared" si="32"/>
        <v>781927.9</v>
      </c>
    </row>
    <row r="111" spans="1:19" s="243" customFormat="1" ht="15.75" hidden="1" customHeight="1">
      <c r="A111" s="113" t="s">
        <v>49</v>
      </c>
      <c r="B111" s="153">
        <v>428672.29999999993</v>
      </c>
      <c r="C111" s="141">
        <v>104206.5</v>
      </c>
      <c r="D111" s="130" t="s">
        <v>88</v>
      </c>
      <c r="E111" s="130" t="s">
        <v>88</v>
      </c>
      <c r="F111" s="819"/>
      <c r="G111" s="130" t="s">
        <v>88</v>
      </c>
      <c r="H111" s="130" t="s">
        <v>88</v>
      </c>
      <c r="I111" s="130" t="s">
        <v>88</v>
      </c>
      <c r="J111" s="154">
        <v>108925</v>
      </c>
      <c r="K111" s="154">
        <v>138043.9</v>
      </c>
      <c r="L111" s="154">
        <f t="shared" si="31"/>
        <v>351175.4</v>
      </c>
      <c r="M111" s="130">
        <v>9108</v>
      </c>
      <c r="N111" s="129"/>
      <c r="O111" s="154">
        <v>20</v>
      </c>
      <c r="P111" s="820"/>
      <c r="Q111" s="153">
        <f>9.4+8100+887.9+35.3</f>
        <v>9032.5999999999985</v>
      </c>
      <c r="R111" s="155">
        <v>7680.1000000000931</v>
      </c>
      <c r="S111" s="154">
        <f t="shared" si="32"/>
        <v>805688.4</v>
      </c>
    </row>
    <row r="112" spans="1:19" s="243" customFormat="1" ht="15.75" hidden="1" customHeight="1">
      <c r="A112" s="113" t="s">
        <v>50</v>
      </c>
      <c r="B112" s="153">
        <v>485025.5</v>
      </c>
      <c r="C112" s="130" t="s">
        <v>88</v>
      </c>
      <c r="D112" s="130" t="s">
        <v>88</v>
      </c>
      <c r="E112" s="130" t="s">
        <v>88</v>
      </c>
      <c r="F112" s="819"/>
      <c r="G112" s="130" t="s">
        <v>88</v>
      </c>
      <c r="H112" s="130" t="s">
        <v>88</v>
      </c>
      <c r="I112" s="130" t="s">
        <v>88</v>
      </c>
      <c r="J112" s="154">
        <v>117037.4</v>
      </c>
      <c r="K112" s="154">
        <f>137735.7+155251.9</f>
        <v>292987.59999999998</v>
      </c>
      <c r="L112" s="154">
        <f t="shared" ref="L112" si="33">SUM(C112:K112)</f>
        <v>410025</v>
      </c>
      <c r="M112" s="130" t="s">
        <v>88</v>
      </c>
      <c r="N112" s="129"/>
      <c r="O112" s="154">
        <v>20</v>
      </c>
      <c r="P112" s="820"/>
      <c r="Q112" s="153">
        <f>9.4+8116.1+887.9+26</f>
        <v>9039.4</v>
      </c>
      <c r="R112" s="155">
        <v>7843.899999999976</v>
      </c>
      <c r="S112" s="154">
        <f t="shared" si="32"/>
        <v>911953.8</v>
      </c>
    </row>
    <row r="113" spans="1:31" s="243" customFormat="1" ht="15.75" hidden="1" customHeight="1">
      <c r="A113" s="113"/>
      <c r="B113" s="153"/>
      <c r="C113" s="130"/>
      <c r="D113" s="130"/>
      <c r="E113" s="130"/>
      <c r="F113" s="819"/>
      <c r="G113" s="130"/>
      <c r="H113" s="130"/>
      <c r="I113" s="130"/>
      <c r="J113" s="154"/>
      <c r="K113" s="154"/>
      <c r="L113" s="154"/>
      <c r="M113" s="130"/>
      <c r="N113" s="129"/>
      <c r="O113" s="154"/>
      <c r="P113" s="820"/>
      <c r="Q113" s="153"/>
      <c r="R113" s="155"/>
      <c r="S113" s="154"/>
    </row>
    <row r="114" spans="1:31" s="243" customFormat="1" ht="15.75" hidden="1" customHeight="1">
      <c r="A114" s="113" t="s">
        <v>55</v>
      </c>
      <c r="B114" s="153">
        <v>484932.90000000008</v>
      </c>
      <c r="C114" s="899" t="s">
        <v>88</v>
      </c>
      <c r="D114" s="130" t="s">
        <v>88</v>
      </c>
      <c r="E114" s="130" t="s">
        <v>88</v>
      </c>
      <c r="F114" s="819"/>
      <c r="G114" s="130" t="s">
        <v>88</v>
      </c>
      <c r="H114" s="130" t="s">
        <v>88</v>
      </c>
      <c r="I114" s="130" t="s">
        <v>88</v>
      </c>
      <c r="J114" s="154">
        <v>117037.4</v>
      </c>
      <c r="K114" s="154">
        <v>291286.19999999995</v>
      </c>
      <c r="L114" s="154">
        <f t="shared" ref="L114:L127" si="34">SUM(C114:K114)</f>
        <v>408323.6</v>
      </c>
      <c r="M114" s="130" t="s">
        <v>88</v>
      </c>
      <c r="N114" s="129"/>
      <c r="O114" s="154">
        <v>20</v>
      </c>
      <c r="P114" s="820"/>
      <c r="Q114" s="153">
        <v>9763.9</v>
      </c>
      <c r="R114" s="155">
        <v>8743.5999999999185</v>
      </c>
      <c r="S114" s="154">
        <f t="shared" ref="S114:S138" si="35">SUM(B114,L114:R114)</f>
        <v>911784</v>
      </c>
      <c r="W114" s="243">
        <v>450584.80000000005</v>
      </c>
      <c r="X114" s="243">
        <v>463775.29999999987</v>
      </c>
      <c r="Y114" s="243">
        <v>427795.10000000003</v>
      </c>
      <c r="Z114" s="243">
        <v>459491.9</v>
      </c>
      <c r="AA114" s="243">
        <v>445616.2</v>
      </c>
      <c r="AB114" s="243">
        <v>459354.19999999995</v>
      </c>
      <c r="AC114" s="243">
        <v>480821.6</v>
      </c>
      <c r="AD114" s="243">
        <v>461477.3</v>
      </c>
      <c r="AE114" s="243">
        <v>501323.49999999994</v>
      </c>
    </row>
    <row r="115" spans="1:31" s="243" customFormat="1" ht="15.75" hidden="1" customHeight="1">
      <c r="A115" s="113" t="s">
        <v>40</v>
      </c>
      <c r="B115" s="153">
        <v>549006.4</v>
      </c>
      <c r="C115" s="899" t="s">
        <v>88</v>
      </c>
      <c r="D115" s="130" t="s">
        <v>88</v>
      </c>
      <c r="E115" s="130" t="s">
        <v>88</v>
      </c>
      <c r="F115" s="819"/>
      <c r="G115" s="130" t="s">
        <v>88</v>
      </c>
      <c r="H115" s="130" t="s">
        <v>88</v>
      </c>
      <c r="I115" s="130" t="s">
        <v>88</v>
      </c>
      <c r="J115" s="154">
        <v>114250.8</v>
      </c>
      <c r="K115" s="154">
        <v>292371.40000000002</v>
      </c>
      <c r="L115" s="154">
        <f t="shared" si="34"/>
        <v>406622.2</v>
      </c>
      <c r="M115" s="130">
        <v>11804.3</v>
      </c>
      <c r="N115" s="129"/>
      <c r="O115" s="154">
        <v>20</v>
      </c>
      <c r="P115" s="820"/>
      <c r="Q115" s="153">
        <v>9758.0999999999985</v>
      </c>
      <c r="R115" s="155">
        <v>11041.99999999986</v>
      </c>
      <c r="S115" s="154">
        <f t="shared" si="35"/>
        <v>988253</v>
      </c>
    </row>
    <row r="116" spans="1:31" s="243" customFormat="1" ht="15.75" hidden="1" customHeight="1">
      <c r="A116" s="113" t="s">
        <v>41</v>
      </c>
      <c r="B116" s="153">
        <v>456575.60000000003</v>
      </c>
      <c r="C116" s="899" t="s">
        <v>88</v>
      </c>
      <c r="D116" s="130" t="s">
        <v>88</v>
      </c>
      <c r="E116" s="130" t="s">
        <v>88</v>
      </c>
      <c r="F116" s="819"/>
      <c r="G116" s="130" t="s">
        <v>88</v>
      </c>
      <c r="H116" s="130" t="s">
        <v>88</v>
      </c>
      <c r="I116" s="130" t="s">
        <v>88</v>
      </c>
      <c r="J116" s="154">
        <v>112857.5</v>
      </c>
      <c r="K116" s="154">
        <v>292063.09999999998</v>
      </c>
      <c r="L116" s="154">
        <f t="shared" si="34"/>
        <v>404920.6</v>
      </c>
      <c r="M116" s="130">
        <v>7592</v>
      </c>
      <c r="N116" s="129"/>
      <c r="O116" s="154">
        <v>20</v>
      </c>
      <c r="P116" s="820"/>
      <c r="Q116" s="153">
        <v>9638</v>
      </c>
      <c r="R116" s="155">
        <v>11346.900000000036</v>
      </c>
      <c r="S116" s="154">
        <f t="shared" si="35"/>
        <v>890093.1</v>
      </c>
    </row>
    <row r="117" spans="1:31" s="243" customFormat="1" ht="15.75" hidden="1" customHeight="1">
      <c r="A117" s="113" t="s">
        <v>42</v>
      </c>
      <c r="B117" s="153">
        <v>450584.80000000005</v>
      </c>
      <c r="C117" s="141">
        <v>11186</v>
      </c>
      <c r="D117" s="130" t="s">
        <v>88</v>
      </c>
      <c r="E117" s="130" t="s">
        <v>88</v>
      </c>
      <c r="F117" s="819"/>
      <c r="G117" s="130" t="s">
        <v>88</v>
      </c>
      <c r="H117" s="130" t="s">
        <v>88</v>
      </c>
      <c r="I117" s="130" t="s">
        <v>88</v>
      </c>
      <c r="J117" s="154">
        <v>111464.2</v>
      </c>
      <c r="K117" s="154">
        <v>291755.09999999998</v>
      </c>
      <c r="L117" s="154">
        <f t="shared" si="34"/>
        <v>414405.3</v>
      </c>
      <c r="M117" s="130" t="s">
        <v>88</v>
      </c>
      <c r="N117" s="129"/>
      <c r="O117" s="154">
        <v>20</v>
      </c>
      <c r="P117" s="820"/>
      <c r="Q117" s="153">
        <v>9597.9</v>
      </c>
      <c r="R117" s="155">
        <v>11407.099999999919</v>
      </c>
      <c r="S117" s="154">
        <f t="shared" si="35"/>
        <v>886015.10000000009</v>
      </c>
    </row>
    <row r="118" spans="1:31" s="243" customFormat="1" ht="15.75" hidden="1" customHeight="1">
      <c r="A118" s="113" t="s">
        <v>43</v>
      </c>
      <c r="B118" s="153">
        <v>463775.29999999987</v>
      </c>
      <c r="C118" s="899" t="s">
        <v>88</v>
      </c>
      <c r="D118" s="130" t="s">
        <v>88</v>
      </c>
      <c r="E118" s="130" t="s">
        <v>88</v>
      </c>
      <c r="F118" s="819"/>
      <c r="G118" s="130" t="s">
        <v>88</v>
      </c>
      <c r="H118" s="130" t="s">
        <v>88</v>
      </c>
      <c r="I118" s="130" t="s">
        <v>88</v>
      </c>
      <c r="J118" s="154">
        <v>110070.9</v>
      </c>
      <c r="K118" s="154">
        <v>291446.90000000002</v>
      </c>
      <c r="L118" s="154">
        <f t="shared" si="34"/>
        <v>401517.80000000005</v>
      </c>
      <c r="M118" s="130" t="s">
        <v>88</v>
      </c>
      <c r="N118" s="129"/>
      <c r="O118" s="154">
        <v>20</v>
      </c>
      <c r="P118" s="820"/>
      <c r="Q118" s="153">
        <v>9828.6</v>
      </c>
      <c r="R118" s="155">
        <v>11468.600000000093</v>
      </c>
      <c r="S118" s="154">
        <f t="shared" si="35"/>
        <v>886610.29999999993</v>
      </c>
    </row>
    <row r="119" spans="1:31" s="243" customFormat="1" ht="15.75" hidden="1" customHeight="1">
      <c r="A119" s="113" t="s">
        <v>44</v>
      </c>
      <c r="B119" s="153">
        <v>427795.10000000003</v>
      </c>
      <c r="C119" s="899" t="s">
        <v>88</v>
      </c>
      <c r="D119" s="130" t="s">
        <v>88</v>
      </c>
      <c r="E119" s="130" t="s">
        <v>88</v>
      </c>
      <c r="F119" s="819"/>
      <c r="G119" s="130" t="s">
        <v>88</v>
      </c>
      <c r="H119" s="130" t="s">
        <v>88</v>
      </c>
      <c r="I119" s="130" t="s">
        <v>88</v>
      </c>
      <c r="J119" s="154">
        <v>108677.6</v>
      </c>
      <c r="K119" s="154">
        <v>291138.8</v>
      </c>
      <c r="L119" s="154">
        <f t="shared" si="34"/>
        <v>399816.4</v>
      </c>
      <c r="M119" s="130" t="s">
        <v>88</v>
      </c>
      <c r="N119" s="129"/>
      <c r="O119" s="154">
        <v>20</v>
      </c>
      <c r="P119" s="820"/>
      <c r="Q119" s="153">
        <v>9998</v>
      </c>
      <c r="R119" s="155">
        <v>11268.099999999977</v>
      </c>
      <c r="S119" s="154">
        <f t="shared" si="35"/>
        <v>848897.6</v>
      </c>
    </row>
    <row r="120" spans="1:31" s="243" customFormat="1" ht="15.75" hidden="1" customHeight="1">
      <c r="A120" s="113" t="s">
        <v>45</v>
      </c>
      <c r="B120" s="153">
        <v>459491.9</v>
      </c>
      <c r="C120" s="899" t="s">
        <v>88</v>
      </c>
      <c r="D120" s="130" t="s">
        <v>88</v>
      </c>
      <c r="E120" s="130" t="s">
        <v>88</v>
      </c>
      <c r="F120" s="819"/>
      <c r="G120" s="130" t="s">
        <v>88</v>
      </c>
      <c r="H120" s="130" t="s">
        <v>88</v>
      </c>
      <c r="I120" s="130" t="s">
        <v>88</v>
      </c>
      <c r="J120" s="154">
        <v>107284.3</v>
      </c>
      <c r="K120" s="154">
        <v>290830.7</v>
      </c>
      <c r="L120" s="154">
        <f t="shared" si="34"/>
        <v>398115</v>
      </c>
      <c r="M120" s="130">
        <v>2619.6999999999998</v>
      </c>
      <c r="N120" s="129"/>
      <c r="O120" s="154">
        <v>20</v>
      </c>
      <c r="P120" s="820"/>
      <c r="Q120" s="153">
        <v>10448.699999999999</v>
      </c>
      <c r="R120" s="155">
        <v>11885.899999999976</v>
      </c>
      <c r="S120" s="154">
        <f t="shared" si="35"/>
        <v>882581.2</v>
      </c>
    </row>
    <row r="121" spans="1:31" s="243" customFormat="1" ht="15.75" hidden="1" customHeight="1">
      <c r="A121" s="113" t="s">
        <v>46</v>
      </c>
      <c r="B121" s="153">
        <v>445616.2</v>
      </c>
      <c r="C121" s="899" t="s">
        <v>88</v>
      </c>
      <c r="D121" s="130" t="s">
        <v>88</v>
      </c>
      <c r="E121" s="130" t="s">
        <v>88</v>
      </c>
      <c r="F121" s="819"/>
      <c r="G121" s="130" t="s">
        <v>88</v>
      </c>
      <c r="H121" s="130" t="s">
        <v>88</v>
      </c>
      <c r="I121" s="130" t="s">
        <v>88</v>
      </c>
      <c r="J121" s="154">
        <v>107284.3</v>
      </c>
      <c r="K121" s="154">
        <v>290830.7</v>
      </c>
      <c r="L121" s="154">
        <f t="shared" si="34"/>
        <v>398115</v>
      </c>
      <c r="M121" s="130" t="s">
        <v>88</v>
      </c>
      <c r="N121" s="129"/>
      <c r="O121" s="154">
        <v>20</v>
      </c>
      <c r="P121" s="820"/>
      <c r="Q121" s="153">
        <v>10728.099999999999</v>
      </c>
      <c r="R121" s="155">
        <v>12193.099999999977</v>
      </c>
      <c r="S121" s="154">
        <f t="shared" si="35"/>
        <v>866672.39999999991</v>
      </c>
    </row>
    <row r="122" spans="1:31" s="243" customFormat="1" ht="15.75" hidden="1" customHeight="1">
      <c r="A122" s="113" t="s">
        <v>47</v>
      </c>
      <c r="B122" s="153">
        <v>459354.19999999995</v>
      </c>
      <c r="C122" s="899" t="s">
        <v>88</v>
      </c>
      <c r="D122" s="130" t="s">
        <v>88</v>
      </c>
      <c r="E122" s="130" t="s">
        <v>88</v>
      </c>
      <c r="F122" s="819"/>
      <c r="G122" s="130" t="s">
        <v>88</v>
      </c>
      <c r="H122" s="130" t="s">
        <v>88</v>
      </c>
      <c r="I122" s="130" t="s">
        <v>88</v>
      </c>
      <c r="J122" s="154">
        <v>107284.3</v>
      </c>
      <c r="K122" s="154">
        <v>290214.40000000002</v>
      </c>
      <c r="L122" s="154">
        <f t="shared" si="34"/>
        <v>397498.7</v>
      </c>
      <c r="M122" s="130">
        <v>61.3</v>
      </c>
      <c r="N122" s="129"/>
      <c r="O122" s="154">
        <v>20</v>
      </c>
      <c r="P122" s="820"/>
      <c r="Q122" s="153">
        <v>10811.199999999999</v>
      </c>
      <c r="R122" s="155">
        <v>12197.000000000035</v>
      </c>
      <c r="S122" s="154">
        <f t="shared" si="35"/>
        <v>879942.39999999991</v>
      </c>
    </row>
    <row r="123" spans="1:31" s="243" customFormat="1" ht="15.75" hidden="1" customHeight="1">
      <c r="A123" s="113" t="s">
        <v>48</v>
      </c>
      <c r="B123" s="153">
        <v>480821.6</v>
      </c>
      <c r="C123" s="141">
        <v>6525.5</v>
      </c>
      <c r="D123" s="130" t="s">
        <v>88</v>
      </c>
      <c r="E123" s="130" t="s">
        <v>88</v>
      </c>
      <c r="F123" s="819"/>
      <c r="G123" s="130" t="s">
        <v>88</v>
      </c>
      <c r="H123" s="130" t="s">
        <v>88</v>
      </c>
      <c r="I123" s="130" t="s">
        <v>88</v>
      </c>
      <c r="J123" s="154">
        <v>107284.3</v>
      </c>
      <c r="K123" s="154">
        <v>289906.3</v>
      </c>
      <c r="L123" s="154">
        <f t="shared" si="34"/>
        <v>403716.1</v>
      </c>
      <c r="M123" s="130" t="s">
        <v>88</v>
      </c>
      <c r="N123" s="129"/>
      <c r="O123" s="154">
        <v>20</v>
      </c>
      <c r="P123" s="820"/>
      <c r="Q123" s="153">
        <v>10933</v>
      </c>
      <c r="R123" s="155">
        <v>13482.999999999978</v>
      </c>
      <c r="S123" s="154">
        <f t="shared" si="35"/>
        <v>908973.7</v>
      </c>
    </row>
    <row r="124" spans="1:31" s="243" customFormat="1" ht="15.75" hidden="1" customHeight="1">
      <c r="A124" s="113" t="s">
        <v>49</v>
      </c>
      <c r="B124" s="153">
        <v>461477.3</v>
      </c>
      <c r="C124" s="130">
        <v>20947.400000000001</v>
      </c>
      <c r="D124" s="130" t="s">
        <v>88</v>
      </c>
      <c r="E124" s="130" t="s">
        <v>88</v>
      </c>
      <c r="F124" s="819"/>
      <c r="G124" s="130" t="s">
        <v>88</v>
      </c>
      <c r="H124" s="130" t="s">
        <v>88</v>
      </c>
      <c r="I124" s="130" t="s">
        <v>88</v>
      </c>
      <c r="J124" s="154">
        <v>107284.3</v>
      </c>
      <c r="K124" s="155">
        <v>289906.3</v>
      </c>
      <c r="L124" s="154">
        <f t="shared" si="34"/>
        <v>418138</v>
      </c>
      <c r="M124" s="130" t="s">
        <v>88</v>
      </c>
      <c r="N124" s="129"/>
      <c r="O124" s="154">
        <v>20</v>
      </c>
      <c r="P124" s="820"/>
      <c r="Q124" s="153">
        <v>11059.899999999998</v>
      </c>
      <c r="R124" s="155">
        <v>13585.2</v>
      </c>
      <c r="S124" s="154">
        <f t="shared" si="35"/>
        <v>904280.4</v>
      </c>
    </row>
    <row r="125" spans="1:31" s="243" customFormat="1" ht="15.75" hidden="1" customHeight="1">
      <c r="A125" s="113" t="s">
        <v>50</v>
      </c>
      <c r="B125" s="153">
        <v>501323.49999999994</v>
      </c>
      <c r="C125" s="130" t="s">
        <v>88</v>
      </c>
      <c r="D125" s="130" t="s">
        <v>88</v>
      </c>
      <c r="E125" s="130" t="s">
        <v>88</v>
      </c>
      <c r="F125" s="819"/>
      <c r="G125" s="130" t="s">
        <v>88</v>
      </c>
      <c r="H125" s="130" t="s">
        <v>88</v>
      </c>
      <c r="I125" s="130" t="s">
        <v>88</v>
      </c>
      <c r="J125" s="154">
        <v>107284.3</v>
      </c>
      <c r="K125" s="155">
        <v>289290</v>
      </c>
      <c r="L125" s="154">
        <f t="shared" si="34"/>
        <v>396574.3</v>
      </c>
      <c r="M125" s="130" t="s">
        <v>88</v>
      </c>
      <c r="N125" s="129"/>
      <c r="O125" s="154">
        <v>20</v>
      </c>
      <c r="P125" s="820"/>
      <c r="Q125" s="153">
        <v>11039.999999999998</v>
      </c>
      <c r="R125" s="155">
        <v>14789.2</v>
      </c>
      <c r="S125" s="154">
        <f t="shared" si="35"/>
        <v>923746.99999999988</v>
      </c>
    </row>
    <row r="126" spans="1:31" s="243" customFormat="1" ht="15.75" hidden="1" customHeight="1">
      <c r="A126" s="142"/>
      <c r="B126" s="153"/>
      <c r="C126" s="130"/>
      <c r="D126" s="130"/>
      <c r="E126" s="130"/>
      <c r="F126" s="819"/>
      <c r="G126" s="130"/>
      <c r="H126" s="130"/>
      <c r="I126" s="130"/>
      <c r="J126" s="154"/>
      <c r="K126" s="155"/>
      <c r="L126" s="154"/>
      <c r="M126" s="130"/>
      <c r="N126" s="129"/>
      <c r="O126" s="154"/>
      <c r="P126" s="820"/>
      <c r="Q126" s="153"/>
      <c r="R126" s="155"/>
      <c r="S126" s="154"/>
    </row>
    <row r="127" spans="1:31" s="243" customFormat="1" ht="15.75" hidden="1" customHeight="1">
      <c r="A127" s="113" t="s">
        <v>54</v>
      </c>
      <c r="B127" s="153">
        <v>476420.8</v>
      </c>
      <c r="C127" s="130" t="s">
        <v>88</v>
      </c>
      <c r="D127" s="130" t="s">
        <v>88</v>
      </c>
      <c r="E127" s="130" t="s">
        <v>88</v>
      </c>
      <c r="F127" s="819"/>
      <c r="G127" s="130" t="s">
        <v>88</v>
      </c>
      <c r="H127" s="130" t="s">
        <v>88</v>
      </c>
      <c r="I127" s="130" t="s">
        <v>88</v>
      </c>
      <c r="J127" s="154">
        <v>107284.3</v>
      </c>
      <c r="K127" s="155">
        <v>289290</v>
      </c>
      <c r="L127" s="154">
        <f t="shared" si="34"/>
        <v>396574.3</v>
      </c>
      <c r="M127" s="130" t="s">
        <v>88</v>
      </c>
      <c r="N127" s="129"/>
      <c r="O127" s="154">
        <v>20</v>
      </c>
      <c r="P127" s="820"/>
      <c r="Q127" s="153">
        <v>12077.8</v>
      </c>
      <c r="R127" s="155">
        <v>14948.7</v>
      </c>
      <c r="S127" s="154">
        <f t="shared" si="35"/>
        <v>900041.6</v>
      </c>
    </row>
    <row r="128" spans="1:31" s="243" customFormat="1" ht="15.75" hidden="1" customHeight="1">
      <c r="A128" s="113" t="s">
        <v>40</v>
      </c>
      <c r="B128" s="153">
        <f>475747.7+1198.4</f>
        <v>476946.10000000003</v>
      </c>
      <c r="C128" s="130" t="s">
        <v>88</v>
      </c>
      <c r="D128" s="130" t="s">
        <v>88</v>
      </c>
      <c r="E128" s="130" t="s">
        <v>88</v>
      </c>
      <c r="F128" s="819"/>
      <c r="G128" s="130" t="s">
        <v>88</v>
      </c>
      <c r="H128" s="130" t="s">
        <v>88</v>
      </c>
      <c r="I128" s="130" t="s">
        <v>88</v>
      </c>
      <c r="J128" s="154">
        <v>107284.3</v>
      </c>
      <c r="K128" s="155">
        <v>288673.7</v>
      </c>
      <c r="L128" s="154">
        <f t="shared" ref="L128:L138" si="36">SUM(C128:K128)</f>
        <v>395958</v>
      </c>
      <c r="M128" s="130">
        <v>2029.8</v>
      </c>
      <c r="N128" s="129"/>
      <c r="O128" s="154">
        <v>20</v>
      </c>
      <c r="P128" s="820"/>
      <c r="Q128" s="153">
        <f>887.9+11612.7+33.4</f>
        <v>12534</v>
      </c>
      <c r="R128" s="155">
        <f>16104.5-1198.4</f>
        <v>14906.1</v>
      </c>
      <c r="S128" s="154">
        <f t="shared" si="35"/>
        <v>902394.00000000012</v>
      </c>
    </row>
    <row r="129" spans="1:19" s="243" customFormat="1" ht="15.75" hidden="1" customHeight="1">
      <c r="A129" s="113" t="s">
        <v>41</v>
      </c>
      <c r="B129" s="153">
        <f>490364.5+1198.4</f>
        <v>491562.9</v>
      </c>
      <c r="C129" s="130">
        <v>8513</v>
      </c>
      <c r="D129" s="130" t="s">
        <v>88</v>
      </c>
      <c r="E129" s="130" t="s">
        <v>88</v>
      </c>
      <c r="F129" s="819"/>
      <c r="G129" s="130" t="s">
        <v>88</v>
      </c>
      <c r="H129" s="130" t="s">
        <v>88</v>
      </c>
      <c r="I129" s="130" t="s">
        <v>88</v>
      </c>
      <c r="J129" s="154">
        <v>107284.3</v>
      </c>
      <c r="K129" s="155">
        <v>288673.7</v>
      </c>
      <c r="L129" s="154">
        <f t="shared" si="36"/>
        <v>404471</v>
      </c>
      <c r="M129" s="130">
        <v>2239.9</v>
      </c>
      <c r="N129" s="129"/>
      <c r="O129" s="154">
        <v>20</v>
      </c>
      <c r="P129" s="820"/>
      <c r="Q129" s="153">
        <f>887.9+11758.1+21.3</f>
        <v>12667.3</v>
      </c>
      <c r="R129" s="155">
        <f>16389.1-1198.4</f>
        <v>15190.699999999999</v>
      </c>
      <c r="S129" s="154">
        <f t="shared" si="35"/>
        <v>926151.8</v>
      </c>
    </row>
    <row r="130" spans="1:19" s="243" customFormat="1" ht="15.75" hidden="1" customHeight="1">
      <c r="A130" s="113" t="s">
        <v>42</v>
      </c>
      <c r="B130" s="153">
        <f>492431.1+1198.4</f>
        <v>493629.5</v>
      </c>
      <c r="C130" s="130">
        <v>14256.4</v>
      </c>
      <c r="D130" s="130" t="s">
        <v>88</v>
      </c>
      <c r="E130" s="130" t="s">
        <v>88</v>
      </c>
      <c r="F130" s="819"/>
      <c r="G130" s="130" t="s">
        <v>88</v>
      </c>
      <c r="H130" s="130" t="s">
        <v>88</v>
      </c>
      <c r="I130" s="130" t="s">
        <v>88</v>
      </c>
      <c r="J130" s="154">
        <v>107284.3</v>
      </c>
      <c r="K130" s="155">
        <v>288365.59999999998</v>
      </c>
      <c r="L130" s="154">
        <f t="shared" si="36"/>
        <v>409906.3</v>
      </c>
      <c r="M130" s="130">
        <v>1914.8</v>
      </c>
      <c r="N130" s="129"/>
      <c r="O130" s="154">
        <v>20</v>
      </c>
      <c r="P130" s="820"/>
      <c r="Q130" s="153">
        <f>887.9+11937.4+21.3</f>
        <v>12846.599999999999</v>
      </c>
      <c r="R130" s="155">
        <f>47709.6-1198.4</f>
        <v>46511.199999999997</v>
      </c>
      <c r="S130" s="154">
        <f t="shared" si="35"/>
        <v>964828.4</v>
      </c>
    </row>
    <row r="131" spans="1:19" s="243" customFormat="1" ht="15.75" hidden="1" customHeight="1">
      <c r="A131" s="113" t="s">
        <v>43</v>
      </c>
      <c r="B131" s="153">
        <f>481241.6+1198.4</f>
        <v>482440</v>
      </c>
      <c r="C131" s="130">
        <v>16076.5</v>
      </c>
      <c r="D131" s="130" t="s">
        <v>88</v>
      </c>
      <c r="E131" s="130" t="s">
        <v>88</v>
      </c>
      <c r="F131" s="819"/>
      <c r="G131" s="130" t="s">
        <v>88</v>
      </c>
      <c r="H131" s="130" t="s">
        <v>88</v>
      </c>
      <c r="I131" s="130" t="s">
        <v>88</v>
      </c>
      <c r="J131" s="154">
        <v>107284.3</v>
      </c>
      <c r="K131" s="155">
        <v>287749.3</v>
      </c>
      <c r="L131" s="154">
        <f t="shared" si="36"/>
        <v>411110.1</v>
      </c>
      <c r="M131" s="130">
        <v>1914.8</v>
      </c>
      <c r="N131" s="129"/>
      <c r="O131" s="154">
        <v>20</v>
      </c>
      <c r="P131" s="820"/>
      <c r="Q131" s="153">
        <f>887.9+11973.7+21.3</f>
        <v>12882.9</v>
      </c>
      <c r="R131" s="155">
        <f>47840.2-1198.4</f>
        <v>46641.799999999996</v>
      </c>
      <c r="S131" s="154">
        <f t="shared" si="35"/>
        <v>955009.60000000009</v>
      </c>
    </row>
    <row r="132" spans="1:19" s="243" customFormat="1" ht="15.75" hidden="1" customHeight="1">
      <c r="A132" s="113" t="s">
        <v>44</v>
      </c>
      <c r="B132" s="153">
        <f>485405.9+1198.4</f>
        <v>486604.30000000005</v>
      </c>
      <c r="C132" s="130">
        <v>39309.599999999999</v>
      </c>
      <c r="D132" s="130" t="s">
        <v>88</v>
      </c>
      <c r="E132" s="130" t="s">
        <v>88</v>
      </c>
      <c r="F132" s="819"/>
      <c r="G132" s="130" t="s">
        <v>88</v>
      </c>
      <c r="H132" s="130" t="s">
        <v>88</v>
      </c>
      <c r="I132" s="130" t="s">
        <v>88</v>
      </c>
      <c r="J132" s="154">
        <v>107284.3</v>
      </c>
      <c r="K132" s="155">
        <v>287441.2</v>
      </c>
      <c r="L132" s="154">
        <f t="shared" si="36"/>
        <v>434035.1</v>
      </c>
      <c r="M132" s="130">
        <v>1914.8</v>
      </c>
      <c r="N132" s="129"/>
      <c r="O132" s="154">
        <v>20</v>
      </c>
      <c r="P132" s="820"/>
      <c r="Q132" s="153">
        <f>887.9+12491.3+9.4+21.3</f>
        <v>13409.899999999998</v>
      </c>
      <c r="R132" s="155">
        <f>46067.1-1198.4</f>
        <v>44868.7</v>
      </c>
      <c r="S132" s="154">
        <f t="shared" si="35"/>
        <v>980852.8</v>
      </c>
    </row>
    <row r="133" spans="1:19" s="243" customFormat="1" ht="15.75" hidden="1" customHeight="1">
      <c r="A133" s="113" t="s">
        <v>45</v>
      </c>
      <c r="B133" s="153">
        <f>455398.8+1198.4</f>
        <v>456597.2</v>
      </c>
      <c r="C133" s="130">
        <v>52779.8</v>
      </c>
      <c r="D133" s="130" t="s">
        <v>88</v>
      </c>
      <c r="E133" s="130" t="s">
        <v>88</v>
      </c>
      <c r="F133" s="819"/>
      <c r="G133" s="130" t="s">
        <v>88</v>
      </c>
      <c r="H133" s="130" t="s">
        <v>88</v>
      </c>
      <c r="I133" s="130" t="s">
        <v>88</v>
      </c>
      <c r="J133" s="154">
        <v>107284.3</v>
      </c>
      <c r="K133" s="155">
        <v>287441.2</v>
      </c>
      <c r="L133" s="154">
        <f t="shared" si="36"/>
        <v>447505.30000000005</v>
      </c>
      <c r="M133" s="130">
        <v>1914.8</v>
      </c>
      <c r="N133" s="129"/>
      <c r="O133" s="154">
        <v>20</v>
      </c>
      <c r="P133" s="820"/>
      <c r="Q133" s="153">
        <f>887.9+12509.9+9.4+21.3</f>
        <v>13428.499999999998</v>
      </c>
      <c r="R133" s="155">
        <f>56200.1-1198.4</f>
        <v>55001.7</v>
      </c>
      <c r="S133" s="154">
        <f t="shared" si="35"/>
        <v>974467.5</v>
      </c>
    </row>
    <row r="134" spans="1:19" s="243" customFormat="1" ht="15.75" hidden="1" customHeight="1">
      <c r="A134" s="113" t="s">
        <v>46</v>
      </c>
      <c r="B134" s="153">
        <f>460611.2+1198.4</f>
        <v>461809.60000000003</v>
      </c>
      <c r="C134" s="130">
        <v>43358.6</v>
      </c>
      <c r="D134" s="130" t="s">
        <v>88</v>
      </c>
      <c r="E134" s="130" t="s">
        <v>88</v>
      </c>
      <c r="F134" s="819"/>
      <c r="G134" s="130" t="s">
        <v>88</v>
      </c>
      <c r="H134" s="130" t="s">
        <v>88</v>
      </c>
      <c r="I134" s="130" t="s">
        <v>88</v>
      </c>
      <c r="J134" s="154">
        <v>107284.3</v>
      </c>
      <c r="K134" s="155">
        <v>286825</v>
      </c>
      <c r="L134" s="154">
        <f t="shared" si="36"/>
        <v>437467.9</v>
      </c>
      <c r="M134" s="130">
        <v>2000</v>
      </c>
      <c r="N134" s="129"/>
      <c r="O134" s="154">
        <v>20</v>
      </c>
      <c r="P134" s="820"/>
      <c r="Q134" s="153">
        <f>887.9+12393.4+9.4+21.3</f>
        <v>13311.999999999998</v>
      </c>
      <c r="R134" s="155">
        <f>56676.9-1198.4</f>
        <v>55478.5</v>
      </c>
      <c r="S134" s="154">
        <f t="shared" si="35"/>
        <v>970088</v>
      </c>
    </row>
    <row r="135" spans="1:19" s="243" customFormat="1" ht="15.75" hidden="1" customHeight="1">
      <c r="A135" s="113" t="s">
        <v>47</v>
      </c>
      <c r="B135" s="153">
        <f>523706.4+1198.4</f>
        <v>524904.80000000005</v>
      </c>
      <c r="C135" s="130">
        <v>27300.1</v>
      </c>
      <c r="D135" s="130" t="s">
        <v>88</v>
      </c>
      <c r="E135" s="130" t="s">
        <v>88</v>
      </c>
      <c r="F135" s="819"/>
      <c r="G135" s="130" t="s">
        <v>88</v>
      </c>
      <c r="H135" s="130" t="s">
        <v>88</v>
      </c>
      <c r="I135" s="130" t="s">
        <v>88</v>
      </c>
      <c r="J135" s="154">
        <v>107284.3</v>
      </c>
      <c r="K135" s="155">
        <v>286825</v>
      </c>
      <c r="L135" s="154">
        <f t="shared" si="36"/>
        <v>421409.4</v>
      </c>
      <c r="M135" s="130">
        <f>2000+231.9</f>
        <v>2231.9</v>
      </c>
      <c r="N135" s="129"/>
      <c r="O135" s="154">
        <v>20</v>
      </c>
      <c r="P135" s="820"/>
      <c r="Q135" s="153">
        <f>887.9+12400.2+9.4+21.3</f>
        <v>13318.8</v>
      </c>
      <c r="R135" s="155">
        <f>57430-1198.4</f>
        <v>56231.6</v>
      </c>
      <c r="S135" s="154">
        <f t="shared" si="35"/>
        <v>1018116.5000000001</v>
      </c>
    </row>
    <row r="136" spans="1:19" s="243" customFormat="1" ht="15.75" hidden="1" customHeight="1">
      <c r="A136" s="113" t="s">
        <v>48</v>
      </c>
      <c r="B136" s="153">
        <f>517932.7+1198.4</f>
        <v>519131.10000000003</v>
      </c>
      <c r="C136" s="130">
        <v>74347</v>
      </c>
      <c r="D136" s="130" t="s">
        <v>88</v>
      </c>
      <c r="E136" s="130" t="s">
        <v>88</v>
      </c>
      <c r="F136" s="819"/>
      <c r="G136" s="130" t="s">
        <v>88</v>
      </c>
      <c r="H136" s="130" t="s">
        <v>88</v>
      </c>
      <c r="I136" s="130" t="s">
        <v>88</v>
      </c>
      <c r="J136" s="154">
        <v>107284.3</v>
      </c>
      <c r="K136" s="155">
        <v>286516.8</v>
      </c>
      <c r="L136" s="154">
        <f t="shared" si="36"/>
        <v>468148.1</v>
      </c>
      <c r="M136" s="130">
        <f>2000</f>
        <v>2000</v>
      </c>
      <c r="N136" s="129"/>
      <c r="O136" s="154">
        <v>20</v>
      </c>
      <c r="P136" s="820"/>
      <c r="Q136" s="153">
        <f>887.9+12258.4+9.4+21.3</f>
        <v>13176.999999999998</v>
      </c>
      <c r="R136" s="155">
        <f>59825.3-1198.4</f>
        <v>58626.9</v>
      </c>
      <c r="S136" s="154">
        <f t="shared" si="35"/>
        <v>1061103.0999999999</v>
      </c>
    </row>
    <row r="137" spans="1:19" s="243" customFormat="1" ht="15.75" hidden="1" customHeight="1">
      <c r="A137" s="113" t="s">
        <v>49</v>
      </c>
      <c r="B137" s="153">
        <f>509034.4+1198.4</f>
        <v>510232.80000000005</v>
      </c>
      <c r="C137" s="130">
        <v>41502.5</v>
      </c>
      <c r="D137" s="130" t="s">
        <v>88</v>
      </c>
      <c r="E137" s="130" t="s">
        <v>88</v>
      </c>
      <c r="F137" s="819"/>
      <c r="G137" s="130" t="s">
        <v>88</v>
      </c>
      <c r="H137" s="130" t="s">
        <v>88</v>
      </c>
      <c r="I137" s="130" t="s">
        <v>88</v>
      </c>
      <c r="J137" s="154">
        <v>106976.2</v>
      </c>
      <c r="K137" s="155">
        <v>286208.59999999998</v>
      </c>
      <c r="L137" s="154">
        <f t="shared" si="36"/>
        <v>434687.3</v>
      </c>
      <c r="M137" s="130">
        <f>2000+565.8</f>
        <v>2565.8000000000002</v>
      </c>
      <c r="N137" s="129"/>
      <c r="O137" s="154">
        <v>20</v>
      </c>
      <c r="P137" s="820"/>
      <c r="Q137" s="153">
        <f>887.9+12244.3+9.4+21.3</f>
        <v>13162.899999999998</v>
      </c>
      <c r="R137" s="155">
        <f>61512.9-1198.4</f>
        <v>60314.5</v>
      </c>
      <c r="S137" s="154">
        <f t="shared" si="35"/>
        <v>1020983.3000000002</v>
      </c>
    </row>
    <row r="138" spans="1:19" s="243" customFormat="1" ht="15.75" hidden="1" customHeight="1">
      <c r="A138" s="113" t="s">
        <v>50</v>
      </c>
      <c r="B138" s="153">
        <f>500016.3+1198.4</f>
        <v>501214.7</v>
      </c>
      <c r="C138" s="130">
        <v>55186.9</v>
      </c>
      <c r="D138" s="130" t="s">
        <v>88</v>
      </c>
      <c r="E138" s="130" t="s">
        <v>88</v>
      </c>
      <c r="F138" s="819"/>
      <c r="G138" s="130" t="s">
        <v>88</v>
      </c>
      <c r="H138" s="130" t="s">
        <v>88</v>
      </c>
      <c r="I138" s="130" t="s">
        <v>88</v>
      </c>
      <c r="J138" s="154">
        <v>106976.2</v>
      </c>
      <c r="K138" s="155">
        <v>285900.5</v>
      </c>
      <c r="L138" s="154">
        <f t="shared" si="36"/>
        <v>448063.6</v>
      </c>
      <c r="M138" s="130">
        <f>2000</f>
        <v>2000</v>
      </c>
      <c r="N138" s="129"/>
      <c r="O138" s="154">
        <v>20</v>
      </c>
      <c r="P138" s="820"/>
      <c r="Q138" s="153">
        <f>887.9+12093.9+9.4+21.3</f>
        <v>13012.499999999998</v>
      </c>
      <c r="R138" s="155">
        <f>65554.3-1198.4</f>
        <v>64355.9</v>
      </c>
      <c r="S138" s="154">
        <f t="shared" si="35"/>
        <v>1028666.7000000001</v>
      </c>
    </row>
    <row r="139" spans="1:19" s="243" customFormat="1" ht="15.75" hidden="1" customHeight="1">
      <c r="A139" s="113"/>
      <c r="B139" s="153"/>
      <c r="C139" s="141"/>
      <c r="D139" s="130"/>
      <c r="E139" s="128"/>
      <c r="F139" s="819"/>
      <c r="G139" s="130"/>
      <c r="H139" s="129"/>
      <c r="I139" s="130"/>
      <c r="J139" s="154"/>
      <c r="K139" s="155"/>
      <c r="L139" s="154"/>
      <c r="M139" s="130"/>
      <c r="N139" s="129"/>
      <c r="O139" s="154"/>
      <c r="P139" s="820"/>
      <c r="Q139" s="153"/>
      <c r="R139" s="155"/>
      <c r="S139" s="154"/>
    </row>
    <row r="140" spans="1:19" s="243" customFormat="1" ht="15.75" hidden="1" customHeight="1">
      <c r="A140" s="113" t="s">
        <v>51</v>
      </c>
      <c r="B140" s="153">
        <f>483199.5+1198.4</f>
        <v>484397.9</v>
      </c>
      <c r="C140" s="130">
        <v>22472.2</v>
      </c>
      <c r="D140" s="130" t="s">
        <v>88</v>
      </c>
      <c r="E140" s="130" t="s">
        <v>88</v>
      </c>
      <c r="F140" s="819"/>
      <c r="G140" s="130" t="s">
        <v>88</v>
      </c>
      <c r="H140" s="130" t="s">
        <v>88</v>
      </c>
      <c r="I140" s="130" t="s">
        <v>88</v>
      </c>
      <c r="J140" s="154">
        <v>106976.2</v>
      </c>
      <c r="K140" s="155">
        <v>285900.5</v>
      </c>
      <c r="L140" s="154">
        <f t="shared" ref="L140:L151" si="37">SUM(C140:K140)</f>
        <v>415348.9</v>
      </c>
      <c r="M140" s="130">
        <v>2463.6999999999998</v>
      </c>
      <c r="N140" s="129"/>
      <c r="O140" s="154">
        <v>20</v>
      </c>
      <c r="P140" s="820"/>
      <c r="Q140" s="153">
        <f>887.9+12894+9.4+21.3</f>
        <v>13812.599999999999</v>
      </c>
      <c r="R140" s="155">
        <f>67989.3-1198.4</f>
        <v>66790.900000000009</v>
      </c>
      <c r="S140" s="154">
        <f t="shared" ref="S140:S151" si="38">SUM(B140,L140:R140)</f>
        <v>982834</v>
      </c>
    </row>
    <row r="141" spans="1:19" s="243" customFormat="1" ht="15.75" hidden="1" customHeight="1">
      <c r="A141" s="113" t="s">
        <v>52</v>
      </c>
      <c r="B141" s="153">
        <f>475373.3+1198.4</f>
        <v>476571.7</v>
      </c>
      <c r="C141" s="130">
        <v>72202.7</v>
      </c>
      <c r="D141" s="130" t="s">
        <v>88</v>
      </c>
      <c r="E141" s="130" t="s">
        <v>88</v>
      </c>
      <c r="F141" s="819"/>
      <c r="G141" s="130" t="s">
        <v>88</v>
      </c>
      <c r="H141" s="130" t="s">
        <v>88</v>
      </c>
      <c r="I141" s="130" t="s">
        <v>88</v>
      </c>
      <c r="J141" s="154">
        <v>105891</v>
      </c>
      <c r="K141" s="155">
        <v>284644.40000000002</v>
      </c>
      <c r="L141" s="154">
        <f t="shared" si="37"/>
        <v>462738.10000000003</v>
      </c>
      <c r="M141" s="130">
        <v>2000</v>
      </c>
      <c r="N141" s="129"/>
      <c r="O141" s="154">
        <v>20</v>
      </c>
      <c r="P141" s="820"/>
      <c r="Q141" s="153">
        <f>887.9+12762+9.4+21.3</f>
        <v>13680.599999999999</v>
      </c>
      <c r="R141" s="155">
        <f>69461.2-1198.4</f>
        <v>68262.8</v>
      </c>
      <c r="S141" s="154">
        <f t="shared" si="38"/>
        <v>1023273.2000000001</v>
      </c>
    </row>
    <row r="142" spans="1:19" s="243" customFormat="1" hidden="1">
      <c r="A142" s="113" t="s">
        <v>53</v>
      </c>
      <c r="B142" s="153">
        <f>471312.6+1198.4</f>
        <v>472511</v>
      </c>
      <c r="C142" s="130">
        <v>23590.1</v>
      </c>
      <c r="D142" s="130" t="s">
        <v>88</v>
      </c>
      <c r="E142" s="130" t="s">
        <v>88</v>
      </c>
      <c r="F142" s="819"/>
      <c r="G142" s="130" t="s">
        <v>88</v>
      </c>
      <c r="H142" s="130" t="s">
        <v>88</v>
      </c>
      <c r="I142" s="130" t="s">
        <v>88</v>
      </c>
      <c r="J142" s="154">
        <v>104166</v>
      </c>
      <c r="K142" s="155">
        <v>284644.40000000002</v>
      </c>
      <c r="L142" s="154">
        <f t="shared" si="37"/>
        <v>412400.5</v>
      </c>
      <c r="M142" s="130">
        <v>3178.9</v>
      </c>
      <c r="N142" s="129"/>
      <c r="O142" s="154">
        <v>20</v>
      </c>
      <c r="P142" s="820"/>
      <c r="Q142" s="153">
        <f>887.9+12644.8+9.4+21.3</f>
        <v>13563.399999999998</v>
      </c>
      <c r="R142" s="155">
        <f>70415.3-1198.4</f>
        <v>69216.900000000009</v>
      </c>
      <c r="S142" s="154">
        <f t="shared" si="38"/>
        <v>970890.70000000007</v>
      </c>
    </row>
    <row r="143" spans="1:19" s="243" customFormat="1" hidden="1">
      <c r="A143" s="113" t="s">
        <v>604</v>
      </c>
      <c r="B143" s="153">
        <f>452409.5+1198.4</f>
        <v>453607.9</v>
      </c>
      <c r="C143" s="130">
        <v>54107.7</v>
      </c>
      <c r="D143" s="130" t="s">
        <v>88</v>
      </c>
      <c r="E143" s="130" t="s">
        <v>88</v>
      </c>
      <c r="F143" s="819"/>
      <c r="G143" s="130" t="s">
        <v>88</v>
      </c>
      <c r="H143" s="130" t="s">
        <v>88</v>
      </c>
      <c r="I143" s="130" t="s">
        <v>88</v>
      </c>
      <c r="J143" s="154">
        <v>102772.7</v>
      </c>
      <c r="K143" s="155">
        <v>284004.5</v>
      </c>
      <c r="L143" s="154">
        <f t="shared" si="37"/>
        <v>440884.9</v>
      </c>
      <c r="M143" s="130">
        <v>12000</v>
      </c>
      <c r="N143" s="129"/>
      <c r="O143" s="154">
        <v>20</v>
      </c>
      <c r="P143" s="820"/>
      <c r="Q143" s="153">
        <f>887.9+12445.9+9.4+61</f>
        <v>13404.199999999999</v>
      </c>
      <c r="R143" s="155">
        <f>72416.3-1198.4</f>
        <v>71217.900000000009</v>
      </c>
      <c r="S143" s="154">
        <f t="shared" si="38"/>
        <v>991134.9</v>
      </c>
    </row>
    <row r="144" spans="1:19" s="243" customFormat="1" hidden="1">
      <c r="A144" s="113" t="s">
        <v>610</v>
      </c>
      <c r="B144" s="153">
        <f>451993+1198.4</f>
        <v>453191.4</v>
      </c>
      <c r="C144" s="130">
        <v>79625</v>
      </c>
      <c r="D144" s="130" t="s">
        <v>88</v>
      </c>
      <c r="E144" s="130" t="s">
        <v>88</v>
      </c>
      <c r="F144" s="819"/>
      <c r="G144" s="130" t="s">
        <v>88</v>
      </c>
      <c r="H144" s="130" t="s">
        <v>88</v>
      </c>
      <c r="I144" s="130" t="s">
        <v>88</v>
      </c>
      <c r="J144" s="154">
        <v>101379.3</v>
      </c>
      <c r="K144" s="155">
        <v>283364.7</v>
      </c>
      <c r="L144" s="154">
        <f t="shared" si="37"/>
        <v>464369</v>
      </c>
      <c r="M144" s="130">
        <v>2911.5</v>
      </c>
      <c r="N144" s="129"/>
      <c r="O144" s="154">
        <v>20</v>
      </c>
      <c r="P144" s="820"/>
      <c r="Q144" s="153">
        <f>887.9+12765.4+9.4+61</f>
        <v>13723.699999999999</v>
      </c>
      <c r="R144" s="155">
        <f>73754.4-1198.4</f>
        <v>72556</v>
      </c>
      <c r="S144" s="154">
        <f t="shared" si="38"/>
        <v>1006771.6</v>
      </c>
    </row>
    <row r="145" spans="1:19" s="243" customFormat="1" hidden="1">
      <c r="A145" s="113" t="s">
        <v>711</v>
      </c>
      <c r="B145" s="153">
        <f>372018.8+1198.4</f>
        <v>373217.2</v>
      </c>
      <c r="C145" s="130">
        <v>121700.8</v>
      </c>
      <c r="D145" s="130" t="s">
        <v>88</v>
      </c>
      <c r="E145" s="130" t="s">
        <v>88</v>
      </c>
      <c r="F145" s="819"/>
      <c r="G145" s="130" t="s">
        <v>88</v>
      </c>
      <c r="H145" s="130" t="s">
        <v>88</v>
      </c>
      <c r="I145" s="130" t="s">
        <v>88</v>
      </c>
      <c r="J145" s="154">
        <v>100317.8</v>
      </c>
      <c r="K145" s="155">
        <v>282393.09999999998</v>
      </c>
      <c r="L145" s="154">
        <f t="shared" si="37"/>
        <v>504411.69999999995</v>
      </c>
      <c r="M145" s="130">
        <v>22000</v>
      </c>
      <c r="N145" s="129"/>
      <c r="O145" s="154">
        <v>20</v>
      </c>
      <c r="P145" s="820"/>
      <c r="Q145" s="153">
        <f>887.9+13119.4+9.4+61</f>
        <v>14077.699999999999</v>
      </c>
      <c r="R145" s="155">
        <f>72615.2-1198.4</f>
        <v>71416.800000000003</v>
      </c>
      <c r="S145" s="154">
        <f t="shared" si="38"/>
        <v>985143.39999999991</v>
      </c>
    </row>
    <row r="146" spans="1:19" s="243" customFormat="1" hidden="1">
      <c r="A146" s="113" t="s">
        <v>615</v>
      </c>
      <c r="B146" s="153">
        <f>352745.3+1198.4</f>
        <v>353943.7</v>
      </c>
      <c r="C146" s="130">
        <v>124466.2</v>
      </c>
      <c r="D146" s="130" t="s">
        <v>88</v>
      </c>
      <c r="E146" s="130" t="s">
        <v>88</v>
      </c>
      <c r="F146" s="819"/>
      <c r="G146" s="130" t="s">
        <v>88</v>
      </c>
      <c r="H146" s="130" t="s">
        <v>88</v>
      </c>
      <c r="I146" s="130" t="s">
        <v>88</v>
      </c>
      <c r="J146" s="154">
        <v>98924.5</v>
      </c>
      <c r="K146" s="155">
        <v>281753.2</v>
      </c>
      <c r="L146" s="154">
        <f t="shared" si="37"/>
        <v>505143.9</v>
      </c>
      <c r="M146" s="130">
        <v>8000</v>
      </c>
      <c r="N146" s="129"/>
      <c r="O146" s="154">
        <v>20</v>
      </c>
      <c r="P146" s="820"/>
      <c r="Q146" s="153">
        <f>887.9+13657+9.4+81.3</f>
        <v>14635.599999999999</v>
      </c>
      <c r="R146" s="155">
        <f>70254.5-1198.4</f>
        <v>69056.100000000006</v>
      </c>
      <c r="S146" s="154">
        <f t="shared" si="38"/>
        <v>950799.3</v>
      </c>
    </row>
    <row r="147" spans="1:19" s="243" customFormat="1" hidden="1">
      <c r="A147" s="113" t="s">
        <v>621</v>
      </c>
      <c r="B147" s="153">
        <f>311325.5+1198.4</f>
        <v>312523.90000000002</v>
      </c>
      <c r="C147" s="130">
        <v>162684.9</v>
      </c>
      <c r="D147" s="130" t="s">
        <v>88</v>
      </c>
      <c r="E147" s="130" t="s">
        <v>88</v>
      </c>
      <c r="F147" s="819"/>
      <c r="G147" s="130" t="s">
        <v>88</v>
      </c>
      <c r="H147" s="130" t="s">
        <v>88</v>
      </c>
      <c r="I147" s="130" t="s">
        <v>88</v>
      </c>
      <c r="J147" s="154">
        <v>97531.199999999997</v>
      </c>
      <c r="K147" s="155">
        <v>281113.3</v>
      </c>
      <c r="L147" s="154">
        <f t="shared" si="37"/>
        <v>541329.39999999991</v>
      </c>
      <c r="M147" s="130">
        <v>12000</v>
      </c>
      <c r="N147" s="129"/>
      <c r="O147" s="154">
        <v>20</v>
      </c>
      <c r="P147" s="820"/>
      <c r="Q147" s="153">
        <f>887.9+14212.1+9.4+81.3</f>
        <v>15190.699999999999</v>
      </c>
      <c r="R147" s="155">
        <f>71092.5-1198.4</f>
        <v>69894.100000000006</v>
      </c>
      <c r="S147" s="154">
        <f t="shared" si="38"/>
        <v>950958.09999999986</v>
      </c>
    </row>
    <row r="148" spans="1:19" s="243" customFormat="1" hidden="1">
      <c r="A148" s="113" t="s">
        <v>712</v>
      </c>
      <c r="B148" s="153">
        <f>273056.3+1198.4</f>
        <v>274254.7</v>
      </c>
      <c r="C148" s="130">
        <v>201450.1</v>
      </c>
      <c r="D148" s="130" t="s">
        <v>88</v>
      </c>
      <c r="E148" s="130" t="s">
        <v>88</v>
      </c>
      <c r="F148" s="819"/>
      <c r="G148" s="130" t="s">
        <v>88</v>
      </c>
      <c r="H148" s="130" t="s">
        <v>88</v>
      </c>
      <c r="I148" s="130" t="s">
        <v>88</v>
      </c>
      <c r="J148" s="154">
        <v>96137.9</v>
      </c>
      <c r="K148" s="155">
        <v>280473.5</v>
      </c>
      <c r="L148" s="154">
        <f t="shared" si="37"/>
        <v>578061.5</v>
      </c>
      <c r="M148" s="130">
        <v>6840.3</v>
      </c>
      <c r="N148" s="129"/>
      <c r="O148" s="154">
        <v>20</v>
      </c>
      <c r="P148" s="820"/>
      <c r="Q148" s="153">
        <f>887.9+14704.5+9.4+61.4</f>
        <v>15663.199999999999</v>
      </c>
      <c r="R148" s="155">
        <f>69762.2-1198.4</f>
        <v>68563.8</v>
      </c>
      <c r="S148" s="154">
        <f t="shared" si="38"/>
        <v>943403.5</v>
      </c>
    </row>
    <row r="149" spans="1:19" s="243" customFormat="1" hidden="1">
      <c r="A149" s="113" t="s">
        <v>631</v>
      </c>
      <c r="B149" s="153">
        <f>289429+1198.4</f>
        <v>290627.40000000002</v>
      </c>
      <c r="C149" s="130">
        <v>227827.20000000001</v>
      </c>
      <c r="D149" s="130" t="s">
        <v>88</v>
      </c>
      <c r="E149" s="130" t="s">
        <v>88</v>
      </c>
      <c r="F149" s="819"/>
      <c r="G149" s="130" t="s">
        <v>88</v>
      </c>
      <c r="H149" s="130" t="s">
        <v>88</v>
      </c>
      <c r="I149" s="130" t="s">
        <v>88</v>
      </c>
      <c r="J149" s="154">
        <v>95660.7</v>
      </c>
      <c r="K149" s="155">
        <v>279193.7</v>
      </c>
      <c r="L149" s="154">
        <f t="shared" si="37"/>
        <v>602681.60000000009</v>
      </c>
      <c r="M149" s="130">
        <v>2000</v>
      </c>
      <c r="N149" s="129"/>
      <c r="O149" s="154">
        <v>20</v>
      </c>
      <c r="P149" s="820"/>
      <c r="Q149" s="153">
        <f>887.9+14862.3+9.4+61.4</f>
        <v>15820.999999999998</v>
      </c>
      <c r="R149" s="155">
        <f>68994.5-1198.4</f>
        <v>67796.100000000006</v>
      </c>
      <c r="S149" s="154">
        <f t="shared" si="38"/>
        <v>978946.10000000009</v>
      </c>
    </row>
    <row r="150" spans="1:19" s="243" customFormat="1" hidden="1">
      <c r="A150" s="113" t="s">
        <v>654</v>
      </c>
      <c r="B150" s="153">
        <f>236298.7+1198.4</f>
        <v>237497.1</v>
      </c>
      <c r="C150" s="130">
        <v>236897.9</v>
      </c>
      <c r="D150" s="130" t="s">
        <v>88</v>
      </c>
      <c r="E150" s="130" t="s">
        <v>88</v>
      </c>
      <c r="F150" s="819"/>
      <c r="G150" s="130" t="s">
        <v>88</v>
      </c>
      <c r="H150" s="130" t="s">
        <v>88</v>
      </c>
      <c r="I150" s="130" t="s">
        <v>88</v>
      </c>
      <c r="J150" s="154">
        <v>94267.4</v>
      </c>
      <c r="K150" s="155">
        <v>278553.90000000002</v>
      </c>
      <c r="L150" s="154">
        <f t="shared" si="37"/>
        <v>609719.19999999995</v>
      </c>
      <c r="M150" s="130">
        <v>18493.2</v>
      </c>
      <c r="N150" s="129"/>
      <c r="O150" s="154">
        <v>20</v>
      </c>
      <c r="P150" s="820"/>
      <c r="Q150" s="153">
        <f>887.9+14959.9+9.4+61.4</f>
        <v>15918.599999999999</v>
      </c>
      <c r="R150" s="155">
        <f>69133-1198.4</f>
        <v>67934.600000000006</v>
      </c>
      <c r="S150" s="154">
        <f t="shared" si="38"/>
        <v>949582.69999999984</v>
      </c>
    </row>
    <row r="151" spans="1:19" s="243" customFormat="1" hidden="1">
      <c r="A151" s="113" t="s">
        <v>665</v>
      </c>
      <c r="B151" s="153">
        <f>220631.2+1198.4</f>
        <v>221829.6</v>
      </c>
      <c r="C151" s="130">
        <v>273246</v>
      </c>
      <c r="D151" s="130" t="s">
        <v>88</v>
      </c>
      <c r="E151" s="130" t="s">
        <v>88</v>
      </c>
      <c r="F151" s="819"/>
      <c r="G151" s="130" t="s">
        <v>88</v>
      </c>
      <c r="H151" s="130" t="s">
        <v>88</v>
      </c>
      <c r="I151" s="130" t="s">
        <v>88</v>
      </c>
      <c r="J151" s="154">
        <v>90564.7</v>
      </c>
      <c r="K151" s="155">
        <v>277913.90000000002</v>
      </c>
      <c r="L151" s="154">
        <f t="shared" si="37"/>
        <v>641724.60000000009</v>
      </c>
      <c r="M151" s="130">
        <v>21800</v>
      </c>
      <c r="N151" s="129"/>
      <c r="O151" s="154">
        <v>20</v>
      </c>
      <c r="P151" s="820"/>
      <c r="Q151" s="153">
        <f>887.9+14924.5+9.4+48.3</f>
        <v>15870.099999999999</v>
      </c>
      <c r="R151" s="155">
        <f>70740.6-1198.4</f>
        <v>69542.200000000012</v>
      </c>
      <c r="S151" s="154">
        <f t="shared" si="38"/>
        <v>970786.5</v>
      </c>
    </row>
    <row r="152" spans="1:19" s="243" customFormat="1" ht="12" hidden="1" customHeight="1">
      <c r="A152" s="113"/>
      <c r="B152" s="153"/>
      <c r="C152" s="141"/>
      <c r="D152" s="130"/>
      <c r="E152" s="128"/>
      <c r="F152" s="819"/>
      <c r="G152" s="130"/>
      <c r="H152" s="129"/>
      <c r="I152" s="130"/>
      <c r="J152" s="154"/>
      <c r="K152" s="155"/>
      <c r="L152" s="154"/>
      <c r="M152" s="130"/>
      <c r="N152" s="129"/>
      <c r="O152" s="154"/>
      <c r="P152" s="820"/>
      <c r="Q152" s="153"/>
      <c r="R152" s="155"/>
      <c r="S152" s="154"/>
    </row>
    <row r="153" spans="1:19" s="243" customFormat="1" hidden="1">
      <c r="A153" s="113" t="s">
        <v>39</v>
      </c>
      <c r="B153" s="153">
        <f>214074.7+1198.4</f>
        <v>215273.1</v>
      </c>
      <c r="C153" s="130">
        <v>0</v>
      </c>
      <c r="D153" s="130" t="s">
        <v>88</v>
      </c>
      <c r="E153" s="130" t="s">
        <v>88</v>
      </c>
      <c r="F153" s="819"/>
      <c r="G153" s="130" t="s">
        <v>88</v>
      </c>
      <c r="H153" s="130" t="s">
        <v>88</v>
      </c>
      <c r="I153" s="130" t="s">
        <v>88</v>
      </c>
      <c r="J153" s="154">
        <v>90564.7</v>
      </c>
      <c r="K153" s="155">
        <v>508147.4</v>
      </c>
      <c r="L153" s="154">
        <f t="shared" ref="L153:L164" si="39">SUM(C153:K153)</f>
        <v>598712.1</v>
      </c>
      <c r="M153" s="130">
        <v>39705</v>
      </c>
      <c r="N153" s="129"/>
      <c r="O153" s="154">
        <v>20</v>
      </c>
      <c r="P153" s="820"/>
      <c r="Q153" s="153">
        <f>887.9+15504.9+9.4+48.3</f>
        <v>16450.5</v>
      </c>
      <c r="R153" s="155">
        <f>71595.3-1198.4</f>
        <v>70396.900000000009</v>
      </c>
      <c r="S153" s="154">
        <f t="shared" ref="S153:S164" si="40">SUM(B153,L153:R153)</f>
        <v>940557.6</v>
      </c>
    </row>
    <row r="154" spans="1:19" s="243" customFormat="1" hidden="1">
      <c r="A154" s="113" t="s">
        <v>677</v>
      </c>
      <c r="B154" s="153">
        <f>176947.2+1198.4</f>
        <v>178145.6</v>
      </c>
      <c r="C154" s="130">
        <v>0</v>
      </c>
      <c r="D154" s="130" t="s">
        <v>88</v>
      </c>
      <c r="E154" s="130" t="s">
        <v>88</v>
      </c>
      <c r="F154" s="819"/>
      <c r="G154" s="130" t="s">
        <v>88</v>
      </c>
      <c r="H154" s="130" t="s">
        <v>88</v>
      </c>
      <c r="I154" s="130" t="s">
        <v>88</v>
      </c>
      <c r="J154" s="154">
        <v>89171.4</v>
      </c>
      <c r="K154" s="155">
        <v>537669</v>
      </c>
      <c r="L154" s="154">
        <f t="shared" si="39"/>
        <v>626840.4</v>
      </c>
      <c r="M154" s="130">
        <v>45964.800000000003</v>
      </c>
      <c r="N154" s="129"/>
      <c r="O154" s="154">
        <v>20</v>
      </c>
      <c r="P154" s="820"/>
      <c r="Q154" s="153">
        <f>887.9+15533.7+9.4+48.3</f>
        <v>16479.300000000003</v>
      </c>
      <c r="R154" s="155">
        <f>72112-1198.4</f>
        <v>70913.600000000006</v>
      </c>
      <c r="S154" s="154">
        <f t="shared" si="40"/>
        <v>938363.70000000007</v>
      </c>
    </row>
    <row r="155" spans="1:19" s="243" customFormat="1" hidden="1">
      <c r="A155" s="113" t="s">
        <v>65</v>
      </c>
      <c r="B155" s="153">
        <f>154021.4+1198.4</f>
        <v>155219.79999999999</v>
      </c>
      <c r="C155" s="130">
        <v>0</v>
      </c>
      <c r="D155" s="130" t="s">
        <v>88</v>
      </c>
      <c r="E155" s="130" t="s">
        <v>88</v>
      </c>
      <c r="F155" s="819"/>
      <c r="G155" s="130" t="s">
        <v>88</v>
      </c>
      <c r="H155" s="130" t="s">
        <v>88</v>
      </c>
      <c r="I155" s="130" t="s">
        <v>88</v>
      </c>
      <c r="J155" s="154">
        <v>86384.8</v>
      </c>
      <c r="K155" s="155">
        <v>549240.30000000005</v>
      </c>
      <c r="L155" s="154">
        <f t="shared" si="39"/>
        <v>635625.10000000009</v>
      </c>
      <c r="M155" s="130">
        <v>73850</v>
      </c>
      <c r="N155" s="129"/>
      <c r="O155" s="154">
        <v>20</v>
      </c>
      <c r="P155" s="820"/>
      <c r="Q155" s="153">
        <f>887.9+15883.6+9.4+48.3</f>
        <v>16829.2</v>
      </c>
      <c r="R155" s="155">
        <f>345279.5-1198.4-273246</f>
        <v>70835.099999999977</v>
      </c>
      <c r="S155" s="154">
        <f t="shared" si="40"/>
        <v>952379.20000000007</v>
      </c>
    </row>
    <row r="156" spans="1:19" s="243" customFormat="1" hidden="1">
      <c r="A156" s="113" t="s">
        <v>692</v>
      </c>
      <c r="B156" s="153">
        <f>178335+1198.4</f>
        <v>179533.4</v>
      </c>
      <c r="C156" s="130">
        <v>4780.1000000000004</v>
      </c>
      <c r="D156" s="130" t="s">
        <v>88</v>
      </c>
      <c r="E156" s="130" t="s">
        <v>88</v>
      </c>
      <c r="F156" s="819"/>
      <c r="G156" s="130" t="s">
        <v>88</v>
      </c>
      <c r="H156" s="130" t="s">
        <v>88</v>
      </c>
      <c r="I156" s="130" t="s">
        <v>88</v>
      </c>
      <c r="J156" s="154">
        <v>86384.8</v>
      </c>
      <c r="K156" s="155">
        <v>549240.30000000005</v>
      </c>
      <c r="L156" s="154">
        <f t="shared" si="39"/>
        <v>640405.20000000007</v>
      </c>
      <c r="M156" s="130">
        <v>74200</v>
      </c>
      <c r="N156" s="129"/>
      <c r="O156" s="154">
        <v>20</v>
      </c>
      <c r="P156" s="820"/>
      <c r="Q156" s="153">
        <f>887.9+16063.2+9.4+86.1</f>
        <v>17046.600000000002</v>
      </c>
      <c r="R156" s="155">
        <f>72548.4-1198.4</f>
        <v>71350</v>
      </c>
      <c r="S156" s="154">
        <f t="shared" si="40"/>
        <v>982555.20000000007</v>
      </c>
    </row>
    <row r="157" spans="1:19" s="243" customFormat="1" hidden="1">
      <c r="A157" s="113" t="s">
        <v>701</v>
      </c>
      <c r="B157" s="153">
        <f>155514.5+1198.4</f>
        <v>156712.9</v>
      </c>
      <c r="C157" s="130">
        <v>21652.3</v>
      </c>
      <c r="D157" s="130" t="s">
        <v>88</v>
      </c>
      <c r="E157" s="130" t="s">
        <v>88</v>
      </c>
      <c r="F157" s="819"/>
      <c r="G157" s="130" t="s">
        <v>88</v>
      </c>
      <c r="H157" s="130" t="s">
        <v>88</v>
      </c>
      <c r="I157" s="130" t="s">
        <v>88</v>
      </c>
      <c r="J157" s="154">
        <v>84991.5</v>
      </c>
      <c r="K157" s="155">
        <v>548600.5</v>
      </c>
      <c r="L157" s="154">
        <f t="shared" si="39"/>
        <v>655244.30000000005</v>
      </c>
      <c r="M157" s="130">
        <v>84000</v>
      </c>
      <c r="N157" s="129"/>
      <c r="O157" s="154">
        <v>20</v>
      </c>
      <c r="P157" s="820"/>
      <c r="Q157" s="153">
        <f>887.9+16297.7+9.4+86.1</f>
        <v>17281.100000000002</v>
      </c>
      <c r="R157" s="155">
        <f>73194.1-1198.4</f>
        <v>71995.700000000012</v>
      </c>
      <c r="S157" s="154">
        <f t="shared" si="40"/>
        <v>985254</v>
      </c>
    </row>
    <row r="158" spans="1:19" s="243" customFormat="1" hidden="1">
      <c r="A158" s="113" t="s">
        <v>713</v>
      </c>
      <c r="B158" s="153">
        <f>164637+1198.4</f>
        <v>165835.4</v>
      </c>
      <c r="C158" s="141">
        <v>19504.7</v>
      </c>
      <c r="D158" s="130"/>
      <c r="E158" s="128"/>
      <c r="F158" s="819"/>
      <c r="G158" s="130"/>
      <c r="H158" s="129"/>
      <c r="I158" s="130"/>
      <c r="J158" s="154">
        <v>83598.2</v>
      </c>
      <c r="K158" s="155">
        <v>547320.69999999995</v>
      </c>
      <c r="L158" s="154">
        <f t="shared" si="39"/>
        <v>650423.6</v>
      </c>
      <c r="M158" s="130">
        <v>103000</v>
      </c>
      <c r="N158" s="129"/>
      <c r="O158" s="154">
        <v>20</v>
      </c>
      <c r="P158" s="820"/>
      <c r="Q158" s="153">
        <f>887.9+16543.8+9.4+73.2</f>
        <v>17514.300000000003</v>
      </c>
      <c r="R158" s="155">
        <f>72742.7-1198.4</f>
        <v>71544.3</v>
      </c>
      <c r="S158" s="154">
        <f t="shared" si="40"/>
        <v>1008337.6000000001</v>
      </c>
    </row>
    <row r="159" spans="1:19" s="243" customFormat="1">
      <c r="A159" s="113" t="s">
        <v>730</v>
      </c>
      <c r="B159" s="153">
        <f>159362.9+1198.4</f>
        <v>160561.29999999999</v>
      </c>
      <c r="C159" s="141">
        <v>17403.2</v>
      </c>
      <c r="D159" s="130"/>
      <c r="E159" s="128"/>
      <c r="F159" s="819"/>
      <c r="G159" s="130"/>
      <c r="H159" s="129"/>
      <c r="I159" s="130"/>
      <c r="J159" s="154">
        <v>82204.899999999994</v>
      </c>
      <c r="K159" s="155">
        <v>546680.9</v>
      </c>
      <c r="L159" s="154">
        <f t="shared" si="39"/>
        <v>646289</v>
      </c>
      <c r="M159" s="130">
        <v>113437</v>
      </c>
      <c r="N159" s="129"/>
      <c r="O159" s="154">
        <v>20</v>
      </c>
      <c r="P159" s="820"/>
      <c r="Q159" s="153">
        <f>887.9+16481.5+9.4+73.2</f>
        <v>17452.000000000004</v>
      </c>
      <c r="R159" s="155">
        <f>73130.3-1198.4</f>
        <v>71931.900000000009</v>
      </c>
      <c r="S159" s="154">
        <f t="shared" si="40"/>
        <v>1009691.2000000001</v>
      </c>
    </row>
    <row r="160" spans="1:19" s="243" customFormat="1">
      <c r="A160" s="113" t="s">
        <v>46</v>
      </c>
      <c r="B160" s="153">
        <f>146603.3+1198.4</f>
        <v>147801.69999999998</v>
      </c>
      <c r="C160" s="141">
        <v>10113</v>
      </c>
      <c r="D160" s="130"/>
      <c r="E160" s="128"/>
      <c r="F160" s="819"/>
      <c r="G160" s="130"/>
      <c r="H160" s="129"/>
      <c r="I160" s="130"/>
      <c r="J160" s="154">
        <v>80811.600000000006</v>
      </c>
      <c r="K160" s="155">
        <v>546041</v>
      </c>
      <c r="L160" s="154">
        <f t="shared" si="39"/>
        <v>636965.6</v>
      </c>
      <c r="M160" s="130">
        <v>103883</v>
      </c>
      <c r="N160" s="129"/>
      <c r="O160" s="154">
        <v>20</v>
      </c>
      <c r="P160" s="820"/>
      <c r="Q160" s="153">
        <f>887.8+16443.8+9.4+102.9</f>
        <v>17443.900000000001</v>
      </c>
      <c r="R160" s="155">
        <f>73093.3-1198.4</f>
        <v>71894.900000000009</v>
      </c>
      <c r="S160" s="154">
        <f t="shared" si="40"/>
        <v>978009.1</v>
      </c>
    </row>
    <row r="161" spans="1:19" s="243" customFormat="1">
      <c r="A161" s="113" t="s">
        <v>47</v>
      </c>
      <c r="B161" s="153">
        <f>156195.1+1198.4</f>
        <v>157393.5</v>
      </c>
      <c r="C161" s="141">
        <v>18972.7</v>
      </c>
      <c r="D161" s="130"/>
      <c r="E161" s="128"/>
      <c r="F161" s="819"/>
      <c r="G161" s="130"/>
      <c r="H161" s="129"/>
      <c r="I161" s="130"/>
      <c r="J161" s="154">
        <v>79418.3</v>
      </c>
      <c r="K161" s="155">
        <v>546041</v>
      </c>
      <c r="L161" s="154">
        <f t="shared" si="39"/>
        <v>644432</v>
      </c>
      <c r="M161" s="130">
        <v>120705</v>
      </c>
      <c r="N161" s="129"/>
      <c r="O161" s="154">
        <v>20</v>
      </c>
      <c r="P161" s="820"/>
      <c r="Q161" s="153">
        <f>9.4+16282+102.9+887.8</f>
        <v>17282.099999999999</v>
      </c>
      <c r="R161" s="155">
        <f>72767.7-1198.4</f>
        <v>71569.3</v>
      </c>
      <c r="S161" s="154">
        <f t="shared" si="40"/>
        <v>1011401.9</v>
      </c>
    </row>
    <row r="162" spans="1:19" s="243" customFormat="1">
      <c r="A162" s="113" t="s">
        <v>48</v>
      </c>
      <c r="B162" s="153">
        <f>153273.3+1198.4</f>
        <v>154471.69999999998</v>
      </c>
      <c r="C162" s="141">
        <v>37280.9</v>
      </c>
      <c r="D162" s="130"/>
      <c r="E162" s="128"/>
      <c r="F162" s="819"/>
      <c r="G162" s="130"/>
      <c r="H162" s="129"/>
      <c r="I162" s="130"/>
      <c r="J162" s="154">
        <v>78024.899999999994</v>
      </c>
      <c r="K162" s="155">
        <v>545401.19999999995</v>
      </c>
      <c r="L162" s="154">
        <f t="shared" si="39"/>
        <v>660707</v>
      </c>
      <c r="M162" s="130">
        <v>103274</v>
      </c>
      <c r="N162" s="129"/>
      <c r="O162" s="154">
        <v>20</v>
      </c>
      <c r="P162" s="820"/>
      <c r="Q162" s="153">
        <f>9.4+16026.9+102.9+887.8</f>
        <v>17027</v>
      </c>
      <c r="R162" s="155">
        <f>72584.3-1198.4</f>
        <v>71385.900000000009</v>
      </c>
      <c r="S162" s="154">
        <f t="shared" si="40"/>
        <v>1006885.6</v>
      </c>
    </row>
    <row r="163" spans="1:19" s="243" customFormat="1">
      <c r="A163" s="113" t="s">
        <v>49</v>
      </c>
      <c r="B163" s="153">
        <f>155269.4+1198.4</f>
        <v>156467.79999999999</v>
      </c>
      <c r="C163" s="141">
        <v>69788.2</v>
      </c>
      <c r="D163" s="130"/>
      <c r="E163" s="128"/>
      <c r="F163" s="819"/>
      <c r="G163" s="130"/>
      <c r="H163" s="129"/>
      <c r="I163" s="130"/>
      <c r="J163" s="154">
        <v>75238.3</v>
      </c>
      <c r="K163" s="155">
        <v>544121.5</v>
      </c>
      <c r="L163" s="154">
        <f t="shared" si="39"/>
        <v>689148</v>
      </c>
      <c r="M163" s="130">
        <v>103050</v>
      </c>
      <c r="N163" s="129"/>
      <c r="O163" s="154">
        <v>20</v>
      </c>
      <c r="P163" s="820"/>
      <c r="Q163" s="153">
        <f>9.4+15946.2+83.3+887.8</f>
        <v>16926.7</v>
      </c>
      <c r="R163" s="155">
        <f>77107.9-1198.4</f>
        <v>75909.5</v>
      </c>
      <c r="S163" s="154">
        <f t="shared" si="40"/>
        <v>1041522</v>
      </c>
    </row>
    <row r="164" spans="1:19" s="243" customFormat="1">
      <c r="A164" s="113" t="s">
        <v>50</v>
      </c>
      <c r="B164" s="153">
        <f>165236.3+1198.4</f>
        <v>166434.69999999998</v>
      </c>
      <c r="C164" s="141">
        <v>134973.1</v>
      </c>
      <c r="D164" s="130"/>
      <c r="E164" s="128"/>
      <c r="F164" s="819"/>
      <c r="G164" s="130"/>
      <c r="H164" s="129"/>
      <c r="I164" s="130"/>
      <c r="J164" s="154">
        <v>73845.100000000006</v>
      </c>
      <c r="K164" s="155">
        <v>543481.59999999998</v>
      </c>
      <c r="L164" s="154">
        <f t="shared" si="39"/>
        <v>752299.8</v>
      </c>
      <c r="M164" s="130">
        <v>89000</v>
      </c>
      <c r="N164" s="129"/>
      <c r="O164" s="154">
        <v>20</v>
      </c>
      <c r="P164" s="820"/>
      <c r="Q164" s="153">
        <f>15721.6+9.4+887.8+83.3</f>
        <v>16702.099999999999</v>
      </c>
      <c r="R164" s="155">
        <f>84074.1-1198.4</f>
        <v>82875.700000000012</v>
      </c>
      <c r="S164" s="154">
        <f t="shared" si="40"/>
        <v>1107332.3</v>
      </c>
    </row>
    <row r="165" spans="1:19" s="243" customFormat="1">
      <c r="A165" s="113"/>
      <c r="B165" s="153"/>
      <c r="C165" s="141"/>
      <c r="D165" s="130"/>
      <c r="E165" s="128"/>
      <c r="F165" s="819"/>
      <c r="G165" s="130"/>
      <c r="H165" s="129"/>
      <c r="I165" s="130"/>
      <c r="J165" s="154"/>
      <c r="K165" s="155"/>
      <c r="L165" s="154"/>
      <c r="M165" s="130"/>
      <c r="N165" s="129"/>
      <c r="O165" s="154"/>
      <c r="P165" s="820"/>
      <c r="Q165" s="153"/>
      <c r="R165" s="155"/>
      <c r="S165" s="154"/>
    </row>
    <row r="166" spans="1:19" s="243" customFormat="1">
      <c r="A166" s="113" t="s">
        <v>36</v>
      </c>
      <c r="B166" s="153">
        <f>1198.4+189855.9</f>
        <v>191054.3</v>
      </c>
      <c r="C166" s="141">
        <v>91642.3</v>
      </c>
      <c r="D166" s="130"/>
      <c r="E166" s="128"/>
      <c r="F166" s="819"/>
      <c r="G166" s="130"/>
      <c r="H166" s="129"/>
      <c r="I166" s="130"/>
      <c r="J166" s="154">
        <v>73845</v>
      </c>
      <c r="K166" s="155">
        <v>543481.59999999998</v>
      </c>
      <c r="L166" s="154">
        <f t="shared" ref="L166:L185" si="41">SUM(C166:K166)</f>
        <v>708968.89999999991</v>
      </c>
      <c r="M166" s="130">
        <v>116936.4</v>
      </c>
      <c r="N166" s="129"/>
      <c r="O166" s="154">
        <v>20</v>
      </c>
      <c r="P166" s="820"/>
      <c r="Q166" s="153">
        <f>16291.5+9.4+887.8+83.3</f>
        <v>17272</v>
      </c>
      <c r="R166" s="155">
        <f>94399.1-1198.4</f>
        <v>93200.700000000012</v>
      </c>
      <c r="S166" s="154">
        <f t="shared" ref="S166:S185" si="42">SUM(B166,L166:R166)</f>
        <v>1127452.3</v>
      </c>
    </row>
    <row r="167" spans="1:19" s="243" customFormat="1">
      <c r="A167" s="113" t="s">
        <v>37</v>
      </c>
      <c r="B167" s="153">
        <f>1198.4+214097.2</f>
        <v>215295.6</v>
      </c>
      <c r="C167" s="141">
        <v>107598.6</v>
      </c>
      <c r="D167" s="130"/>
      <c r="E167" s="128"/>
      <c r="F167" s="819"/>
      <c r="G167" s="130"/>
      <c r="H167" s="129"/>
      <c r="I167" s="130"/>
      <c r="J167" s="154">
        <v>71058.399999999994</v>
      </c>
      <c r="K167" s="155">
        <v>542201.9</v>
      </c>
      <c r="L167" s="154">
        <f t="shared" si="41"/>
        <v>720858.9</v>
      </c>
      <c r="M167" s="130">
        <v>96000</v>
      </c>
      <c r="N167" s="129"/>
      <c r="O167" s="154">
        <v>20</v>
      </c>
      <c r="P167" s="820"/>
      <c r="Q167" s="153">
        <f>887.8+9.4+18787.3+83.3</f>
        <v>19767.8</v>
      </c>
      <c r="R167" s="155">
        <f>94083.8-1198.4</f>
        <v>92885.400000000009</v>
      </c>
      <c r="S167" s="154">
        <f t="shared" si="42"/>
        <v>1144827.7</v>
      </c>
    </row>
    <row r="168" spans="1:19" s="243" customFormat="1">
      <c r="A168" s="113" t="s">
        <v>38</v>
      </c>
      <c r="B168" s="153">
        <f>1198.4+193593.9</f>
        <v>194792.3</v>
      </c>
      <c r="C168" s="141">
        <v>130042.5</v>
      </c>
      <c r="D168" s="130"/>
      <c r="E168" s="128"/>
      <c r="F168" s="819"/>
      <c r="G168" s="130"/>
      <c r="H168" s="129"/>
      <c r="I168" s="130"/>
      <c r="J168" s="154">
        <v>69665.100000000006</v>
      </c>
      <c r="K168" s="155">
        <v>541562</v>
      </c>
      <c r="L168" s="154">
        <f t="shared" si="41"/>
        <v>741269.6</v>
      </c>
      <c r="M168" s="130">
        <v>88840</v>
      </c>
      <c r="N168" s="129"/>
      <c r="O168" s="154">
        <v>20</v>
      </c>
      <c r="P168" s="820"/>
      <c r="Q168" s="153">
        <f>887.8+9.4+20517.6+83.3</f>
        <v>21498.1</v>
      </c>
      <c r="R168" s="155">
        <f>93988.3-1198.4</f>
        <v>92789.900000000009</v>
      </c>
      <c r="S168" s="154">
        <f t="shared" si="42"/>
        <v>1139209.8999999999</v>
      </c>
    </row>
    <row r="169" spans="1:19" s="243" customFormat="1">
      <c r="A169" s="113" t="s">
        <v>42</v>
      </c>
      <c r="B169" s="153">
        <f>1198.4+188915.3</f>
        <v>190113.69999999998</v>
      </c>
      <c r="C169" s="141">
        <v>122074.2</v>
      </c>
      <c r="D169" s="130"/>
      <c r="E169" s="128"/>
      <c r="F169" s="819"/>
      <c r="G169" s="130"/>
      <c r="H169" s="129"/>
      <c r="I169" s="130"/>
      <c r="J169" s="154">
        <v>69665.100000000006</v>
      </c>
      <c r="K169" s="155">
        <v>541562</v>
      </c>
      <c r="L169" s="154">
        <f t="shared" si="41"/>
        <v>733301.3</v>
      </c>
      <c r="M169" s="130">
        <v>101000</v>
      </c>
      <c r="N169" s="129"/>
      <c r="O169" s="154">
        <v>20</v>
      </c>
      <c r="P169" s="820"/>
      <c r="Q169" s="153">
        <f>887.8+9.4+21238.9+83.3</f>
        <v>22219.4</v>
      </c>
      <c r="R169" s="155">
        <f>95617.3-1198.4</f>
        <v>94418.900000000009</v>
      </c>
      <c r="S169" s="154">
        <f t="shared" si="42"/>
        <v>1141073.3</v>
      </c>
    </row>
    <row r="170" spans="1:19" s="243" customFormat="1">
      <c r="A170" s="113" t="s">
        <v>606</v>
      </c>
      <c r="B170" s="153">
        <f>1198.4+232923</f>
        <v>234121.4</v>
      </c>
      <c r="C170" s="141">
        <v>139502.5</v>
      </c>
      <c r="D170" s="130"/>
      <c r="E170" s="128"/>
      <c r="F170" s="819"/>
      <c r="G170" s="130"/>
      <c r="H170" s="129"/>
      <c r="I170" s="130"/>
      <c r="J170" s="154">
        <v>68271.8</v>
      </c>
      <c r="K170" s="155">
        <v>540922.1</v>
      </c>
      <c r="L170" s="154">
        <f t="shared" si="41"/>
        <v>748696.39999999991</v>
      </c>
      <c r="M170" s="130">
        <v>101165.4</v>
      </c>
      <c r="N170" s="129"/>
      <c r="O170" s="154">
        <v>20</v>
      </c>
      <c r="P170" s="820"/>
      <c r="Q170" s="153">
        <f>887.8+9.4+22154+83.3</f>
        <v>23134.5</v>
      </c>
      <c r="R170" s="155">
        <f>96633-1198.4</f>
        <v>95434.6</v>
      </c>
      <c r="S170" s="154">
        <f t="shared" si="42"/>
        <v>1202572.3</v>
      </c>
    </row>
    <row r="171" spans="1:19" s="243" customFormat="1">
      <c r="A171" s="113" t="s">
        <v>62</v>
      </c>
      <c r="B171" s="153">
        <f>1198.4+199629.2</f>
        <v>200827.6</v>
      </c>
      <c r="C171" s="141">
        <v>141652.79999999999</v>
      </c>
      <c r="D171" s="130"/>
      <c r="E171" s="128"/>
      <c r="F171" s="819"/>
      <c r="G171" s="130"/>
      <c r="H171" s="129"/>
      <c r="I171" s="130"/>
      <c r="J171" s="154">
        <v>66878.5</v>
      </c>
      <c r="K171" s="155">
        <v>540282.30000000005</v>
      </c>
      <c r="L171" s="154">
        <f t="shared" si="41"/>
        <v>748813.60000000009</v>
      </c>
      <c r="M171" s="130">
        <v>70737.5</v>
      </c>
      <c r="N171" s="129"/>
      <c r="O171" s="154">
        <v>20</v>
      </c>
      <c r="P171" s="820"/>
      <c r="Q171" s="153">
        <f>887.8+9.4+22518.5+83.3</f>
        <v>23499</v>
      </c>
      <c r="R171" s="155">
        <f>99923.4-1198.4</f>
        <v>98725</v>
      </c>
      <c r="S171" s="154">
        <f t="shared" si="42"/>
        <v>1142622.7000000002</v>
      </c>
    </row>
    <row r="172" spans="1:19" s="243" customFormat="1">
      <c r="A172" s="113" t="s">
        <v>614</v>
      </c>
      <c r="B172" s="153">
        <f>1198.4+177070.1</f>
        <v>178268.5</v>
      </c>
      <c r="C172" s="141">
        <v>126976.7</v>
      </c>
      <c r="D172" s="130"/>
      <c r="E172" s="128"/>
      <c r="F172" s="819"/>
      <c r="G172" s="130"/>
      <c r="H172" s="129"/>
      <c r="I172" s="130"/>
      <c r="J172" s="154">
        <v>65485.2</v>
      </c>
      <c r="K172" s="155">
        <v>539642.4</v>
      </c>
      <c r="L172" s="154">
        <f t="shared" si="41"/>
        <v>732104.3</v>
      </c>
      <c r="M172" s="130">
        <v>112898.5</v>
      </c>
      <c r="N172" s="129"/>
      <c r="O172" s="154">
        <v>20</v>
      </c>
      <c r="P172" s="820"/>
      <c r="Q172" s="153">
        <f>887.8+9.4+23662.3+83.3</f>
        <v>24642.799999999999</v>
      </c>
      <c r="R172" s="155">
        <f>108390-1198.4</f>
        <v>107191.6</v>
      </c>
      <c r="S172" s="154">
        <f t="shared" si="42"/>
        <v>1155125.7000000002</v>
      </c>
    </row>
    <row r="173" spans="1:19" s="243" customFormat="1">
      <c r="A173" s="113" t="s">
        <v>620</v>
      </c>
      <c r="B173" s="153">
        <f>1198.4+200673.4</f>
        <v>201871.8</v>
      </c>
      <c r="C173" s="141">
        <v>129280.9</v>
      </c>
      <c r="D173" s="130"/>
      <c r="E173" s="128"/>
      <c r="F173" s="819"/>
      <c r="G173" s="130"/>
      <c r="H173" s="129"/>
      <c r="I173" s="130"/>
      <c r="J173" s="154">
        <v>62698.6</v>
      </c>
      <c r="K173" s="155">
        <v>538362.6</v>
      </c>
      <c r="L173" s="154">
        <f t="shared" si="41"/>
        <v>730342.1</v>
      </c>
      <c r="M173" s="130">
        <v>107910</v>
      </c>
      <c r="N173" s="129"/>
      <c r="O173" s="154">
        <v>20</v>
      </c>
      <c r="P173" s="820"/>
      <c r="Q173" s="153">
        <f>23192.9+83.3+887.8+9.4</f>
        <v>24173.4</v>
      </c>
      <c r="R173" s="155">
        <f>119053.6-1198.4</f>
        <v>117855.20000000001</v>
      </c>
      <c r="S173" s="154">
        <f t="shared" si="42"/>
        <v>1182172.4999999998</v>
      </c>
    </row>
    <row r="174" spans="1:19" s="243" customFormat="1">
      <c r="A174" s="113" t="s">
        <v>63</v>
      </c>
      <c r="B174" s="153">
        <f>1198.4+197530</f>
        <v>198728.4</v>
      </c>
      <c r="C174" s="141">
        <v>112382.3</v>
      </c>
      <c r="D174" s="130"/>
      <c r="E174" s="128"/>
      <c r="F174" s="819"/>
      <c r="G174" s="130"/>
      <c r="H174" s="129"/>
      <c r="I174" s="130"/>
      <c r="J174" s="154">
        <v>62698.6</v>
      </c>
      <c r="K174" s="155">
        <v>538362.6</v>
      </c>
      <c r="L174" s="154">
        <f t="shared" si="41"/>
        <v>713443.5</v>
      </c>
      <c r="M174" s="130">
        <v>123150</v>
      </c>
      <c r="N174" s="129"/>
      <c r="O174" s="154">
        <v>20</v>
      </c>
      <c r="P174" s="820"/>
      <c r="Q174" s="153">
        <f>23325.1+83.3+887.8</f>
        <v>24296.199999999997</v>
      </c>
      <c r="R174" s="155">
        <f>134316.4-1198.4</f>
        <v>133118</v>
      </c>
      <c r="S174" s="154">
        <f t="shared" si="42"/>
        <v>1192756.1000000001</v>
      </c>
    </row>
    <row r="175" spans="1:19" s="243" customFormat="1">
      <c r="A175" s="113" t="s">
        <v>632</v>
      </c>
      <c r="B175" s="153">
        <f>1198.4+211323.9</f>
        <v>212522.3</v>
      </c>
      <c r="C175" s="141">
        <v>144881.70000000001</v>
      </c>
      <c r="D175" s="130"/>
      <c r="E175" s="128"/>
      <c r="F175" s="819"/>
      <c r="G175" s="130"/>
      <c r="H175" s="129"/>
      <c r="I175" s="130"/>
      <c r="J175" s="154">
        <v>59912</v>
      </c>
      <c r="K175" s="155">
        <v>537082.9</v>
      </c>
      <c r="L175" s="154">
        <f t="shared" si="41"/>
        <v>741876.60000000009</v>
      </c>
      <c r="M175" s="130">
        <v>118810</v>
      </c>
      <c r="N175" s="129"/>
      <c r="O175" s="154">
        <v>20</v>
      </c>
      <c r="P175" s="820"/>
      <c r="Q175" s="153">
        <f>22927.7+83.3+887.8</f>
        <v>23898.799999999999</v>
      </c>
      <c r="R175" s="155">
        <f>115155.9-1198.4</f>
        <v>113957.5</v>
      </c>
      <c r="S175" s="154">
        <f t="shared" si="42"/>
        <v>1211085.2000000002</v>
      </c>
    </row>
    <row r="176" spans="1:19" s="243" customFormat="1">
      <c r="A176" s="113" t="s">
        <v>653</v>
      </c>
      <c r="B176" s="153">
        <f>190122.7+1198.4</f>
        <v>191321.1</v>
      </c>
      <c r="C176" s="141">
        <v>150659</v>
      </c>
      <c r="D176" s="130"/>
      <c r="E176" s="128"/>
      <c r="F176" s="819"/>
      <c r="G176" s="130"/>
      <c r="H176" s="129"/>
      <c r="I176" s="130"/>
      <c r="J176" s="154">
        <v>59912</v>
      </c>
      <c r="K176" s="155">
        <v>536443</v>
      </c>
      <c r="L176" s="154">
        <f t="shared" si="41"/>
        <v>747014</v>
      </c>
      <c r="M176" s="130">
        <v>134100</v>
      </c>
      <c r="N176" s="129"/>
      <c r="O176" s="154">
        <v>20</v>
      </c>
      <c r="P176" s="820"/>
      <c r="Q176" s="153">
        <f>22863.1+887.8+83.3</f>
        <v>23834.199999999997</v>
      </c>
      <c r="R176" s="155">
        <f>130086.6-1198.4</f>
        <v>128888.20000000001</v>
      </c>
      <c r="S176" s="154">
        <f t="shared" si="42"/>
        <v>1225177.5</v>
      </c>
    </row>
    <row r="177" spans="1:19" s="243" customFormat="1">
      <c r="A177" s="113" t="s">
        <v>64</v>
      </c>
      <c r="B177" s="153">
        <v>194000.2</v>
      </c>
      <c r="C177" s="141">
        <v>194279.4</v>
      </c>
      <c r="D177" s="130"/>
      <c r="E177" s="128"/>
      <c r="F177" s="819"/>
      <c r="G177" s="130"/>
      <c r="H177" s="129"/>
      <c r="I177" s="130"/>
      <c r="J177" s="154">
        <v>57125.4</v>
      </c>
      <c r="K177" s="155">
        <v>535803.19999999995</v>
      </c>
      <c r="L177" s="154">
        <f t="shared" si="41"/>
        <v>787208</v>
      </c>
      <c r="M177" s="130">
        <v>159990</v>
      </c>
      <c r="N177" s="129"/>
      <c r="O177" s="154">
        <v>20</v>
      </c>
      <c r="P177" s="820"/>
      <c r="Q177" s="153">
        <f>887.8+22686.1+83.3</f>
        <v>23657.199999999997</v>
      </c>
      <c r="R177" s="155">
        <f>110090.6-1198.4</f>
        <v>108892.20000000001</v>
      </c>
      <c r="S177" s="154">
        <f t="shared" si="42"/>
        <v>1273767.5999999999</v>
      </c>
    </row>
    <row r="178" spans="1:19" s="243" customFormat="1">
      <c r="A178" s="113"/>
      <c r="B178" s="153"/>
      <c r="C178" s="141"/>
      <c r="D178" s="130"/>
      <c r="E178" s="128"/>
      <c r="F178" s="819"/>
      <c r="G178" s="130"/>
      <c r="H178" s="129"/>
      <c r="I178" s="130"/>
      <c r="J178" s="154"/>
      <c r="K178" s="155"/>
      <c r="L178" s="154"/>
      <c r="M178" s="130"/>
      <c r="N178" s="129"/>
      <c r="O178" s="154"/>
      <c r="P178" s="820"/>
      <c r="Q178" s="153"/>
      <c r="R178" s="155"/>
      <c r="S178" s="154"/>
    </row>
    <row r="179" spans="1:19" s="243" customFormat="1" ht="12" customHeight="1">
      <c r="A179" s="594" t="s">
        <v>671</v>
      </c>
      <c r="B179" s="153">
        <v>175547.2</v>
      </c>
      <c r="C179" s="141">
        <v>154611.4</v>
      </c>
      <c r="D179" s="130"/>
      <c r="E179" s="128"/>
      <c r="F179" s="819"/>
      <c r="G179" s="130"/>
      <c r="H179" s="129"/>
      <c r="I179" s="130"/>
      <c r="J179" s="154">
        <v>55732.1</v>
      </c>
      <c r="K179" s="155">
        <v>535163.30000000005</v>
      </c>
      <c r="L179" s="154">
        <f t="shared" si="41"/>
        <v>745506.8</v>
      </c>
      <c r="M179" s="130">
        <v>174680</v>
      </c>
      <c r="N179" s="129"/>
      <c r="O179" s="154">
        <v>20</v>
      </c>
      <c r="P179" s="820"/>
      <c r="Q179" s="153">
        <v>24085.899999999998</v>
      </c>
      <c r="R179" s="155">
        <f>153479-1198.4</f>
        <v>152280.6</v>
      </c>
      <c r="S179" s="154">
        <f t="shared" si="42"/>
        <v>1272120.5</v>
      </c>
    </row>
    <row r="180" spans="1:19" s="243" customFormat="1" ht="12" customHeight="1">
      <c r="A180" s="594" t="s">
        <v>37</v>
      </c>
      <c r="B180" s="153">
        <v>202730.09999999998</v>
      </c>
      <c r="C180" s="141">
        <v>156799.4</v>
      </c>
      <c r="D180" s="130"/>
      <c r="E180" s="128"/>
      <c r="F180" s="819"/>
      <c r="G180" s="130"/>
      <c r="H180" s="129"/>
      <c r="I180" s="130"/>
      <c r="J180" s="154">
        <v>54338.8</v>
      </c>
      <c r="K180" s="155">
        <v>534523.4</v>
      </c>
      <c r="L180" s="154">
        <f t="shared" si="41"/>
        <v>745661.60000000009</v>
      </c>
      <c r="M180" s="130">
        <v>172670</v>
      </c>
      <c r="N180" s="129"/>
      <c r="O180" s="154">
        <v>20</v>
      </c>
      <c r="P180" s="820"/>
      <c r="Q180" s="153">
        <v>23854.7</v>
      </c>
      <c r="R180" s="155">
        <f>127310.3-1198.4</f>
        <v>126111.90000000001</v>
      </c>
      <c r="S180" s="154">
        <f t="shared" si="42"/>
        <v>1271048.3</v>
      </c>
    </row>
    <row r="181" spans="1:19" s="243" customFormat="1" ht="12" customHeight="1">
      <c r="A181" s="594" t="s">
        <v>38</v>
      </c>
      <c r="B181" s="153">
        <v>153639.19999999998</v>
      </c>
      <c r="C181" s="141">
        <v>151279.20000000001</v>
      </c>
      <c r="D181" s="130"/>
      <c r="E181" s="128"/>
      <c r="F181" s="819"/>
      <c r="G181" s="130"/>
      <c r="H181" s="129"/>
      <c r="I181" s="130"/>
      <c r="J181" s="154">
        <v>52945.5</v>
      </c>
      <c r="K181" s="155">
        <v>533314.30000000005</v>
      </c>
      <c r="L181" s="154">
        <f t="shared" si="41"/>
        <v>737539</v>
      </c>
      <c r="M181" s="130">
        <v>185103.2</v>
      </c>
      <c r="N181" s="129"/>
      <c r="O181" s="154">
        <v>20</v>
      </c>
      <c r="P181" s="820"/>
      <c r="Q181" s="153">
        <v>24049.3</v>
      </c>
      <c r="R181" s="155">
        <f>135340.2-1198.4</f>
        <v>134141.80000000002</v>
      </c>
      <c r="S181" s="154">
        <f t="shared" si="42"/>
        <v>1234492.5</v>
      </c>
    </row>
    <row r="182" spans="1:19" s="243" customFormat="1" ht="12" customHeight="1">
      <c r="A182" s="594" t="s">
        <v>602</v>
      </c>
      <c r="B182" s="153">
        <v>178118.5</v>
      </c>
      <c r="C182" s="141">
        <v>130576.4</v>
      </c>
      <c r="D182" s="130"/>
      <c r="E182" s="128"/>
      <c r="F182" s="819"/>
      <c r="G182" s="130"/>
      <c r="H182" s="129"/>
      <c r="I182" s="130"/>
      <c r="J182" s="154">
        <v>52945.5</v>
      </c>
      <c r="K182" s="155">
        <v>532175.80000000005</v>
      </c>
      <c r="L182" s="154">
        <f t="shared" si="41"/>
        <v>715697.70000000007</v>
      </c>
      <c r="M182" s="130">
        <v>242832.2</v>
      </c>
      <c r="N182" s="129"/>
      <c r="O182" s="154">
        <v>20</v>
      </c>
      <c r="P182" s="820"/>
      <c r="Q182" s="153">
        <v>24199.699999999997</v>
      </c>
      <c r="R182" s="155">
        <f>139962.4-1198.4</f>
        <v>138764</v>
      </c>
      <c r="S182" s="154">
        <f t="shared" si="42"/>
        <v>1299632.1000000001</v>
      </c>
    </row>
    <row r="183" spans="1:19" s="243" customFormat="1" ht="12" customHeight="1">
      <c r="A183" s="594" t="s">
        <v>606</v>
      </c>
      <c r="B183" s="153">
        <v>153037.79999999999</v>
      </c>
      <c r="C183" s="141">
        <v>134896.70000000001</v>
      </c>
      <c r="D183" s="130"/>
      <c r="E183" s="128"/>
      <c r="F183" s="819"/>
      <c r="G183" s="130"/>
      <c r="H183" s="129"/>
      <c r="I183" s="130"/>
      <c r="J183" s="154">
        <v>50158.9</v>
      </c>
      <c r="K183" s="155">
        <v>529757.5</v>
      </c>
      <c r="L183" s="154">
        <f t="shared" si="41"/>
        <v>714813.1</v>
      </c>
      <c r="M183" s="130">
        <v>240220</v>
      </c>
      <c r="N183" s="129"/>
      <c r="O183" s="154">
        <v>20</v>
      </c>
      <c r="P183" s="820"/>
      <c r="Q183" s="153">
        <v>24677.9</v>
      </c>
      <c r="R183" s="155">
        <f>145369.6-1198.4</f>
        <v>144171.20000000001</v>
      </c>
      <c r="S183" s="154">
        <f t="shared" si="42"/>
        <v>1276939.9999999998</v>
      </c>
    </row>
    <row r="184" spans="1:19" s="243" customFormat="1" ht="12" customHeight="1">
      <c r="A184" s="594" t="s">
        <v>62</v>
      </c>
      <c r="B184" s="153">
        <v>153564.80000000002</v>
      </c>
      <c r="C184" s="141">
        <v>201181.6</v>
      </c>
      <c r="D184" s="130"/>
      <c r="E184" s="128"/>
      <c r="F184" s="819"/>
      <c r="G184" s="130"/>
      <c r="H184" s="129"/>
      <c r="I184" s="130"/>
      <c r="J184" s="154">
        <v>50158.9</v>
      </c>
      <c r="K184" s="155">
        <v>529117.6</v>
      </c>
      <c r="L184" s="154">
        <f t="shared" si="41"/>
        <v>780458.1</v>
      </c>
      <c r="M184" s="130">
        <v>283075.3</v>
      </c>
      <c r="N184" s="129"/>
      <c r="O184" s="154">
        <v>20</v>
      </c>
      <c r="P184" s="820"/>
      <c r="Q184" s="153">
        <v>24856.5</v>
      </c>
      <c r="R184" s="155">
        <f>150060.9-1198.4</f>
        <v>148862.5</v>
      </c>
      <c r="S184" s="154">
        <f t="shared" si="42"/>
        <v>1390837.2</v>
      </c>
    </row>
    <row r="185" spans="1:19" s="243" customFormat="1" ht="12" customHeight="1">
      <c r="A185" s="594" t="s">
        <v>614</v>
      </c>
      <c r="B185" s="153">
        <v>142774.20000000001</v>
      </c>
      <c r="C185" s="141">
        <v>162239</v>
      </c>
      <c r="D185" s="130"/>
      <c r="E185" s="128"/>
      <c r="F185" s="819"/>
      <c r="G185" s="130"/>
      <c r="H185" s="129"/>
      <c r="I185" s="130"/>
      <c r="J185" s="154">
        <v>48765.599999999999</v>
      </c>
      <c r="K185" s="155">
        <v>528548.4</v>
      </c>
      <c r="L185" s="154">
        <f t="shared" si="41"/>
        <v>739553</v>
      </c>
      <c r="M185" s="130">
        <v>290770</v>
      </c>
      <c r="N185" s="129"/>
      <c r="O185" s="154">
        <v>20</v>
      </c>
      <c r="P185" s="820"/>
      <c r="Q185" s="153">
        <v>24946.1</v>
      </c>
      <c r="R185" s="155">
        <f>151793.2-1198.4</f>
        <v>150594.80000000002</v>
      </c>
      <c r="S185" s="154">
        <f t="shared" si="42"/>
        <v>1348658.1</v>
      </c>
    </row>
    <row r="186" spans="1:19" s="243" customFormat="1">
      <c r="A186" s="113"/>
      <c r="B186" s="153"/>
      <c r="C186" s="141"/>
      <c r="D186" s="130"/>
      <c r="E186" s="128"/>
      <c r="F186" s="819"/>
      <c r="G186" s="130"/>
      <c r="H186" s="129"/>
      <c r="I186" s="130"/>
      <c r="J186" s="154"/>
      <c r="K186" s="155"/>
      <c r="L186" s="154"/>
      <c r="M186" s="130"/>
      <c r="N186" s="129"/>
      <c r="O186" s="154"/>
      <c r="P186" s="820"/>
      <c r="Q186" s="153"/>
      <c r="R186" s="155"/>
      <c r="S186" s="154"/>
    </row>
    <row r="187" spans="1:19" s="243" customFormat="1">
      <c r="A187" s="900"/>
      <c r="B187" s="860"/>
      <c r="C187" s="901"/>
      <c r="D187" s="860"/>
      <c r="E187" s="901"/>
      <c r="F187" s="902"/>
      <c r="G187" s="860"/>
      <c r="H187" s="157"/>
      <c r="I187" s="901"/>
      <c r="J187" s="901"/>
      <c r="K187" s="901"/>
      <c r="L187" s="860"/>
      <c r="M187" s="860"/>
      <c r="N187" s="860"/>
      <c r="O187" s="860"/>
      <c r="P187" s="861"/>
      <c r="Q187" s="860"/>
      <c r="R187" s="860"/>
      <c r="S187" s="862"/>
    </row>
    <row r="188" spans="1:19">
      <c r="A188" s="903" t="s">
        <v>90</v>
      </c>
      <c r="B188" s="592"/>
      <c r="C188" s="904"/>
      <c r="D188" s="592"/>
      <c r="E188" s="592"/>
      <c r="F188" s="592"/>
      <c r="G188" s="592"/>
      <c r="H188" s="884"/>
      <c r="I188" s="592"/>
      <c r="J188" s="592"/>
      <c r="K188" s="592"/>
      <c r="L188" s="592"/>
      <c r="M188" s="592"/>
      <c r="N188" s="592"/>
      <c r="O188" s="592"/>
      <c r="P188" s="905"/>
      <c r="Q188" s="592"/>
      <c r="R188" s="592"/>
      <c r="S188" s="906"/>
    </row>
    <row r="189" spans="1:19">
      <c r="C189" s="907"/>
    </row>
    <row r="190" spans="1:19">
      <c r="C190" s="907"/>
    </row>
    <row r="191" spans="1:19">
      <c r="C191" s="907"/>
      <c r="S191" s="910"/>
    </row>
    <row r="192" spans="1:19">
      <c r="C192" s="907"/>
    </row>
    <row r="193" spans="3:3">
      <c r="C193" s="907"/>
    </row>
    <row r="194" spans="3:3">
      <c r="C194" s="907"/>
    </row>
    <row r="195" spans="3:3">
      <c r="C195" s="907"/>
    </row>
    <row r="196" spans="3:3">
      <c r="C196" s="907"/>
    </row>
    <row r="197" spans="3:3">
      <c r="C197" s="907"/>
    </row>
    <row r="198" spans="3:3">
      <c r="C198" s="907"/>
    </row>
    <row r="199" spans="3:3">
      <c r="C199" s="907"/>
    </row>
    <row r="200" spans="3:3">
      <c r="C200" s="907"/>
    </row>
    <row r="201" spans="3:3">
      <c r="C201" s="907"/>
    </row>
    <row r="202" spans="3:3">
      <c r="C202" s="907"/>
    </row>
    <row r="203" spans="3:3">
      <c r="C203" s="907"/>
    </row>
    <row r="204" spans="3:3">
      <c r="C204" s="907"/>
    </row>
    <row r="205" spans="3:3">
      <c r="C205" s="907"/>
    </row>
    <row r="206" spans="3:3">
      <c r="C206" s="907"/>
    </row>
    <row r="207" spans="3:3">
      <c r="C207" s="907"/>
    </row>
    <row r="208" spans="3:3">
      <c r="C208" s="907"/>
    </row>
    <row r="209" spans="3:3">
      <c r="C209" s="907"/>
    </row>
    <row r="210" spans="3:3">
      <c r="C210" s="907"/>
    </row>
    <row r="211" spans="3:3">
      <c r="C211" s="907"/>
    </row>
    <row r="212" spans="3:3">
      <c r="C212" s="907"/>
    </row>
    <row r="213" spans="3:3">
      <c r="C213" s="907"/>
    </row>
    <row r="214" spans="3:3">
      <c r="C214" s="907"/>
    </row>
    <row r="215" spans="3:3">
      <c r="C215" s="907"/>
    </row>
    <row r="216" spans="3:3">
      <c r="C216" s="907"/>
    </row>
    <row r="217" spans="3:3">
      <c r="C217" s="907"/>
    </row>
    <row r="218" spans="3:3">
      <c r="C218" s="907"/>
    </row>
    <row r="219" spans="3:3">
      <c r="C219" s="907"/>
    </row>
    <row r="220" spans="3:3">
      <c r="C220" s="907"/>
    </row>
    <row r="221" spans="3:3">
      <c r="C221" s="907"/>
    </row>
    <row r="222" spans="3:3">
      <c r="C222" s="907"/>
    </row>
    <row r="223" spans="3:3">
      <c r="C223" s="907"/>
    </row>
    <row r="224" spans="3:3">
      <c r="C224" s="907"/>
    </row>
  </sheetData>
  <mergeCells count="3">
    <mergeCell ref="A3:S3"/>
    <mergeCell ref="A4:S4"/>
    <mergeCell ref="C8:L8"/>
  </mergeCells>
  <pageMargins left="2.4803149606299213" right="0.70866141732283472" top="0.74803149606299213" bottom="0.74803149606299213" header="0.31496062992125984" footer="0.31496062992125984"/>
  <pageSetup paperSize="9" scale="49" orientation="landscape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showGridLines="0" view="pageBreakPreview" topLeftCell="A154" zoomScale="90" zoomScaleNormal="100" zoomScaleSheetLayoutView="90" workbookViewId="0">
      <selection activeCell="A177" sqref="A177:XFD177"/>
    </sheetView>
  </sheetViews>
  <sheetFormatPr defaultColWidth="11.5546875" defaultRowHeight="12.75"/>
  <cols>
    <col min="1" max="1" width="20" style="1051" customWidth="1"/>
    <col min="2" max="2" width="9.77734375" style="1074" bestFit="1" customWidth="1"/>
    <col min="3" max="3" width="14.5546875" style="1074" bestFit="1" customWidth="1"/>
    <col min="4" max="4" width="9.88671875" style="1074" bestFit="1" customWidth="1"/>
    <col min="5" max="5" width="8.44140625" style="1074" bestFit="1" customWidth="1"/>
    <col min="6" max="6" width="13.6640625" style="1074" bestFit="1" customWidth="1"/>
    <col min="7" max="7" width="12.5546875" style="1074" bestFit="1" customWidth="1"/>
    <col min="8" max="8" width="7.5546875" style="1074" bestFit="1" customWidth="1"/>
    <col min="9" max="9" width="8.77734375" style="1074" bestFit="1" customWidth="1"/>
    <col min="10" max="11" width="8.44140625" style="1074" bestFit="1" customWidth="1"/>
    <col min="12" max="12" width="11.6640625" style="1074" bestFit="1" customWidth="1"/>
    <col min="13" max="13" width="13.77734375" style="1074" customWidth="1"/>
    <col min="14" max="14" width="11.6640625" style="1074" bestFit="1" customWidth="1"/>
    <col min="15" max="16" width="7.109375" style="1074" customWidth="1"/>
    <col min="17" max="16384" width="11.5546875" style="1051"/>
  </cols>
  <sheetData>
    <row r="1" spans="1:16">
      <c r="A1" s="935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1062"/>
    </row>
    <row r="2" spans="1:16">
      <c r="A2" s="641"/>
      <c r="B2" s="1254" t="s">
        <v>507</v>
      </c>
      <c r="C2" s="1254"/>
      <c r="D2" s="1254"/>
      <c r="E2" s="1254"/>
      <c r="F2" s="1254"/>
      <c r="G2" s="1254"/>
      <c r="H2" s="1254"/>
      <c r="I2" s="1254"/>
      <c r="J2" s="1254"/>
      <c r="K2" s="938" t="s">
        <v>503</v>
      </c>
    </row>
    <row r="3" spans="1:16" ht="15.75" customHeight="1">
      <c r="A3" s="642"/>
      <c r="B3" s="1255" t="s">
        <v>113</v>
      </c>
      <c r="C3" s="1255"/>
      <c r="D3" s="1255"/>
      <c r="E3" s="1255"/>
      <c r="F3" s="1255"/>
      <c r="G3" s="1255"/>
      <c r="H3" s="1255"/>
      <c r="I3" s="1255"/>
      <c r="J3" s="1255"/>
      <c r="K3" s="1054"/>
    </row>
    <row r="4" spans="1:16">
      <c r="A4" s="371"/>
      <c r="B4" s="643"/>
      <c r="C4" s="643"/>
      <c r="D4" s="643"/>
      <c r="E4" s="643"/>
      <c r="F4" s="643"/>
      <c r="G4" s="643"/>
      <c r="H4" s="643"/>
      <c r="I4" s="643"/>
      <c r="J4" s="643"/>
      <c r="K4" s="644"/>
    </row>
    <row r="5" spans="1:16" ht="18.75" customHeight="1">
      <c r="A5" s="645" t="s">
        <v>12</v>
      </c>
      <c r="B5" s="646" t="s">
        <v>497</v>
      </c>
      <c r="C5" s="647" t="s">
        <v>344</v>
      </c>
      <c r="D5" s="646" t="s">
        <v>508</v>
      </c>
      <c r="E5" s="647" t="s">
        <v>509</v>
      </c>
      <c r="F5" s="646" t="s">
        <v>510</v>
      </c>
      <c r="G5" s="647" t="s">
        <v>504</v>
      </c>
      <c r="H5" s="646" t="s">
        <v>511</v>
      </c>
      <c r="I5" s="646" t="s">
        <v>512</v>
      </c>
      <c r="J5" s="648" t="s">
        <v>111</v>
      </c>
      <c r="K5" s="649" t="s">
        <v>505</v>
      </c>
    </row>
    <row r="6" spans="1:16" ht="18.75" customHeight="1">
      <c r="A6" s="650" t="s">
        <v>34</v>
      </c>
      <c r="B6" s="651"/>
      <c r="C6" s="652" t="s">
        <v>506</v>
      </c>
      <c r="D6" s="651"/>
      <c r="E6" s="652"/>
      <c r="F6" s="651" t="s">
        <v>513</v>
      </c>
      <c r="G6" s="652"/>
      <c r="H6" s="651"/>
      <c r="I6" s="651"/>
      <c r="J6" s="653"/>
      <c r="K6" s="654"/>
    </row>
    <row r="7" spans="1:16">
      <c r="A7" s="327"/>
      <c r="B7" s="655"/>
      <c r="C7" s="656"/>
      <c r="D7" s="655"/>
      <c r="E7" s="656"/>
      <c r="F7" s="655"/>
      <c r="G7" s="656"/>
      <c r="H7" s="655"/>
      <c r="I7" s="655"/>
      <c r="J7" s="657"/>
      <c r="K7" s="480"/>
    </row>
    <row r="8" spans="1:16" s="145" customFormat="1" hidden="1">
      <c r="A8" s="462">
        <v>2009</v>
      </c>
      <c r="B8" s="1136">
        <v>28132</v>
      </c>
      <c r="C8" s="1137">
        <v>2356</v>
      </c>
      <c r="D8" s="1136">
        <v>20850</v>
      </c>
      <c r="E8" s="1137">
        <v>178108</v>
      </c>
      <c r="F8" s="1136">
        <v>3762.3</v>
      </c>
      <c r="G8" s="1137">
        <v>3607.4</v>
      </c>
      <c r="H8" s="1136">
        <v>2.7</v>
      </c>
      <c r="I8" s="1136">
        <v>2769.5</v>
      </c>
      <c r="J8" s="1138">
        <v>94766.7</v>
      </c>
      <c r="K8" s="1138">
        <v>334354.59999999998</v>
      </c>
      <c r="L8" s="302"/>
      <c r="M8" s="302"/>
      <c r="N8" s="302"/>
      <c r="O8" s="302"/>
      <c r="P8" s="302"/>
    </row>
    <row r="9" spans="1:16" s="145" customFormat="1" hidden="1">
      <c r="A9" s="462">
        <v>2010</v>
      </c>
      <c r="B9" s="1136">
        <v>38356.800000000003</v>
      </c>
      <c r="C9" s="1137">
        <v>2920.9</v>
      </c>
      <c r="D9" s="1136">
        <v>19650.599999999999</v>
      </c>
      <c r="E9" s="1137">
        <v>230209.1</v>
      </c>
      <c r="F9" s="1136">
        <v>6985.2</v>
      </c>
      <c r="G9" s="1137">
        <v>2554.8000000000002</v>
      </c>
      <c r="H9" s="1136">
        <v>2.7</v>
      </c>
      <c r="I9" s="1136">
        <v>11102.2</v>
      </c>
      <c r="J9" s="1138">
        <v>121456.1</v>
      </c>
      <c r="K9" s="1138">
        <v>433238.4</v>
      </c>
      <c r="L9" s="349"/>
      <c r="M9" s="220"/>
      <c r="N9" s="302"/>
      <c r="O9" s="302"/>
      <c r="P9" s="302"/>
    </row>
    <row r="10" spans="1:16" s="145" customFormat="1" hidden="1">
      <c r="A10" s="462">
        <v>2011</v>
      </c>
      <c r="B10" s="1136">
        <v>47956</v>
      </c>
      <c r="C10" s="1137">
        <v>2321.8000000000002</v>
      </c>
      <c r="D10" s="1136">
        <v>23974.1</v>
      </c>
      <c r="E10" s="1137">
        <v>322362.2</v>
      </c>
      <c r="F10" s="1136">
        <v>11349.1</v>
      </c>
      <c r="G10" s="1137">
        <v>1999.1</v>
      </c>
      <c r="H10" s="1136">
        <v>2.7</v>
      </c>
      <c r="I10" s="1136">
        <v>14769.5</v>
      </c>
      <c r="J10" s="1138">
        <v>150570.1</v>
      </c>
      <c r="K10" s="1138">
        <v>575304.6</v>
      </c>
      <c r="L10" s="349"/>
      <c r="M10" s="220"/>
      <c r="N10" s="302"/>
      <c r="O10" s="302"/>
      <c r="P10" s="302"/>
    </row>
    <row r="11" spans="1:16" s="145" customFormat="1" hidden="1">
      <c r="A11" s="458" t="s">
        <v>10</v>
      </c>
      <c r="B11" s="1136">
        <v>52420</v>
      </c>
      <c r="C11" s="1137">
        <v>2288</v>
      </c>
      <c r="D11" s="1136">
        <v>32871.4</v>
      </c>
      <c r="E11" s="1137">
        <v>361388.1</v>
      </c>
      <c r="F11" s="1136">
        <v>20206.7</v>
      </c>
      <c r="G11" s="1137">
        <v>2416.1</v>
      </c>
      <c r="H11" s="1136">
        <v>2.7</v>
      </c>
      <c r="I11" s="1136">
        <v>10386.6</v>
      </c>
      <c r="J11" s="1138">
        <v>169781.09999999998</v>
      </c>
      <c r="K11" s="1138">
        <v>651760.69999999995</v>
      </c>
      <c r="L11" s="349"/>
      <c r="M11" s="220"/>
      <c r="N11" s="302"/>
      <c r="O11" s="302"/>
      <c r="P11" s="302"/>
    </row>
    <row r="12" spans="1:16" s="145" customFormat="1">
      <c r="A12" s="458" t="s">
        <v>11</v>
      </c>
      <c r="B12" s="1136">
        <v>47944.1</v>
      </c>
      <c r="C12" s="1137">
        <v>3995.1</v>
      </c>
      <c r="D12" s="1136">
        <v>42262.7</v>
      </c>
      <c r="E12" s="1137">
        <v>364183.3</v>
      </c>
      <c r="F12" s="1136">
        <v>25710.400000000001</v>
      </c>
      <c r="G12" s="1137">
        <v>2888</v>
      </c>
      <c r="H12" s="1136" t="s">
        <v>88</v>
      </c>
      <c r="I12" s="1136">
        <v>6959.1</v>
      </c>
      <c r="J12" s="1138">
        <v>206356.8</v>
      </c>
      <c r="K12" s="1138">
        <v>700299.5</v>
      </c>
      <c r="L12" s="349"/>
      <c r="M12" s="220"/>
      <c r="N12" s="302"/>
      <c r="O12" s="302"/>
      <c r="P12" s="302"/>
    </row>
    <row r="13" spans="1:16" s="145" customFormat="1">
      <c r="A13" s="458" t="s">
        <v>13</v>
      </c>
      <c r="B13" s="1136">
        <v>71856.2</v>
      </c>
      <c r="C13" s="1137">
        <v>8211.1</v>
      </c>
      <c r="D13" s="1136">
        <v>58262.9</v>
      </c>
      <c r="E13" s="1137">
        <v>361452.6</v>
      </c>
      <c r="F13" s="1136">
        <v>20276.5</v>
      </c>
      <c r="G13" s="1137">
        <v>4398.7</v>
      </c>
      <c r="H13" s="1136">
        <v>576.20000000000005</v>
      </c>
      <c r="I13" s="1136">
        <v>2209.1999999999998</v>
      </c>
      <c r="J13" s="1138">
        <v>291304.39999999997</v>
      </c>
      <c r="K13" s="1138">
        <v>818547.79999999981</v>
      </c>
      <c r="L13" s="349"/>
      <c r="M13" s="220"/>
      <c r="N13" s="302"/>
      <c r="O13" s="302"/>
      <c r="P13" s="302"/>
    </row>
    <row r="14" spans="1:16" s="145" customFormat="1">
      <c r="A14" s="458" t="s">
        <v>14</v>
      </c>
      <c r="B14" s="1136">
        <v>78983.899999999994</v>
      </c>
      <c r="C14" s="1137">
        <v>37388.1</v>
      </c>
      <c r="D14" s="1136">
        <v>119717.9</v>
      </c>
      <c r="E14" s="1137">
        <v>236010.9</v>
      </c>
      <c r="F14" s="1136">
        <v>57906.7</v>
      </c>
      <c r="G14" s="1137">
        <v>24451.7</v>
      </c>
      <c r="H14" s="1136">
        <v>698.4</v>
      </c>
      <c r="I14" s="1136">
        <v>20693</v>
      </c>
      <c r="J14" s="1138">
        <v>225248.8</v>
      </c>
      <c r="K14" s="1138">
        <v>801099.39999999991</v>
      </c>
      <c r="L14" s="302"/>
      <c r="M14" s="302"/>
      <c r="N14" s="302"/>
      <c r="O14" s="302"/>
      <c r="P14" s="302"/>
    </row>
    <row r="15" spans="1:16" s="145" customFormat="1">
      <c r="A15" s="458" t="s">
        <v>15</v>
      </c>
      <c r="B15" s="1136">
        <v>92849.1</v>
      </c>
      <c r="C15" s="1136">
        <v>31920.9</v>
      </c>
      <c r="D15" s="1136">
        <v>93114.2</v>
      </c>
      <c r="E15" s="1136">
        <v>239834.2</v>
      </c>
      <c r="F15" s="1136">
        <v>58131</v>
      </c>
      <c r="G15" s="1136">
        <v>25379.8</v>
      </c>
      <c r="H15" s="1136">
        <v>510.6</v>
      </c>
      <c r="I15" s="1136">
        <v>8714.2000000000007</v>
      </c>
      <c r="J15" s="1136">
        <v>261323.40000000002</v>
      </c>
      <c r="K15" s="1138">
        <v>811777.4</v>
      </c>
      <c r="L15" s="302"/>
      <c r="M15" s="302"/>
      <c r="N15" s="302"/>
      <c r="O15" s="302"/>
      <c r="P15" s="302"/>
    </row>
    <row r="16" spans="1:16" s="145" customFormat="1">
      <c r="A16" s="458" t="s">
        <v>669</v>
      </c>
      <c r="B16" s="1136">
        <v>106612.4</v>
      </c>
      <c r="C16" s="1136">
        <v>28299.200000000001</v>
      </c>
      <c r="D16" s="1136">
        <v>84716.4</v>
      </c>
      <c r="E16" s="1136">
        <v>225064.2</v>
      </c>
      <c r="F16" s="1136">
        <v>47514.7</v>
      </c>
      <c r="G16" s="1136">
        <v>18013.7</v>
      </c>
      <c r="H16" s="1136">
        <v>863.6</v>
      </c>
      <c r="I16" s="1136">
        <v>14984.5</v>
      </c>
      <c r="J16" s="1136">
        <v>272131.40000000002</v>
      </c>
      <c r="K16" s="1138">
        <v>798200.1</v>
      </c>
      <c r="L16" s="302"/>
      <c r="M16" s="302"/>
      <c r="N16" s="302"/>
      <c r="O16" s="302"/>
      <c r="P16" s="302"/>
    </row>
    <row r="17" spans="1:16" s="145" customFormat="1" hidden="1">
      <c r="A17" s="458"/>
      <c r="B17" s="211"/>
      <c r="C17" s="349"/>
      <c r="D17" s="211"/>
      <c r="E17" s="349"/>
      <c r="F17" s="211"/>
      <c r="G17" s="349"/>
      <c r="H17" s="211"/>
      <c r="I17" s="211"/>
      <c r="J17" s="347"/>
      <c r="K17" s="347"/>
      <c r="L17" s="302"/>
      <c r="M17" s="302"/>
      <c r="N17" s="302"/>
      <c r="O17" s="302"/>
      <c r="P17" s="302"/>
    </row>
    <row r="18" spans="1:16" s="145" customFormat="1" hidden="1">
      <c r="A18" s="1021" t="s">
        <v>61</v>
      </c>
      <c r="B18" s="1136">
        <v>48679.6</v>
      </c>
      <c r="C18" s="1137">
        <v>4169.7</v>
      </c>
      <c r="D18" s="1136">
        <v>51636.6</v>
      </c>
      <c r="E18" s="1137">
        <v>351656</v>
      </c>
      <c r="F18" s="1136">
        <v>33061.5</v>
      </c>
      <c r="G18" s="1137">
        <v>3042.3</v>
      </c>
      <c r="H18" s="1136">
        <v>789.2</v>
      </c>
      <c r="I18" s="1136">
        <v>3429.6</v>
      </c>
      <c r="J18" s="1138">
        <v>207755.1</v>
      </c>
      <c r="K18" s="1138">
        <v>704219.6</v>
      </c>
      <c r="L18" s="302"/>
      <c r="M18" s="302"/>
      <c r="N18" s="302"/>
      <c r="O18" s="302"/>
      <c r="P18" s="302"/>
    </row>
    <row r="19" spans="1:16" s="145" customFormat="1" hidden="1">
      <c r="A19" s="1021" t="s">
        <v>62</v>
      </c>
      <c r="B19" s="1136">
        <v>50105.1</v>
      </c>
      <c r="C19" s="1137">
        <v>5474.4</v>
      </c>
      <c r="D19" s="1136">
        <v>54542.400000000001</v>
      </c>
      <c r="E19" s="1137">
        <v>350552</v>
      </c>
      <c r="F19" s="1136">
        <v>32087.4</v>
      </c>
      <c r="G19" s="1137">
        <v>2731.2</v>
      </c>
      <c r="H19" s="1136">
        <v>712.6</v>
      </c>
      <c r="I19" s="1136">
        <v>8897.7000000000007</v>
      </c>
      <c r="J19" s="1138">
        <v>229217.6</v>
      </c>
      <c r="K19" s="1138">
        <v>734320.4</v>
      </c>
      <c r="L19" s="302"/>
      <c r="M19" s="302"/>
      <c r="N19" s="302"/>
      <c r="O19" s="302"/>
      <c r="P19" s="302"/>
    </row>
    <row r="20" spans="1:16" s="145" customFormat="1" hidden="1">
      <c r="A20" s="1021" t="s">
        <v>63</v>
      </c>
      <c r="B20" s="1136">
        <v>64598.1</v>
      </c>
      <c r="C20" s="1137">
        <v>5537.9</v>
      </c>
      <c r="D20" s="1136">
        <v>58888.9</v>
      </c>
      <c r="E20" s="1137">
        <v>333194.09999999998</v>
      </c>
      <c r="F20" s="1136">
        <v>32267.4</v>
      </c>
      <c r="G20" s="1137">
        <v>4762.8999999999996</v>
      </c>
      <c r="H20" s="1136">
        <v>684.4</v>
      </c>
      <c r="I20" s="1136">
        <v>8632.2000000000007</v>
      </c>
      <c r="J20" s="1138">
        <v>242373.3</v>
      </c>
      <c r="K20" s="1138">
        <v>750939.20000000007</v>
      </c>
      <c r="L20" s="302"/>
      <c r="M20" s="302"/>
      <c r="N20" s="302"/>
      <c r="O20" s="302"/>
      <c r="P20" s="302"/>
    </row>
    <row r="21" spans="1:16" s="145" customFormat="1" hidden="1">
      <c r="A21" s="1021" t="s">
        <v>64</v>
      </c>
      <c r="B21" s="1136">
        <v>71856.2</v>
      </c>
      <c r="C21" s="1137">
        <v>8211.1</v>
      </c>
      <c r="D21" s="1136">
        <v>58262.9</v>
      </c>
      <c r="E21" s="1137">
        <v>361452.6</v>
      </c>
      <c r="F21" s="1136">
        <v>20276.5</v>
      </c>
      <c r="G21" s="1137">
        <v>4398.7</v>
      </c>
      <c r="H21" s="1136">
        <v>576.20000000000005</v>
      </c>
      <c r="I21" s="1136">
        <v>2209.1999999999998</v>
      </c>
      <c r="J21" s="1138">
        <v>291304.39999999997</v>
      </c>
      <c r="K21" s="1138">
        <v>818547.79999999981</v>
      </c>
      <c r="L21" s="302"/>
      <c r="M21" s="302"/>
      <c r="N21" s="302"/>
      <c r="O21" s="302"/>
      <c r="P21" s="302"/>
    </row>
    <row r="22" spans="1:16" s="145" customFormat="1">
      <c r="A22" s="1021"/>
      <c r="B22" s="1136"/>
      <c r="C22" s="1137"/>
      <c r="D22" s="1136"/>
      <c r="E22" s="1137"/>
      <c r="F22" s="1136"/>
      <c r="G22" s="1137"/>
      <c r="H22" s="1136"/>
      <c r="I22" s="1136"/>
      <c r="J22" s="1138"/>
      <c r="K22" s="1138"/>
      <c r="L22" s="302"/>
      <c r="M22" s="302"/>
      <c r="N22" s="302"/>
      <c r="O22" s="302"/>
      <c r="P22" s="302"/>
    </row>
    <row r="23" spans="1:16" s="145" customFormat="1">
      <c r="A23" s="1021" t="s">
        <v>53</v>
      </c>
      <c r="B23" s="1136">
        <v>54705.5</v>
      </c>
      <c r="C23" s="1137">
        <v>15163.6</v>
      </c>
      <c r="D23" s="1136">
        <v>54642.7</v>
      </c>
      <c r="E23" s="1137">
        <v>344841.8</v>
      </c>
      <c r="F23" s="1136">
        <v>32063</v>
      </c>
      <c r="G23" s="1137">
        <v>4383.1000000000004</v>
      </c>
      <c r="H23" s="1136">
        <v>780.9</v>
      </c>
      <c r="I23" s="1136">
        <v>5643.8</v>
      </c>
      <c r="J23" s="1138">
        <v>290223.89999999997</v>
      </c>
      <c r="K23" s="1138">
        <v>802448.29999999993</v>
      </c>
      <c r="L23" s="302"/>
      <c r="M23" s="302"/>
      <c r="N23" s="302"/>
      <c r="O23" s="302"/>
      <c r="P23" s="302"/>
    </row>
    <row r="24" spans="1:16" s="145" customFormat="1">
      <c r="A24" s="1021" t="s">
        <v>44</v>
      </c>
      <c r="B24" s="1136">
        <v>53782.6</v>
      </c>
      <c r="C24" s="1137">
        <v>15877</v>
      </c>
      <c r="D24" s="1136">
        <v>49627</v>
      </c>
      <c r="E24" s="1137">
        <v>345957.7</v>
      </c>
      <c r="F24" s="1136">
        <v>36420.300000000003</v>
      </c>
      <c r="G24" s="1137">
        <v>3784.5</v>
      </c>
      <c r="H24" s="1136">
        <v>894.1</v>
      </c>
      <c r="I24" s="1136">
        <v>23943.4</v>
      </c>
      <c r="J24" s="1138">
        <v>290072</v>
      </c>
      <c r="K24" s="1138">
        <v>820358.6</v>
      </c>
      <c r="L24" s="302"/>
      <c r="M24" s="302"/>
      <c r="N24" s="302"/>
      <c r="O24" s="302"/>
      <c r="P24" s="302"/>
    </row>
    <row r="25" spans="1:16" s="145" customFormat="1">
      <c r="A25" s="1021" t="s">
        <v>47</v>
      </c>
      <c r="B25" s="1136">
        <v>56708.9</v>
      </c>
      <c r="C25" s="1137">
        <v>17349.8</v>
      </c>
      <c r="D25" s="1136">
        <v>51032.3</v>
      </c>
      <c r="E25" s="1137">
        <v>341063</v>
      </c>
      <c r="F25" s="1136">
        <v>37387.4</v>
      </c>
      <c r="G25" s="1137">
        <v>4411.5</v>
      </c>
      <c r="H25" s="1136">
        <v>797.3</v>
      </c>
      <c r="I25" s="1136">
        <v>28488.799999999999</v>
      </c>
      <c r="J25" s="1138">
        <v>287657.8</v>
      </c>
      <c r="K25" s="1138">
        <v>824896.8</v>
      </c>
      <c r="L25" s="302"/>
      <c r="M25" s="302"/>
      <c r="N25" s="302"/>
      <c r="O25" s="302"/>
      <c r="P25" s="302"/>
    </row>
    <row r="26" spans="1:16" s="145" customFormat="1">
      <c r="A26" s="1021" t="s">
        <v>50</v>
      </c>
      <c r="B26" s="1136">
        <v>78983.899999999994</v>
      </c>
      <c r="C26" s="1137">
        <v>37388.1</v>
      </c>
      <c r="D26" s="1136">
        <v>119717.9</v>
      </c>
      <c r="E26" s="1137">
        <v>236010.9</v>
      </c>
      <c r="F26" s="1136">
        <v>57906.7</v>
      </c>
      <c r="G26" s="1137">
        <v>24451.7</v>
      </c>
      <c r="H26" s="1136">
        <v>698.4</v>
      </c>
      <c r="I26" s="1136">
        <v>20693</v>
      </c>
      <c r="J26" s="1138">
        <v>225248.8</v>
      </c>
      <c r="K26" s="1138">
        <v>801099.39999999991</v>
      </c>
      <c r="L26" s="302"/>
      <c r="M26" s="302"/>
      <c r="N26" s="302"/>
      <c r="O26" s="302"/>
      <c r="P26" s="302"/>
    </row>
    <row r="27" spans="1:16" s="145" customFormat="1">
      <c r="A27" s="1021"/>
      <c r="B27" s="1136"/>
      <c r="C27" s="1137"/>
      <c r="D27" s="1136"/>
      <c r="E27" s="1137"/>
      <c r="F27" s="1136"/>
      <c r="G27" s="1137"/>
      <c r="H27" s="1136"/>
      <c r="I27" s="1136"/>
      <c r="J27" s="1138"/>
      <c r="K27" s="1138"/>
      <c r="L27" s="302"/>
      <c r="M27" s="302"/>
      <c r="N27" s="302"/>
      <c r="O27" s="302"/>
      <c r="P27" s="302"/>
    </row>
    <row r="28" spans="1:16" s="145" customFormat="1">
      <c r="A28" s="1021" t="s">
        <v>65</v>
      </c>
      <c r="B28" s="1136">
        <v>78597</v>
      </c>
      <c r="C28" s="1137">
        <v>35654.199999999997</v>
      </c>
      <c r="D28" s="1136">
        <v>99770.4</v>
      </c>
      <c r="E28" s="1137">
        <v>242568.1</v>
      </c>
      <c r="F28" s="1136">
        <v>60425.3</v>
      </c>
      <c r="G28" s="1137">
        <v>26700.2</v>
      </c>
      <c r="H28" s="1136">
        <v>596.1</v>
      </c>
      <c r="I28" s="1136">
        <v>11115.3</v>
      </c>
      <c r="J28" s="1138">
        <v>251757.9</v>
      </c>
      <c r="K28" s="1138">
        <v>807184.5</v>
      </c>
      <c r="L28" s="302"/>
      <c r="M28" s="302"/>
      <c r="N28" s="302"/>
      <c r="O28" s="302"/>
      <c r="P28" s="302"/>
    </row>
    <row r="29" spans="1:16" s="145" customFormat="1">
      <c r="A29" s="1021" t="s">
        <v>44</v>
      </c>
      <c r="B29" s="1136">
        <v>84182.3</v>
      </c>
      <c r="C29" s="1136">
        <v>36462.400000000001</v>
      </c>
      <c r="D29" s="1136">
        <v>97862</v>
      </c>
      <c r="E29" s="1136">
        <v>264456.2</v>
      </c>
      <c r="F29" s="1136">
        <v>59411.199999999997</v>
      </c>
      <c r="G29" s="1136">
        <v>26993.4</v>
      </c>
      <c r="H29" s="1136">
        <v>492.1</v>
      </c>
      <c r="I29" s="1136">
        <v>16862.099999999999</v>
      </c>
      <c r="J29" s="1136">
        <v>242386.1</v>
      </c>
      <c r="K29" s="1138">
        <v>829107.79999999993</v>
      </c>
      <c r="L29" s="302"/>
      <c r="M29" s="302"/>
      <c r="N29" s="302"/>
      <c r="O29" s="302"/>
      <c r="P29" s="302"/>
    </row>
    <row r="30" spans="1:16" s="145" customFormat="1">
      <c r="A30" s="1021" t="s">
        <v>47</v>
      </c>
      <c r="B30" s="1136">
        <v>84814</v>
      </c>
      <c r="C30" s="1136">
        <v>35757.9</v>
      </c>
      <c r="D30" s="1136">
        <v>99398.2</v>
      </c>
      <c r="E30" s="1136">
        <v>246817.3</v>
      </c>
      <c r="F30" s="1136">
        <v>60992</v>
      </c>
      <c r="G30" s="1136">
        <v>26567.7</v>
      </c>
      <c r="H30" s="1136">
        <v>536.29999999999995</v>
      </c>
      <c r="I30" s="1136">
        <v>17032.900000000001</v>
      </c>
      <c r="J30" s="1136">
        <v>267946.2</v>
      </c>
      <c r="K30" s="1138">
        <v>839862.5</v>
      </c>
      <c r="L30" s="302"/>
      <c r="M30" s="302"/>
      <c r="N30" s="302"/>
      <c r="O30" s="302"/>
      <c r="P30" s="302"/>
    </row>
    <row r="31" spans="1:16" s="145" customFormat="1">
      <c r="A31" s="1021" t="s">
        <v>50</v>
      </c>
      <c r="B31" s="1136">
        <v>92849.1</v>
      </c>
      <c r="C31" s="1136">
        <v>31920.9</v>
      </c>
      <c r="D31" s="1136">
        <v>93114.2</v>
      </c>
      <c r="E31" s="1136">
        <v>239834.2</v>
      </c>
      <c r="F31" s="1136">
        <v>58131</v>
      </c>
      <c r="G31" s="1136">
        <v>25379.8</v>
      </c>
      <c r="H31" s="1136">
        <v>510.6</v>
      </c>
      <c r="I31" s="1136">
        <v>8714.2000000000007</v>
      </c>
      <c r="J31" s="1136">
        <v>261323.40000000002</v>
      </c>
      <c r="K31" s="1138">
        <v>811777.4</v>
      </c>
      <c r="L31" s="302"/>
      <c r="M31" s="302"/>
      <c r="N31" s="302"/>
      <c r="O31" s="302"/>
      <c r="P31" s="302"/>
    </row>
    <row r="32" spans="1:16" s="145" customFormat="1">
      <c r="A32" s="1021"/>
      <c r="B32" s="1136"/>
      <c r="C32" s="1137"/>
      <c r="D32" s="1136"/>
      <c r="E32" s="1137"/>
      <c r="F32" s="1136"/>
      <c r="G32" s="1137"/>
      <c r="H32" s="1136"/>
      <c r="I32" s="1136"/>
      <c r="J32" s="1138"/>
      <c r="K32" s="1138"/>
      <c r="L32" s="302"/>
      <c r="M32" s="302"/>
      <c r="N32" s="302"/>
      <c r="O32" s="302"/>
      <c r="P32" s="302"/>
    </row>
    <row r="33" spans="1:16" s="145" customFormat="1">
      <c r="A33" s="1021" t="s">
        <v>66</v>
      </c>
      <c r="B33" s="1136">
        <v>94155.9</v>
      </c>
      <c r="C33" s="1136">
        <v>27993.9</v>
      </c>
      <c r="D33" s="1136">
        <v>93768.8</v>
      </c>
      <c r="E33" s="1136">
        <v>219230.3</v>
      </c>
      <c r="F33" s="1136">
        <v>48802.100000000006</v>
      </c>
      <c r="G33" s="1136">
        <v>19661.5</v>
      </c>
      <c r="H33" s="1136">
        <v>591.9</v>
      </c>
      <c r="I33" s="1136">
        <v>5743.6</v>
      </c>
      <c r="J33" s="1136">
        <v>240322.6</v>
      </c>
      <c r="K33" s="1138">
        <v>750270.6</v>
      </c>
      <c r="L33" s="302"/>
      <c r="M33" s="302"/>
      <c r="N33" s="302"/>
      <c r="O33" s="302"/>
      <c r="P33" s="302"/>
    </row>
    <row r="34" spans="1:16" s="145" customFormat="1">
      <c r="A34" s="1021" t="s">
        <v>62</v>
      </c>
      <c r="B34" s="1136">
        <v>100397.6</v>
      </c>
      <c r="C34" s="1136">
        <v>26561.7</v>
      </c>
      <c r="D34" s="1136">
        <v>90100.6</v>
      </c>
      <c r="E34" s="1136">
        <v>224189.4</v>
      </c>
      <c r="F34" s="1136">
        <v>50055.1</v>
      </c>
      <c r="G34" s="1136">
        <v>18483.400000000001</v>
      </c>
      <c r="H34" s="1136">
        <v>801.4</v>
      </c>
      <c r="I34" s="1136">
        <v>19697</v>
      </c>
      <c r="J34" s="1136">
        <v>273801.8</v>
      </c>
      <c r="K34" s="1138">
        <v>804088</v>
      </c>
      <c r="L34" s="302"/>
      <c r="M34" s="302"/>
      <c r="N34" s="302"/>
      <c r="O34" s="302"/>
      <c r="P34" s="302"/>
    </row>
    <row r="35" spans="1:16" s="145" customFormat="1">
      <c r="A35" s="1021" t="s">
        <v>63</v>
      </c>
      <c r="B35" s="1136">
        <v>102759.5</v>
      </c>
      <c r="C35" s="1136">
        <v>27801.9</v>
      </c>
      <c r="D35" s="1136">
        <v>82506.100000000006</v>
      </c>
      <c r="E35" s="1136">
        <v>233092.7</v>
      </c>
      <c r="F35" s="1136">
        <v>56464.3</v>
      </c>
      <c r="G35" s="1136">
        <v>18488.3</v>
      </c>
      <c r="H35" s="1136">
        <v>851.2</v>
      </c>
      <c r="I35" s="1136">
        <v>30636.3</v>
      </c>
      <c r="J35" s="1136">
        <v>284270.7</v>
      </c>
      <c r="K35" s="1138">
        <v>836871</v>
      </c>
      <c r="L35" s="302"/>
      <c r="M35" s="302"/>
      <c r="N35" s="302"/>
      <c r="O35" s="302"/>
      <c r="P35" s="302"/>
    </row>
    <row r="36" spans="1:16" s="145" customFormat="1">
      <c r="A36" s="1021" t="s">
        <v>64</v>
      </c>
      <c r="B36" s="1136">
        <v>106612.4</v>
      </c>
      <c r="C36" s="1136">
        <v>28299.200000000001</v>
      </c>
      <c r="D36" s="1136">
        <v>84716.4</v>
      </c>
      <c r="E36" s="1136">
        <v>225064.2</v>
      </c>
      <c r="F36" s="1136">
        <v>47514.7</v>
      </c>
      <c r="G36" s="1136">
        <v>18013.7</v>
      </c>
      <c r="H36" s="1136">
        <v>863.6</v>
      </c>
      <c r="I36" s="1136">
        <v>14984.5</v>
      </c>
      <c r="J36" s="1136">
        <v>272131.40000000002</v>
      </c>
      <c r="K36" s="1138">
        <v>798200.1</v>
      </c>
      <c r="L36" s="302"/>
      <c r="M36" s="302"/>
      <c r="N36" s="302"/>
      <c r="O36" s="302"/>
      <c r="P36" s="302"/>
    </row>
    <row r="37" spans="1:16" s="145" customFormat="1">
      <c r="A37" s="1021"/>
      <c r="B37" s="1136"/>
      <c r="C37" s="1137"/>
      <c r="D37" s="1136"/>
      <c r="E37" s="1137"/>
      <c r="F37" s="1136"/>
      <c r="G37" s="1137"/>
      <c r="H37" s="1136"/>
      <c r="I37" s="1136"/>
      <c r="J37" s="1138"/>
      <c r="K37" s="1138"/>
      <c r="L37" s="302"/>
      <c r="M37" s="302"/>
      <c r="N37" s="302"/>
      <c r="O37" s="302"/>
      <c r="P37" s="302"/>
    </row>
    <row r="38" spans="1:16" s="145" customFormat="1">
      <c r="A38" s="1021" t="s">
        <v>684</v>
      </c>
      <c r="B38" s="1136">
        <v>110501.8</v>
      </c>
      <c r="C38" s="1136">
        <v>27478.9</v>
      </c>
      <c r="D38" s="1136">
        <v>89842</v>
      </c>
      <c r="E38" s="1136">
        <v>226345.3</v>
      </c>
      <c r="F38" s="1136">
        <v>44471.3</v>
      </c>
      <c r="G38" s="1136">
        <v>17326.400000000001</v>
      </c>
      <c r="H38" s="1136">
        <v>889.9</v>
      </c>
      <c r="I38" s="1136">
        <v>8184.9</v>
      </c>
      <c r="J38" s="1136">
        <v>285715.59999999998</v>
      </c>
      <c r="K38" s="1138">
        <v>810756.1</v>
      </c>
      <c r="L38" s="302"/>
      <c r="M38" s="302"/>
      <c r="N38" s="302"/>
      <c r="O38" s="302"/>
      <c r="P38" s="302"/>
    </row>
    <row r="39" spans="1:16" s="145" customFormat="1">
      <c r="A39" s="1021" t="s">
        <v>62</v>
      </c>
      <c r="B39" s="1136">
        <v>115278.3</v>
      </c>
      <c r="C39" s="1136">
        <v>29187.599999999999</v>
      </c>
      <c r="D39" s="1136">
        <v>87595.7</v>
      </c>
      <c r="E39" s="1136">
        <v>270578.90000000002</v>
      </c>
      <c r="F39" s="1136">
        <v>42410.600000000006</v>
      </c>
      <c r="G39" s="1136">
        <v>16873.8</v>
      </c>
      <c r="H39" s="1136">
        <v>860.6</v>
      </c>
      <c r="I39" s="1136">
        <v>25033.5</v>
      </c>
      <c r="J39" s="1136">
        <v>304301.2</v>
      </c>
      <c r="K39" s="1138">
        <v>892120.2</v>
      </c>
      <c r="L39" s="302"/>
      <c r="M39" s="302"/>
      <c r="N39" s="302"/>
      <c r="O39" s="302"/>
      <c r="P39" s="302"/>
    </row>
    <row r="40" spans="1:16" s="145" customFormat="1">
      <c r="A40" s="1021"/>
      <c r="B40" s="1136"/>
      <c r="C40" s="1137"/>
      <c r="D40" s="1136"/>
      <c r="E40" s="1137"/>
      <c r="F40" s="1136"/>
      <c r="G40" s="1137"/>
      <c r="H40" s="1136"/>
      <c r="I40" s="1136"/>
      <c r="J40" s="1138"/>
      <c r="K40" s="1138"/>
      <c r="L40" s="302"/>
      <c r="M40" s="302"/>
      <c r="N40" s="302"/>
      <c r="O40" s="302"/>
      <c r="P40" s="302"/>
    </row>
    <row r="41" spans="1:16" s="145" customFormat="1" hidden="1">
      <c r="A41" s="1021" t="s">
        <v>60</v>
      </c>
      <c r="B41" s="1136">
        <v>18739</v>
      </c>
      <c r="C41" s="1137">
        <v>1791</v>
      </c>
      <c r="D41" s="1136">
        <v>11514.8</v>
      </c>
      <c r="E41" s="1137">
        <v>137414</v>
      </c>
      <c r="F41" s="1136">
        <v>564.79999999999995</v>
      </c>
      <c r="G41" s="1137">
        <v>1906.1</v>
      </c>
      <c r="H41" s="1136">
        <v>9.6</v>
      </c>
      <c r="I41" s="1136">
        <v>5395.1</v>
      </c>
      <c r="J41" s="1138">
        <v>53859.9</v>
      </c>
      <c r="K41" s="1138">
        <v>231194.3</v>
      </c>
      <c r="L41" s="302"/>
      <c r="M41" s="302"/>
      <c r="N41" s="302"/>
      <c r="O41" s="302"/>
      <c r="P41" s="302"/>
    </row>
    <row r="42" spans="1:16" s="145" customFormat="1" hidden="1">
      <c r="A42" s="1021" t="s">
        <v>40</v>
      </c>
      <c r="B42" s="1136">
        <v>19751.3</v>
      </c>
      <c r="C42" s="1137">
        <v>1729.3</v>
      </c>
      <c r="D42" s="1136">
        <v>11280.5</v>
      </c>
      <c r="E42" s="1137">
        <v>138036.1</v>
      </c>
      <c r="F42" s="1136">
        <v>615.4</v>
      </c>
      <c r="G42" s="1137">
        <v>1739</v>
      </c>
      <c r="H42" s="1136">
        <v>9.6999999999999993</v>
      </c>
      <c r="I42" s="1136">
        <v>2542.1</v>
      </c>
      <c r="J42" s="1138">
        <v>53667.899999999994</v>
      </c>
      <c r="K42" s="1138">
        <v>229371.30000000002</v>
      </c>
      <c r="L42" s="302"/>
      <c r="M42" s="302"/>
      <c r="N42" s="302"/>
      <c r="O42" s="302"/>
      <c r="P42" s="302"/>
    </row>
    <row r="43" spans="1:16" s="145" customFormat="1" hidden="1">
      <c r="A43" s="1021" t="s">
        <v>41</v>
      </c>
      <c r="B43" s="1136">
        <v>15993.4</v>
      </c>
      <c r="C43" s="1137">
        <v>1798</v>
      </c>
      <c r="D43" s="1136">
        <v>10604.8</v>
      </c>
      <c r="E43" s="1137">
        <v>141402.29999999999</v>
      </c>
      <c r="F43" s="1136">
        <v>630.1</v>
      </c>
      <c r="G43" s="1137">
        <v>2311</v>
      </c>
      <c r="H43" s="1136">
        <v>9.6</v>
      </c>
      <c r="I43" s="1136">
        <v>2197.1999999999998</v>
      </c>
      <c r="J43" s="1138">
        <v>61296.700000000004</v>
      </c>
      <c r="K43" s="1138">
        <v>236243.10000000003</v>
      </c>
      <c r="L43" s="302"/>
      <c r="M43" s="302"/>
      <c r="N43" s="302"/>
      <c r="O43" s="302"/>
      <c r="P43" s="302"/>
    </row>
    <row r="44" spans="1:16" s="145" customFormat="1" hidden="1">
      <c r="A44" s="1021" t="s">
        <v>42</v>
      </c>
      <c r="B44" s="1136">
        <v>15234.4</v>
      </c>
      <c r="C44" s="1137">
        <v>1727</v>
      </c>
      <c r="D44" s="1136">
        <v>10397.200000000001</v>
      </c>
      <c r="E44" s="1137">
        <v>143658.5</v>
      </c>
      <c r="F44" s="1136">
        <v>692.5</v>
      </c>
      <c r="G44" s="1137">
        <v>2741.4</v>
      </c>
      <c r="H44" s="1136">
        <v>7.6</v>
      </c>
      <c r="I44" s="1136">
        <v>1160.7</v>
      </c>
      <c r="J44" s="1138">
        <v>63006.6</v>
      </c>
      <c r="K44" s="1138">
        <v>238625.90000000002</v>
      </c>
      <c r="L44" s="302"/>
      <c r="M44" s="302"/>
      <c r="N44" s="302"/>
      <c r="O44" s="302"/>
      <c r="P44" s="302"/>
    </row>
    <row r="45" spans="1:16" s="145" customFormat="1" hidden="1">
      <c r="A45" s="1021" t="s">
        <v>43</v>
      </c>
      <c r="B45" s="1136">
        <v>16638.900000000001</v>
      </c>
      <c r="C45" s="1137">
        <v>1901.5</v>
      </c>
      <c r="D45" s="1136">
        <v>10561.5</v>
      </c>
      <c r="E45" s="1137">
        <v>145467.70000000001</v>
      </c>
      <c r="F45" s="1136">
        <v>685.4</v>
      </c>
      <c r="G45" s="1137">
        <v>2248.6999999999998</v>
      </c>
      <c r="H45" s="1136">
        <v>2.5</v>
      </c>
      <c r="I45" s="1136">
        <v>767.4</v>
      </c>
      <c r="J45" s="1138">
        <v>62969.600000000006</v>
      </c>
      <c r="K45" s="1138">
        <v>241243.2</v>
      </c>
      <c r="L45" s="302"/>
      <c r="M45" s="302"/>
      <c r="N45" s="302"/>
      <c r="O45" s="302"/>
      <c r="P45" s="302"/>
    </row>
    <row r="46" spans="1:16" s="145" customFormat="1" hidden="1">
      <c r="A46" s="1021" t="s">
        <v>44</v>
      </c>
      <c r="B46" s="1136">
        <v>17302.3</v>
      </c>
      <c r="C46" s="1137">
        <v>1903.5</v>
      </c>
      <c r="D46" s="1136">
        <v>11885.4</v>
      </c>
      <c r="E46" s="1137">
        <v>152081.60000000001</v>
      </c>
      <c r="F46" s="1136">
        <v>676.2</v>
      </c>
      <c r="G46" s="1137">
        <v>2210.6999999999998</v>
      </c>
      <c r="H46" s="1136">
        <v>2.5</v>
      </c>
      <c r="I46" s="1136">
        <v>9031.7000000000007</v>
      </c>
      <c r="J46" s="1138">
        <v>62384.4</v>
      </c>
      <c r="K46" s="1138">
        <v>257478.30000000002</v>
      </c>
      <c r="L46" s="302"/>
      <c r="M46" s="302"/>
      <c r="N46" s="302"/>
      <c r="O46" s="302"/>
      <c r="P46" s="302"/>
    </row>
    <row r="47" spans="1:16" s="145" customFormat="1" hidden="1">
      <c r="A47" s="1021" t="s">
        <v>45</v>
      </c>
      <c r="B47" s="1136">
        <v>17908.099999999999</v>
      </c>
      <c r="C47" s="1137">
        <v>1953.5</v>
      </c>
      <c r="D47" s="1136">
        <v>11736.8</v>
      </c>
      <c r="E47" s="1137">
        <v>157821.9</v>
      </c>
      <c r="F47" s="1136">
        <v>696.5</v>
      </c>
      <c r="G47" s="1137">
        <v>2134.3000000000002</v>
      </c>
      <c r="H47" s="1136">
        <v>2.5</v>
      </c>
      <c r="I47" s="1136">
        <v>22540.7</v>
      </c>
      <c r="J47" s="1138">
        <v>65063.4</v>
      </c>
      <c r="K47" s="1138">
        <v>279857.7</v>
      </c>
      <c r="L47" s="302"/>
      <c r="M47" s="302"/>
      <c r="N47" s="302"/>
      <c r="O47" s="302"/>
      <c r="P47" s="302"/>
    </row>
    <row r="48" spans="1:16" s="145" customFormat="1" hidden="1">
      <c r="A48" s="1021" t="s">
        <v>46</v>
      </c>
      <c r="B48" s="1136">
        <v>17870.8</v>
      </c>
      <c r="C48" s="1137">
        <v>1876.4</v>
      </c>
      <c r="D48" s="1136">
        <v>13380.7</v>
      </c>
      <c r="E48" s="1137">
        <v>152490.5</v>
      </c>
      <c r="F48" s="1136">
        <v>666.8</v>
      </c>
      <c r="G48" s="1137">
        <v>1364.3</v>
      </c>
      <c r="H48" s="1136">
        <v>2.5</v>
      </c>
      <c r="I48" s="1136">
        <v>33360.6</v>
      </c>
      <c r="J48" s="1138">
        <v>65622.5</v>
      </c>
      <c r="K48" s="1138">
        <v>286635.09999999998</v>
      </c>
      <c r="L48" s="302"/>
      <c r="M48" s="302"/>
      <c r="N48" s="302"/>
      <c r="O48" s="302"/>
      <c r="P48" s="302"/>
    </row>
    <row r="49" spans="1:16" s="145" customFormat="1" hidden="1">
      <c r="A49" s="1021" t="s">
        <v>47</v>
      </c>
      <c r="B49" s="1136">
        <v>17954.599999999999</v>
      </c>
      <c r="C49" s="1137">
        <v>1828.5</v>
      </c>
      <c r="D49" s="1136">
        <v>13234.3</v>
      </c>
      <c r="E49" s="1137">
        <v>152672.79999999999</v>
      </c>
      <c r="F49" s="1136">
        <v>706.4</v>
      </c>
      <c r="G49" s="1137">
        <v>1706.3</v>
      </c>
      <c r="H49" s="1136">
        <v>2.5</v>
      </c>
      <c r="I49" s="1136">
        <v>38480</v>
      </c>
      <c r="J49" s="1138">
        <v>65632.7</v>
      </c>
      <c r="K49" s="1138">
        <v>292218.09999999998</v>
      </c>
      <c r="L49" s="302"/>
      <c r="M49" s="302"/>
      <c r="N49" s="302"/>
      <c r="O49" s="302"/>
      <c r="P49" s="302"/>
    </row>
    <row r="50" spans="1:16" s="145" customFormat="1" hidden="1">
      <c r="A50" s="1021" t="s">
        <v>48</v>
      </c>
      <c r="B50" s="1136">
        <v>19355.099999999999</v>
      </c>
      <c r="C50" s="1137">
        <v>1698.7</v>
      </c>
      <c r="D50" s="1136">
        <v>15576.5</v>
      </c>
      <c r="E50" s="1137">
        <v>163973.1</v>
      </c>
      <c r="F50" s="1136">
        <v>691.7</v>
      </c>
      <c r="G50" s="1137">
        <v>915.3</v>
      </c>
      <c r="H50" s="1136">
        <v>2.5</v>
      </c>
      <c r="I50" s="1136">
        <v>29098.9</v>
      </c>
      <c r="J50" s="1138">
        <v>68230.100000000006</v>
      </c>
      <c r="K50" s="1138">
        <v>299541.90000000002</v>
      </c>
      <c r="L50" s="302"/>
      <c r="M50" s="302"/>
      <c r="N50" s="302"/>
      <c r="O50" s="302"/>
      <c r="P50" s="302"/>
    </row>
    <row r="51" spans="1:16" s="145" customFormat="1" hidden="1">
      <c r="A51" s="1021" t="s">
        <v>49</v>
      </c>
      <c r="B51" s="1136">
        <v>19563.3</v>
      </c>
      <c r="C51" s="1137">
        <v>1876.8</v>
      </c>
      <c r="D51" s="1136">
        <v>15741.4</v>
      </c>
      <c r="E51" s="1137">
        <v>156646.9</v>
      </c>
      <c r="F51" s="1136">
        <v>724.8</v>
      </c>
      <c r="G51" s="1137">
        <v>2233.1</v>
      </c>
      <c r="H51" s="1136">
        <v>2.5</v>
      </c>
      <c r="I51" s="1136">
        <v>27759.5</v>
      </c>
      <c r="J51" s="1138">
        <v>71335.5</v>
      </c>
      <c r="K51" s="1138">
        <v>295883.8</v>
      </c>
      <c r="L51" s="302"/>
      <c r="M51" s="302"/>
      <c r="N51" s="302"/>
      <c r="O51" s="302"/>
      <c r="P51" s="302"/>
    </row>
    <row r="52" spans="1:16" s="145" customFormat="1" hidden="1">
      <c r="A52" s="1021" t="s">
        <v>50</v>
      </c>
      <c r="B52" s="1136">
        <v>19333.599999999999</v>
      </c>
      <c r="C52" s="1137">
        <v>2014.6</v>
      </c>
      <c r="D52" s="1136">
        <v>15772.3</v>
      </c>
      <c r="E52" s="1137">
        <v>154809.4</v>
      </c>
      <c r="F52" s="1136">
        <v>773.7</v>
      </c>
      <c r="G52" s="1137">
        <v>2427.5</v>
      </c>
      <c r="H52" s="1136">
        <v>2.5</v>
      </c>
      <c r="I52" s="1136">
        <v>23459.7</v>
      </c>
      <c r="J52" s="1138">
        <v>69341</v>
      </c>
      <c r="K52" s="1138">
        <v>287934.30000000005</v>
      </c>
      <c r="L52" s="302"/>
      <c r="M52" s="302"/>
      <c r="N52" s="302"/>
      <c r="O52" s="302"/>
      <c r="P52" s="302"/>
    </row>
    <row r="53" spans="1:16" s="145" customFormat="1" hidden="1">
      <c r="A53" s="222"/>
      <c r="B53" s="1136"/>
      <c r="C53" s="1137"/>
      <c r="D53" s="1136"/>
      <c r="E53" s="1137"/>
      <c r="F53" s="1136"/>
      <c r="G53" s="1137"/>
      <c r="H53" s="1136"/>
      <c r="I53" s="1136"/>
      <c r="J53" s="1138"/>
      <c r="K53" s="1138"/>
      <c r="L53" s="302"/>
      <c r="M53" s="302"/>
      <c r="N53" s="302"/>
      <c r="O53" s="302"/>
      <c r="P53" s="302"/>
    </row>
    <row r="54" spans="1:16" s="145" customFormat="1" hidden="1">
      <c r="A54" s="1021" t="s">
        <v>59</v>
      </c>
      <c r="B54" s="1136">
        <v>19592.7</v>
      </c>
      <c r="C54" s="1137">
        <v>2569.4</v>
      </c>
      <c r="D54" s="1136">
        <v>16123.4</v>
      </c>
      <c r="E54" s="1137">
        <v>150869.6</v>
      </c>
      <c r="F54" s="1136">
        <v>1526.5</v>
      </c>
      <c r="G54" s="1137">
        <v>2883.7</v>
      </c>
      <c r="H54" s="1136">
        <v>2.5</v>
      </c>
      <c r="I54" s="1136">
        <v>20935.5</v>
      </c>
      <c r="J54" s="1138">
        <v>68294.400000000009</v>
      </c>
      <c r="K54" s="1138">
        <v>282797.7</v>
      </c>
      <c r="L54" s="302"/>
      <c r="M54" s="302"/>
      <c r="N54" s="302"/>
      <c r="O54" s="302"/>
      <c r="P54" s="302"/>
    </row>
    <row r="55" spans="1:16" s="145" customFormat="1" hidden="1">
      <c r="A55" s="1021" t="s">
        <v>40</v>
      </c>
      <c r="B55" s="1136">
        <v>20554.2</v>
      </c>
      <c r="C55" s="1137">
        <v>2276.8000000000002</v>
      </c>
      <c r="D55" s="1136">
        <v>16360.8</v>
      </c>
      <c r="E55" s="1137">
        <v>156182</v>
      </c>
      <c r="F55" s="1136">
        <v>1517.2</v>
      </c>
      <c r="G55" s="1137">
        <v>2891.9</v>
      </c>
      <c r="H55" s="1136">
        <v>2.5</v>
      </c>
      <c r="I55" s="1136">
        <v>14418.7</v>
      </c>
      <c r="J55" s="1138">
        <v>68440.099999999991</v>
      </c>
      <c r="K55" s="1138">
        <v>282644.2</v>
      </c>
      <c r="L55" s="302"/>
      <c r="M55" s="302"/>
      <c r="N55" s="302"/>
      <c r="O55" s="302"/>
      <c r="P55" s="302"/>
    </row>
    <row r="56" spans="1:16" s="145" customFormat="1" hidden="1">
      <c r="A56" s="1021" t="s">
        <v>41</v>
      </c>
      <c r="B56" s="1136">
        <v>20950.099999999999</v>
      </c>
      <c r="C56" s="1137">
        <v>2327.9</v>
      </c>
      <c r="D56" s="1136">
        <v>15932.900000000001</v>
      </c>
      <c r="E56" s="1137">
        <v>164834.20000000001</v>
      </c>
      <c r="F56" s="1136">
        <v>1623.3</v>
      </c>
      <c r="G56" s="1137">
        <v>3198</v>
      </c>
      <c r="H56" s="1136">
        <v>2.5</v>
      </c>
      <c r="I56" s="1136">
        <v>11276.9</v>
      </c>
      <c r="J56" s="1138">
        <v>69193.8</v>
      </c>
      <c r="K56" s="1138">
        <v>289339.59999999998</v>
      </c>
      <c r="L56" s="302"/>
      <c r="M56" s="302"/>
      <c r="N56" s="302"/>
      <c r="O56" s="302"/>
      <c r="P56" s="302"/>
    </row>
    <row r="57" spans="1:16" s="145" customFormat="1" hidden="1">
      <c r="A57" s="1021" t="s">
        <v>42</v>
      </c>
      <c r="B57" s="1136">
        <v>21742.2</v>
      </c>
      <c r="C57" s="1137">
        <v>2320.6</v>
      </c>
      <c r="D57" s="1136">
        <v>17829</v>
      </c>
      <c r="E57" s="1137">
        <v>164767.9</v>
      </c>
      <c r="F57" s="1136">
        <v>2176.3000000000002</v>
      </c>
      <c r="G57" s="1137">
        <v>2879.9</v>
      </c>
      <c r="H57" s="1136">
        <v>2.5</v>
      </c>
      <c r="I57" s="1136">
        <v>9649.5</v>
      </c>
      <c r="J57" s="1138">
        <v>68728.099999999991</v>
      </c>
      <c r="K57" s="1138">
        <v>290096</v>
      </c>
      <c r="L57" s="302"/>
      <c r="M57" s="302"/>
      <c r="N57" s="302"/>
      <c r="O57" s="302"/>
      <c r="P57" s="302"/>
    </row>
    <row r="58" spans="1:16" s="145" customFormat="1" hidden="1">
      <c r="A58" s="1021" t="s">
        <v>43</v>
      </c>
      <c r="B58" s="1136">
        <v>22258.1</v>
      </c>
      <c r="C58" s="1137">
        <v>2509.6</v>
      </c>
      <c r="D58" s="1136">
        <v>18060.599999999999</v>
      </c>
      <c r="E58" s="1137">
        <v>165767.79999999999</v>
      </c>
      <c r="F58" s="1136">
        <v>2790.7</v>
      </c>
      <c r="G58" s="1137">
        <v>3421</v>
      </c>
      <c r="H58" s="1136">
        <v>2.5</v>
      </c>
      <c r="I58" s="1136">
        <v>3396.7</v>
      </c>
      <c r="J58" s="1138">
        <v>76882.099999999991</v>
      </c>
      <c r="K58" s="1138">
        <v>295089.09999999998</v>
      </c>
      <c r="L58" s="302"/>
      <c r="M58" s="302"/>
      <c r="N58" s="302"/>
      <c r="O58" s="302"/>
      <c r="P58" s="302"/>
    </row>
    <row r="59" spans="1:16" s="145" customFormat="1" hidden="1">
      <c r="A59" s="1021" t="s">
        <v>44</v>
      </c>
      <c r="B59" s="1136">
        <v>22680.5</v>
      </c>
      <c r="C59" s="1137">
        <v>2259.6</v>
      </c>
      <c r="D59" s="1136">
        <v>19910.2</v>
      </c>
      <c r="E59" s="1137">
        <v>169671.6</v>
      </c>
      <c r="F59" s="1136">
        <v>2852.8</v>
      </c>
      <c r="G59" s="1137">
        <v>4328.5</v>
      </c>
      <c r="H59" s="1136">
        <v>2.5</v>
      </c>
      <c r="I59" s="1136">
        <v>455</v>
      </c>
      <c r="J59" s="1138">
        <v>79532.599999999991</v>
      </c>
      <c r="K59" s="1138">
        <v>301693.3</v>
      </c>
      <c r="L59" s="302"/>
      <c r="M59" s="302"/>
      <c r="N59" s="302"/>
      <c r="O59" s="302"/>
      <c r="P59" s="302"/>
    </row>
    <row r="60" spans="1:16" s="145" customFormat="1" hidden="1">
      <c r="A60" s="1021" t="s">
        <v>45</v>
      </c>
      <c r="B60" s="1136">
        <v>23665.200000000001</v>
      </c>
      <c r="C60" s="1137">
        <v>2557.3000000000002</v>
      </c>
      <c r="D60" s="1136">
        <v>18378.599999999999</v>
      </c>
      <c r="E60" s="1137">
        <v>170521.1</v>
      </c>
      <c r="F60" s="1136">
        <v>2783.5</v>
      </c>
      <c r="G60" s="1137">
        <v>4796.6000000000004</v>
      </c>
      <c r="H60" s="1136">
        <v>2.5</v>
      </c>
      <c r="I60" s="1136">
        <v>4525</v>
      </c>
      <c r="J60" s="1138">
        <v>82155.799999999988</v>
      </c>
      <c r="K60" s="1138">
        <v>309385.59999999998</v>
      </c>
      <c r="L60" s="302"/>
      <c r="M60" s="302"/>
      <c r="N60" s="302"/>
      <c r="O60" s="302"/>
      <c r="P60" s="302"/>
    </row>
    <row r="61" spans="1:16" s="145" customFormat="1" hidden="1">
      <c r="A61" s="1021" t="s">
        <v>46</v>
      </c>
      <c r="B61" s="1136">
        <v>24831.200000000001</v>
      </c>
      <c r="C61" s="1137">
        <v>2552.4</v>
      </c>
      <c r="D61" s="1136">
        <v>18711.5</v>
      </c>
      <c r="E61" s="1137">
        <v>167858.9</v>
      </c>
      <c r="F61" s="1136">
        <v>3120.9</v>
      </c>
      <c r="G61" s="1137">
        <v>3879.3</v>
      </c>
      <c r="H61" s="1136">
        <v>5.9</v>
      </c>
      <c r="I61" s="1136">
        <v>8133.5</v>
      </c>
      <c r="J61" s="1138">
        <v>85563.8</v>
      </c>
      <c r="K61" s="1138">
        <v>314657.39999999997</v>
      </c>
      <c r="L61" s="302"/>
      <c r="M61" s="302"/>
      <c r="N61" s="302"/>
      <c r="O61" s="302"/>
      <c r="P61" s="302"/>
    </row>
    <row r="62" spans="1:16" s="145" customFormat="1" hidden="1">
      <c r="A62" s="1021" t="s">
        <v>47</v>
      </c>
      <c r="B62" s="1136">
        <v>25897</v>
      </c>
      <c r="C62" s="1137">
        <v>2187.1</v>
      </c>
      <c r="D62" s="1136">
        <v>18377.099999999999</v>
      </c>
      <c r="E62" s="1137">
        <v>177444.1</v>
      </c>
      <c r="F62" s="1136">
        <v>3142.4</v>
      </c>
      <c r="G62" s="1137">
        <v>4057.4</v>
      </c>
      <c r="H62" s="1136">
        <v>2.7</v>
      </c>
      <c r="I62" s="1136">
        <v>6408.4</v>
      </c>
      <c r="J62" s="1138">
        <v>84653</v>
      </c>
      <c r="K62" s="1138">
        <v>322169.19999999995</v>
      </c>
      <c r="L62" s="302"/>
      <c r="M62" s="302"/>
      <c r="N62" s="302"/>
      <c r="O62" s="302"/>
      <c r="P62" s="302"/>
    </row>
    <row r="63" spans="1:16" s="145" customFormat="1" hidden="1">
      <c r="A63" s="1021" t="s">
        <v>48</v>
      </c>
      <c r="B63" s="1136">
        <v>26936.1</v>
      </c>
      <c r="C63" s="1137">
        <v>2368</v>
      </c>
      <c r="D63" s="1136">
        <v>18536.599999999999</v>
      </c>
      <c r="E63" s="1137">
        <v>180331.5</v>
      </c>
      <c r="F63" s="1136">
        <v>3242.7</v>
      </c>
      <c r="G63" s="1137">
        <v>5002.1000000000004</v>
      </c>
      <c r="H63" s="1136">
        <v>2.7</v>
      </c>
      <c r="I63" s="1136">
        <v>5688.1</v>
      </c>
      <c r="J63" s="1138">
        <v>87583</v>
      </c>
      <c r="K63" s="1138">
        <v>329690.80000000005</v>
      </c>
      <c r="L63" s="302"/>
      <c r="M63" s="302"/>
      <c r="N63" s="302"/>
      <c r="O63" s="302"/>
      <c r="P63" s="302"/>
    </row>
    <row r="64" spans="1:16" s="145" customFormat="1" hidden="1">
      <c r="A64" s="1021" t="s">
        <v>49</v>
      </c>
      <c r="B64" s="1136">
        <v>27229.200000000001</v>
      </c>
      <c r="C64" s="1137">
        <v>2627.7</v>
      </c>
      <c r="D64" s="1136">
        <v>18677.900000000001</v>
      </c>
      <c r="E64" s="1137">
        <v>182766</v>
      </c>
      <c r="F64" s="1136">
        <v>3538.7</v>
      </c>
      <c r="G64" s="1137">
        <v>3898.3</v>
      </c>
      <c r="H64" s="1136">
        <v>2.7</v>
      </c>
      <c r="I64" s="1136">
        <v>4448.1000000000004</v>
      </c>
      <c r="J64" s="1138">
        <v>93502.099999999991</v>
      </c>
      <c r="K64" s="1138">
        <v>336690.7</v>
      </c>
      <c r="L64" s="302"/>
      <c r="M64" s="302"/>
      <c r="N64" s="302"/>
      <c r="O64" s="302"/>
      <c r="P64" s="302"/>
    </row>
    <row r="65" spans="1:16" s="145" customFormat="1" hidden="1">
      <c r="A65" s="1021" t="s">
        <v>50</v>
      </c>
      <c r="B65" s="1136">
        <v>28132</v>
      </c>
      <c r="C65" s="1137">
        <v>2356</v>
      </c>
      <c r="D65" s="1136">
        <v>20850</v>
      </c>
      <c r="E65" s="1137">
        <v>178108</v>
      </c>
      <c r="F65" s="1136">
        <v>3762.3</v>
      </c>
      <c r="G65" s="1137">
        <v>3607.4</v>
      </c>
      <c r="H65" s="1136">
        <v>2.7</v>
      </c>
      <c r="I65" s="1136">
        <v>2769.5</v>
      </c>
      <c r="J65" s="1138">
        <v>94766.7</v>
      </c>
      <c r="K65" s="1138">
        <v>334354.59999999998</v>
      </c>
      <c r="L65" s="302"/>
      <c r="M65" s="302"/>
      <c r="N65" s="302"/>
      <c r="O65" s="302"/>
      <c r="P65" s="302"/>
    </row>
    <row r="66" spans="1:16" s="145" customFormat="1" hidden="1">
      <c r="A66" s="1021"/>
      <c r="B66" s="1136"/>
      <c r="C66" s="1137"/>
      <c r="D66" s="1136"/>
      <c r="E66" s="1137"/>
      <c r="F66" s="1136"/>
      <c r="G66" s="1137"/>
      <c r="H66" s="1136"/>
      <c r="I66" s="1136"/>
      <c r="J66" s="1138"/>
      <c r="K66" s="1138"/>
      <c r="L66" s="302"/>
      <c r="M66" s="302"/>
      <c r="N66" s="302"/>
      <c r="O66" s="302"/>
      <c r="P66" s="302"/>
    </row>
    <row r="67" spans="1:16" s="145" customFormat="1" hidden="1">
      <c r="A67" s="1021" t="s">
        <v>58</v>
      </c>
      <c r="B67" s="1136">
        <v>28995.9</v>
      </c>
      <c r="C67" s="1137">
        <v>2776.6</v>
      </c>
      <c r="D67" s="1136">
        <v>21287.8</v>
      </c>
      <c r="E67" s="1137">
        <v>177011.5</v>
      </c>
      <c r="F67" s="1136">
        <v>3971.6</v>
      </c>
      <c r="G67" s="1137">
        <v>3121.4</v>
      </c>
      <c r="H67" s="1136">
        <v>2.7</v>
      </c>
      <c r="I67" s="1136">
        <v>1062.9000000000001</v>
      </c>
      <c r="J67" s="1138">
        <v>91890.8</v>
      </c>
      <c r="K67" s="1138">
        <v>330121.2</v>
      </c>
      <c r="L67" s="302"/>
      <c r="M67" s="302"/>
      <c r="N67" s="302"/>
      <c r="O67" s="302"/>
      <c r="P67" s="302"/>
    </row>
    <row r="68" spans="1:16" s="145" customFormat="1" hidden="1">
      <c r="A68" s="1021" t="s">
        <v>40</v>
      </c>
      <c r="B68" s="1136">
        <v>30630.3</v>
      </c>
      <c r="C68" s="1137">
        <v>2767.9</v>
      </c>
      <c r="D68" s="1136">
        <v>20039.3</v>
      </c>
      <c r="E68" s="1137">
        <v>183998.8</v>
      </c>
      <c r="F68" s="1136">
        <v>4858.6000000000004</v>
      </c>
      <c r="G68" s="1137">
        <v>3422.5</v>
      </c>
      <c r="H68" s="1136">
        <v>2.7</v>
      </c>
      <c r="I68" s="1136">
        <v>690.3</v>
      </c>
      <c r="J68" s="1138">
        <v>94277.200000000012</v>
      </c>
      <c r="K68" s="1138">
        <v>340687.6</v>
      </c>
      <c r="L68" s="302"/>
      <c r="M68" s="302"/>
      <c r="N68" s="302"/>
      <c r="O68" s="302"/>
      <c r="P68" s="302"/>
    </row>
    <row r="69" spans="1:16" s="145" customFormat="1" hidden="1">
      <c r="A69" s="1021" t="s">
        <v>41</v>
      </c>
      <c r="B69" s="1136">
        <v>30852.7</v>
      </c>
      <c r="C69" s="1137">
        <v>2871.2</v>
      </c>
      <c r="D69" s="1136">
        <v>19953.8</v>
      </c>
      <c r="E69" s="1137">
        <v>194828.6</v>
      </c>
      <c r="F69" s="1136">
        <v>5340.6</v>
      </c>
      <c r="G69" s="1137">
        <v>3321</v>
      </c>
      <c r="H69" s="1136">
        <v>2.7</v>
      </c>
      <c r="I69" s="1136">
        <v>449</v>
      </c>
      <c r="J69" s="1138">
        <v>93654.599999999991</v>
      </c>
      <c r="K69" s="1138">
        <v>351274.2</v>
      </c>
      <c r="L69" s="302"/>
      <c r="M69" s="302"/>
      <c r="N69" s="302"/>
      <c r="O69" s="302"/>
      <c r="P69" s="302"/>
    </row>
    <row r="70" spans="1:16" s="145" customFormat="1" hidden="1">
      <c r="A70" s="1021" t="s">
        <v>42</v>
      </c>
      <c r="B70" s="1136">
        <v>31450.5</v>
      </c>
      <c r="C70" s="1137">
        <v>2803.2</v>
      </c>
      <c r="D70" s="1136">
        <v>20179</v>
      </c>
      <c r="E70" s="1137">
        <v>197699.20000000001</v>
      </c>
      <c r="F70" s="1136">
        <v>5446.8</v>
      </c>
      <c r="G70" s="1137">
        <v>3484.5</v>
      </c>
      <c r="H70" s="1136">
        <v>2.7</v>
      </c>
      <c r="I70" s="1136">
        <v>21</v>
      </c>
      <c r="J70" s="1138">
        <v>98254.8</v>
      </c>
      <c r="K70" s="1138">
        <v>359341.7</v>
      </c>
      <c r="L70" s="302"/>
      <c r="M70" s="302"/>
      <c r="N70" s="302"/>
      <c r="O70" s="302"/>
      <c r="P70" s="302"/>
    </row>
    <row r="71" spans="1:16" s="145" customFormat="1" hidden="1">
      <c r="A71" s="1021" t="s">
        <v>43</v>
      </c>
      <c r="B71" s="1136">
        <v>31505.5</v>
      </c>
      <c r="C71" s="1137">
        <v>3082.3</v>
      </c>
      <c r="D71" s="1136">
        <v>19739.400000000001</v>
      </c>
      <c r="E71" s="1137">
        <v>202078.8</v>
      </c>
      <c r="F71" s="1136">
        <v>5495.4</v>
      </c>
      <c r="G71" s="1137">
        <v>5220.2</v>
      </c>
      <c r="H71" s="1136">
        <v>2.7</v>
      </c>
      <c r="I71" s="1136">
        <v>68.7</v>
      </c>
      <c r="J71" s="1138">
        <v>99270.1</v>
      </c>
      <c r="K71" s="1138">
        <v>366463.1</v>
      </c>
      <c r="L71" s="302"/>
      <c r="M71" s="302"/>
      <c r="N71" s="302"/>
      <c r="O71" s="302"/>
      <c r="P71" s="302"/>
    </row>
    <row r="72" spans="1:16" s="145" customFormat="1" hidden="1">
      <c r="A72" s="1021" t="s">
        <v>44</v>
      </c>
      <c r="B72" s="1136">
        <v>33308.800000000003</v>
      </c>
      <c r="C72" s="1137">
        <v>3076.9</v>
      </c>
      <c r="D72" s="1136">
        <v>19868</v>
      </c>
      <c r="E72" s="1137">
        <v>216800.4</v>
      </c>
      <c r="F72" s="1136">
        <v>5845.5</v>
      </c>
      <c r="G72" s="1137">
        <v>4288.1000000000004</v>
      </c>
      <c r="H72" s="1136">
        <v>2.7</v>
      </c>
      <c r="I72" s="1136">
        <v>4411.8999999999996</v>
      </c>
      <c r="J72" s="1138">
        <v>104035.50000000001</v>
      </c>
      <c r="K72" s="1138">
        <v>391637.8</v>
      </c>
      <c r="L72" s="302"/>
      <c r="M72" s="302"/>
      <c r="N72" s="302"/>
      <c r="O72" s="302"/>
      <c r="P72" s="302"/>
    </row>
    <row r="73" spans="1:16" s="145" customFormat="1" hidden="1">
      <c r="A73" s="1021" t="s">
        <v>45</v>
      </c>
      <c r="B73" s="1136">
        <v>33620.300000000003</v>
      </c>
      <c r="C73" s="1137">
        <v>3180.1</v>
      </c>
      <c r="D73" s="1136">
        <v>18805.400000000001</v>
      </c>
      <c r="E73" s="1137">
        <v>209825.1</v>
      </c>
      <c r="F73" s="1136">
        <v>6220.3</v>
      </c>
      <c r="G73" s="1137">
        <v>4877.3999999999996</v>
      </c>
      <c r="H73" s="1136">
        <v>2.7</v>
      </c>
      <c r="I73" s="1136">
        <v>26876.799999999999</v>
      </c>
      <c r="J73" s="1138">
        <v>105697.40000000001</v>
      </c>
      <c r="K73" s="1138">
        <v>409105.50000000006</v>
      </c>
      <c r="L73" s="302"/>
      <c r="M73" s="302"/>
      <c r="N73" s="302"/>
      <c r="O73" s="302"/>
      <c r="P73" s="302"/>
    </row>
    <row r="74" spans="1:16" s="145" customFormat="1" hidden="1">
      <c r="A74" s="1021" t="s">
        <v>46</v>
      </c>
      <c r="B74" s="1136">
        <v>34834</v>
      </c>
      <c r="C74" s="1137">
        <v>4237.2</v>
      </c>
      <c r="D74" s="1136">
        <v>17461.5</v>
      </c>
      <c r="E74" s="1137">
        <v>211687.6</v>
      </c>
      <c r="F74" s="1136">
        <v>6387.5</v>
      </c>
      <c r="G74" s="1137">
        <v>3245.5</v>
      </c>
      <c r="H74" s="1136">
        <v>2.7</v>
      </c>
      <c r="I74" s="1136">
        <v>30367.599999999999</v>
      </c>
      <c r="J74" s="1138">
        <v>114345.90000000001</v>
      </c>
      <c r="K74" s="1138">
        <v>422569.5</v>
      </c>
      <c r="L74" s="302"/>
      <c r="M74" s="302"/>
      <c r="N74" s="302"/>
      <c r="O74" s="302"/>
      <c r="P74" s="302"/>
    </row>
    <row r="75" spans="1:16" s="145" customFormat="1" hidden="1">
      <c r="A75" s="1021" t="s">
        <v>47</v>
      </c>
      <c r="B75" s="1136">
        <v>34959.199999999997</v>
      </c>
      <c r="C75" s="1137">
        <v>3369.3</v>
      </c>
      <c r="D75" s="1136">
        <v>18076.8</v>
      </c>
      <c r="E75" s="1137">
        <v>220493.5</v>
      </c>
      <c r="F75" s="1136">
        <v>6515.7</v>
      </c>
      <c r="G75" s="1137">
        <v>4815.8999999999996</v>
      </c>
      <c r="H75" s="1136">
        <v>2.7</v>
      </c>
      <c r="I75" s="1136">
        <v>26427.599999999999</v>
      </c>
      <c r="J75" s="1138">
        <v>115313.3</v>
      </c>
      <c r="K75" s="1138">
        <v>429974</v>
      </c>
      <c r="L75" s="302"/>
      <c r="M75" s="302"/>
      <c r="N75" s="302"/>
      <c r="O75" s="302"/>
      <c r="P75" s="302"/>
    </row>
    <row r="76" spans="1:16" s="145" customFormat="1" hidden="1">
      <c r="A76" s="1021" t="s">
        <v>48</v>
      </c>
      <c r="B76" s="1136">
        <v>36320.300000000003</v>
      </c>
      <c r="C76" s="1137">
        <v>3126.1</v>
      </c>
      <c r="D76" s="1136">
        <v>18837</v>
      </c>
      <c r="E76" s="1137">
        <v>224278.2</v>
      </c>
      <c r="F76" s="1136">
        <v>6651.5</v>
      </c>
      <c r="G76" s="1137">
        <v>3435.7</v>
      </c>
      <c r="H76" s="1136">
        <v>2.6</v>
      </c>
      <c r="I76" s="1136">
        <v>22407.4</v>
      </c>
      <c r="J76" s="1138">
        <v>119061.40000000001</v>
      </c>
      <c r="K76" s="1138">
        <v>434120.20000000007</v>
      </c>
      <c r="L76" s="302"/>
      <c r="M76" s="302"/>
      <c r="N76" s="302"/>
      <c r="O76" s="302"/>
      <c r="P76" s="302"/>
    </row>
    <row r="77" spans="1:16" s="145" customFormat="1" hidden="1">
      <c r="A77" s="1021" t="s">
        <v>49</v>
      </c>
      <c r="B77" s="1136">
        <v>36812.699999999997</v>
      </c>
      <c r="C77" s="1137">
        <v>3445.9</v>
      </c>
      <c r="D77" s="1136">
        <v>19545.599999999999</v>
      </c>
      <c r="E77" s="1137">
        <v>224784.6</v>
      </c>
      <c r="F77" s="1136">
        <v>6850</v>
      </c>
      <c r="G77" s="1137">
        <v>3459.5</v>
      </c>
      <c r="H77" s="1136">
        <v>2.7</v>
      </c>
      <c r="I77" s="1136">
        <v>19030.2</v>
      </c>
      <c r="J77" s="1138">
        <v>118623.8</v>
      </c>
      <c r="K77" s="1138">
        <v>432555</v>
      </c>
      <c r="L77" s="302"/>
      <c r="M77" s="302"/>
      <c r="N77" s="302"/>
      <c r="O77" s="302"/>
      <c r="P77" s="302"/>
    </row>
    <row r="78" spans="1:16" s="145" customFormat="1" hidden="1">
      <c r="A78" s="1021" t="s">
        <v>50</v>
      </c>
      <c r="B78" s="1136">
        <v>38356.800000000003</v>
      </c>
      <c r="C78" s="1137">
        <v>2920.9</v>
      </c>
      <c r="D78" s="1136">
        <v>19650.599999999999</v>
      </c>
      <c r="E78" s="1137">
        <v>230209.1</v>
      </c>
      <c r="F78" s="1136">
        <v>6985.2</v>
      </c>
      <c r="G78" s="1137">
        <v>2554.8000000000002</v>
      </c>
      <c r="H78" s="1136">
        <v>2.7</v>
      </c>
      <c r="I78" s="1136">
        <v>11102.2</v>
      </c>
      <c r="J78" s="1138">
        <v>121456.1</v>
      </c>
      <c r="K78" s="1138">
        <v>433238.4</v>
      </c>
      <c r="L78" s="302"/>
      <c r="M78" s="302"/>
      <c r="N78" s="302"/>
      <c r="O78" s="302"/>
      <c r="P78" s="302"/>
    </row>
    <row r="79" spans="1:16" s="145" customFormat="1" hidden="1">
      <c r="A79" s="1021"/>
      <c r="B79" s="1136"/>
      <c r="C79" s="1137"/>
      <c r="D79" s="1136"/>
      <c r="E79" s="1137"/>
      <c r="F79" s="1136"/>
      <c r="G79" s="1137"/>
      <c r="H79" s="1136"/>
      <c r="I79" s="1136"/>
      <c r="J79" s="1138"/>
      <c r="K79" s="1138"/>
      <c r="L79" s="302"/>
      <c r="M79" s="302"/>
      <c r="N79" s="302"/>
      <c r="O79" s="302"/>
      <c r="P79" s="302"/>
    </row>
    <row r="80" spans="1:16" s="145" customFormat="1" hidden="1">
      <c r="A80" s="1021" t="s">
        <v>57</v>
      </c>
      <c r="B80" s="1136">
        <v>39509.9</v>
      </c>
      <c r="C80" s="1137">
        <v>2841.6</v>
      </c>
      <c r="D80" s="1136">
        <v>19071.2</v>
      </c>
      <c r="E80" s="1137">
        <v>235097</v>
      </c>
      <c r="F80" s="1136">
        <v>7666.6</v>
      </c>
      <c r="G80" s="1137">
        <v>2646.2</v>
      </c>
      <c r="H80" s="1136">
        <v>2.7</v>
      </c>
      <c r="I80" s="1136">
        <v>9884.1</v>
      </c>
      <c r="J80" s="1138">
        <v>118175</v>
      </c>
      <c r="K80" s="1138">
        <v>434894.3</v>
      </c>
      <c r="L80" s="302"/>
      <c r="M80" s="302"/>
      <c r="N80" s="302"/>
      <c r="O80" s="302"/>
      <c r="P80" s="302"/>
    </row>
    <row r="81" spans="1:16" s="145" customFormat="1" hidden="1">
      <c r="A81" s="1021" t="s">
        <v>40</v>
      </c>
      <c r="B81" s="1136">
        <v>40283</v>
      </c>
      <c r="C81" s="1137">
        <v>2714.2</v>
      </c>
      <c r="D81" s="1136">
        <v>19787.3</v>
      </c>
      <c r="E81" s="1137">
        <v>247366.6</v>
      </c>
      <c r="F81" s="1136">
        <v>9481.6</v>
      </c>
      <c r="G81" s="1137">
        <v>2467.8000000000002</v>
      </c>
      <c r="H81" s="1136">
        <v>2.7</v>
      </c>
      <c r="I81" s="1136">
        <v>7121.6</v>
      </c>
      <c r="J81" s="1138">
        <v>118643.8</v>
      </c>
      <c r="K81" s="1138">
        <v>447868.59999999992</v>
      </c>
      <c r="L81" s="302"/>
      <c r="M81" s="302"/>
      <c r="N81" s="302"/>
      <c r="O81" s="302"/>
      <c r="P81" s="302"/>
    </row>
    <row r="82" spans="1:16" s="145" customFormat="1" hidden="1">
      <c r="A82" s="1021" t="s">
        <v>41</v>
      </c>
      <c r="B82" s="1136">
        <v>42038.2</v>
      </c>
      <c r="C82" s="1137">
        <v>2878</v>
      </c>
      <c r="D82" s="1136">
        <v>20717.099999999999</v>
      </c>
      <c r="E82" s="1137">
        <v>254750.5</v>
      </c>
      <c r="F82" s="1136">
        <v>9330.2999999999993</v>
      </c>
      <c r="G82" s="1137">
        <v>2358.3000000000002</v>
      </c>
      <c r="H82" s="1136">
        <v>2.7</v>
      </c>
      <c r="I82" s="1136">
        <v>4125.6000000000004</v>
      </c>
      <c r="J82" s="1138">
        <v>126451.29999999999</v>
      </c>
      <c r="K82" s="1138">
        <v>462651.99999999994</v>
      </c>
      <c r="L82" s="302"/>
      <c r="M82" s="302"/>
      <c r="N82" s="302"/>
      <c r="O82" s="302"/>
      <c r="P82" s="302"/>
    </row>
    <row r="83" spans="1:16" s="145" customFormat="1" hidden="1">
      <c r="A83" s="1021" t="s">
        <v>42</v>
      </c>
      <c r="B83" s="1136">
        <v>42292.6</v>
      </c>
      <c r="C83" s="1137">
        <v>2799.9</v>
      </c>
      <c r="D83" s="1136">
        <v>20537.3</v>
      </c>
      <c r="E83" s="1137">
        <v>259837.8</v>
      </c>
      <c r="F83" s="1136">
        <v>9361.9</v>
      </c>
      <c r="G83" s="1137">
        <v>1791.3</v>
      </c>
      <c r="H83" s="1136">
        <v>2.7</v>
      </c>
      <c r="I83" s="1136">
        <v>4097.1000000000004</v>
      </c>
      <c r="J83" s="1138">
        <v>129301.2</v>
      </c>
      <c r="K83" s="1138">
        <v>470021.8</v>
      </c>
      <c r="L83" s="302"/>
      <c r="M83" s="302"/>
      <c r="N83" s="302"/>
      <c r="O83" s="302"/>
      <c r="P83" s="302"/>
    </row>
    <row r="84" spans="1:16" s="145" customFormat="1" hidden="1">
      <c r="A84" s="1021" t="s">
        <v>43</v>
      </c>
      <c r="B84" s="1136">
        <v>42651.4</v>
      </c>
      <c r="C84" s="1137">
        <v>2354.3000000000002</v>
      </c>
      <c r="D84" s="1136">
        <v>20617.900000000001</v>
      </c>
      <c r="E84" s="1137">
        <v>262582.2</v>
      </c>
      <c r="F84" s="1136">
        <v>8628.7000000000007</v>
      </c>
      <c r="G84" s="1137">
        <v>1833.6</v>
      </c>
      <c r="H84" s="1136">
        <v>2.7</v>
      </c>
      <c r="I84" s="1136">
        <v>3612.2</v>
      </c>
      <c r="J84" s="1138">
        <v>149103.20000000001</v>
      </c>
      <c r="K84" s="1138">
        <v>491386.20000000007</v>
      </c>
      <c r="L84" s="302"/>
      <c r="M84" s="302"/>
      <c r="N84" s="302"/>
      <c r="O84" s="302"/>
      <c r="P84" s="302"/>
    </row>
    <row r="85" spans="1:16" s="145" customFormat="1" hidden="1">
      <c r="A85" s="1021" t="s">
        <v>44</v>
      </c>
      <c r="B85" s="1136">
        <v>44673.1</v>
      </c>
      <c r="C85" s="1137">
        <v>2058.6999999999998</v>
      </c>
      <c r="D85" s="1136">
        <v>25101.200000000001</v>
      </c>
      <c r="E85" s="1137">
        <v>274623.5</v>
      </c>
      <c r="F85" s="1136">
        <v>9996.2000000000007</v>
      </c>
      <c r="G85" s="1137">
        <v>1821.3</v>
      </c>
      <c r="H85" s="1136">
        <v>2.7</v>
      </c>
      <c r="I85" s="1136">
        <v>11213.1</v>
      </c>
      <c r="J85" s="1138">
        <v>151359.20000000001</v>
      </c>
      <c r="K85" s="1138">
        <v>520849</v>
      </c>
      <c r="L85" s="302"/>
      <c r="M85" s="302"/>
      <c r="N85" s="302"/>
      <c r="O85" s="302"/>
      <c r="P85" s="302"/>
    </row>
    <row r="86" spans="1:16" s="145" customFormat="1" hidden="1">
      <c r="A86" s="1021" t="s">
        <v>45</v>
      </c>
      <c r="B86" s="1136">
        <v>46361</v>
      </c>
      <c r="C86" s="1137">
        <v>2061</v>
      </c>
      <c r="D86" s="1136">
        <v>21925.599999999999</v>
      </c>
      <c r="E86" s="1137">
        <v>283624.8</v>
      </c>
      <c r="F86" s="1136">
        <v>10079.5</v>
      </c>
      <c r="G86" s="1137">
        <v>1921.7</v>
      </c>
      <c r="H86" s="1136">
        <v>2.7</v>
      </c>
      <c r="I86" s="1136">
        <v>23780.1</v>
      </c>
      <c r="J86" s="1138">
        <v>149039.20000000001</v>
      </c>
      <c r="K86" s="1138">
        <v>538795.60000000009</v>
      </c>
      <c r="L86" s="302"/>
      <c r="M86" s="302"/>
      <c r="N86" s="302"/>
      <c r="O86" s="302"/>
      <c r="P86" s="302"/>
    </row>
    <row r="87" spans="1:16" s="145" customFormat="1" hidden="1">
      <c r="A87" s="1021" t="s">
        <v>46</v>
      </c>
      <c r="B87" s="1136">
        <v>47165</v>
      </c>
      <c r="C87" s="1137">
        <v>2213.1</v>
      </c>
      <c r="D87" s="1136">
        <v>23078.9</v>
      </c>
      <c r="E87" s="1137">
        <v>300275.59999999998</v>
      </c>
      <c r="F87" s="1136">
        <v>10089.700000000001</v>
      </c>
      <c r="G87" s="1137">
        <v>2050.5</v>
      </c>
      <c r="H87" s="1136">
        <v>2.7</v>
      </c>
      <c r="I87" s="1136">
        <v>29806.5</v>
      </c>
      <c r="J87" s="1138">
        <v>141485.6</v>
      </c>
      <c r="K87" s="1138">
        <v>556167.6</v>
      </c>
      <c r="L87" s="302"/>
      <c r="M87" s="302"/>
      <c r="N87" s="302"/>
      <c r="O87" s="302"/>
      <c r="P87" s="302"/>
    </row>
    <row r="88" spans="1:16" s="145" customFormat="1" hidden="1">
      <c r="A88" s="1021" t="s">
        <v>47</v>
      </c>
      <c r="B88" s="1136">
        <v>47606.3</v>
      </c>
      <c r="C88" s="1137">
        <v>2351.8000000000002</v>
      </c>
      <c r="D88" s="1136">
        <v>23238.1</v>
      </c>
      <c r="E88" s="1137">
        <v>299125.8</v>
      </c>
      <c r="F88" s="1136">
        <v>10794.5</v>
      </c>
      <c r="G88" s="1137">
        <v>2039.5</v>
      </c>
      <c r="H88" s="1136">
        <v>2.7</v>
      </c>
      <c r="I88" s="1136">
        <v>27565.200000000001</v>
      </c>
      <c r="J88" s="1138">
        <v>151785.4</v>
      </c>
      <c r="K88" s="1138">
        <v>564509.30000000005</v>
      </c>
      <c r="L88" s="302"/>
      <c r="M88" s="302"/>
      <c r="N88" s="302"/>
      <c r="O88" s="302"/>
      <c r="P88" s="302"/>
    </row>
    <row r="89" spans="1:16" s="145" customFormat="1" hidden="1">
      <c r="A89" s="1021" t="s">
        <v>48</v>
      </c>
      <c r="B89" s="1136">
        <v>48524.6</v>
      </c>
      <c r="C89" s="1137">
        <v>2315.3000000000002</v>
      </c>
      <c r="D89" s="1136">
        <v>28042.1</v>
      </c>
      <c r="E89" s="1137">
        <v>323707.8</v>
      </c>
      <c r="F89" s="1136">
        <v>10955.3</v>
      </c>
      <c r="G89" s="1137">
        <v>1988.6</v>
      </c>
      <c r="H89" s="1136">
        <v>2.7</v>
      </c>
      <c r="I89" s="1136">
        <v>22419.8</v>
      </c>
      <c r="J89" s="1138">
        <v>141369.59999999998</v>
      </c>
      <c r="K89" s="1138">
        <v>579325.79999999993</v>
      </c>
      <c r="L89" s="302"/>
      <c r="M89" s="302"/>
      <c r="N89" s="302"/>
      <c r="O89" s="302"/>
      <c r="P89" s="302"/>
    </row>
    <row r="90" spans="1:16" s="145" customFormat="1" hidden="1">
      <c r="A90" s="1021" t="s">
        <v>49</v>
      </c>
      <c r="B90" s="1136">
        <v>47862.2</v>
      </c>
      <c r="C90" s="1137">
        <v>2377.4</v>
      </c>
      <c r="D90" s="1136">
        <v>23338.1</v>
      </c>
      <c r="E90" s="1137">
        <v>333887.3</v>
      </c>
      <c r="F90" s="1136">
        <v>9967.2999999999993</v>
      </c>
      <c r="G90" s="1137">
        <v>1987.9</v>
      </c>
      <c r="H90" s="1136">
        <v>2.7</v>
      </c>
      <c r="I90" s="1136">
        <v>18628.400000000001</v>
      </c>
      <c r="J90" s="1138">
        <v>148878.09999999998</v>
      </c>
      <c r="K90" s="1138">
        <v>586929.4</v>
      </c>
      <c r="L90" s="302"/>
      <c r="M90" s="302"/>
      <c r="N90" s="302"/>
      <c r="O90" s="302"/>
      <c r="P90" s="302"/>
    </row>
    <row r="91" spans="1:16" s="145" customFormat="1" hidden="1">
      <c r="A91" s="1021" t="s">
        <v>50</v>
      </c>
      <c r="B91" s="1136">
        <v>47956</v>
      </c>
      <c r="C91" s="1137">
        <v>2321.8000000000002</v>
      </c>
      <c r="D91" s="1136">
        <v>23974.1</v>
      </c>
      <c r="E91" s="1137">
        <v>322362.2</v>
      </c>
      <c r="F91" s="1136">
        <v>11349.1</v>
      </c>
      <c r="G91" s="1137">
        <v>1999.1</v>
      </c>
      <c r="H91" s="1136">
        <v>2.7</v>
      </c>
      <c r="I91" s="1136">
        <v>14769.5</v>
      </c>
      <c r="J91" s="1138">
        <v>150570.1</v>
      </c>
      <c r="K91" s="1138">
        <v>575304.6</v>
      </c>
      <c r="L91" s="302"/>
      <c r="M91" s="302"/>
      <c r="N91" s="302"/>
      <c r="O91" s="302"/>
      <c r="P91" s="302"/>
    </row>
    <row r="92" spans="1:16" s="145" customFormat="1" hidden="1">
      <c r="A92" s="214"/>
      <c r="B92" s="1136"/>
      <c r="C92" s="1137"/>
      <c r="D92" s="1136"/>
      <c r="E92" s="1137"/>
      <c r="F92" s="1136"/>
      <c r="G92" s="1137"/>
      <c r="H92" s="1136"/>
      <c r="I92" s="1136"/>
      <c r="J92" s="1138"/>
      <c r="K92" s="1138"/>
      <c r="L92" s="302"/>
      <c r="M92" s="302"/>
      <c r="N92" s="302"/>
      <c r="O92" s="302"/>
      <c r="P92" s="302"/>
    </row>
    <row r="93" spans="1:16" s="145" customFormat="1" hidden="1">
      <c r="A93" s="1021" t="s">
        <v>56</v>
      </c>
      <c r="B93" s="1136">
        <v>48014.9</v>
      </c>
      <c r="C93" s="1137">
        <v>2289.6999999999998</v>
      </c>
      <c r="D93" s="1136">
        <v>24075.5</v>
      </c>
      <c r="E93" s="1137">
        <v>329931</v>
      </c>
      <c r="F93" s="1136">
        <v>11327.2</v>
      </c>
      <c r="G93" s="1137">
        <v>2067.6</v>
      </c>
      <c r="H93" s="1136">
        <v>2.7</v>
      </c>
      <c r="I93" s="1136">
        <v>9051.9</v>
      </c>
      <c r="J93" s="1138">
        <v>149423.1</v>
      </c>
      <c r="K93" s="1138">
        <v>576183.6</v>
      </c>
      <c r="L93" s="302"/>
      <c r="M93" s="302"/>
      <c r="N93" s="302"/>
      <c r="O93" s="302"/>
      <c r="P93" s="302"/>
    </row>
    <row r="94" spans="1:16" s="145" customFormat="1" hidden="1">
      <c r="A94" s="1021" t="s">
        <v>40</v>
      </c>
      <c r="B94" s="1136">
        <v>47736.7</v>
      </c>
      <c r="C94" s="1137">
        <v>2131.3000000000002</v>
      </c>
      <c r="D94" s="1136">
        <v>27369.8</v>
      </c>
      <c r="E94" s="1137">
        <v>326419.5</v>
      </c>
      <c r="F94" s="1136">
        <v>11073.4</v>
      </c>
      <c r="G94" s="1137">
        <v>2095.9</v>
      </c>
      <c r="H94" s="1136">
        <v>2.7</v>
      </c>
      <c r="I94" s="1136">
        <v>6469.9</v>
      </c>
      <c r="J94" s="1138">
        <v>153709.69999999998</v>
      </c>
      <c r="K94" s="1138">
        <v>577008.9</v>
      </c>
      <c r="L94" s="302"/>
      <c r="M94" s="302"/>
      <c r="N94" s="302"/>
      <c r="O94" s="302"/>
      <c r="P94" s="302"/>
    </row>
    <row r="95" spans="1:16" s="145" customFormat="1" hidden="1">
      <c r="A95" s="1021" t="s">
        <v>41</v>
      </c>
      <c r="B95" s="1136">
        <v>49099.9</v>
      </c>
      <c r="C95" s="1137">
        <v>2143.4</v>
      </c>
      <c r="D95" s="1136">
        <v>28474.5</v>
      </c>
      <c r="E95" s="1137">
        <v>343742.5</v>
      </c>
      <c r="F95" s="1136">
        <v>11264.6</v>
      </c>
      <c r="G95" s="1137">
        <v>2208.6</v>
      </c>
      <c r="H95" s="1136">
        <v>2.7</v>
      </c>
      <c r="I95" s="1136">
        <v>4349.3</v>
      </c>
      <c r="J95" s="1138">
        <v>151831.19999999998</v>
      </c>
      <c r="K95" s="1138">
        <v>593116.69999999995</v>
      </c>
      <c r="L95" s="302"/>
      <c r="M95" s="302"/>
      <c r="N95" s="302"/>
      <c r="O95" s="302"/>
      <c r="P95" s="302"/>
    </row>
    <row r="96" spans="1:16" s="145" customFormat="1" hidden="1">
      <c r="A96" s="1021" t="s">
        <v>42</v>
      </c>
      <c r="B96" s="1136">
        <v>49571.199999999997</v>
      </c>
      <c r="C96" s="1137">
        <v>2462.1</v>
      </c>
      <c r="D96" s="1136">
        <v>29112.5</v>
      </c>
      <c r="E96" s="1137">
        <v>346914.4</v>
      </c>
      <c r="F96" s="1136">
        <v>8623.4</v>
      </c>
      <c r="G96" s="1137">
        <v>2213.4</v>
      </c>
      <c r="H96" s="1136">
        <v>2.4</v>
      </c>
      <c r="I96" s="1136">
        <v>3583.8</v>
      </c>
      <c r="J96" s="1138">
        <v>156268.70000000001</v>
      </c>
      <c r="K96" s="1138">
        <v>598751.90000000014</v>
      </c>
      <c r="L96" s="302"/>
      <c r="M96" s="302"/>
      <c r="N96" s="302"/>
      <c r="O96" s="302"/>
      <c r="P96" s="302"/>
    </row>
    <row r="97" spans="1:16" s="145" customFormat="1" hidden="1">
      <c r="A97" s="1021" t="s">
        <v>43</v>
      </c>
      <c r="B97" s="1136">
        <v>48764</v>
      </c>
      <c r="C97" s="1137">
        <v>2563.6</v>
      </c>
      <c r="D97" s="1136">
        <v>33272.800000000003</v>
      </c>
      <c r="E97" s="1137">
        <v>366235.4</v>
      </c>
      <c r="F97" s="1136">
        <v>11770</v>
      </c>
      <c r="G97" s="1137">
        <v>2196.1</v>
      </c>
      <c r="H97" s="1136">
        <v>2.2000000000000002</v>
      </c>
      <c r="I97" s="1136">
        <v>7700.9</v>
      </c>
      <c r="J97" s="1138">
        <v>157331.40000000002</v>
      </c>
      <c r="K97" s="1138">
        <v>629836.40000000014</v>
      </c>
      <c r="L97" s="302"/>
      <c r="M97" s="302"/>
      <c r="N97" s="302"/>
      <c r="O97" s="302"/>
      <c r="P97" s="302"/>
    </row>
    <row r="98" spans="1:16" s="145" customFormat="1" hidden="1">
      <c r="A98" s="1021" t="s">
        <v>44</v>
      </c>
      <c r="B98" s="1136">
        <v>50248</v>
      </c>
      <c r="C98" s="1137">
        <v>2884.8</v>
      </c>
      <c r="D98" s="1136">
        <v>35829.800000000003</v>
      </c>
      <c r="E98" s="1137">
        <v>367475.5</v>
      </c>
      <c r="F98" s="1136">
        <v>11962.7</v>
      </c>
      <c r="G98" s="1137">
        <v>2235.1</v>
      </c>
      <c r="H98" s="1136">
        <v>1.9</v>
      </c>
      <c r="I98" s="1136">
        <v>13069.5</v>
      </c>
      <c r="J98" s="1138">
        <v>162910.70000000001</v>
      </c>
      <c r="K98" s="1138">
        <v>646618</v>
      </c>
      <c r="L98" s="302"/>
      <c r="M98" s="302"/>
      <c r="N98" s="302"/>
      <c r="O98" s="302"/>
      <c r="P98" s="302"/>
    </row>
    <row r="99" spans="1:16" s="145" customFormat="1" hidden="1">
      <c r="A99" s="1021" t="s">
        <v>45</v>
      </c>
      <c r="B99" s="1136">
        <v>49861.599999999999</v>
      </c>
      <c r="C99" s="1137">
        <v>2865.8</v>
      </c>
      <c r="D99" s="1136">
        <v>30662.799999999999</v>
      </c>
      <c r="E99" s="1137">
        <v>364752.8</v>
      </c>
      <c r="F99" s="1136">
        <v>12009.1</v>
      </c>
      <c r="G99" s="1137">
        <v>2260.5</v>
      </c>
      <c r="H99" s="1136">
        <v>1.7</v>
      </c>
      <c r="I99" s="1136">
        <v>18130.400000000001</v>
      </c>
      <c r="J99" s="1138">
        <v>167484.5</v>
      </c>
      <c r="K99" s="1138">
        <v>648029.19999999995</v>
      </c>
      <c r="L99" s="302"/>
      <c r="M99" s="302"/>
      <c r="N99" s="302"/>
      <c r="O99" s="302"/>
      <c r="P99" s="302"/>
    </row>
    <row r="100" spans="1:16" s="145" customFormat="1" hidden="1">
      <c r="A100" s="1021" t="s">
        <v>46</v>
      </c>
      <c r="B100" s="1136">
        <v>51387.199999999997</v>
      </c>
      <c r="C100" s="1137">
        <v>2747.8</v>
      </c>
      <c r="D100" s="1136">
        <v>37304.400000000001</v>
      </c>
      <c r="E100" s="1137">
        <v>358044.4</v>
      </c>
      <c r="F100" s="1136">
        <v>12244.5</v>
      </c>
      <c r="G100" s="1137">
        <v>2737.5</v>
      </c>
      <c r="H100" s="1136">
        <v>3.6</v>
      </c>
      <c r="I100" s="1136">
        <v>29254.3</v>
      </c>
      <c r="J100" s="1138">
        <v>171239.2</v>
      </c>
      <c r="K100" s="1138">
        <v>664962.9</v>
      </c>
      <c r="L100" s="302"/>
      <c r="M100" s="302"/>
      <c r="N100" s="302"/>
      <c r="O100" s="302"/>
      <c r="P100" s="302"/>
    </row>
    <row r="101" spans="1:16" s="145" customFormat="1" hidden="1">
      <c r="A101" s="1021" t="s">
        <v>47</v>
      </c>
      <c r="B101" s="1136">
        <v>51978.6</v>
      </c>
      <c r="C101" s="1137">
        <v>2383.1</v>
      </c>
      <c r="D101" s="1136">
        <v>33285.4</v>
      </c>
      <c r="E101" s="1137">
        <v>367523.1</v>
      </c>
      <c r="F101" s="1136">
        <v>11677.2</v>
      </c>
      <c r="G101" s="1137">
        <v>2781.4</v>
      </c>
      <c r="H101" s="1136">
        <v>3.4</v>
      </c>
      <c r="I101" s="1136">
        <v>25039.7</v>
      </c>
      <c r="J101" s="1138">
        <v>163826.29999999999</v>
      </c>
      <c r="K101" s="1138">
        <v>658498.19999999995</v>
      </c>
      <c r="L101" s="302"/>
      <c r="M101" s="302"/>
      <c r="N101" s="302"/>
      <c r="O101" s="302"/>
      <c r="P101" s="302"/>
    </row>
    <row r="102" spans="1:16" s="145" customFormat="1" hidden="1">
      <c r="A102" s="1021" t="s">
        <v>48</v>
      </c>
      <c r="B102" s="1136">
        <v>51823</v>
      </c>
      <c r="C102" s="1137">
        <v>2392.4</v>
      </c>
      <c r="D102" s="1136">
        <v>39892.800000000003</v>
      </c>
      <c r="E102" s="1137">
        <v>378130</v>
      </c>
      <c r="F102" s="1136">
        <v>14008.3</v>
      </c>
      <c r="G102" s="1137">
        <v>2847.6</v>
      </c>
      <c r="H102" s="1136">
        <v>3.2</v>
      </c>
      <c r="I102" s="1136">
        <v>16832.5</v>
      </c>
      <c r="J102" s="1138">
        <v>161989.80000000002</v>
      </c>
      <c r="K102" s="1138">
        <v>667919.6</v>
      </c>
      <c r="L102" s="302"/>
      <c r="M102" s="302"/>
      <c r="N102" s="302"/>
      <c r="O102" s="302"/>
      <c r="P102" s="302"/>
    </row>
    <row r="103" spans="1:16" s="145" customFormat="1" hidden="1">
      <c r="A103" s="1021" t="s">
        <v>49</v>
      </c>
      <c r="B103" s="1136">
        <v>52245.4</v>
      </c>
      <c r="C103" s="1137">
        <v>2341.1999999999998</v>
      </c>
      <c r="D103" s="1136">
        <v>41832.199999999997</v>
      </c>
      <c r="E103" s="1137">
        <v>370879.1</v>
      </c>
      <c r="F103" s="1136">
        <v>14700.4</v>
      </c>
      <c r="G103" s="1137">
        <v>2796</v>
      </c>
      <c r="H103" s="1136">
        <v>2.9</v>
      </c>
      <c r="I103" s="1136">
        <v>11872.9</v>
      </c>
      <c r="J103" s="1138">
        <v>169605.8</v>
      </c>
      <c r="K103" s="1138">
        <v>666275.9</v>
      </c>
      <c r="L103" s="302"/>
      <c r="M103" s="302"/>
      <c r="N103" s="302"/>
      <c r="O103" s="302"/>
      <c r="P103" s="302"/>
    </row>
    <row r="104" spans="1:16" s="145" customFormat="1" hidden="1">
      <c r="A104" s="1021" t="s">
        <v>50</v>
      </c>
      <c r="B104" s="1136">
        <v>52420</v>
      </c>
      <c r="C104" s="1137">
        <v>2288</v>
      </c>
      <c r="D104" s="1136">
        <v>32871.4</v>
      </c>
      <c r="E104" s="1137">
        <v>361388.1</v>
      </c>
      <c r="F104" s="1136">
        <v>20206.7</v>
      </c>
      <c r="G104" s="1137">
        <v>2416.1</v>
      </c>
      <c r="H104" s="1136">
        <v>2.7</v>
      </c>
      <c r="I104" s="1136">
        <v>10386.6</v>
      </c>
      <c r="J104" s="1138">
        <v>169781.09999999998</v>
      </c>
      <c r="K104" s="1138">
        <v>651760.69999999995</v>
      </c>
      <c r="L104" s="302"/>
      <c r="M104" s="302"/>
      <c r="N104" s="302"/>
      <c r="O104" s="302"/>
      <c r="P104" s="302"/>
    </row>
    <row r="105" spans="1:16" s="145" customFormat="1" hidden="1">
      <c r="A105" s="1021"/>
      <c r="B105" s="1136"/>
      <c r="C105" s="1137"/>
      <c r="D105" s="1136"/>
      <c r="E105" s="1137"/>
      <c r="F105" s="1136"/>
      <c r="G105" s="1137"/>
      <c r="H105" s="1136"/>
      <c r="I105" s="1136"/>
      <c r="J105" s="1138"/>
      <c r="K105" s="1138"/>
      <c r="L105" s="302"/>
      <c r="M105" s="302"/>
      <c r="N105" s="302"/>
      <c r="O105" s="302"/>
      <c r="P105" s="302"/>
    </row>
    <row r="106" spans="1:16" s="145" customFormat="1" hidden="1">
      <c r="A106" s="1021" t="s">
        <v>55</v>
      </c>
      <c r="B106" s="1136">
        <v>52498.5</v>
      </c>
      <c r="C106" s="1137">
        <v>1963.1</v>
      </c>
      <c r="D106" s="1136">
        <v>37982.800000000003</v>
      </c>
      <c r="E106" s="1137">
        <v>368378.7</v>
      </c>
      <c r="F106" s="1136">
        <v>20664.099999999999</v>
      </c>
      <c r="G106" s="1137">
        <v>2768.3</v>
      </c>
      <c r="H106" s="1136">
        <v>2.6</v>
      </c>
      <c r="I106" s="1136">
        <v>7703.3</v>
      </c>
      <c r="J106" s="1138">
        <v>168898.3</v>
      </c>
      <c r="K106" s="1138">
        <v>660859.69999999995</v>
      </c>
      <c r="L106" s="302"/>
      <c r="M106" s="302"/>
      <c r="N106" s="302"/>
      <c r="O106" s="302"/>
      <c r="P106" s="302"/>
    </row>
    <row r="107" spans="1:16" s="145" customFormat="1" hidden="1">
      <c r="A107" s="1021" t="s">
        <v>40</v>
      </c>
      <c r="B107" s="1136">
        <v>52538.5</v>
      </c>
      <c r="C107" s="1137">
        <v>1931.2</v>
      </c>
      <c r="D107" s="1136">
        <v>33531.699999999997</v>
      </c>
      <c r="E107" s="1137">
        <v>376662.2</v>
      </c>
      <c r="F107" s="1136">
        <v>21165.1</v>
      </c>
      <c r="G107" s="1137">
        <v>2624.8</v>
      </c>
      <c r="H107" s="1136">
        <v>2.2000000000000002</v>
      </c>
      <c r="I107" s="1136">
        <v>6931.1</v>
      </c>
      <c r="J107" s="1138">
        <v>169334.7</v>
      </c>
      <c r="K107" s="1138">
        <v>664721.5</v>
      </c>
      <c r="L107" s="302"/>
      <c r="M107" s="302"/>
      <c r="N107" s="302"/>
      <c r="O107" s="302"/>
      <c r="P107" s="302"/>
    </row>
    <row r="108" spans="1:16" s="145" customFormat="1" hidden="1">
      <c r="A108" s="1021" t="s">
        <v>41</v>
      </c>
      <c r="B108" s="1136">
        <v>54368</v>
      </c>
      <c r="C108" s="1137">
        <v>2045.7</v>
      </c>
      <c r="D108" s="1136">
        <v>38013.5</v>
      </c>
      <c r="E108" s="1137">
        <v>384599.3</v>
      </c>
      <c r="F108" s="1136">
        <v>21423.599999999999</v>
      </c>
      <c r="G108" s="1137">
        <v>2638.5</v>
      </c>
      <c r="H108" s="1136">
        <v>2.2000000000000002</v>
      </c>
      <c r="I108" s="1136">
        <v>6420.5</v>
      </c>
      <c r="J108" s="1138">
        <v>170946.4</v>
      </c>
      <c r="K108" s="1138">
        <v>680457.7</v>
      </c>
      <c r="L108" s="302"/>
      <c r="M108" s="302"/>
      <c r="N108" s="302"/>
      <c r="O108" s="302"/>
      <c r="P108" s="302"/>
    </row>
    <row r="109" spans="1:16" s="145" customFormat="1" hidden="1">
      <c r="A109" s="1021" t="s">
        <v>42</v>
      </c>
      <c r="B109" s="1136">
        <v>54865.599999999999</v>
      </c>
      <c r="C109" s="1137">
        <v>2439.1999999999998</v>
      </c>
      <c r="D109" s="1136">
        <v>37278.6</v>
      </c>
      <c r="E109" s="1137">
        <v>379287.9</v>
      </c>
      <c r="F109" s="1136">
        <v>21372.9</v>
      </c>
      <c r="G109" s="1137">
        <v>2767.3</v>
      </c>
      <c r="H109" s="1136">
        <v>1.8</v>
      </c>
      <c r="I109" s="1136">
        <v>4460.7</v>
      </c>
      <c r="J109" s="1138">
        <v>174418.40000000002</v>
      </c>
      <c r="K109" s="1138">
        <v>676892.40000000014</v>
      </c>
      <c r="L109" s="302"/>
      <c r="M109" s="302"/>
      <c r="N109" s="302"/>
      <c r="O109" s="302"/>
      <c r="P109" s="302"/>
    </row>
    <row r="110" spans="1:16" s="145" customFormat="1" hidden="1">
      <c r="A110" s="1021" t="s">
        <v>43</v>
      </c>
      <c r="B110" s="1136">
        <v>56354.400000000001</v>
      </c>
      <c r="C110" s="1137">
        <v>2246.4</v>
      </c>
      <c r="D110" s="1136">
        <v>40168.699999999997</v>
      </c>
      <c r="E110" s="1137">
        <v>379812.9</v>
      </c>
      <c r="F110" s="1136">
        <v>21383.5</v>
      </c>
      <c r="G110" s="1137">
        <v>2791.9</v>
      </c>
      <c r="H110" s="1136">
        <v>1.7</v>
      </c>
      <c r="I110" s="1136">
        <v>2951.5</v>
      </c>
      <c r="J110" s="1138">
        <v>175590.3</v>
      </c>
      <c r="K110" s="1138">
        <v>681301.3</v>
      </c>
      <c r="L110" s="302"/>
      <c r="M110" s="302"/>
      <c r="N110" s="302"/>
      <c r="O110" s="302"/>
      <c r="P110" s="302"/>
    </row>
    <row r="111" spans="1:16" s="145" customFormat="1" hidden="1">
      <c r="A111" s="1021" t="s">
        <v>44</v>
      </c>
      <c r="B111" s="1136">
        <v>50739</v>
      </c>
      <c r="C111" s="1137">
        <v>2911.2</v>
      </c>
      <c r="D111" s="1136">
        <v>40810.699999999997</v>
      </c>
      <c r="E111" s="1137">
        <v>380962</v>
      </c>
      <c r="F111" s="1136">
        <v>21768.2</v>
      </c>
      <c r="G111" s="1137">
        <v>2815</v>
      </c>
      <c r="H111" s="1136">
        <v>1.3</v>
      </c>
      <c r="I111" s="1136">
        <v>2281.3000000000002</v>
      </c>
      <c r="J111" s="1138">
        <v>185208.19999999998</v>
      </c>
      <c r="K111" s="1138">
        <v>687496.9</v>
      </c>
      <c r="L111" s="302"/>
      <c r="M111" s="302"/>
      <c r="N111" s="302"/>
      <c r="O111" s="302"/>
      <c r="P111" s="302"/>
    </row>
    <row r="112" spans="1:16" s="145" customFormat="1" hidden="1">
      <c r="A112" s="1021" t="s">
        <v>45</v>
      </c>
      <c r="B112" s="1136">
        <v>50986</v>
      </c>
      <c r="C112" s="1137">
        <v>4198.1000000000004</v>
      </c>
      <c r="D112" s="1136">
        <v>33407.4</v>
      </c>
      <c r="E112" s="1137">
        <v>387148.9</v>
      </c>
      <c r="F112" s="1136">
        <v>22675.7</v>
      </c>
      <c r="G112" s="1137">
        <v>3423.7</v>
      </c>
      <c r="H112" s="1136">
        <v>1.4</v>
      </c>
      <c r="I112" s="1136">
        <v>4965.3</v>
      </c>
      <c r="J112" s="1138">
        <v>191141.1</v>
      </c>
      <c r="K112" s="1138">
        <v>697947.60000000009</v>
      </c>
      <c r="L112" s="302"/>
      <c r="M112" s="302"/>
      <c r="N112" s="302"/>
      <c r="O112" s="302"/>
      <c r="P112" s="302"/>
    </row>
    <row r="113" spans="1:16" s="145" customFormat="1" hidden="1">
      <c r="A113" s="1021" t="s">
        <v>46</v>
      </c>
      <c r="B113" s="1136">
        <v>51063</v>
      </c>
      <c r="C113" s="1137">
        <v>3197.1</v>
      </c>
      <c r="D113" s="1136">
        <v>36577</v>
      </c>
      <c r="E113" s="1137">
        <v>377807.5</v>
      </c>
      <c r="F113" s="1136">
        <v>24541.1</v>
      </c>
      <c r="G113" s="1137">
        <v>4279.8</v>
      </c>
      <c r="H113" s="1136">
        <v>1.2</v>
      </c>
      <c r="I113" s="1136">
        <v>7624.9</v>
      </c>
      <c r="J113" s="1138">
        <v>194591.7</v>
      </c>
      <c r="K113" s="1138">
        <v>699683.3</v>
      </c>
      <c r="L113" s="302"/>
      <c r="M113" s="302"/>
      <c r="N113" s="302"/>
      <c r="O113" s="302"/>
      <c r="P113" s="302"/>
    </row>
    <row r="114" spans="1:16" s="145" customFormat="1" hidden="1">
      <c r="A114" s="1021" t="s">
        <v>47</v>
      </c>
      <c r="B114" s="1136">
        <v>51956.1</v>
      </c>
      <c r="C114" s="1137">
        <v>3976.9</v>
      </c>
      <c r="D114" s="1136">
        <v>38731.4</v>
      </c>
      <c r="E114" s="1137">
        <v>374248.2</v>
      </c>
      <c r="F114" s="1136">
        <v>29934</v>
      </c>
      <c r="G114" s="1137">
        <v>4325.6000000000004</v>
      </c>
      <c r="H114" s="1136" t="s">
        <v>88</v>
      </c>
      <c r="I114" s="1136">
        <v>10040.6</v>
      </c>
      <c r="J114" s="1138">
        <v>203455.2</v>
      </c>
      <c r="K114" s="1138">
        <v>716668</v>
      </c>
      <c r="L114" s="302"/>
      <c r="M114" s="302"/>
      <c r="N114" s="302"/>
      <c r="O114" s="302"/>
      <c r="P114" s="302"/>
    </row>
    <row r="115" spans="1:16" s="145" customFormat="1" hidden="1">
      <c r="A115" s="1021" t="s">
        <v>48</v>
      </c>
      <c r="B115" s="1136">
        <v>48653.4</v>
      </c>
      <c r="C115" s="1137">
        <v>3800.7</v>
      </c>
      <c r="D115" s="1136">
        <v>44262.9</v>
      </c>
      <c r="E115" s="1137">
        <v>363908.8</v>
      </c>
      <c r="F115" s="1136">
        <v>30169.200000000001</v>
      </c>
      <c r="G115" s="1137">
        <v>4534.8</v>
      </c>
      <c r="H115" s="1136" t="s">
        <v>88</v>
      </c>
      <c r="I115" s="1136">
        <v>8334</v>
      </c>
      <c r="J115" s="1138">
        <v>206507.6</v>
      </c>
      <c r="K115" s="1138">
        <v>710171.4</v>
      </c>
      <c r="L115" s="302"/>
      <c r="M115" s="302"/>
      <c r="N115" s="302"/>
      <c r="O115" s="302"/>
      <c r="P115" s="302"/>
    </row>
    <row r="116" spans="1:16" s="145" customFormat="1" hidden="1">
      <c r="A116" s="1021" t="s">
        <v>49</v>
      </c>
      <c r="B116" s="1136">
        <v>49303.9</v>
      </c>
      <c r="C116" s="1137">
        <v>3867.7</v>
      </c>
      <c r="D116" s="1136">
        <v>44975.6</v>
      </c>
      <c r="E116" s="1137">
        <v>361374.4</v>
      </c>
      <c r="F116" s="1136">
        <v>29922.1</v>
      </c>
      <c r="G116" s="1137">
        <v>4476.3999999999996</v>
      </c>
      <c r="H116" s="1136" t="s">
        <v>88</v>
      </c>
      <c r="I116" s="1136">
        <v>8018.1</v>
      </c>
      <c r="J116" s="1138">
        <v>207075.80000000002</v>
      </c>
      <c r="K116" s="1138">
        <v>709014</v>
      </c>
      <c r="L116" s="302"/>
      <c r="M116" s="302"/>
      <c r="N116" s="302"/>
      <c r="O116" s="302"/>
      <c r="P116" s="302"/>
    </row>
    <row r="117" spans="1:16" s="145" customFormat="1" hidden="1">
      <c r="A117" s="1021" t="s">
        <v>50</v>
      </c>
      <c r="B117" s="1136">
        <v>47944.1</v>
      </c>
      <c r="C117" s="1137">
        <v>3995.1</v>
      </c>
      <c r="D117" s="1136">
        <v>42262.7</v>
      </c>
      <c r="E117" s="1137">
        <v>364183.3</v>
      </c>
      <c r="F117" s="1136">
        <v>25710.400000000001</v>
      </c>
      <c r="G117" s="1137">
        <v>2888</v>
      </c>
      <c r="H117" s="1136" t="s">
        <v>88</v>
      </c>
      <c r="I117" s="1136">
        <v>6959.1</v>
      </c>
      <c r="J117" s="1138">
        <v>206356.8</v>
      </c>
      <c r="K117" s="1138">
        <v>700299.5</v>
      </c>
      <c r="L117" s="302"/>
      <c r="M117" s="302"/>
      <c r="N117" s="302"/>
      <c r="O117" s="302"/>
      <c r="P117" s="302"/>
    </row>
    <row r="118" spans="1:16" s="145" customFormat="1" hidden="1">
      <c r="A118" s="222"/>
      <c r="B118" s="1136"/>
      <c r="C118" s="1137"/>
      <c r="D118" s="1136"/>
      <c r="E118" s="1137"/>
      <c r="F118" s="1136"/>
      <c r="G118" s="1137"/>
      <c r="H118" s="1136"/>
      <c r="I118" s="1136"/>
      <c r="J118" s="1138"/>
      <c r="K118" s="1138"/>
      <c r="L118" s="302"/>
      <c r="M118" s="302"/>
      <c r="N118" s="302"/>
      <c r="O118" s="302"/>
      <c r="P118" s="302"/>
    </row>
    <row r="119" spans="1:16" s="145" customFormat="1" hidden="1">
      <c r="A119" s="1021" t="s">
        <v>54</v>
      </c>
      <c r="B119" s="1136">
        <v>48140.6</v>
      </c>
      <c r="C119" s="1137">
        <v>4345.6000000000004</v>
      </c>
      <c r="D119" s="1136">
        <v>50039.199999999997</v>
      </c>
      <c r="E119" s="1137">
        <v>357988.2</v>
      </c>
      <c r="F119" s="1136">
        <v>27406.9</v>
      </c>
      <c r="G119" s="1137">
        <v>3042.3</v>
      </c>
      <c r="H119" s="1136" t="s">
        <v>88</v>
      </c>
      <c r="I119" s="1136">
        <v>4917.3999999999996</v>
      </c>
      <c r="J119" s="1138">
        <v>207824.30000000002</v>
      </c>
      <c r="K119" s="1138">
        <v>703704.5</v>
      </c>
      <c r="L119" s="302"/>
      <c r="M119" s="302"/>
      <c r="N119" s="302"/>
      <c r="O119" s="302"/>
      <c r="P119" s="302"/>
    </row>
    <row r="120" spans="1:16" s="145" customFormat="1" hidden="1">
      <c r="A120" s="1021" t="s">
        <v>40</v>
      </c>
      <c r="B120" s="1136">
        <v>48485.599999999999</v>
      </c>
      <c r="C120" s="1137">
        <v>3989</v>
      </c>
      <c r="D120" s="1136">
        <v>49936.6</v>
      </c>
      <c r="E120" s="1137">
        <v>357416.6</v>
      </c>
      <c r="F120" s="1136">
        <v>28073.5</v>
      </c>
      <c r="G120" s="1137">
        <v>3070.7</v>
      </c>
      <c r="H120" s="1136" t="s">
        <v>88</v>
      </c>
      <c r="I120" s="1136">
        <v>4616.1000000000004</v>
      </c>
      <c r="J120" s="1138">
        <v>209734</v>
      </c>
      <c r="K120" s="1138">
        <v>705322.1</v>
      </c>
      <c r="L120" s="302"/>
      <c r="M120" s="302"/>
      <c r="N120" s="302"/>
      <c r="O120" s="302"/>
      <c r="P120" s="302"/>
    </row>
    <row r="121" spans="1:16" s="145" customFormat="1" hidden="1">
      <c r="A121" s="1021" t="s">
        <v>41</v>
      </c>
      <c r="B121" s="1136">
        <v>48679.6</v>
      </c>
      <c r="C121" s="1137">
        <v>4169.7</v>
      </c>
      <c r="D121" s="1136">
        <v>51636.6</v>
      </c>
      <c r="E121" s="1137">
        <v>351656</v>
      </c>
      <c r="F121" s="1136">
        <v>33061.5</v>
      </c>
      <c r="G121" s="1137">
        <v>3042.3</v>
      </c>
      <c r="H121" s="1136">
        <v>789.2</v>
      </c>
      <c r="I121" s="1136">
        <v>3429.6</v>
      </c>
      <c r="J121" s="1138">
        <v>207755.1</v>
      </c>
      <c r="K121" s="1138">
        <v>704219.6</v>
      </c>
      <c r="L121" s="302"/>
      <c r="M121" s="302"/>
      <c r="N121" s="302"/>
      <c r="O121" s="302"/>
      <c r="P121" s="302"/>
    </row>
    <row r="122" spans="1:16" s="145" customFormat="1" hidden="1">
      <c r="A122" s="1021" t="s">
        <v>42</v>
      </c>
      <c r="B122" s="1136">
        <v>48446.8</v>
      </c>
      <c r="C122" s="1137">
        <v>4641.8</v>
      </c>
      <c r="D122" s="1136">
        <v>57114.5</v>
      </c>
      <c r="E122" s="1137">
        <v>343050.6</v>
      </c>
      <c r="F122" s="1136">
        <v>33614.6</v>
      </c>
      <c r="G122" s="1137">
        <v>2881</v>
      </c>
      <c r="H122" s="1136">
        <v>776.3</v>
      </c>
      <c r="I122" s="1136">
        <v>3442.8</v>
      </c>
      <c r="J122" s="1138">
        <v>212632.69999999998</v>
      </c>
      <c r="K122" s="1138">
        <v>706601.09999999986</v>
      </c>
      <c r="L122" s="302"/>
      <c r="M122" s="302"/>
      <c r="N122" s="302"/>
      <c r="O122" s="302"/>
      <c r="P122" s="302"/>
    </row>
    <row r="123" spans="1:16" s="145" customFormat="1" hidden="1">
      <c r="A123" s="1021" t="s">
        <v>43</v>
      </c>
      <c r="B123" s="1136">
        <v>49503.7</v>
      </c>
      <c r="C123" s="1137">
        <v>4941.3</v>
      </c>
      <c r="D123" s="1136">
        <v>52051.1</v>
      </c>
      <c r="E123" s="1137">
        <v>343776.2</v>
      </c>
      <c r="F123" s="1136">
        <v>33701.699999999997</v>
      </c>
      <c r="G123" s="1137">
        <v>2805.8</v>
      </c>
      <c r="H123" s="1136">
        <v>724.3</v>
      </c>
      <c r="I123" s="1136">
        <v>6125.5</v>
      </c>
      <c r="J123" s="1138">
        <v>215049.30000000002</v>
      </c>
      <c r="K123" s="1138">
        <v>708678.9</v>
      </c>
      <c r="L123" s="302"/>
      <c r="M123" s="302"/>
      <c r="N123" s="302"/>
      <c r="O123" s="302"/>
      <c r="P123" s="302"/>
    </row>
    <row r="124" spans="1:16" s="145" customFormat="1" hidden="1">
      <c r="A124" s="1021" t="s">
        <v>44</v>
      </c>
      <c r="B124" s="1136">
        <v>50105.1</v>
      </c>
      <c r="C124" s="1137">
        <v>5474.4</v>
      </c>
      <c r="D124" s="1136">
        <v>54542.400000000001</v>
      </c>
      <c r="E124" s="1137">
        <v>350552</v>
      </c>
      <c r="F124" s="1136">
        <v>32087.4</v>
      </c>
      <c r="G124" s="1137">
        <v>2731.2</v>
      </c>
      <c r="H124" s="1136">
        <v>712.6</v>
      </c>
      <c r="I124" s="1136">
        <v>8897.7000000000007</v>
      </c>
      <c r="J124" s="1138">
        <v>229217.6</v>
      </c>
      <c r="K124" s="1138">
        <v>734320.4</v>
      </c>
      <c r="L124" s="302"/>
      <c r="M124" s="302"/>
      <c r="N124" s="302"/>
      <c r="O124" s="302"/>
      <c r="P124" s="302"/>
    </row>
    <row r="125" spans="1:16" s="145" customFormat="1" hidden="1">
      <c r="A125" s="1021" t="s">
        <v>45</v>
      </c>
      <c r="B125" s="1136">
        <v>50111</v>
      </c>
      <c r="C125" s="1137">
        <v>8951.7000000000007</v>
      </c>
      <c r="D125" s="1136">
        <v>56247.8</v>
      </c>
      <c r="E125" s="1137">
        <v>333869.8</v>
      </c>
      <c r="F125" s="1136">
        <v>33711.5</v>
      </c>
      <c r="G125" s="1137">
        <v>3487.1</v>
      </c>
      <c r="H125" s="1136">
        <v>711.6</v>
      </c>
      <c r="I125" s="1136">
        <v>17144.099999999999</v>
      </c>
      <c r="J125" s="1138">
        <v>242365.9</v>
      </c>
      <c r="K125" s="1138">
        <v>746600.49999999988</v>
      </c>
      <c r="L125" s="302"/>
      <c r="M125" s="302"/>
      <c r="N125" s="302"/>
      <c r="O125" s="302"/>
      <c r="P125" s="302"/>
    </row>
    <row r="126" spans="1:16" s="145" customFormat="1" hidden="1">
      <c r="A126" s="1021" t="s">
        <v>46</v>
      </c>
      <c r="B126" s="1136">
        <v>50761</v>
      </c>
      <c r="C126" s="1137">
        <v>8169.8</v>
      </c>
      <c r="D126" s="1136">
        <v>58042.7</v>
      </c>
      <c r="E126" s="1137">
        <v>352666.9</v>
      </c>
      <c r="F126" s="1136">
        <v>32305.8</v>
      </c>
      <c r="G126" s="1137">
        <v>4361.6000000000004</v>
      </c>
      <c r="H126" s="1136">
        <v>682.8</v>
      </c>
      <c r="I126" s="1136">
        <v>15339</v>
      </c>
      <c r="J126" s="1138">
        <v>238271.1</v>
      </c>
      <c r="K126" s="1138">
        <v>760600.7</v>
      </c>
      <c r="L126" s="302"/>
      <c r="M126" s="302"/>
      <c r="N126" s="302"/>
      <c r="O126" s="302"/>
      <c r="P126" s="302"/>
    </row>
    <row r="127" spans="1:16" s="145" customFormat="1" hidden="1">
      <c r="A127" s="1021" t="s">
        <v>47</v>
      </c>
      <c r="B127" s="1136">
        <v>64598.1</v>
      </c>
      <c r="C127" s="1137">
        <v>5537.9</v>
      </c>
      <c r="D127" s="1136">
        <v>58888.9</v>
      </c>
      <c r="E127" s="1137">
        <v>333194.09999999998</v>
      </c>
      <c r="F127" s="1136">
        <v>32267.4</v>
      </c>
      <c r="G127" s="1137">
        <v>4762.8999999999996</v>
      </c>
      <c r="H127" s="1136">
        <v>684.4</v>
      </c>
      <c r="I127" s="1136">
        <v>8632.2000000000007</v>
      </c>
      <c r="J127" s="1138">
        <v>242373.3</v>
      </c>
      <c r="K127" s="1138">
        <v>750939.20000000007</v>
      </c>
      <c r="L127" s="302"/>
      <c r="M127" s="302"/>
      <c r="N127" s="302"/>
      <c r="O127" s="302"/>
      <c r="P127" s="302"/>
    </row>
    <row r="128" spans="1:16" s="145" customFormat="1" hidden="1">
      <c r="A128" s="1021" t="s">
        <v>48</v>
      </c>
      <c r="B128" s="1136">
        <v>67106.8</v>
      </c>
      <c r="C128" s="1137">
        <v>6504.2</v>
      </c>
      <c r="D128" s="1136">
        <v>59021.7</v>
      </c>
      <c r="E128" s="1137">
        <v>348138</v>
      </c>
      <c r="F128" s="1136">
        <v>20101.3</v>
      </c>
      <c r="G128" s="1137">
        <v>4782.8999999999996</v>
      </c>
      <c r="H128" s="1136">
        <v>675.4</v>
      </c>
      <c r="I128" s="1136">
        <v>6265.2</v>
      </c>
      <c r="J128" s="1138">
        <v>241041.4</v>
      </c>
      <c r="K128" s="1138">
        <v>753636.9</v>
      </c>
      <c r="L128" s="302"/>
      <c r="M128" s="302"/>
      <c r="N128" s="302"/>
      <c r="O128" s="302"/>
      <c r="P128" s="302"/>
    </row>
    <row r="129" spans="1:16" s="145" customFormat="1" hidden="1">
      <c r="A129" s="1021" t="s">
        <v>49</v>
      </c>
      <c r="B129" s="1136">
        <v>66905.5</v>
      </c>
      <c r="C129" s="1137">
        <v>6615.2</v>
      </c>
      <c r="D129" s="1136">
        <v>60025.599999999999</v>
      </c>
      <c r="E129" s="1137">
        <v>360327.4</v>
      </c>
      <c r="F129" s="1136">
        <v>20113.8</v>
      </c>
      <c r="G129" s="1137">
        <v>4775.1000000000004</v>
      </c>
      <c r="H129" s="1136">
        <v>621.4</v>
      </c>
      <c r="I129" s="1136">
        <v>2797.4</v>
      </c>
      <c r="J129" s="1138">
        <v>244749.7</v>
      </c>
      <c r="K129" s="1138">
        <v>766931.10000000009</v>
      </c>
      <c r="L129" s="302"/>
      <c r="M129" s="302"/>
      <c r="N129" s="302"/>
      <c r="O129" s="302"/>
      <c r="P129" s="302"/>
    </row>
    <row r="130" spans="1:16" s="145" customFormat="1" hidden="1">
      <c r="A130" s="1021" t="s">
        <v>50</v>
      </c>
      <c r="B130" s="1136">
        <v>71856.2</v>
      </c>
      <c r="C130" s="1137">
        <v>8211.1</v>
      </c>
      <c r="D130" s="1136">
        <v>58262.9</v>
      </c>
      <c r="E130" s="1137">
        <v>361452.6</v>
      </c>
      <c r="F130" s="1136">
        <v>20276.5</v>
      </c>
      <c r="G130" s="1137">
        <v>4398.7</v>
      </c>
      <c r="H130" s="1136">
        <v>576.20000000000005</v>
      </c>
      <c r="I130" s="1136">
        <v>2209.1999999999998</v>
      </c>
      <c r="J130" s="1138">
        <v>291304.39999999997</v>
      </c>
      <c r="K130" s="1138">
        <v>818547.79999999981</v>
      </c>
      <c r="L130" s="302"/>
      <c r="M130" s="302"/>
      <c r="N130" s="302"/>
      <c r="O130" s="302"/>
      <c r="P130" s="302"/>
    </row>
    <row r="131" spans="1:16" s="145" customFormat="1" hidden="1">
      <c r="A131" s="1021"/>
      <c r="B131" s="1136"/>
      <c r="C131" s="1137"/>
      <c r="D131" s="1136"/>
      <c r="E131" s="1137"/>
      <c r="F131" s="1136"/>
      <c r="G131" s="1137"/>
      <c r="H131" s="1136"/>
      <c r="I131" s="1136"/>
      <c r="J131" s="1138"/>
      <c r="K131" s="1138"/>
      <c r="L131" s="302"/>
      <c r="M131" s="302"/>
      <c r="N131" s="302"/>
      <c r="O131" s="302"/>
      <c r="P131" s="302"/>
    </row>
    <row r="132" spans="1:16" s="145" customFormat="1" hidden="1">
      <c r="A132" s="1021" t="s">
        <v>51</v>
      </c>
      <c r="B132" s="1136">
        <v>65916.2</v>
      </c>
      <c r="C132" s="1137">
        <v>7161.9</v>
      </c>
      <c r="D132" s="1136">
        <v>68308.100000000006</v>
      </c>
      <c r="E132" s="1137">
        <v>346133.7</v>
      </c>
      <c r="F132" s="1136">
        <v>24547.1</v>
      </c>
      <c r="G132" s="1137">
        <v>4481.3</v>
      </c>
      <c r="H132" s="1136">
        <v>772.2</v>
      </c>
      <c r="I132" s="1136">
        <v>1857.2</v>
      </c>
      <c r="J132" s="1138">
        <v>275933.2</v>
      </c>
      <c r="K132" s="1138">
        <v>795110.9</v>
      </c>
      <c r="L132" s="302"/>
      <c r="M132" s="302"/>
      <c r="N132" s="302"/>
      <c r="O132" s="302"/>
      <c r="P132" s="302"/>
    </row>
    <row r="133" spans="1:16" s="145" customFormat="1" hidden="1">
      <c r="A133" s="1021" t="s">
        <v>52</v>
      </c>
      <c r="B133" s="1136">
        <v>64719.4</v>
      </c>
      <c r="C133" s="1137">
        <v>7636.9</v>
      </c>
      <c r="D133" s="1136">
        <v>55943</v>
      </c>
      <c r="E133" s="1137">
        <v>351783</v>
      </c>
      <c r="F133" s="1136">
        <v>15975.6</v>
      </c>
      <c r="G133" s="1137">
        <v>2671.7</v>
      </c>
      <c r="H133" s="1136">
        <v>755.9</v>
      </c>
      <c r="I133" s="1136">
        <v>2758.1</v>
      </c>
      <c r="J133" s="1138">
        <v>287318.7</v>
      </c>
      <c r="K133" s="1138">
        <v>789562.3</v>
      </c>
      <c r="L133" s="302"/>
      <c r="M133" s="302"/>
      <c r="N133" s="302"/>
      <c r="O133" s="302"/>
      <c r="P133" s="302"/>
    </row>
    <row r="134" spans="1:16" s="145" customFormat="1" hidden="1">
      <c r="A134" s="1021" t="s">
        <v>53</v>
      </c>
      <c r="B134" s="1136">
        <v>54705.5</v>
      </c>
      <c r="C134" s="1137">
        <v>15163.6</v>
      </c>
      <c r="D134" s="1136">
        <v>54642.7</v>
      </c>
      <c r="E134" s="1137">
        <v>344841.8</v>
      </c>
      <c r="F134" s="1136">
        <v>32063</v>
      </c>
      <c r="G134" s="1137">
        <v>4383.1000000000004</v>
      </c>
      <c r="H134" s="1136">
        <v>780.9</v>
      </c>
      <c r="I134" s="1136">
        <v>5643.8</v>
      </c>
      <c r="J134" s="1138">
        <v>290223.89999999997</v>
      </c>
      <c r="K134" s="1138">
        <v>802448.29999999993</v>
      </c>
      <c r="L134" s="302"/>
      <c r="M134" s="302"/>
      <c r="N134" s="302"/>
      <c r="O134" s="302"/>
      <c r="P134" s="302"/>
    </row>
    <row r="135" spans="1:16" s="145" customFormat="1" hidden="1">
      <c r="A135" s="1021" t="s">
        <v>603</v>
      </c>
      <c r="B135" s="1136">
        <v>55246.8</v>
      </c>
      <c r="C135" s="1137">
        <v>15967.7</v>
      </c>
      <c r="D135" s="1136">
        <v>64441.3</v>
      </c>
      <c r="E135" s="1137">
        <v>356527.4</v>
      </c>
      <c r="F135" s="1136">
        <v>31193.5</v>
      </c>
      <c r="G135" s="1137">
        <v>4096.7</v>
      </c>
      <c r="H135" s="1136">
        <v>777.2</v>
      </c>
      <c r="I135" s="1136">
        <v>11889.6</v>
      </c>
      <c r="J135" s="1138">
        <v>296803.39999999997</v>
      </c>
      <c r="K135" s="1138">
        <v>836943.59999999986</v>
      </c>
      <c r="L135" s="302"/>
      <c r="M135" s="302"/>
      <c r="N135" s="302"/>
      <c r="O135" s="302"/>
      <c r="P135" s="302"/>
    </row>
    <row r="136" spans="1:16" s="145" customFormat="1" hidden="1">
      <c r="A136" s="1021" t="s">
        <v>609</v>
      </c>
      <c r="B136" s="1136">
        <v>56695.1</v>
      </c>
      <c r="C136" s="1137">
        <v>16691.2</v>
      </c>
      <c r="D136" s="1136">
        <v>47955.3</v>
      </c>
      <c r="E136" s="1137">
        <v>347263.4</v>
      </c>
      <c r="F136" s="1136">
        <v>36334.1</v>
      </c>
      <c r="G136" s="1137">
        <v>3689</v>
      </c>
      <c r="H136" s="1136">
        <v>751.4</v>
      </c>
      <c r="I136" s="1136">
        <v>18376.2</v>
      </c>
      <c r="J136" s="1138">
        <v>296805.7</v>
      </c>
      <c r="K136" s="1138">
        <v>824561.39999999991</v>
      </c>
      <c r="L136" s="302"/>
      <c r="M136" s="302"/>
      <c r="N136" s="302"/>
      <c r="O136" s="302"/>
      <c r="P136" s="302"/>
    </row>
    <row r="137" spans="1:16" s="145" customFormat="1" hidden="1">
      <c r="A137" s="1021" t="s">
        <v>44</v>
      </c>
      <c r="B137" s="1136">
        <v>53782.6</v>
      </c>
      <c r="C137" s="1137">
        <v>15877</v>
      </c>
      <c r="D137" s="1136">
        <v>49627</v>
      </c>
      <c r="E137" s="1137">
        <v>345957.7</v>
      </c>
      <c r="F137" s="1136">
        <v>36420.300000000003</v>
      </c>
      <c r="G137" s="1137">
        <v>3784.5</v>
      </c>
      <c r="H137" s="1136">
        <v>894.1</v>
      </c>
      <c r="I137" s="1136">
        <v>23943.4</v>
      </c>
      <c r="J137" s="1138">
        <v>290072</v>
      </c>
      <c r="K137" s="1138">
        <v>820358.6</v>
      </c>
      <c r="L137" s="302"/>
      <c r="M137" s="302"/>
      <c r="N137" s="302"/>
      <c r="O137" s="302"/>
      <c r="P137" s="302"/>
    </row>
    <row r="138" spans="1:16" s="145" customFormat="1" hidden="1">
      <c r="A138" s="1021" t="s">
        <v>617</v>
      </c>
      <c r="B138" s="1136">
        <v>55554.400000000001</v>
      </c>
      <c r="C138" s="1137">
        <v>15801.1</v>
      </c>
      <c r="D138" s="1136">
        <v>50055.3</v>
      </c>
      <c r="E138" s="1137">
        <v>338615.5</v>
      </c>
      <c r="F138" s="1136">
        <v>36078.6</v>
      </c>
      <c r="G138" s="1137">
        <v>4106.1000000000004</v>
      </c>
      <c r="H138" s="1136">
        <v>2564.6</v>
      </c>
      <c r="I138" s="1136">
        <v>29700.799999999999</v>
      </c>
      <c r="J138" s="1138">
        <v>292610.8</v>
      </c>
      <c r="K138" s="1138">
        <v>825087.2</v>
      </c>
      <c r="L138" s="302"/>
      <c r="M138" s="302"/>
      <c r="N138" s="302"/>
      <c r="O138" s="302"/>
      <c r="P138" s="302"/>
    </row>
    <row r="139" spans="1:16" s="145" customFormat="1" hidden="1">
      <c r="A139" s="1021" t="s">
        <v>621</v>
      </c>
      <c r="B139" s="1136">
        <v>55943.3</v>
      </c>
      <c r="C139" s="1137">
        <v>13466.5</v>
      </c>
      <c r="D139" s="1136">
        <v>50160</v>
      </c>
      <c r="E139" s="1137">
        <v>338353.7</v>
      </c>
      <c r="F139" s="1136">
        <v>36612.9</v>
      </c>
      <c r="G139" s="1137">
        <v>4741.3</v>
      </c>
      <c r="H139" s="1136">
        <v>741.3</v>
      </c>
      <c r="I139" s="1136">
        <v>29466</v>
      </c>
      <c r="J139" s="1138">
        <v>293432.09999999998</v>
      </c>
      <c r="K139" s="1138">
        <v>822917.1</v>
      </c>
      <c r="L139" s="302"/>
      <c r="M139" s="302"/>
      <c r="N139" s="302"/>
      <c r="O139" s="302"/>
      <c r="P139" s="302"/>
    </row>
    <row r="140" spans="1:16" s="145" customFormat="1" hidden="1">
      <c r="A140" s="1021" t="s">
        <v>47</v>
      </c>
      <c r="B140" s="1136">
        <v>56708.9</v>
      </c>
      <c r="C140" s="1137">
        <v>17349.8</v>
      </c>
      <c r="D140" s="1136">
        <v>51032.3</v>
      </c>
      <c r="E140" s="1137">
        <v>341063</v>
      </c>
      <c r="F140" s="1136">
        <v>37387.4</v>
      </c>
      <c r="G140" s="1137">
        <v>4411.5</v>
      </c>
      <c r="H140" s="1136">
        <v>797.3</v>
      </c>
      <c r="I140" s="1136">
        <v>28488.799999999999</v>
      </c>
      <c r="J140" s="1138">
        <v>287657.8</v>
      </c>
      <c r="K140" s="1138">
        <v>824896.8</v>
      </c>
      <c r="L140" s="302"/>
      <c r="M140" s="302"/>
      <c r="N140" s="302"/>
      <c r="O140" s="302"/>
      <c r="P140" s="302"/>
    </row>
    <row r="141" spans="1:16" s="145" customFormat="1" hidden="1">
      <c r="A141" s="1021" t="s">
        <v>631</v>
      </c>
      <c r="B141" s="1136">
        <v>57360.1</v>
      </c>
      <c r="C141" s="1137">
        <v>15378.6</v>
      </c>
      <c r="D141" s="1136">
        <v>53334.400000000001</v>
      </c>
      <c r="E141" s="1137">
        <v>337093.7</v>
      </c>
      <c r="F141" s="1136">
        <v>36691.300000000003</v>
      </c>
      <c r="G141" s="1137">
        <v>3792.6</v>
      </c>
      <c r="H141" s="1136">
        <v>799</v>
      </c>
      <c r="I141" s="1136">
        <v>25449.5</v>
      </c>
      <c r="J141" s="1138">
        <v>290662.7</v>
      </c>
      <c r="K141" s="1138">
        <v>820561.89999999991</v>
      </c>
      <c r="L141" s="302"/>
      <c r="M141" s="302"/>
      <c r="N141" s="302"/>
      <c r="O141" s="302"/>
      <c r="P141" s="302"/>
    </row>
    <row r="142" spans="1:16" s="145" customFormat="1" hidden="1">
      <c r="A142" s="1021" t="s">
        <v>654</v>
      </c>
      <c r="B142" s="1136">
        <v>79288.100000000006</v>
      </c>
      <c r="C142" s="1137">
        <v>40457.699999999997</v>
      </c>
      <c r="D142" s="1136">
        <v>120694.1</v>
      </c>
      <c r="E142" s="1137">
        <v>263591.2</v>
      </c>
      <c r="F142" s="1136">
        <v>52052.3</v>
      </c>
      <c r="G142" s="1137">
        <v>24801.200000000001</v>
      </c>
      <c r="H142" s="1136">
        <v>1002.7</v>
      </c>
      <c r="I142" s="1136">
        <v>24268.9</v>
      </c>
      <c r="J142" s="1138">
        <v>220554.9</v>
      </c>
      <c r="K142" s="1138">
        <v>826711.1</v>
      </c>
      <c r="L142" s="302"/>
      <c r="M142" s="302"/>
      <c r="N142" s="302"/>
      <c r="O142" s="302"/>
      <c r="P142" s="302"/>
    </row>
    <row r="143" spans="1:16" s="145" customFormat="1" hidden="1">
      <c r="A143" s="1021" t="s">
        <v>665</v>
      </c>
      <c r="B143" s="1136">
        <v>78983.899999999994</v>
      </c>
      <c r="C143" s="1137">
        <v>37388.1</v>
      </c>
      <c r="D143" s="1136">
        <v>119717.9</v>
      </c>
      <c r="E143" s="1137">
        <v>236010.9</v>
      </c>
      <c r="F143" s="1136">
        <v>57906.7</v>
      </c>
      <c r="G143" s="1137">
        <v>24451.7</v>
      </c>
      <c r="H143" s="1136">
        <v>698.4</v>
      </c>
      <c r="I143" s="1136">
        <v>20693</v>
      </c>
      <c r="J143" s="1138">
        <v>225248.8</v>
      </c>
      <c r="K143" s="1138">
        <v>801099.39999999991</v>
      </c>
      <c r="L143" s="302"/>
      <c r="M143" s="302"/>
      <c r="N143" s="302"/>
      <c r="O143" s="302"/>
      <c r="P143" s="302"/>
    </row>
    <row r="144" spans="1:16" s="145" customFormat="1" hidden="1">
      <c r="A144" s="1021"/>
      <c r="B144" s="1136"/>
      <c r="C144" s="1137"/>
      <c r="D144" s="1136"/>
      <c r="E144" s="1137"/>
      <c r="F144" s="1136"/>
      <c r="G144" s="1137"/>
      <c r="H144" s="1136"/>
      <c r="I144" s="1136"/>
      <c r="J144" s="1138"/>
      <c r="K144" s="1138"/>
      <c r="L144" s="302"/>
      <c r="M144" s="302"/>
      <c r="N144" s="302"/>
      <c r="O144" s="302"/>
      <c r="P144" s="302"/>
    </row>
    <row r="145" spans="1:16" s="145" customFormat="1" hidden="1">
      <c r="A145" s="1021" t="s">
        <v>39</v>
      </c>
      <c r="B145" s="1136">
        <v>76885.899999999994</v>
      </c>
      <c r="C145" s="1137">
        <v>38783.1</v>
      </c>
      <c r="D145" s="1136">
        <v>101627.9</v>
      </c>
      <c r="E145" s="1137">
        <v>259316.1</v>
      </c>
      <c r="F145" s="1136">
        <v>60070.400000000001</v>
      </c>
      <c r="G145" s="1137">
        <v>25181.5</v>
      </c>
      <c r="H145" s="1136">
        <v>541.9</v>
      </c>
      <c r="I145" s="1136">
        <v>17627.5</v>
      </c>
      <c r="J145" s="1138">
        <v>230362.5</v>
      </c>
      <c r="K145" s="1138">
        <v>810396.8</v>
      </c>
      <c r="L145" s="302"/>
      <c r="M145" s="302"/>
      <c r="N145" s="302"/>
      <c r="O145" s="302"/>
      <c r="P145" s="302"/>
    </row>
    <row r="146" spans="1:16" s="145" customFormat="1" hidden="1">
      <c r="A146" s="1021" t="s">
        <v>677</v>
      </c>
      <c r="B146" s="1136">
        <v>79767.899999999994</v>
      </c>
      <c r="C146" s="1137">
        <v>36154.199999999997</v>
      </c>
      <c r="D146" s="1136">
        <v>100941.5</v>
      </c>
      <c r="E146" s="1137">
        <v>261894.1</v>
      </c>
      <c r="F146" s="1136">
        <v>59966.6</v>
      </c>
      <c r="G146" s="1137">
        <v>25312.7</v>
      </c>
      <c r="H146" s="1136">
        <v>635.9</v>
      </c>
      <c r="I146" s="1136">
        <v>14795</v>
      </c>
      <c r="J146" s="1138">
        <v>226451.09999999998</v>
      </c>
      <c r="K146" s="1138">
        <v>805918.99999999988</v>
      </c>
      <c r="L146" s="302"/>
      <c r="M146" s="302"/>
      <c r="N146" s="302"/>
      <c r="O146" s="302"/>
      <c r="P146" s="302"/>
    </row>
    <row r="147" spans="1:16" s="145" customFormat="1" hidden="1">
      <c r="A147" s="1021" t="s">
        <v>65</v>
      </c>
      <c r="B147" s="1136">
        <v>78597</v>
      </c>
      <c r="C147" s="1137">
        <v>35654.199999999997</v>
      </c>
      <c r="D147" s="1136">
        <v>99770.4</v>
      </c>
      <c r="E147" s="1137">
        <v>242568.1</v>
      </c>
      <c r="F147" s="1136">
        <v>60425.3</v>
      </c>
      <c r="G147" s="1137">
        <v>26700.2</v>
      </c>
      <c r="H147" s="1136">
        <v>596.1</v>
      </c>
      <c r="I147" s="1136">
        <v>11115.3</v>
      </c>
      <c r="J147" s="1138">
        <v>251757.9</v>
      </c>
      <c r="K147" s="1138">
        <v>807184.5</v>
      </c>
      <c r="L147" s="302"/>
      <c r="M147" s="302"/>
      <c r="N147" s="302"/>
      <c r="O147" s="302"/>
      <c r="P147" s="302"/>
    </row>
    <row r="148" spans="1:16" s="145" customFormat="1" hidden="1">
      <c r="A148" s="1021" t="s">
        <v>692</v>
      </c>
      <c r="B148" s="1136">
        <v>78524.7</v>
      </c>
      <c r="C148" s="1137">
        <v>31879</v>
      </c>
      <c r="D148" s="1136">
        <v>100899.4</v>
      </c>
      <c r="E148" s="1137">
        <v>238342.1</v>
      </c>
      <c r="F148" s="1136">
        <v>61231.4</v>
      </c>
      <c r="G148" s="1137">
        <v>25617.599999999999</v>
      </c>
      <c r="H148" s="1136">
        <v>564.4</v>
      </c>
      <c r="I148" s="1136">
        <v>10479.299999999999</v>
      </c>
      <c r="J148" s="1138">
        <v>258168.5</v>
      </c>
      <c r="K148" s="1138">
        <v>805706.4</v>
      </c>
      <c r="L148" s="302"/>
      <c r="M148" s="302"/>
      <c r="N148" s="302"/>
      <c r="O148" s="302"/>
      <c r="P148" s="302"/>
    </row>
    <row r="149" spans="1:16" s="145" customFormat="1" hidden="1">
      <c r="A149" s="1021" t="s">
        <v>701</v>
      </c>
      <c r="B149" s="1136">
        <v>82241.899999999994</v>
      </c>
      <c r="C149" s="1137">
        <v>30155.1</v>
      </c>
      <c r="D149" s="1136">
        <v>98541.2</v>
      </c>
      <c r="E149" s="1137">
        <v>242462</v>
      </c>
      <c r="F149" s="1136">
        <v>59842.400000000001</v>
      </c>
      <c r="G149" s="1137">
        <v>26536.5</v>
      </c>
      <c r="H149" s="1136">
        <v>581.5</v>
      </c>
      <c r="I149" s="1136">
        <v>11895.4</v>
      </c>
      <c r="J149" s="1138">
        <v>258746.6</v>
      </c>
      <c r="K149" s="1138">
        <v>811002.60000000009</v>
      </c>
      <c r="L149" s="302"/>
      <c r="M149" s="302"/>
      <c r="N149" s="302"/>
      <c r="O149" s="302"/>
      <c r="P149" s="302"/>
    </row>
    <row r="150" spans="1:16" s="145" customFormat="1" hidden="1">
      <c r="A150" s="1021" t="s">
        <v>713</v>
      </c>
      <c r="B150" s="1136">
        <v>84182.3</v>
      </c>
      <c r="C150" s="1136">
        <v>36462.400000000001</v>
      </c>
      <c r="D150" s="1136">
        <v>97862</v>
      </c>
      <c r="E150" s="1136">
        <v>264456.2</v>
      </c>
      <c r="F150" s="1136">
        <v>59411.199999999997</v>
      </c>
      <c r="G150" s="1136">
        <v>26993.4</v>
      </c>
      <c r="H150" s="1136">
        <v>492.1</v>
      </c>
      <c r="I150" s="1136">
        <v>16862.099999999999</v>
      </c>
      <c r="J150" s="1136">
        <v>242386.1</v>
      </c>
      <c r="K150" s="1138">
        <v>829107.79999999993</v>
      </c>
      <c r="L150" s="302"/>
      <c r="M150" s="302"/>
      <c r="N150" s="302"/>
      <c r="O150" s="302"/>
      <c r="P150" s="302"/>
    </row>
    <row r="151" spans="1:16" s="145" customFormat="1">
      <c r="A151" s="1021" t="s">
        <v>735</v>
      </c>
      <c r="B151" s="1136">
        <v>85657.8</v>
      </c>
      <c r="C151" s="1136">
        <v>34422.699999999997</v>
      </c>
      <c r="D151" s="1136">
        <v>91376.9</v>
      </c>
      <c r="E151" s="1136">
        <v>272735.59999999998</v>
      </c>
      <c r="F151" s="1136">
        <v>58745.8</v>
      </c>
      <c r="G151" s="1136">
        <v>27147.3</v>
      </c>
      <c r="H151" s="1136">
        <v>530.29999999999995</v>
      </c>
      <c r="I151" s="1136">
        <v>20981.200000000001</v>
      </c>
      <c r="J151" s="1136">
        <v>237165.4</v>
      </c>
      <c r="K151" s="1138">
        <v>828763.00000000012</v>
      </c>
      <c r="L151" s="302"/>
      <c r="M151" s="302"/>
      <c r="N151" s="302"/>
      <c r="O151" s="302"/>
      <c r="P151" s="302"/>
    </row>
    <row r="152" spans="1:16" s="145" customFormat="1">
      <c r="A152" s="1021" t="s">
        <v>46</v>
      </c>
      <c r="B152" s="1136">
        <v>87904.3</v>
      </c>
      <c r="C152" s="1136">
        <v>34443.599999999999</v>
      </c>
      <c r="D152" s="1136">
        <v>91847.5</v>
      </c>
      <c r="E152" s="1136">
        <v>277329.59999999998</v>
      </c>
      <c r="F152" s="1136">
        <v>59365.100000000006</v>
      </c>
      <c r="G152" s="1136">
        <v>25397.4</v>
      </c>
      <c r="H152" s="1136">
        <v>584.4</v>
      </c>
      <c r="I152" s="1136">
        <v>21721.1</v>
      </c>
      <c r="J152" s="1136">
        <v>233384.3</v>
      </c>
      <c r="K152" s="1138">
        <v>831977.3</v>
      </c>
      <c r="L152" s="302"/>
      <c r="M152" s="302"/>
      <c r="N152" s="302"/>
      <c r="O152" s="302"/>
      <c r="P152" s="302"/>
    </row>
    <row r="153" spans="1:16" s="145" customFormat="1">
      <c r="A153" s="1021" t="s">
        <v>47</v>
      </c>
      <c r="B153" s="1136">
        <v>84814</v>
      </c>
      <c r="C153" s="1136">
        <v>35757.9</v>
      </c>
      <c r="D153" s="1136">
        <v>99398.2</v>
      </c>
      <c r="E153" s="1136">
        <v>246817.3</v>
      </c>
      <c r="F153" s="1136">
        <v>60992</v>
      </c>
      <c r="G153" s="1136">
        <v>26567.7</v>
      </c>
      <c r="H153" s="1136">
        <v>536.29999999999995</v>
      </c>
      <c r="I153" s="1136">
        <v>17032.900000000001</v>
      </c>
      <c r="J153" s="1136">
        <v>267946.2</v>
      </c>
      <c r="K153" s="1138">
        <v>839862.5</v>
      </c>
      <c r="L153" s="302"/>
      <c r="M153" s="302"/>
      <c r="N153" s="302"/>
      <c r="O153" s="302"/>
      <c r="P153" s="302"/>
    </row>
    <row r="154" spans="1:16" s="145" customFormat="1">
      <c r="A154" s="1021" t="s">
        <v>48</v>
      </c>
      <c r="B154" s="1136">
        <v>90604</v>
      </c>
      <c r="C154" s="1136">
        <v>37120.9</v>
      </c>
      <c r="D154" s="1136">
        <v>96434.3</v>
      </c>
      <c r="E154" s="1136">
        <v>248642.3</v>
      </c>
      <c r="F154" s="1136">
        <v>59743.7</v>
      </c>
      <c r="G154" s="1136">
        <v>26560.7</v>
      </c>
      <c r="H154" s="1136">
        <v>500.4</v>
      </c>
      <c r="I154" s="1136">
        <v>13339.9</v>
      </c>
      <c r="J154" s="1136">
        <v>262248.7</v>
      </c>
      <c r="K154" s="1138">
        <v>835194.89999999991</v>
      </c>
      <c r="L154" s="302"/>
      <c r="M154" s="302"/>
      <c r="N154" s="302"/>
      <c r="O154" s="302"/>
      <c r="P154" s="302"/>
    </row>
    <row r="155" spans="1:16" s="145" customFormat="1">
      <c r="A155" s="1021" t="s">
        <v>49</v>
      </c>
      <c r="B155" s="1136">
        <v>109537.8</v>
      </c>
      <c r="C155" s="1136">
        <v>33499.5</v>
      </c>
      <c r="D155" s="1136">
        <v>95086.7</v>
      </c>
      <c r="E155" s="1136">
        <v>233062.39999999999</v>
      </c>
      <c r="F155" s="1136">
        <v>57979.199999999997</v>
      </c>
      <c r="G155" s="1136">
        <v>27363.8</v>
      </c>
      <c r="H155" s="1136">
        <v>500.9</v>
      </c>
      <c r="I155" s="1136">
        <v>9534.6</v>
      </c>
      <c r="J155" s="1136">
        <v>262362.8</v>
      </c>
      <c r="K155" s="1138">
        <v>828927.7</v>
      </c>
      <c r="L155" s="302"/>
      <c r="M155" s="302"/>
      <c r="N155" s="302"/>
      <c r="O155" s="302"/>
      <c r="P155" s="302"/>
    </row>
    <row r="156" spans="1:16" s="145" customFormat="1">
      <c r="A156" s="1021" t="s">
        <v>50</v>
      </c>
      <c r="B156" s="1136">
        <v>92849.1</v>
      </c>
      <c r="C156" s="1136">
        <v>31920.9</v>
      </c>
      <c r="D156" s="1136">
        <v>93114.2</v>
      </c>
      <c r="E156" s="1136">
        <v>239834.2</v>
      </c>
      <c r="F156" s="1136">
        <v>58131</v>
      </c>
      <c r="G156" s="1136">
        <v>25379.8</v>
      </c>
      <c r="H156" s="1136">
        <v>510.6</v>
      </c>
      <c r="I156" s="1136">
        <v>8714.2000000000007</v>
      </c>
      <c r="J156" s="1136">
        <v>261323.40000000002</v>
      </c>
      <c r="K156" s="1138">
        <v>811777.4</v>
      </c>
      <c r="L156" s="302"/>
      <c r="M156" s="302"/>
      <c r="N156" s="302"/>
      <c r="O156" s="302"/>
      <c r="P156" s="302"/>
    </row>
    <row r="157" spans="1:16" s="145" customFormat="1">
      <c r="A157" s="1021"/>
      <c r="B157" s="1136"/>
      <c r="C157" s="1136"/>
      <c r="D157" s="1136"/>
      <c r="E157" s="1136"/>
      <c r="F157" s="1136"/>
      <c r="G157" s="1136"/>
      <c r="H157" s="1136"/>
      <c r="I157" s="1136"/>
      <c r="J157" s="1136"/>
      <c r="K157" s="1138"/>
      <c r="L157" s="302"/>
      <c r="M157" s="302"/>
      <c r="N157" s="302"/>
      <c r="O157" s="302"/>
      <c r="P157" s="302"/>
    </row>
    <row r="158" spans="1:16" s="145" customFormat="1">
      <c r="A158" s="1021" t="s">
        <v>36</v>
      </c>
      <c r="B158" s="1136">
        <v>94597.5</v>
      </c>
      <c r="C158" s="1136">
        <v>34441.9</v>
      </c>
      <c r="D158" s="1136">
        <v>91390.7</v>
      </c>
      <c r="E158" s="1136">
        <v>233997.7</v>
      </c>
      <c r="F158" s="1136">
        <v>59733.3</v>
      </c>
      <c r="G158" s="1136">
        <v>25651.7</v>
      </c>
      <c r="H158" s="1136">
        <v>555.70000000000005</v>
      </c>
      <c r="I158" s="1136">
        <v>6314.4</v>
      </c>
      <c r="J158" s="1136">
        <v>257395.8</v>
      </c>
      <c r="K158" s="1138">
        <v>804078.7</v>
      </c>
      <c r="L158" s="302"/>
      <c r="M158" s="302"/>
      <c r="N158" s="302"/>
      <c r="O158" s="302"/>
      <c r="P158" s="302"/>
    </row>
    <row r="159" spans="1:16" s="145" customFormat="1">
      <c r="A159" s="1021" t="s">
        <v>37</v>
      </c>
      <c r="B159" s="1136">
        <v>93898.6</v>
      </c>
      <c r="C159" s="1136">
        <v>31020.400000000001</v>
      </c>
      <c r="D159" s="1136">
        <v>89177.7</v>
      </c>
      <c r="E159" s="1136">
        <v>216555.3</v>
      </c>
      <c r="F159" s="1136">
        <v>50315.199999999997</v>
      </c>
      <c r="G159" s="1136">
        <v>20606.7</v>
      </c>
      <c r="H159" s="1136">
        <v>614</v>
      </c>
      <c r="I159" s="1136">
        <v>5333.5</v>
      </c>
      <c r="J159" s="1136">
        <v>244106.3</v>
      </c>
      <c r="K159" s="1138">
        <v>751627.7</v>
      </c>
      <c r="L159" s="302"/>
      <c r="M159" s="302"/>
      <c r="N159" s="302"/>
      <c r="O159" s="302"/>
      <c r="P159" s="302"/>
    </row>
    <row r="160" spans="1:16" s="145" customFormat="1">
      <c r="A160" s="1021" t="s">
        <v>38</v>
      </c>
      <c r="B160" s="1136">
        <v>94155.9</v>
      </c>
      <c r="C160" s="1136">
        <v>27993.9</v>
      </c>
      <c r="D160" s="1136">
        <v>93768.8</v>
      </c>
      <c r="E160" s="1136">
        <v>219230.3</v>
      </c>
      <c r="F160" s="1136">
        <v>48802.100000000006</v>
      </c>
      <c r="G160" s="1136">
        <v>19661.5</v>
      </c>
      <c r="H160" s="1136">
        <v>591.9</v>
      </c>
      <c r="I160" s="1136">
        <v>5743.6</v>
      </c>
      <c r="J160" s="1136">
        <v>240322.6</v>
      </c>
      <c r="K160" s="1138">
        <v>750270.6</v>
      </c>
      <c r="L160" s="302"/>
      <c r="M160" s="302"/>
      <c r="N160" s="302"/>
      <c r="O160" s="302"/>
      <c r="P160" s="302"/>
    </row>
    <row r="161" spans="1:16" s="145" customFormat="1">
      <c r="A161" s="1021" t="s">
        <v>42</v>
      </c>
      <c r="B161" s="1136">
        <v>93102.7</v>
      </c>
      <c r="C161" s="1136">
        <v>25715.3</v>
      </c>
      <c r="D161" s="1136">
        <v>93430.3</v>
      </c>
      <c r="E161" s="1136">
        <v>210849.8</v>
      </c>
      <c r="F161" s="1136">
        <v>48593.7</v>
      </c>
      <c r="G161" s="1136">
        <v>19241.099999999999</v>
      </c>
      <c r="H161" s="1136">
        <v>477.5</v>
      </c>
      <c r="I161" s="1136">
        <v>6318.8</v>
      </c>
      <c r="J161" s="1136">
        <v>250448.80000000002</v>
      </c>
      <c r="K161" s="1138">
        <v>748178</v>
      </c>
      <c r="L161" s="302"/>
      <c r="M161" s="302"/>
      <c r="N161" s="302"/>
      <c r="O161" s="302"/>
      <c r="P161" s="302"/>
    </row>
    <row r="162" spans="1:16" s="145" customFormat="1">
      <c r="A162" s="1021" t="s">
        <v>606</v>
      </c>
      <c r="B162" s="1136">
        <v>94136.8</v>
      </c>
      <c r="C162" s="1136">
        <v>25597</v>
      </c>
      <c r="D162" s="1136">
        <v>90437.7</v>
      </c>
      <c r="E162" s="1136">
        <v>210851.5</v>
      </c>
      <c r="F162" s="1136">
        <v>47647.5</v>
      </c>
      <c r="G162" s="1136">
        <v>19094.2</v>
      </c>
      <c r="H162" s="1136">
        <v>457</v>
      </c>
      <c r="I162" s="1136">
        <v>9053.5</v>
      </c>
      <c r="J162" s="1136">
        <v>265197.5</v>
      </c>
      <c r="K162" s="1138">
        <v>762472.7</v>
      </c>
      <c r="L162" s="302"/>
      <c r="M162" s="302"/>
      <c r="N162" s="302"/>
      <c r="O162" s="302"/>
      <c r="P162" s="302"/>
    </row>
    <row r="163" spans="1:16" s="145" customFormat="1">
      <c r="A163" s="1021" t="s">
        <v>62</v>
      </c>
      <c r="B163" s="1136">
        <v>100397.6</v>
      </c>
      <c r="C163" s="1136">
        <v>26561.7</v>
      </c>
      <c r="D163" s="1136">
        <v>90100.6</v>
      </c>
      <c r="E163" s="1136">
        <v>224189.4</v>
      </c>
      <c r="F163" s="1136">
        <v>50055.1</v>
      </c>
      <c r="G163" s="1136">
        <v>18483.400000000001</v>
      </c>
      <c r="H163" s="1136">
        <v>801.4</v>
      </c>
      <c r="I163" s="1136">
        <v>19697</v>
      </c>
      <c r="J163" s="1136">
        <v>273801.8</v>
      </c>
      <c r="K163" s="1138">
        <v>804088</v>
      </c>
      <c r="L163" s="302"/>
      <c r="M163" s="302"/>
      <c r="N163" s="302"/>
      <c r="O163" s="302"/>
      <c r="P163" s="302"/>
    </row>
    <row r="164" spans="1:16" s="145" customFormat="1">
      <c r="A164" s="1021" t="s">
        <v>614</v>
      </c>
      <c r="B164" s="1136">
        <v>101323.7</v>
      </c>
      <c r="C164" s="1136">
        <v>28037.3</v>
      </c>
      <c r="D164" s="1136">
        <v>91182.8</v>
      </c>
      <c r="E164" s="1136">
        <v>242982.7</v>
      </c>
      <c r="F164" s="1136">
        <v>49208.7</v>
      </c>
      <c r="G164" s="1136">
        <v>18239.8</v>
      </c>
      <c r="H164" s="1136">
        <v>875.9</v>
      </c>
      <c r="I164" s="1136">
        <v>21475.7</v>
      </c>
      <c r="J164" s="1136">
        <v>268017.40000000002</v>
      </c>
      <c r="K164" s="1138">
        <v>821344</v>
      </c>
      <c r="L164" s="302"/>
      <c r="M164" s="302"/>
      <c r="N164" s="302"/>
      <c r="O164" s="302"/>
      <c r="P164" s="302"/>
    </row>
    <row r="165" spans="1:16" s="145" customFormat="1">
      <c r="A165" s="1021" t="s">
        <v>620</v>
      </c>
      <c r="B165" s="1136">
        <v>103416.6</v>
      </c>
      <c r="C165" s="1136">
        <v>28476.9</v>
      </c>
      <c r="D165" s="1136">
        <v>87564.4</v>
      </c>
      <c r="E165" s="1136">
        <v>230906</v>
      </c>
      <c r="F165" s="1136">
        <v>52042.8</v>
      </c>
      <c r="G165" s="1136">
        <v>18672.900000000001</v>
      </c>
      <c r="H165" s="1136">
        <v>2098.8000000000002</v>
      </c>
      <c r="I165" s="1136">
        <v>31761.3</v>
      </c>
      <c r="J165" s="1136">
        <v>277499.7</v>
      </c>
      <c r="K165" s="1138">
        <v>832439.40000000014</v>
      </c>
      <c r="L165" s="302"/>
      <c r="M165" s="302"/>
      <c r="N165" s="302"/>
      <c r="O165" s="302"/>
      <c r="P165" s="302"/>
    </row>
    <row r="166" spans="1:16" s="145" customFormat="1">
      <c r="A166" s="1021" t="s">
        <v>63</v>
      </c>
      <c r="B166" s="1136">
        <v>102759.5</v>
      </c>
      <c r="C166" s="1136">
        <v>27801.9</v>
      </c>
      <c r="D166" s="1136">
        <v>82506.100000000006</v>
      </c>
      <c r="E166" s="1136">
        <v>233092.7</v>
      </c>
      <c r="F166" s="1136">
        <v>56464.3</v>
      </c>
      <c r="G166" s="1136">
        <v>18488.3</v>
      </c>
      <c r="H166" s="1136">
        <v>851.2</v>
      </c>
      <c r="I166" s="1136">
        <v>30636.3</v>
      </c>
      <c r="J166" s="1136">
        <v>284270.7</v>
      </c>
      <c r="K166" s="1138">
        <v>836871</v>
      </c>
      <c r="L166" s="302"/>
      <c r="M166" s="302"/>
      <c r="N166" s="302"/>
      <c r="O166" s="302"/>
      <c r="P166" s="302"/>
    </row>
    <row r="167" spans="1:16" s="145" customFormat="1">
      <c r="A167" s="1021" t="s">
        <v>632</v>
      </c>
      <c r="B167" s="1136">
        <v>105218.9</v>
      </c>
      <c r="C167" s="1136">
        <v>28697</v>
      </c>
      <c r="D167" s="1136">
        <v>88024.1</v>
      </c>
      <c r="E167" s="1136">
        <v>239359.7</v>
      </c>
      <c r="F167" s="1136">
        <v>53453.8</v>
      </c>
      <c r="G167" s="1136">
        <v>19591.7</v>
      </c>
      <c r="H167" s="1136">
        <v>880.6</v>
      </c>
      <c r="I167" s="1136">
        <v>30089.4</v>
      </c>
      <c r="J167" s="1136">
        <v>283428.40000000002</v>
      </c>
      <c r="K167" s="1138">
        <v>848743.6</v>
      </c>
      <c r="L167" s="302"/>
      <c r="M167" s="302"/>
      <c r="N167" s="302"/>
      <c r="O167" s="302"/>
      <c r="P167" s="302"/>
    </row>
    <row r="168" spans="1:16" s="145" customFormat="1">
      <c r="A168" s="1021" t="s">
        <v>653</v>
      </c>
      <c r="B168" s="1136">
        <v>108002.3</v>
      </c>
      <c r="C168" s="1136">
        <v>28803.5</v>
      </c>
      <c r="D168" s="1136">
        <v>90675.6</v>
      </c>
      <c r="E168" s="1136">
        <v>239959.8</v>
      </c>
      <c r="F168" s="1136">
        <v>54083.600000000006</v>
      </c>
      <c r="G168" s="1136">
        <v>18779.8</v>
      </c>
      <c r="H168" s="1136">
        <v>875.4</v>
      </c>
      <c r="I168" s="1136">
        <v>25736.7</v>
      </c>
      <c r="J168" s="1136">
        <v>286089.90000000002</v>
      </c>
      <c r="K168" s="1138">
        <v>853006.6</v>
      </c>
      <c r="L168" s="302"/>
      <c r="M168" s="302"/>
      <c r="N168" s="302"/>
      <c r="O168" s="302"/>
      <c r="P168" s="302"/>
    </row>
    <row r="169" spans="1:16" s="145" customFormat="1">
      <c r="A169" s="1021" t="s">
        <v>64</v>
      </c>
      <c r="B169" s="1136">
        <v>106612.4</v>
      </c>
      <c r="C169" s="1136">
        <v>28299.200000000001</v>
      </c>
      <c r="D169" s="1136">
        <v>84716.4</v>
      </c>
      <c r="E169" s="1136">
        <v>225064.2</v>
      </c>
      <c r="F169" s="1136">
        <v>47514.7</v>
      </c>
      <c r="G169" s="1136">
        <v>18013.7</v>
      </c>
      <c r="H169" s="1136">
        <v>863.6</v>
      </c>
      <c r="I169" s="1136">
        <v>14984.5</v>
      </c>
      <c r="J169" s="1136">
        <v>272131.40000000002</v>
      </c>
      <c r="K169" s="1138">
        <v>798200.1</v>
      </c>
      <c r="L169" s="302"/>
      <c r="M169" s="302"/>
      <c r="N169" s="302"/>
      <c r="O169" s="302"/>
      <c r="P169" s="302"/>
    </row>
    <row r="170" spans="1:16" s="145" customFormat="1">
      <c r="A170" s="1021"/>
      <c r="B170" s="1136"/>
      <c r="C170" s="1136"/>
      <c r="D170" s="1136"/>
      <c r="E170" s="1136"/>
      <c r="F170" s="1136"/>
      <c r="G170" s="1136"/>
      <c r="H170" s="1136"/>
      <c r="I170" s="1136"/>
      <c r="J170" s="1136"/>
      <c r="K170" s="1138"/>
      <c r="L170" s="302"/>
      <c r="M170" s="302"/>
      <c r="N170" s="302"/>
      <c r="O170" s="302"/>
      <c r="P170" s="302"/>
    </row>
    <row r="171" spans="1:16" s="145" customFormat="1">
      <c r="A171" s="1021" t="s">
        <v>671</v>
      </c>
      <c r="B171" s="1136">
        <v>107231.4</v>
      </c>
      <c r="C171" s="1136">
        <v>27508.1</v>
      </c>
      <c r="D171" s="1136">
        <v>84150.6</v>
      </c>
      <c r="E171" s="1136">
        <v>210520.6</v>
      </c>
      <c r="F171" s="1136">
        <v>45451.100000000006</v>
      </c>
      <c r="G171" s="1136">
        <v>17943.400000000001</v>
      </c>
      <c r="H171" s="1136">
        <v>934.1</v>
      </c>
      <c r="I171" s="1136">
        <v>23125.1</v>
      </c>
      <c r="J171" s="1136">
        <v>279481.5</v>
      </c>
      <c r="K171" s="1138">
        <v>796345.9</v>
      </c>
      <c r="L171" s="302"/>
      <c r="M171" s="302"/>
      <c r="N171" s="302"/>
      <c r="O171" s="302"/>
      <c r="P171" s="302"/>
    </row>
    <row r="172" spans="1:16" s="145" customFormat="1">
      <c r="A172" s="1021" t="s">
        <v>263</v>
      </c>
      <c r="B172" s="1136">
        <v>111200.6</v>
      </c>
      <c r="C172" s="1136">
        <v>34341.4</v>
      </c>
      <c r="D172" s="1136">
        <v>86287.2</v>
      </c>
      <c r="E172" s="1136">
        <v>229110.2</v>
      </c>
      <c r="F172" s="1136">
        <v>46304.9</v>
      </c>
      <c r="G172" s="1136">
        <v>17432.2</v>
      </c>
      <c r="H172" s="1136">
        <v>956.2</v>
      </c>
      <c r="I172" s="1136">
        <v>9242.4</v>
      </c>
      <c r="J172" s="1136">
        <v>279314</v>
      </c>
      <c r="K172" s="1138">
        <v>814189.1</v>
      </c>
      <c r="L172" s="302"/>
      <c r="M172" s="302"/>
      <c r="N172" s="302"/>
      <c r="O172" s="302"/>
      <c r="P172" s="302"/>
    </row>
    <row r="173" spans="1:16" s="145" customFormat="1">
      <c r="A173" s="1021" t="s">
        <v>41</v>
      </c>
      <c r="B173" s="1136">
        <v>110501.8</v>
      </c>
      <c r="C173" s="1136">
        <v>27478.9</v>
      </c>
      <c r="D173" s="1136">
        <v>89842</v>
      </c>
      <c r="E173" s="1136">
        <v>226345.3</v>
      </c>
      <c r="F173" s="1136">
        <v>44471.3</v>
      </c>
      <c r="G173" s="1136">
        <v>17326.400000000001</v>
      </c>
      <c r="H173" s="1136">
        <v>889.9</v>
      </c>
      <c r="I173" s="1136">
        <v>8184.9</v>
      </c>
      <c r="J173" s="1136">
        <v>285715.59999999998</v>
      </c>
      <c r="K173" s="1138">
        <v>810756.1</v>
      </c>
      <c r="L173" s="302"/>
      <c r="M173" s="302"/>
      <c r="N173" s="302"/>
      <c r="O173" s="302"/>
      <c r="P173" s="302"/>
    </row>
    <row r="174" spans="1:16" s="145" customFormat="1">
      <c r="A174" s="1021" t="s">
        <v>42</v>
      </c>
      <c r="B174" s="1136">
        <v>110602.2</v>
      </c>
      <c r="C174" s="1136">
        <v>28569.8</v>
      </c>
      <c r="D174" s="1136">
        <v>87374.8</v>
      </c>
      <c r="E174" s="1136">
        <v>230203.7</v>
      </c>
      <c r="F174" s="1136">
        <v>47984.5</v>
      </c>
      <c r="G174" s="1136">
        <v>17539.400000000001</v>
      </c>
      <c r="H174" s="1136">
        <v>908.9</v>
      </c>
      <c r="I174" s="1136">
        <v>8156.7</v>
      </c>
      <c r="J174" s="1136">
        <v>284984.90000000002</v>
      </c>
      <c r="K174" s="1138">
        <v>816324.9</v>
      </c>
      <c r="L174" s="302"/>
      <c r="M174" s="302"/>
      <c r="N174" s="302"/>
      <c r="O174" s="302"/>
      <c r="P174" s="302"/>
    </row>
    <row r="175" spans="1:16" s="145" customFormat="1">
      <c r="A175" s="1021" t="s">
        <v>43</v>
      </c>
      <c r="B175" s="1136">
        <v>114451.9</v>
      </c>
      <c r="C175" s="1136">
        <v>25701.7</v>
      </c>
      <c r="D175" s="1136">
        <v>85477.4</v>
      </c>
      <c r="E175" s="1136">
        <v>224239.9</v>
      </c>
      <c r="F175" s="1136">
        <v>42376</v>
      </c>
      <c r="G175" s="1136">
        <v>17211.2</v>
      </c>
      <c r="H175" s="1136">
        <v>878.1</v>
      </c>
      <c r="I175" s="1136">
        <v>9206.4</v>
      </c>
      <c r="J175" s="1136">
        <v>289724.5</v>
      </c>
      <c r="K175" s="1138">
        <v>809267.10000000009</v>
      </c>
      <c r="L175" s="302"/>
      <c r="M175" s="302"/>
      <c r="N175" s="302"/>
      <c r="O175" s="302"/>
      <c r="P175" s="302"/>
    </row>
    <row r="176" spans="1:16" s="145" customFormat="1">
      <c r="A176" s="1021" t="s">
        <v>44</v>
      </c>
      <c r="B176" s="1136">
        <v>115278.3</v>
      </c>
      <c r="C176" s="1136">
        <v>29187.599999999999</v>
      </c>
      <c r="D176" s="1136">
        <v>87595.7</v>
      </c>
      <c r="E176" s="1136">
        <v>270578.90000000002</v>
      </c>
      <c r="F176" s="1136">
        <v>42410.600000000006</v>
      </c>
      <c r="G176" s="1136">
        <v>16873.8</v>
      </c>
      <c r="H176" s="1136">
        <v>860.6</v>
      </c>
      <c r="I176" s="1136">
        <v>25033.5</v>
      </c>
      <c r="J176" s="1136">
        <v>304301.2</v>
      </c>
      <c r="K176" s="1138">
        <v>892120.2</v>
      </c>
      <c r="L176" s="302"/>
      <c r="M176" s="302"/>
      <c r="N176" s="302"/>
      <c r="O176" s="302"/>
      <c r="P176" s="302"/>
    </row>
    <row r="177" spans="1:16" s="145" customFormat="1">
      <c r="A177" s="1021" t="s">
        <v>619</v>
      </c>
      <c r="B177" s="211">
        <v>116562.1</v>
      </c>
      <c r="C177" s="211">
        <v>27338.6</v>
      </c>
      <c r="D177" s="211">
        <v>89099.6</v>
      </c>
      <c r="E177" s="211">
        <v>282817.5</v>
      </c>
      <c r="F177" s="211">
        <f>20064+22720.8</f>
        <v>42784.800000000003</v>
      </c>
      <c r="G177" s="211">
        <v>17803.900000000001</v>
      </c>
      <c r="H177" s="211">
        <v>820.4</v>
      </c>
      <c r="I177" s="211">
        <v>30805</v>
      </c>
      <c r="J177" s="211">
        <f>9240+1564.2+46399.2+2577.4+2604.8+245440.4+7116</f>
        <v>314942</v>
      </c>
      <c r="K177" s="347">
        <f t="shared" ref="K177" si="0">SUM(B177:J177)</f>
        <v>922973.90000000014</v>
      </c>
      <c r="L177" s="302"/>
      <c r="M177" s="302"/>
      <c r="N177" s="302"/>
      <c r="O177" s="302"/>
      <c r="P177" s="302"/>
    </row>
    <row r="178" spans="1:16" s="145" customFormat="1">
      <c r="A178" s="1021"/>
      <c r="B178" s="211"/>
      <c r="C178" s="211"/>
      <c r="D178" s="211"/>
      <c r="E178" s="211"/>
      <c r="F178" s="211"/>
      <c r="G178" s="211"/>
      <c r="H178" s="211"/>
      <c r="I178" s="211"/>
      <c r="J178" s="211"/>
      <c r="K178" s="347"/>
      <c r="L178" s="302"/>
      <c r="M178" s="302"/>
      <c r="N178" s="302"/>
      <c r="O178" s="302"/>
      <c r="P178" s="302"/>
    </row>
    <row r="179" spans="1:16">
      <c r="A179" s="658"/>
      <c r="B179" s="525"/>
      <c r="C179" s="525"/>
      <c r="D179" s="525"/>
      <c r="E179" s="525"/>
      <c r="F179" s="525"/>
      <c r="G179" s="525"/>
      <c r="H179" s="525"/>
      <c r="I179" s="525"/>
      <c r="J179" s="525"/>
      <c r="K179" s="526"/>
      <c r="L179" s="1051"/>
      <c r="M179" s="1051"/>
      <c r="N179" s="1051"/>
      <c r="O179" s="1051"/>
      <c r="P179" s="1051"/>
    </row>
    <row r="180" spans="1:16">
      <c r="A180" s="1080" t="s">
        <v>514</v>
      </c>
      <c r="B180" s="214"/>
      <c r="C180" s="214"/>
      <c r="D180" s="214"/>
      <c r="E180" s="214"/>
      <c r="F180" s="214"/>
      <c r="G180" s="214"/>
      <c r="H180" s="214"/>
      <c r="I180" s="214"/>
      <c r="J180" s="214"/>
      <c r="K180" s="680"/>
    </row>
    <row r="181" spans="1:16">
      <c r="A181" s="1080" t="s">
        <v>657</v>
      </c>
      <c r="B181" s="214"/>
      <c r="C181" s="214"/>
      <c r="D181" s="214"/>
      <c r="E181" s="214"/>
      <c r="F181" s="214"/>
      <c r="G181" s="214"/>
      <c r="H181" s="214"/>
      <c r="I181" s="214"/>
      <c r="J181" s="214"/>
      <c r="K181" s="680"/>
    </row>
    <row r="182" spans="1:16">
      <c r="A182" s="102"/>
      <c r="B182" s="537"/>
      <c r="C182" s="537"/>
      <c r="D182" s="537"/>
      <c r="E182" s="537"/>
      <c r="F182" s="537"/>
      <c r="G182" s="537"/>
      <c r="H182" s="537"/>
      <c r="I182" s="537"/>
      <c r="J182" s="537"/>
      <c r="K182" s="659"/>
    </row>
  </sheetData>
  <mergeCells count="2">
    <mergeCell ref="B2:J2"/>
    <mergeCell ref="B3:J3"/>
  </mergeCells>
  <pageMargins left="2.2834645669291338" right="0.70866141732283472" top="0.74803149606299213" bottom="0.74803149606299213" header="0.31496062992125984" footer="0.31496062992125984"/>
  <pageSetup paperSize="9" scale="61" orientation="landscape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showGridLines="0" view="pageBreakPreview" topLeftCell="A154" zoomScale="80" zoomScaleNormal="100" zoomScaleSheetLayoutView="80" workbookViewId="0">
      <selection activeCell="B180" sqref="B180:I180"/>
    </sheetView>
  </sheetViews>
  <sheetFormatPr defaultColWidth="11.5546875" defaultRowHeight="12.75"/>
  <cols>
    <col min="1" max="1" width="19" style="687" customWidth="1"/>
    <col min="2" max="2" width="10.88671875" style="132" bestFit="1" customWidth="1"/>
    <col min="3" max="3" width="14.77734375" style="132" bestFit="1" customWidth="1"/>
    <col min="4" max="4" width="11.44140625" style="132" bestFit="1" customWidth="1"/>
    <col min="5" max="5" width="14.77734375" style="132" bestFit="1" customWidth="1"/>
    <col min="6" max="6" width="10.88671875" style="132" bestFit="1" customWidth="1"/>
    <col min="7" max="7" width="14.77734375" style="132" bestFit="1" customWidth="1"/>
    <col min="8" max="8" width="10.88671875" style="132" bestFit="1" customWidth="1"/>
    <col min="9" max="9" width="14.77734375" style="132" bestFit="1" customWidth="1"/>
    <col min="10" max="10" width="8.44140625" style="69" customWidth="1"/>
    <col min="11" max="11" width="18.109375" style="69" customWidth="1"/>
    <col min="12" max="12" width="17.21875" style="69" customWidth="1"/>
    <col min="13" max="16384" width="11.5546875" style="69"/>
  </cols>
  <sheetData>
    <row r="1" spans="1:12">
      <c r="A1" s="660"/>
      <c r="B1" s="156"/>
      <c r="C1" s="525"/>
      <c r="D1" s="525"/>
      <c r="E1" s="525"/>
      <c r="F1" s="525"/>
      <c r="G1" s="525"/>
      <c r="H1" s="525"/>
      <c r="I1" s="98"/>
      <c r="J1" s="71"/>
    </row>
    <row r="2" spans="1:12">
      <c r="A2" s="661" t="s">
        <v>518</v>
      </c>
      <c r="B2" s="70"/>
      <c r="C2" s="1259" t="s">
        <v>519</v>
      </c>
      <c r="D2" s="1259"/>
      <c r="E2" s="1259"/>
      <c r="F2" s="1259"/>
      <c r="G2" s="1259"/>
      <c r="H2" s="1259"/>
      <c r="I2" s="662" t="s">
        <v>516</v>
      </c>
      <c r="J2" s="71"/>
    </row>
    <row r="3" spans="1:12">
      <c r="A3" s="663"/>
      <c r="B3" s="70"/>
      <c r="C3" s="1259" t="s">
        <v>404</v>
      </c>
      <c r="D3" s="1259"/>
      <c r="E3" s="1259"/>
      <c r="F3" s="1259"/>
      <c r="G3" s="1259"/>
      <c r="H3" s="1259"/>
      <c r="I3" s="664"/>
      <c r="J3" s="71"/>
    </row>
    <row r="4" spans="1:12">
      <c r="A4" s="665"/>
      <c r="B4" s="95"/>
      <c r="C4" s="666"/>
      <c r="D4" s="667"/>
      <c r="E4" s="666"/>
      <c r="F4" s="667"/>
      <c r="G4" s="666"/>
      <c r="H4" s="668"/>
      <c r="I4" s="669"/>
      <c r="J4" s="71"/>
    </row>
    <row r="5" spans="1:12">
      <c r="A5" s="481"/>
      <c r="B5" s="1256" t="s">
        <v>520</v>
      </c>
      <c r="C5" s="1257"/>
      <c r="D5" s="1256" t="s">
        <v>521</v>
      </c>
      <c r="E5" s="1257"/>
      <c r="F5" s="1256" t="s">
        <v>522</v>
      </c>
      <c r="G5" s="1257"/>
      <c r="H5" s="1258" t="s">
        <v>9</v>
      </c>
      <c r="I5" s="1257"/>
      <c r="J5" s="71"/>
    </row>
    <row r="6" spans="1:12">
      <c r="A6" s="481"/>
      <c r="B6" s="670"/>
      <c r="C6" s="671"/>
      <c r="D6" s="670"/>
      <c r="E6" s="671"/>
      <c r="F6" s="670"/>
      <c r="G6" s="671"/>
      <c r="H6" s="672"/>
      <c r="I6" s="671"/>
      <c r="J6" s="71"/>
    </row>
    <row r="7" spans="1:12">
      <c r="A7" s="661" t="s">
        <v>34</v>
      </c>
      <c r="B7" s="673" t="s">
        <v>523</v>
      </c>
      <c r="C7" s="673" t="s">
        <v>524</v>
      </c>
      <c r="D7" s="673" t="s">
        <v>527</v>
      </c>
      <c r="E7" s="673" t="s">
        <v>524</v>
      </c>
      <c r="F7" s="673" t="s">
        <v>523</v>
      </c>
      <c r="G7" s="673" t="s">
        <v>524</v>
      </c>
      <c r="H7" s="673" t="s">
        <v>523</v>
      </c>
      <c r="I7" s="673" t="s">
        <v>524</v>
      </c>
      <c r="J7" s="71"/>
    </row>
    <row r="8" spans="1:12">
      <c r="A8" s="674"/>
      <c r="B8" s="675" t="s">
        <v>525</v>
      </c>
      <c r="C8" s="675" t="s">
        <v>526</v>
      </c>
      <c r="D8" s="675" t="s">
        <v>526</v>
      </c>
      <c r="E8" s="675" t="s">
        <v>526</v>
      </c>
      <c r="F8" s="675" t="s">
        <v>526</v>
      </c>
      <c r="G8" s="675" t="s">
        <v>526</v>
      </c>
      <c r="H8" s="675" t="s">
        <v>526</v>
      </c>
      <c r="I8" s="675" t="s">
        <v>526</v>
      </c>
      <c r="J8" s="676"/>
    </row>
    <row r="9" spans="1:12">
      <c r="A9" s="677"/>
      <c r="B9" s="678"/>
      <c r="C9" s="679"/>
      <c r="D9" s="524"/>
      <c r="E9" s="680"/>
      <c r="F9" s="558"/>
      <c r="G9" s="680"/>
      <c r="H9" s="681"/>
      <c r="I9" s="682"/>
      <c r="J9" s="676"/>
    </row>
    <row r="10" spans="1:12" s="145" customFormat="1" hidden="1">
      <c r="A10" s="685" t="s">
        <v>4</v>
      </c>
      <c r="B10" s="1141">
        <v>165681.80000000002</v>
      </c>
      <c r="C10" s="1140">
        <v>37703.1</v>
      </c>
      <c r="D10" s="1141">
        <v>73187.899999999994</v>
      </c>
      <c r="E10" s="1139">
        <v>3133.3</v>
      </c>
      <c r="F10" s="1141">
        <v>7023.1</v>
      </c>
      <c r="G10" s="1139">
        <v>1205.0999999999999</v>
      </c>
      <c r="H10" s="1141">
        <v>245892.80000000002</v>
      </c>
      <c r="I10" s="1141">
        <v>42041.5</v>
      </c>
      <c r="J10" s="220"/>
      <c r="K10" s="302"/>
      <c r="L10" s="302"/>
    </row>
    <row r="11" spans="1:12" s="145" customFormat="1" hidden="1">
      <c r="A11" s="685" t="s">
        <v>5</v>
      </c>
      <c r="B11" s="1142">
        <v>172253.5</v>
      </c>
      <c r="C11" s="1143">
        <v>38238.9</v>
      </c>
      <c r="D11" s="1142">
        <v>110643.4</v>
      </c>
      <c r="E11" s="1144">
        <v>3275.7</v>
      </c>
      <c r="F11" s="1142">
        <v>9115.5</v>
      </c>
      <c r="G11" s="1144">
        <v>827.6</v>
      </c>
      <c r="H11" s="1142">
        <v>292012.40000000002</v>
      </c>
      <c r="I11" s="1142">
        <v>42342.2</v>
      </c>
      <c r="J11" s="220"/>
      <c r="K11" s="302"/>
      <c r="L11" s="302"/>
    </row>
    <row r="12" spans="1:12" s="145" customFormat="1" hidden="1">
      <c r="A12" s="685" t="s">
        <v>7</v>
      </c>
      <c r="B12" s="1147">
        <v>239504.9</v>
      </c>
      <c r="C12" s="1146">
        <v>39076.800000000003</v>
      </c>
      <c r="D12" s="1147">
        <v>138300.6</v>
      </c>
      <c r="E12" s="1145">
        <v>2546.1999999999998</v>
      </c>
      <c r="F12" s="1147">
        <v>13708.4</v>
      </c>
      <c r="G12" s="1145">
        <v>101.5</v>
      </c>
      <c r="H12" s="1147">
        <v>391513.9</v>
      </c>
      <c r="I12" s="1147">
        <v>41724.5</v>
      </c>
      <c r="J12" s="220"/>
      <c r="K12" s="302"/>
      <c r="L12" s="302"/>
    </row>
    <row r="13" spans="1:12" s="145" customFormat="1" hidden="1">
      <c r="A13" s="685" t="s">
        <v>517</v>
      </c>
      <c r="B13" s="1148">
        <v>341803.80000000005</v>
      </c>
      <c r="C13" s="1149">
        <v>37336.699999999997</v>
      </c>
      <c r="D13" s="1148">
        <v>165470.1</v>
      </c>
      <c r="E13" s="1150">
        <v>6544.4</v>
      </c>
      <c r="F13" s="1148">
        <v>23918.5</v>
      </c>
      <c r="G13" s="1150">
        <v>231.1</v>
      </c>
      <c r="H13" s="1148">
        <v>531192.4</v>
      </c>
      <c r="I13" s="1148">
        <v>44112.2</v>
      </c>
      <c r="J13" s="220"/>
      <c r="K13" s="302"/>
      <c r="L13" s="302"/>
    </row>
    <row r="14" spans="1:12" s="145" customFormat="1" hidden="1">
      <c r="A14" s="685" t="s">
        <v>10</v>
      </c>
      <c r="B14" s="1153">
        <v>375660.7</v>
      </c>
      <c r="C14" s="1152">
        <v>41448.6</v>
      </c>
      <c r="D14" s="1153">
        <v>181820.6</v>
      </c>
      <c r="E14" s="1151">
        <v>13991.8</v>
      </c>
      <c r="F14" s="1153">
        <v>37766.1</v>
      </c>
      <c r="G14" s="1151">
        <v>1072.9000000000001</v>
      </c>
      <c r="H14" s="1153">
        <v>595247.4</v>
      </c>
      <c r="I14" s="1153">
        <v>56513.299999999996</v>
      </c>
      <c r="J14" s="220"/>
      <c r="K14" s="302"/>
      <c r="L14" s="302"/>
    </row>
    <row r="15" spans="1:12" s="145" customFormat="1">
      <c r="A15" s="685" t="s">
        <v>11</v>
      </c>
      <c r="B15" s="1156">
        <v>368888.5</v>
      </c>
      <c r="C15" s="1155">
        <v>51587.7</v>
      </c>
      <c r="D15" s="1156">
        <v>204539.7</v>
      </c>
      <c r="E15" s="1154">
        <v>18513.8</v>
      </c>
      <c r="F15" s="1156">
        <v>55677.599999999999</v>
      </c>
      <c r="G15" s="1154">
        <v>1092.2</v>
      </c>
      <c r="H15" s="1156">
        <v>629105.79999999993</v>
      </c>
      <c r="I15" s="1156">
        <v>71193.7</v>
      </c>
      <c r="J15" s="220"/>
      <c r="K15" s="302"/>
      <c r="L15" s="302"/>
    </row>
    <row r="16" spans="1:12" s="145" customFormat="1">
      <c r="A16" s="685" t="s">
        <v>13</v>
      </c>
      <c r="B16" s="1157">
        <v>374417.8</v>
      </c>
      <c r="C16" s="1158">
        <v>69744.899999999994</v>
      </c>
      <c r="D16" s="1157">
        <v>219611.2</v>
      </c>
      <c r="E16" s="1159">
        <v>24871</v>
      </c>
      <c r="F16" s="1157">
        <v>125842.5</v>
      </c>
      <c r="G16" s="1159">
        <v>4060.4</v>
      </c>
      <c r="H16" s="1157">
        <v>719871.5</v>
      </c>
      <c r="I16" s="1157">
        <v>98676.299999999988</v>
      </c>
      <c r="J16" s="220"/>
      <c r="K16" s="302"/>
      <c r="L16" s="302"/>
    </row>
    <row r="17" spans="1:12" s="145" customFormat="1">
      <c r="A17" s="685" t="s">
        <v>14</v>
      </c>
      <c r="B17" s="1157">
        <v>334591</v>
      </c>
      <c r="C17" s="1158">
        <v>112741.6</v>
      </c>
      <c r="D17" s="1157">
        <v>210296.40000000002</v>
      </c>
      <c r="E17" s="1160">
        <v>21741.8</v>
      </c>
      <c r="F17" s="1157">
        <v>114789.90000000001</v>
      </c>
      <c r="G17" s="1157">
        <v>6938.7</v>
      </c>
      <c r="H17" s="1157">
        <v>659677.30000000005</v>
      </c>
      <c r="I17" s="1157">
        <v>141422.1</v>
      </c>
      <c r="J17" s="220"/>
      <c r="K17" s="302"/>
      <c r="L17" s="302"/>
    </row>
    <row r="18" spans="1:12" s="145" customFormat="1">
      <c r="A18" s="685" t="s">
        <v>15</v>
      </c>
      <c r="B18" s="1157">
        <v>307292.2</v>
      </c>
      <c r="C18" s="1157">
        <v>132116.09999999998</v>
      </c>
      <c r="D18" s="1157">
        <v>212009.39999999997</v>
      </c>
      <c r="E18" s="1157">
        <v>25205.500000000004</v>
      </c>
      <c r="F18" s="1157">
        <v>125378.1</v>
      </c>
      <c r="G18" s="1157">
        <v>9776.1</v>
      </c>
      <c r="H18" s="1157">
        <v>644679.69999999995</v>
      </c>
      <c r="I18" s="1157">
        <v>167097.69999999998</v>
      </c>
      <c r="J18" s="220"/>
      <c r="K18" s="302"/>
      <c r="L18" s="302"/>
    </row>
    <row r="19" spans="1:12" s="145" customFormat="1">
      <c r="A19" s="685" t="s">
        <v>669</v>
      </c>
      <c r="B19" s="1157">
        <v>337350.60000000003</v>
      </c>
      <c r="C19" s="1157">
        <v>89694.1</v>
      </c>
      <c r="D19" s="1157">
        <v>201131.3</v>
      </c>
      <c r="E19" s="1157">
        <v>16991.2</v>
      </c>
      <c r="F19" s="1157">
        <v>143947.9</v>
      </c>
      <c r="G19" s="1157">
        <v>9085</v>
      </c>
      <c r="H19" s="1157">
        <v>682429.8</v>
      </c>
      <c r="I19" s="1157">
        <v>115770.3</v>
      </c>
      <c r="J19" s="220"/>
      <c r="K19" s="302"/>
      <c r="L19" s="302"/>
    </row>
    <row r="20" spans="1:12" s="145" customFormat="1" hidden="1">
      <c r="A20" s="458"/>
      <c r="B20" s="288"/>
      <c r="C20" s="684"/>
      <c r="D20" s="288"/>
      <c r="E20" s="684"/>
      <c r="F20" s="288"/>
      <c r="G20" s="684"/>
      <c r="H20" s="288"/>
      <c r="I20" s="288"/>
      <c r="J20" s="220"/>
      <c r="K20" s="302"/>
      <c r="L20" s="302"/>
    </row>
    <row r="21" spans="1:12" s="145" customFormat="1" hidden="1">
      <c r="A21" s="87" t="s">
        <v>61</v>
      </c>
      <c r="B21" s="1157">
        <v>370708.3</v>
      </c>
      <c r="C21" s="1158">
        <v>59422.400000000001</v>
      </c>
      <c r="D21" s="1157">
        <v>198876.4</v>
      </c>
      <c r="E21" s="1159">
        <v>19390.3</v>
      </c>
      <c r="F21" s="1157">
        <v>53754</v>
      </c>
      <c r="G21" s="1159">
        <v>2068.3000000000002</v>
      </c>
      <c r="H21" s="1157">
        <v>623338.69999999995</v>
      </c>
      <c r="I21" s="1157">
        <v>80880.899999999994</v>
      </c>
      <c r="J21" s="220"/>
      <c r="K21" s="302"/>
      <c r="L21" s="302"/>
    </row>
    <row r="22" spans="1:12" s="145" customFormat="1" hidden="1">
      <c r="A22" s="87" t="s">
        <v>62</v>
      </c>
      <c r="B22" s="1157">
        <v>377354.4</v>
      </c>
      <c r="C22" s="1158">
        <v>66648.899999999994</v>
      </c>
      <c r="D22" s="1157">
        <v>199654.7</v>
      </c>
      <c r="E22" s="1159">
        <v>22154.9</v>
      </c>
      <c r="F22" s="1157">
        <v>65572.800000000003</v>
      </c>
      <c r="G22" s="1159">
        <v>2934.7</v>
      </c>
      <c r="H22" s="1157">
        <v>642581.90000000014</v>
      </c>
      <c r="I22" s="1157">
        <v>91738.5</v>
      </c>
      <c r="J22" s="220"/>
      <c r="K22" s="302"/>
      <c r="L22" s="302"/>
    </row>
    <row r="23" spans="1:12" s="145" customFormat="1" hidden="1">
      <c r="A23" s="87" t="s">
        <v>63</v>
      </c>
      <c r="B23" s="1157">
        <v>356247.8</v>
      </c>
      <c r="C23" s="1158">
        <v>69056.399999999994</v>
      </c>
      <c r="D23" s="1157">
        <v>209685.7</v>
      </c>
      <c r="E23" s="1159">
        <v>25548.799999999999</v>
      </c>
      <c r="F23" s="1157">
        <v>85454.1</v>
      </c>
      <c r="G23" s="1159">
        <v>4946.3999999999996</v>
      </c>
      <c r="H23" s="1157">
        <v>651387.6</v>
      </c>
      <c r="I23" s="1157">
        <v>99551.6</v>
      </c>
      <c r="J23" s="220"/>
      <c r="K23" s="302"/>
      <c r="L23" s="302"/>
    </row>
    <row r="24" spans="1:12" s="145" customFormat="1" hidden="1">
      <c r="A24" s="87" t="s">
        <v>50</v>
      </c>
      <c r="B24" s="1157">
        <v>374417.8</v>
      </c>
      <c r="C24" s="1158">
        <v>69744.899999999994</v>
      </c>
      <c r="D24" s="1157">
        <v>219611.2</v>
      </c>
      <c r="E24" s="1159">
        <v>24871</v>
      </c>
      <c r="F24" s="1157">
        <v>125842.5</v>
      </c>
      <c r="G24" s="1159">
        <v>4060.4</v>
      </c>
      <c r="H24" s="1157">
        <v>719871.5</v>
      </c>
      <c r="I24" s="1157">
        <v>98676.299999999988</v>
      </c>
      <c r="J24" s="220"/>
      <c r="K24" s="302"/>
      <c r="L24" s="302"/>
    </row>
    <row r="25" spans="1:12" s="145" customFormat="1">
      <c r="A25" s="87"/>
      <c r="B25" s="288"/>
      <c r="C25" s="683"/>
      <c r="D25" s="288"/>
      <c r="E25" s="684"/>
      <c r="F25" s="288"/>
      <c r="G25" s="684"/>
      <c r="H25" s="288"/>
      <c r="I25" s="288"/>
      <c r="J25" s="220"/>
      <c r="K25" s="302"/>
      <c r="L25" s="302"/>
    </row>
    <row r="26" spans="1:12" s="145" customFormat="1">
      <c r="A26" s="87" t="s">
        <v>53</v>
      </c>
      <c r="B26" s="1157">
        <v>357572.6</v>
      </c>
      <c r="C26" s="1158">
        <v>70480.7</v>
      </c>
      <c r="D26" s="1157">
        <v>249972.7</v>
      </c>
      <c r="E26" s="1159">
        <v>24221.3</v>
      </c>
      <c r="F26" s="1157">
        <v>96022.8</v>
      </c>
      <c r="G26" s="1159">
        <v>4178.1000000000004</v>
      </c>
      <c r="H26" s="1157">
        <v>703568.10000000009</v>
      </c>
      <c r="I26" s="1157">
        <v>98880.1</v>
      </c>
      <c r="J26" s="220"/>
      <c r="K26" s="302"/>
      <c r="L26" s="302"/>
    </row>
    <row r="27" spans="1:12" s="145" customFormat="1">
      <c r="A27" s="87" t="s">
        <v>44</v>
      </c>
      <c r="B27" s="1157">
        <v>375434.3</v>
      </c>
      <c r="C27" s="1158">
        <v>75885.399999999994</v>
      </c>
      <c r="D27" s="1157">
        <v>233630.3</v>
      </c>
      <c r="E27" s="1159">
        <v>29918.9</v>
      </c>
      <c r="F27" s="1157">
        <v>97698.3</v>
      </c>
      <c r="G27" s="1159">
        <v>7791.3</v>
      </c>
      <c r="H27" s="1157">
        <v>706762.9</v>
      </c>
      <c r="I27" s="1157">
        <v>113595.59999999999</v>
      </c>
      <c r="J27" s="220"/>
      <c r="K27" s="302"/>
      <c r="L27" s="302"/>
    </row>
    <row r="28" spans="1:12" s="145" customFormat="1">
      <c r="A28" s="87" t="s">
        <v>47</v>
      </c>
      <c r="B28" s="1157">
        <v>372566.5</v>
      </c>
      <c r="C28" s="1158">
        <v>82109.600000000006</v>
      </c>
      <c r="D28" s="1157">
        <v>232921.3</v>
      </c>
      <c r="E28" s="1159">
        <v>29296.400000000001</v>
      </c>
      <c r="F28" s="1157">
        <v>96986.8</v>
      </c>
      <c r="G28" s="1159">
        <v>11016.2</v>
      </c>
      <c r="H28" s="1157">
        <v>702474.60000000009</v>
      </c>
      <c r="I28" s="1157">
        <v>122422.2</v>
      </c>
      <c r="J28" s="220"/>
      <c r="K28" s="302"/>
      <c r="L28" s="302"/>
    </row>
    <row r="29" spans="1:12" s="145" customFormat="1">
      <c r="A29" s="87" t="s">
        <v>50</v>
      </c>
      <c r="B29" s="1157">
        <v>334591</v>
      </c>
      <c r="C29" s="1158">
        <v>112741.6</v>
      </c>
      <c r="D29" s="1157">
        <v>210296.40000000002</v>
      </c>
      <c r="E29" s="1160">
        <v>21741.8</v>
      </c>
      <c r="F29" s="1157">
        <v>114789.90000000001</v>
      </c>
      <c r="G29" s="1157">
        <v>6938.7</v>
      </c>
      <c r="H29" s="1157">
        <v>659677.30000000005</v>
      </c>
      <c r="I29" s="1157">
        <v>141422.1</v>
      </c>
      <c r="J29" s="220"/>
      <c r="K29" s="302"/>
      <c r="L29" s="302"/>
    </row>
    <row r="30" spans="1:12" s="145" customFormat="1">
      <c r="A30" s="87"/>
      <c r="B30" s="288"/>
      <c r="C30" s="683"/>
      <c r="D30" s="288"/>
      <c r="E30" s="220"/>
      <c r="F30" s="288"/>
      <c r="G30" s="684"/>
      <c r="H30" s="288"/>
      <c r="I30" s="288"/>
      <c r="J30" s="220"/>
      <c r="K30" s="302"/>
      <c r="L30" s="302"/>
    </row>
    <row r="31" spans="1:12" s="145" customFormat="1">
      <c r="A31" s="87" t="s">
        <v>65</v>
      </c>
      <c r="B31" s="1157">
        <v>332007.70000000007</v>
      </c>
      <c r="C31" s="1158">
        <v>116525.20000000001</v>
      </c>
      <c r="D31" s="1157">
        <v>213007.6</v>
      </c>
      <c r="E31" s="1160">
        <v>22708.3</v>
      </c>
      <c r="F31" s="1157">
        <v>115568.1</v>
      </c>
      <c r="G31" s="1157">
        <v>7367.6</v>
      </c>
      <c r="H31" s="1157">
        <v>660583.4</v>
      </c>
      <c r="I31" s="1157">
        <v>146601.1</v>
      </c>
      <c r="J31" s="220"/>
      <c r="K31" s="302"/>
      <c r="L31" s="302"/>
    </row>
    <row r="32" spans="1:12" s="145" customFormat="1">
      <c r="A32" s="87" t="s">
        <v>44</v>
      </c>
      <c r="B32" s="1157">
        <v>351868.50000000006</v>
      </c>
      <c r="C32" s="1157">
        <v>100323.29999999999</v>
      </c>
      <c r="D32" s="1157">
        <v>208994.1</v>
      </c>
      <c r="E32" s="1159">
        <v>44201.899999999994</v>
      </c>
      <c r="F32" s="1157">
        <v>114679.9</v>
      </c>
      <c r="G32" s="1159">
        <v>9040.0999999999985</v>
      </c>
      <c r="H32" s="1157">
        <v>675542.50000000012</v>
      </c>
      <c r="I32" s="1157">
        <v>153565.29999999999</v>
      </c>
      <c r="J32" s="220"/>
      <c r="K32" s="302"/>
      <c r="L32" s="302"/>
    </row>
    <row r="33" spans="1:12" s="145" customFormat="1">
      <c r="A33" s="87" t="s">
        <v>47</v>
      </c>
      <c r="B33" s="1157">
        <v>339502.99999999994</v>
      </c>
      <c r="C33" s="1157">
        <v>123501.79999999999</v>
      </c>
      <c r="D33" s="1157">
        <v>223168.09999999998</v>
      </c>
      <c r="E33" s="1157">
        <v>24970.2</v>
      </c>
      <c r="F33" s="1157">
        <v>118898.79999999999</v>
      </c>
      <c r="G33" s="1157">
        <v>9820.6</v>
      </c>
      <c r="H33" s="1157">
        <v>681569.89999999991</v>
      </c>
      <c r="I33" s="1157">
        <v>158292.6</v>
      </c>
      <c r="J33" s="220"/>
      <c r="K33" s="302"/>
      <c r="L33" s="302"/>
    </row>
    <row r="34" spans="1:12" s="145" customFormat="1">
      <c r="A34" s="87" t="s">
        <v>50</v>
      </c>
      <c r="B34" s="1157">
        <v>307292.2</v>
      </c>
      <c r="C34" s="1157">
        <v>132116.09999999998</v>
      </c>
      <c r="D34" s="1157">
        <v>212009.39999999997</v>
      </c>
      <c r="E34" s="1157">
        <v>25205.500000000004</v>
      </c>
      <c r="F34" s="1157">
        <v>125378.1</v>
      </c>
      <c r="G34" s="1157">
        <v>9776.1</v>
      </c>
      <c r="H34" s="1157">
        <v>644679.69999999995</v>
      </c>
      <c r="I34" s="1157">
        <v>167097.69999999998</v>
      </c>
      <c r="J34" s="220"/>
      <c r="K34" s="302"/>
      <c r="L34" s="302"/>
    </row>
    <row r="35" spans="1:12" s="145" customFormat="1">
      <c r="A35" s="87"/>
      <c r="B35" s="288"/>
      <c r="C35" s="684"/>
      <c r="D35" s="288"/>
      <c r="E35" s="684"/>
      <c r="F35" s="288"/>
      <c r="G35" s="684"/>
      <c r="H35" s="288"/>
      <c r="I35" s="288"/>
      <c r="J35" s="220"/>
      <c r="K35" s="302"/>
      <c r="L35" s="302"/>
    </row>
    <row r="36" spans="1:12" s="145" customFormat="1">
      <c r="A36" s="87" t="s">
        <v>66</v>
      </c>
      <c r="B36" s="1157">
        <v>306720.70000000007</v>
      </c>
      <c r="C36" s="1157">
        <v>78003.7</v>
      </c>
      <c r="D36" s="1157">
        <v>213329.8</v>
      </c>
      <c r="E36" s="1157">
        <v>16212</v>
      </c>
      <c r="F36" s="1157">
        <v>127453.5</v>
      </c>
      <c r="G36" s="1157">
        <v>8550.9000000000015</v>
      </c>
      <c r="H36" s="1157">
        <v>647504</v>
      </c>
      <c r="I36" s="1157">
        <v>102766.6</v>
      </c>
      <c r="J36" s="220"/>
      <c r="K36" s="302"/>
      <c r="L36" s="302"/>
    </row>
    <row r="37" spans="1:12" s="145" customFormat="1">
      <c r="A37" s="87" t="s">
        <v>62</v>
      </c>
      <c r="B37" s="1157">
        <v>342927.4</v>
      </c>
      <c r="C37" s="1157">
        <v>83049.600000000006</v>
      </c>
      <c r="D37" s="1157">
        <v>221911.9</v>
      </c>
      <c r="E37" s="1157">
        <v>16973.8</v>
      </c>
      <c r="F37" s="1157">
        <v>130820.8</v>
      </c>
      <c r="G37" s="1157">
        <v>8404.5</v>
      </c>
      <c r="H37" s="1157">
        <v>695660.10000000009</v>
      </c>
      <c r="I37" s="1157">
        <v>108427.90000000001</v>
      </c>
      <c r="J37" s="220"/>
      <c r="K37" s="302"/>
      <c r="L37" s="302"/>
    </row>
    <row r="38" spans="1:12" s="145" customFormat="1">
      <c r="A38" s="87" t="s">
        <v>63</v>
      </c>
      <c r="B38" s="1157">
        <v>369292.89999999997</v>
      </c>
      <c r="C38" s="1157">
        <v>94843.099999999991</v>
      </c>
      <c r="D38" s="1157">
        <v>220792.40000000002</v>
      </c>
      <c r="E38" s="1157">
        <v>16013.3</v>
      </c>
      <c r="F38" s="1157">
        <v>127586.69999999998</v>
      </c>
      <c r="G38" s="1157">
        <v>8342.6</v>
      </c>
      <c r="H38" s="1157">
        <v>717672</v>
      </c>
      <c r="I38" s="1157">
        <v>119199</v>
      </c>
      <c r="J38" s="220"/>
      <c r="K38" s="302"/>
      <c r="L38" s="302"/>
    </row>
    <row r="39" spans="1:12" s="145" customFormat="1">
      <c r="A39" s="87" t="s">
        <v>64</v>
      </c>
      <c r="B39" s="1157">
        <v>337350.60000000003</v>
      </c>
      <c r="C39" s="1157">
        <v>89694.1</v>
      </c>
      <c r="D39" s="1157">
        <v>201131.3</v>
      </c>
      <c r="E39" s="1157">
        <v>16991.2</v>
      </c>
      <c r="F39" s="1157">
        <v>143947.9</v>
      </c>
      <c r="G39" s="1157">
        <v>9085</v>
      </c>
      <c r="H39" s="1157">
        <v>682429.8</v>
      </c>
      <c r="I39" s="1157">
        <v>115770.3</v>
      </c>
      <c r="J39" s="220"/>
      <c r="K39" s="302"/>
      <c r="L39" s="302"/>
    </row>
    <row r="40" spans="1:12" s="145" customFormat="1">
      <c r="A40" s="87"/>
      <c r="B40" s="288"/>
      <c r="C40" s="684"/>
      <c r="D40" s="288"/>
      <c r="E40" s="684"/>
      <c r="F40" s="288"/>
      <c r="G40" s="684"/>
      <c r="H40" s="288"/>
      <c r="I40" s="288"/>
      <c r="J40" s="220"/>
      <c r="K40" s="302"/>
      <c r="L40" s="302"/>
    </row>
    <row r="41" spans="1:12" s="145" customFormat="1">
      <c r="A41" s="87" t="s">
        <v>684</v>
      </c>
      <c r="B41" s="1157">
        <v>334056.59999999992</v>
      </c>
      <c r="C41" s="1157">
        <v>101695.70000000001</v>
      </c>
      <c r="D41" s="1157">
        <v>194259.5</v>
      </c>
      <c r="E41" s="1157">
        <v>16935</v>
      </c>
      <c r="F41" s="1157">
        <v>153961.09999999998</v>
      </c>
      <c r="G41" s="1157">
        <v>9848.2000000000007</v>
      </c>
      <c r="H41" s="1157">
        <v>682277.19999999984</v>
      </c>
      <c r="I41" s="1157">
        <v>128478.90000000001</v>
      </c>
      <c r="J41" s="220"/>
      <c r="K41" s="302"/>
      <c r="L41" s="302"/>
    </row>
    <row r="42" spans="1:12" s="145" customFormat="1">
      <c r="A42" s="1021" t="s">
        <v>62</v>
      </c>
      <c r="B42" s="1157">
        <v>368916</v>
      </c>
      <c r="C42" s="1157">
        <v>92226</v>
      </c>
      <c r="D42" s="1157">
        <v>254846.1</v>
      </c>
      <c r="E42" s="1157">
        <v>11954.9</v>
      </c>
      <c r="F42" s="1157">
        <v>155230.5</v>
      </c>
      <c r="G42" s="1157">
        <v>8946.7000000000007</v>
      </c>
      <c r="H42" s="1157">
        <v>778992.6</v>
      </c>
      <c r="I42" s="1157">
        <v>113127.59999999999</v>
      </c>
      <c r="J42" s="220"/>
      <c r="K42" s="302"/>
      <c r="L42" s="302"/>
    </row>
    <row r="43" spans="1:12" s="145" customFormat="1">
      <c r="A43" s="87"/>
      <c r="B43" s="288"/>
      <c r="C43" s="683"/>
      <c r="D43" s="288"/>
      <c r="E43" s="684"/>
      <c r="F43" s="288"/>
      <c r="G43" s="684"/>
      <c r="H43" s="288"/>
      <c r="I43" s="288"/>
      <c r="J43" s="220"/>
      <c r="K43" s="302"/>
      <c r="L43" s="302"/>
    </row>
    <row r="44" spans="1:12" s="145" customFormat="1" hidden="1">
      <c r="A44" s="87" t="s">
        <v>60</v>
      </c>
      <c r="B44" s="1141">
        <v>125938.5</v>
      </c>
      <c r="C44" s="1140">
        <v>36182.699999999997</v>
      </c>
      <c r="D44" s="1141">
        <v>58639.7</v>
      </c>
      <c r="E44" s="1139">
        <v>3704</v>
      </c>
      <c r="F44" s="1141">
        <v>5741.6</v>
      </c>
      <c r="G44" s="1139">
        <v>987.8</v>
      </c>
      <c r="H44" s="1141">
        <v>190319.80000000002</v>
      </c>
      <c r="I44" s="1141">
        <v>40874.5</v>
      </c>
      <c r="J44" s="220"/>
      <c r="K44" s="302"/>
      <c r="L44" s="302"/>
    </row>
    <row r="45" spans="1:12" s="145" customFormat="1" hidden="1">
      <c r="A45" s="87" t="s">
        <v>40</v>
      </c>
      <c r="B45" s="1141">
        <v>124761.1</v>
      </c>
      <c r="C45" s="1140">
        <v>34535.199999999997</v>
      </c>
      <c r="D45" s="1141">
        <v>59739.6</v>
      </c>
      <c r="E45" s="1139">
        <v>3672.1</v>
      </c>
      <c r="F45" s="1141">
        <v>5911.9</v>
      </c>
      <c r="G45" s="1139">
        <v>751.4</v>
      </c>
      <c r="H45" s="1141">
        <v>190412.6</v>
      </c>
      <c r="I45" s="1141">
        <v>38958.699999999997</v>
      </c>
      <c r="J45" s="220"/>
      <c r="K45" s="302"/>
      <c r="L45" s="302"/>
    </row>
    <row r="46" spans="1:12" s="145" customFormat="1" hidden="1">
      <c r="A46" s="87" t="s">
        <v>41</v>
      </c>
      <c r="B46" s="1141">
        <v>128122.2</v>
      </c>
      <c r="C46" s="1140">
        <v>35451.1</v>
      </c>
      <c r="D46" s="1141">
        <v>61992.7</v>
      </c>
      <c r="E46" s="1139">
        <v>3723.5</v>
      </c>
      <c r="F46" s="1141">
        <v>6027.5</v>
      </c>
      <c r="G46" s="1139">
        <v>926.1</v>
      </c>
      <c r="H46" s="1141">
        <v>196142.4</v>
      </c>
      <c r="I46" s="1141">
        <v>40100.699999999997</v>
      </c>
      <c r="J46" s="220"/>
      <c r="K46" s="302"/>
      <c r="L46" s="302"/>
    </row>
    <row r="47" spans="1:12" s="145" customFormat="1" hidden="1">
      <c r="A47" s="87" t="s">
        <v>42</v>
      </c>
      <c r="B47" s="1141">
        <v>129093.2</v>
      </c>
      <c r="C47" s="1140">
        <v>35952.699999999997</v>
      </c>
      <c r="D47" s="1141">
        <v>62440.5</v>
      </c>
      <c r="E47" s="1139">
        <v>3914.9</v>
      </c>
      <c r="F47" s="1141">
        <v>6182</v>
      </c>
      <c r="G47" s="1139">
        <v>1042.5999999999999</v>
      </c>
      <c r="H47" s="1141">
        <v>197715.7</v>
      </c>
      <c r="I47" s="1141">
        <v>40910.199999999997</v>
      </c>
      <c r="J47" s="220"/>
      <c r="K47" s="302"/>
      <c r="L47" s="302"/>
    </row>
    <row r="48" spans="1:12" s="145" customFormat="1" hidden="1">
      <c r="A48" s="87" t="s">
        <v>43</v>
      </c>
      <c r="B48" s="1141">
        <v>131570.70000000001</v>
      </c>
      <c r="C48" s="1140">
        <v>35504.6</v>
      </c>
      <c r="D48" s="1141">
        <v>63105</v>
      </c>
      <c r="E48" s="1139">
        <v>3956.2</v>
      </c>
      <c r="F48" s="1141">
        <v>6201.3</v>
      </c>
      <c r="G48" s="1139">
        <v>905.4</v>
      </c>
      <c r="H48" s="1141">
        <v>200877</v>
      </c>
      <c r="I48" s="1141">
        <v>40366.199999999997</v>
      </c>
      <c r="J48" s="220"/>
      <c r="K48" s="302"/>
      <c r="L48" s="302"/>
    </row>
    <row r="49" spans="1:12" s="145" customFormat="1" hidden="1">
      <c r="A49" s="87" t="s">
        <v>44</v>
      </c>
      <c r="B49" s="1141">
        <v>146054.1</v>
      </c>
      <c r="C49" s="1140">
        <v>35731.5</v>
      </c>
      <c r="D49" s="1141">
        <v>63941.5</v>
      </c>
      <c r="E49" s="1139">
        <v>3867.5</v>
      </c>
      <c r="F49" s="1141">
        <v>6215.5</v>
      </c>
      <c r="G49" s="1139">
        <v>1668.2</v>
      </c>
      <c r="H49" s="1141">
        <v>216211.1</v>
      </c>
      <c r="I49" s="1141">
        <v>41267.199999999997</v>
      </c>
      <c r="J49" s="220"/>
      <c r="K49" s="302"/>
      <c r="L49" s="302"/>
    </row>
    <row r="50" spans="1:12" s="145" customFormat="1" hidden="1">
      <c r="A50" s="87" t="s">
        <v>45</v>
      </c>
      <c r="B50" s="1141">
        <v>166786.1</v>
      </c>
      <c r="C50" s="1140">
        <v>34843.5</v>
      </c>
      <c r="D50" s="1141">
        <v>66630.399999999994</v>
      </c>
      <c r="E50" s="1139">
        <v>3868.5</v>
      </c>
      <c r="F50" s="1141">
        <v>6305.9</v>
      </c>
      <c r="G50" s="1139">
        <v>1423.3</v>
      </c>
      <c r="H50" s="1141">
        <v>239722.4</v>
      </c>
      <c r="I50" s="1141">
        <v>40135.300000000003</v>
      </c>
      <c r="J50" s="220"/>
      <c r="K50" s="302"/>
      <c r="L50" s="302"/>
    </row>
    <row r="51" spans="1:12" s="145" customFormat="1" hidden="1">
      <c r="A51" s="87" t="s">
        <v>46</v>
      </c>
      <c r="B51" s="1141">
        <v>169897.5</v>
      </c>
      <c r="C51" s="1140">
        <v>36232.1</v>
      </c>
      <c r="D51" s="1141">
        <v>68744.800000000003</v>
      </c>
      <c r="E51" s="1139">
        <v>3906.8</v>
      </c>
      <c r="F51" s="1141">
        <v>6463.2</v>
      </c>
      <c r="G51" s="1139">
        <v>1390.7</v>
      </c>
      <c r="H51" s="1141">
        <v>245105.5</v>
      </c>
      <c r="I51" s="1141">
        <v>41529.599999999999</v>
      </c>
      <c r="J51" s="220"/>
      <c r="K51" s="302"/>
      <c r="L51" s="302"/>
    </row>
    <row r="52" spans="1:12" s="145" customFormat="1" hidden="1">
      <c r="A52" s="87" t="s">
        <v>47</v>
      </c>
      <c r="B52" s="1141">
        <v>173401.8</v>
      </c>
      <c r="C52" s="1140">
        <v>36831.9</v>
      </c>
      <c r="D52" s="1141">
        <v>70263.399999999994</v>
      </c>
      <c r="E52" s="1139">
        <v>3918.1</v>
      </c>
      <c r="F52" s="1141">
        <v>6352.5</v>
      </c>
      <c r="G52" s="1139">
        <v>1450.4</v>
      </c>
      <c r="H52" s="1141">
        <v>250017.69999999998</v>
      </c>
      <c r="I52" s="1141">
        <v>42200.4</v>
      </c>
      <c r="J52" s="220"/>
      <c r="K52" s="302"/>
      <c r="L52" s="302"/>
    </row>
    <row r="53" spans="1:12" s="145" customFormat="1" hidden="1">
      <c r="A53" s="87" t="s">
        <v>48</v>
      </c>
      <c r="B53" s="1141">
        <v>179596.40000000002</v>
      </c>
      <c r="C53" s="1140">
        <v>35760.6</v>
      </c>
      <c r="D53" s="1141">
        <v>72014</v>
      </c>
      <c r="E53" s="1139">
        <v>3816.5</v>
      </c>
      <c r="F53" s="1141">
        <v>6620.5</v>
      </c>
      <c r="G53" s="1139">
        <v>1733.9</v>
      </c>
      <c r="H53" s="1141">
        <v>258230.90000000002</v>
      </c>
      <c r="I53" s="1141">
        <v>41311</v>
      </c>
      <c r="J53" s="220"/>
      <c r="K53" s="302"/>
      <c r="L53" s="302"/>
    </row>
    <row r="54" spans="1:12" s="145" customFormat="1" hidden="1">
      <c r="A54" s="87" t="s">
        <v>49</v>
      </c>
      <c r="B54" s="1141">
        <v>173572.7</v>
      </c>
      <c r="C54" s="1140">
        <v>35894.300000000003</v>
      </c>
      <c r="D54" s="1141">
        <v>73916.3</v>
      </c>
      <c r="E54" s="1139">
        <v>4227.3999999999996</v>
      </c>
      <c r="F54" s="1141">
        <v>6845.8</v>
      </c>
      <c r="G54" s="1139">
        <v>1427.3</v>
      </c>
      <c r="H54" s="1141">
        <v>254334.8</v>
      </c>
      <c r="I54" s="1141">
        <v>41549.000000000007</v>
      </c>
      <c r="J54" s="220"/>
      <c r="K54" s="302"/>
      <c r="L54" s="302"/>
    </row>
    <row r="55" spans="1:12" s="145" customFormat="1" hidden="1">
      <c r="A55" s="87" t="s">
        <v>50</v>
      </c>
      <c r="B55" s="1141">
        <v>165681.80000000002</v>
      </c>
      <c r="C55" s="1140">
        <v>37703.1</v>
      </c>
      <c r="D55" s="1141">
        <v>73187.899999999994</v>
      </c>
      <c r="E55" s="1139">
        <v>3133.3</v>
      </c>
      <c r="F55" s="1141">
        <v>7023.1</v>
      </c>
      <c r="G55" s="1139">
        <v>1205.0999999999999</v>
      </c>
      <c r="H55" s="1141">
        <v>245892.80000000002</v>
      </c>
      <c r="I55" s="1141">
        <v>42041.5</v>
      </c>
      <c r="J55" s="220"/>
      <c r="K55" s="302"/>
      <c r="L55" s="302"/>
    </row>
    <row r="56" spans="1:12" s="145" customFormat="1" hidden="1">
      <c r="A56" s="222"/>
      <c r="B56" s="288"/>
      <c r="C56" s="683"/>
      <c r="D56" s="288"/>
      <c r="E56" s="684"/>
      <c r="F56" s="288"/>
      <c r="G56" s="684"/>
      <c r="H56" s="288"/>
      <c r="I56" s="288"/>
      <c r="J56" s="220"/>
      <c r="K56" s="302"/>
      <c r="L56" s="302"/>
    </row>
    <row r="57" spans="1:12" s="145" customFormat="1" hidden="1">
      <c r="A57" s="87" t="s">
        <v>59</v>
      </c>
      <c r="B57" s="1142">
        <v>159982.9</v>
      </c>
      <c r="C57" s="1143">
        <v>38641.4</v>
      </c>
      <c r="D57" s="1142">
        <v>72652.100000000006</v>
      </c>
      <c r="E57" s="1144">
        <v>3190</v>
      </c>
      <c r="F57" s="1142">
        <v>7131.2</v>
      </c>
      <c r="G57" s="1144">
        <v>1200.0999999999999</v>
      </c>
      <c r="H57" s="1142">
        <v>239766.2</v>
      </c>
      <c r="I57" s="1142">
        <v>43031.5</v>
      </c>
      <c r="J57" s="220"/>
      <c r="K57" s="302"/>
      <c r="L57" s="302"/>
    </row>
    <row r="58" spans="1:12" s="145" customFormat="1" hidden="1">
      <c r="A58" s="87" t="s">
        <v>40</v>
      </c>
      <c r="B58" s="1142">
        <v>156787.20000000001</v>
      </c>
      <c r="C58" s="1143">
        <v>37853.4</v>
      </c>
      <c r="D58" s="1142">
        <v>75975.399999999994</v>
      </c>
      <c r="E58" s="1144">
        <v>3539</v>
      </c>
      <c r="F58" s="1142">
        <v>7299.7</v>
      </c>
      <c r="G58" s="1144">
        <v>1189.5</v>
      </c>
      <c r="H58" s="1142">
        <v>240062.30000000002</v>
      </c>
      <c r="I58" s="1142">
        <v>42581.9</v>
      </c>
      <c r="J58" s="220"/>
      <c r="K58" s="302"/>
      <c r="L58" s="302"/>
    </row>
    <row r="59" spans="1:12" s="145" customFormat="1" hidden="1">
      <c r="A59" s="87" t="s">
        <v>41</v>
      </c>
      <c r="B59" s="1142">
        <v>162328.79999999999</v>
      </c>
      <c r="C59" s="1143">
        <v>37615.1</v>
      </c>
      <c r="D59" s="1142">
        <v>77493.5</v>
      </c>
      <c r="E59" s="1144">
        <v>3368.3</v>
      </c>
      <c r="F59" s="1142">
        <v>7366</v>
      </c>
      <c r="G59" s="1144">
        <v>1167.9000000000001</v>
      </c>
      <c r="H59" s="1142">
        <v>247188.3</v>
      </c>
      <c r="I59" s="1142">
        <v>42151.3</v>
      </c>
      <c r="J59" s="220"/>
      <c r="K59" s="302"/>
      <c r="L59" s="302"/>
    </row>
    <row r="60" spans="1:12" s="145" customFormat="1" hidden="1">
      <c r="A60" s="87" t="s">
        <v>42</v>
      </c>
      <c r="B60" s="1142">
        <v>161957.29999999999</v>
      </c>
      <c r="C60" s="1143">
        <v>36405.699999999997</v>
      </c>
      <c r="D60" s="1142">
        <v>79666.5</v>
      </c>
      <c r="E60" s="1144">
        <v>3214.4</v>
      </c>
      <c r="F60" s="1142">
        <v>7673.9</v>
      </c>
      <c r="G60" s="1144">
        <v>1178.2</v>
      </c>
      <c r="H60" s="1142">
        <v>249297.69999999998</v>
      </c>
      <c r="I60" s="1142">
        <v>40798.299999999996</v>
      </c>
      <c r="J60" s="220"/>
      <c r="K60" s="302"/>
      <c r="L60" s="302"/>
    </row>
    <row r="61" spans="1:12" s="145" customFormat="1" hidden="1">
      <c r="A61" s="87" t="s">
        <v>43</v>
      </c>
      <c r="B61" s="1142">
        <v>163090.80000000002</v>
      </c>
      <c r="C61" s="1143">
        <v>36440.199999999997</v>
      </c>
      <c r="D61" s="1142">
        <v>83319</v>
      </c>
      <c r="E61" s="1144">
        <v>3250.7</v>
      </c>
      <c r="F61" s="1142">
        <v>7790.8</v>
      </c>
      <c r="G61" s="1144">
        <v>1197.5999999999999</v>
      </c>
      <c r="H61" s="1142">
        <v>254200.6</v>
      </c>
      <c r="I61" s="1142">
        <v>40888.499999999993</v>
      </c>
      <c r="J61" s="220"/>
      <c r="K61" s="302"/>
      <c r="L61" s="302"/>
    </row>
    <row r="62" spans="1:12" s="145" customFormat="1" hidden="1">
      <c r="A62" s="87" t="s">
        <v>44</v>
      </c>
      <c r="B62" s="1142">
        <v>164206.70000000001</v>
      </c>
      <c r="C62" s="1143">
        <v>36928.400000000001</v>
      </c>
      <c r="D62" s="1142">
        <v>87990.9</v>
      </c>
      <c r="E62" s="1144">
        <v>3314.7</v>
      </c>
      <c r="F62" s="1142">
        <v>8060.6</v>
      </c>
      <c r="G62" s="1144">
        <v>1192</v>
      </c>
      <c r="H62" s="1142">
        <v>260258.2</v>
      </c>
      <c r="I62" s="1142">
        <v>41435.1</v>
      </c>
      <c r="J62" s="220"/>
      <c r="K62" s="302"/>
      <c r="L62" s="302"/>
    </row>
    <row r="63" spans="1:12" s="145" customFormat="1" hidden="1">
      <c r="A63" s="87" t="s">
        <v>45</v>
      </c>
      <c r="B63" s="1142">
        <v>169824</v>
      </c>
      <c r="C63" s="1143">
        <v>35562.9</v>
      </c>
      <c r="D63" s="1142">
        <v>90934.7</v>
      </c>
      <c r="E63" s="1144">
        <v>3562.7</v>
      </c>
      <c r="F63" s="1142">
        <v>8323.1</v>
      </c>
      <c r="G63" s="1144">
        <v>1178.2</v>
      </c>
      <c r="H63" s="1142">
        <v>269081.8</v>
      </c>
      <c r="I63" s="1142">
        <v>40303.799999999996</v>
      </c>
      <c r="J63" s="220"/>
      <c r="K63" s="302"/>
      <c r="L63" s="302"/>
    </row>
    <row r="64" spans="1:12" s="145" customFormat="1" hidden="1">
      <c r="A64" s="87" t="s">
        <v>46</v>
      </c>
      <c r="B64" s="1142">
        <v>169185</v>
      </c>
      <c r="C64" s="1143">
        <v>36494.400000000001</v>
      </c>
      <c r="D64" s="1142">
        <v>96012.1</v>
      </c>
      <c r="E64" s="1144">
        <v>3362.4</v>
      </c>
      <c r="F64" s="1142">
        <v>8524.2999999999993</v>
      </c>
      <c r="G64" s="1144">
        <v>1079.2</v>
      </c>
      <c r="H64" s="1142">
        <v>273721.39999999997</v>
      </c>
      <c r="I64" s="1142">
        <v>40936</v>
      </c>
      <c r="J64" s="220"/>
      <c r="K64" s="302"/>
      <c r="L64" s="302"/>
    </row>
    <row r="65" spans="1:12" s="145" customFormat="1" hidden="1">
      <c r="A65" s="87" t="s">
        <v>47</v>
      </c>
      <c r="B65" s="1142">
        <v>174612.1</v>
      </c>
      <c r="C65" s="1143">
        <v>38028.800000000003</v>
      </c>
      <c r="D65" s="1142">
        <v>96296.6</v>
      </c>
      <c r="E65" s="1144">
        <v>3423.1</v>
      </c>
      <c r="F65" s="1142">
        <v>8734.7000000000007</v>
      </c>
      <c r="G65" s="1144">
        <v>1073.9000000000001</v>
      </c>
      <c r="H65" s="1142">
        <v>279643.40000000002</v>
      </c>
      <c r="I65" s="1142">
        <v>42525.8</v>
      </c>
      <c r="J65" s="220"/>
      <c r="K65" s="302"/>
      <c r="L65" s="302"/>
    </row>
    <row r="66" spans="1:12" s="145" customFormat="1" hidden="1">
      <c r="A66" s="87" t="s">
        <v>48</v>
      </c>
      <c r="B66" s="1142">
        <v>175091.19999999998</v>
      </c>
      <c r="C66" s="1143">
        <v>39413.599999999999</v>
      </c>
      <c r="D66" s="1142">
        <v>101948.4</v>
      </c>
      <c r="E66" s="1144">
        <v>3462.7</v>
      </c>
      <c r="F66" s="1142">
        <v>8929.2999999999993</v>
      </c>
      <c r="G66" s="1144">
        <v>845.6</v>
      </c>
      <c r="H66" s="1142">
        <v>285968.89999999997</v>
      </c>
      <c r="I66" s="1142">
        <v>43721.899999999994</v>
      </c>
      <c r="J66" s="220"/>
      <c r="K66" s="302"/>
      <c r="L66" s="302"/>
    </row>
    <row r="67" spans="1:12" s="145" customFormat="1" hidden="1">
      <c r="A67" s="87" t="s">
        <v>49</v>
      </c>
      <c r="B67" s="1142">
        <v>177878.1</v>
      </c>
      <c r="C67" s="1143">
        <v>38345.4</v>
      </c>
      <c r="D67" s="1142">
        <v>106721.7</v>
      </c>
      <c r="E67" s="1144">
        <v>3870.2</v>
      </c>
      <c r="F67" s="1142">
        <v>9027.5</v>
      </c>
      <c r="G67" s="1144">
        <v>847.8</v>
      </c>
      <c r="H67" s="1142">
        <v>293627.3</v>
      </c>
      <c r="I67" s="1142">
        <v>43063.4</v>
      </c>
      <c r="J67" s="220"/>
      <c r="K67" s="302"/>
      <c r="L67" s="302"/>
    </row>
    <row r="68" spans="1:12" s="145" customFormat="1" hidden="1">
      <c r="A68" s="87" t="s">
        <v>50</v>
      </c>
      <c r="B68" s="1142">
        <v>172253.5</v>
      </c>
      <c r="C68" s="1143">
        <v>38238.9</v>
      </c>
      <c r="D68" s="1142">
        <v>110643.4</v>
      </c>
      <c r="E68" s="1144">
        <v>3275.7</v>
      </c>
      <c r="F68" s="1142">
        <v>9115.5</v>
      </c>
      <c r="G68" s="1144">
        <v>827.6</v>
      </c>
      <c r="H68" s="1142">
        <v>292012.40000000002</v>
      </c>
      <c r="I68" s="1142">
        <v>42342.2</v>
      </c>
      <c r="J68" s="220"/>
      <c r="K68" s="302"/>
      <c r="L68" s="302"/>
    </row>
    <row r="69" spans="1:12" s="145" customFormat="1" hidden="1">
      <c r="A69" s="87"/>
      <c r="B69" s="288"/>
      <c r="C69" s="683"/>
      <c r="D69" s="288"/>
      <c r="E69" s="684"/>
      <c r="F69" s="288"/>
      <c r="G69" s="684"/>
      <c r="H69" s="288"/>
      <c r="I69" s="288"/>
      <c r="J69" s="220"/>
      <c r="K69" s="302"/>
      <c r="L69" s="302"/>
    </row>
    <row r="70" spans="1:12" s="145" customFormat="1" hidden="1">
      <c r="A70" s="87" t="s">
        <v>58</v>
      </c>
      <c r="B70" s="1147">
        <v>168033.6</v>
      </c>
      <c r="C70" s="1146">
        <v>38673.9</v>
      </c>
      <c r="D70" s="1147">
        <v>110417.8</v>
      </c>
      <c r="E70" s="1145">
        <v>3149.8</v>
      </c>
      <c r="F70" s="1147">
        <v>9553.7999999999993</v>
      </c>
      <c r="G70" s="1145">
        <v>292.3</v>
      </c>
      <c r="H70" s="1147">
        <v>288005.2</v>
      </c>
      <c r="I70" s="1147">
        <v>42116.000000000007</v>
      </c>
      <c r="J70" s="220"/>
      <c r="K70" s="302"/>
      <c r="L70" s="302"/>
    </row>
    <row r="71" spans="1:12" s="145" customFormat="1" hidden="1">
      <c r="A71" s="87" t="s">
        <v>40</v>
      </c>
      <c r="B71" s="1147">
        <v>177139.90000000002</v>
      </c>
      <c r="C71" s="1146">
        <v>38399.800000000003</v>
      </c>
      <c r="D71" s="1147">
        <v>112052.4</v>
      </c>
      <c r="E71" s="1145">
        <v>3220.1</v>
      </c>
      <c r="F71" s="1147">
        <v>9780.6</v>
      </c>
      <c r="G71" s="1145">
        <v>94.8</v>
      </c>
      <c r="H71" s="1147">
        <v>298972.90000000002</v>
      </c>
      <c r="I71" s="1147">
        <v>41714.700000000004</v>
      </c>
      <c r="J71" s="220"/>
      <c r="K71" s="302"/>
      <c r="L71" s="302"/>
    </row>
    <row r="72" spans="1:12" s="145" customFormat="1" hidden="1">
      <c r="A72" s="87" t="s">
        <v>41</v>
      </c>
      <c r="B72" s="1147">
        <v>185489.6</v>
      </c>
      <c r="C72" s="1146">
        <v>38592</v>
      </c>
      <c r="D72" s="1147">
        <v>113509.1</v>
      </c>
      <c r="E72" s="1145">
        <v>3131.2</v>
      </c>
      <c r="F72" s="1147">
        <v>10484.9</v>
      </c>
      <c r="G72" s="1145">
        <v>67.400000000000006</v>
      </c>
      <c r="H72" s="1147">
        <v>309483.60000000003</v>
      </c>
      <c r="I72" s="1147">
        <v>41790.6</v>
      </c>
      <c r="J72" s="220"/>
      <c r="K72" s="302"/>
      <c r="L72" s="302"/>
    </row>
    <row r="73" spans="1:12" s="145" customFormat="1" hidden="1">
      <c r="A73" s="87" t="s">
        <v>42</v>
      </c>
      <c r="B73" s="1147">
        <v>187690.1</v>
      </c>
      <c r="C73" s="1146">
        <v>39032</v>
      </c>
      <c r="D73" s="1147">
        <v>118661.7</v>
      </c>
      <c r="E73" s="1145">
        <v>3158.9</v>
      </c>
      <c r="F73" s="1147">
        <v>10717.6</v>
      </c>
      <c r="G73" s="1145">
        <v>81.400000000000006</v>
      </c>
      <c r="H73" s="1147">
        <v>317069.39999999997</v>
      </c>
      <c r="I73" s="1147">
        <v>42272.3</v>
      </c>
      <c r="J73" s="220"/>
      <c r="K73" s="302"/>
      <c r="L73" s="302"/>
    </row>
    <row r="74" spans="1:12" s="145" customFormat="1" hidden="1">
      <c r="A74" s="87" t="s">
        <v>43</v>
      </c>
      <c r="B74" s="1147">
        <v>193377.4</v>
      </c>
      <c r="C74" s="1146">
        <v>39359.9</v>
      </c>
      <c r="D74" s="1147">
        <v>119432</v>
      </c>
      <c r="E74" s="1145">
        <v>3400.7</v>
      </c>
      <c r="F74" s="1147">
        <v>10779.3</v>
      </c>
      <c r="G74" s="1145">
        <v>113.8</v>
      </c>
      <c r="H74" s="1147">
        <v>323588.7</v>
      </c>
      <c r="I74" s="1147">
        <v>42874.400000000001</v>
      </c>
      <c r="J74" s="220"/>
      <c r="K74" s="302"/>
      <c r="L74" s="302"/>
    </row>
    <row r="75" spans="1:12" s="145" customFormat="1" hidden="1">
      <c r="A75" s="87" t="s">
        <v>44</v>
      </c>
      <c r="B75" s="1147">
        <v>209981.30000000002</v>
      </c>
      <c r="C75" s="1146">
        <v>42392.2</v>
      </c>
      <c r="D75" s="1147">
        <v>124532.5</v>
      </c>
      <c r="E75" s="1145">
        <v>3433.8</v>
      </c>
      <c r="F75" s="1147">
        <v>11210.4</v>
      </c>
      <c r="G75" s="1145">
        <v>87.6</v>
      </c>
      <c r="H75" s="1147">
        <v>345724.20000000007</v>
      </c>
      <c r="I75" s="1147">
        <v>45913.599999999999</v>
      </c>
      <c r="J75" s="220"/>
      <c r="K75" s="302"/>
      <c r="L75" s="302"/>
    </row>
    <row r="76" spans="1:12" s="145" customFormat="1" hidden="1">
      <c r="A76" s="87" t="s">
        <v>45</v>
      </c>
      <c r="B76" s="1147">
        <v>228203.7</v>
      </c>
      <c r="C76" s="1146">
        <v>41321.800000000003</v>
      </c>
      <c r="D76" s="1147">
        <v>125424.8</v>
      </c>
      <c r="E76" s="1145">
        <v>2860.1</v>
      </c>
      <c r="F76" s="1147">
        <v>11208.3</v>
      </c>
      <c r="G76" s="1145">
        <v>86.8</v>
      </c>
      <c r="H76" s="1147">
        <v>364836.8</v>
      </c>
      <c r="I76" s="1147">
        <v>44268.700000000004</v>
      </c>
      <c r="J76" s="220"/>
      <c r="K76" s="302"/>
      <c r="L76" s="302"/>
    </row>
    <row r="77" spans="1:12" s="145" customFormat="1" hidden="1">
      <c r="A77" s="87" t="s">
        <v>46</v>
      </c>
      <c r="B77" s="1147">
        <v>236714.2</v>
      </c>
      <c r="C77" s="1146">
        <v>41718.800000000003</v>
      </c>
      <c r="D77" s="1147">
        <v>129872.2</v>
      </c>
      <c r="E77" s="1145">
        <v>2620.1</v>
      </c>
      <c r="F77" s="1147">
        <v>11546.8</v>
      </c>
      <c r="G77" s="1145">
        <v>97.4</v>
      </c>
      <c r="H77" s="1147">
        <v>378133.2</v>
      </c>
      <c r="I77" s="1147">
        <v>44436.3</v>
      </c>
      <c r="J77" s="220"/>
      <c r="K77" s="302"/>
      <c r="L77" s="302"/>
    </row>
    <row r="78" spans="1:12" s="145" customFormat="1" hidden="1">
      <c r="A78" s="87" t="s">
        <v>47</v>
      </c>
      <c r="B78" s="1147">
        <v>241613.69999999998</v>
      </c>
      <c r="C78" s="1146">
        <v>42154.8</v>
      </c>
      <c r="D78" s="1147">
        <v>131143.20000000001</v>
      </c>
      <c r="E78" s="1145">
        <v>3000.6</v>
      </c>
      <c r="F78" s="1147">
        <v>11976.4</v>
      </c>
      <c r="G78" s="1145">
        <v>85.3</v>
      </c>
      <c r="H78" s="1147">
        <v>384733.30000000005</v>
      </c>
      <c r="I78" s="1147">
        <v>45240.700000000004</v>
      </c>
      <c r="J78" s="220"/>
      <c r="K78" s="302"/>
      <c r="L78" s="302"/>
    </row>
    <row r="79" spans="1:12" s="145" customFormat="1" hidden="1">
      <c r="A79" s="87" t="s">
        <v>48</v>
      </c>
      <c r="B79" s="1147">
        <v>245343.40000000002</v>
      </c>
      <c r="C79" s="1146">
        <v>40320.800000000003</v>
      </c>
      <c r="D79" s="1147">
        <v>132867.4</v>
      </c>
      <c r="E79" s="1145">
        <v>2929.4</v>
      </c>
      <c r="F79" s="1147">
        <v>12532.2</v>
      </c>
      <c r="G79" s="1145">
        <v>127</v>
      </c>
      <c r="H79" s="1147">
        <v>390743.00000000006</v>
      </c>
      <c r="I79" s="1147">
        <v>43377.200000000004</v>
      </c>
      <c r="J79" s="220"/>
      <c r="K79" s="302"/>
      <c r="L79" s="302"/>
    </row>
    <row r="80" spans="1:12" s="145" customFormat="1" hidden="1">
      <c r="A80" s="87" t="s">
        <v>49</v>
      </c>
      <c r="B80" s="1147">
        <v>244023.59999999998</v>
      </c>
      <c r="C80" s="1146">
        <v>39406.800000000003</v>
      </c>
      <c r="D80" s="1147">
        <v>133107.5</v>
      </c>
      <c r="E80" s="1145">
        <v>3025.9</v>
      </c>
      <c r="F80" s="1147">
        <v>12869.9</v>
      </c>
      <c r="G80" s="1145">
        <v>121.3</v>
      </c>
      <c r="H80" s="1147">
        <v>390001</v>
      </c>
      <c r="I80" s="1147">
        <v>42554.000000000007</v>
      </c>
      <c r="J80" s="220"/>
      <c r="K80" s="302"/>
      <c r="L80" s="302"/>
    </row>
    <row r="81" spans="1:12" s="145" customFormat="1" hidden="1">
      <c r="A81" s="87" t="s">
        <v>50</v>
      </c>
      <c r="B81" s="1147">
        <v>239504.9</v>
      </c>
      <c r="C81" s="1146">
        <v>39076.800000000003</v>
      </c>
      <c r="D81" s="1147">
        <v>138300.6</v>
      </c>
      <c r="E81" s="1145">
        <v>2546.1999999999998</v>
      </c>
      <c r="F81" s="1147">
        <v>13708.4</v>
      </c>
      <c r="G81" s="1145">
        <v>101.5</v>
      </c>
      <c r="H81" s="1147">
        <v>391513.9</v>
      </c>
      <c r="I81" s="1147">
        <v>41724.5</v>
      </c>
      <c r="J81" s="220"/>
      <c r="K81" s="302"/>
      <c r="L81" s="302"/>
    </row>
    <row r="82" spans="1:12" s="145" customFormat="1" hidden="1">
      <c r="A82" s="87"/>
      <c r="B82" s="288"/>
      <c r="C82" s="683"/>
      <c r="D82" s="288"/>
      <c r="E82" s="684"/>
      <c r="F82" s="288"/>
      <c r="G82" s="684"/>
      <c r="H82" s="288"/>
      <c r="I82" s="288"/>
      <c r="J82" s="220"/>
      <c r="K82" s="302"/>
      <c r="L82" s="302"/>
    </row>
    <row r="83" spans="1:12" s="145" customFormat="1" hidden="1">
      <c r="A83" s="87" t="s">
        <v>57</v>
      </c>
      <c r="B83" s="1148">
        <v>239537.4</v>
      </c>
      <c r="C83" s="1149">
        <v>39208.300000000003</v>
      </c>
      <c r="D83" s="1148">
        <v>139419.9</v>
      </c>
      <c r="E83" s="1150">
        <v>2555.8000000000002</v>
      </c>
      <c r="F83" s="1148">
        <v>14039.6</v>
      </c>
      <c r="G83" s="1150">
        <v>133.30000000000001</v>
      </c>
      <c r="H83" s="1148">
        <v>392996.89999999997</v>
      </c>
      <c r="I83" s="1148">
        <v>41897.400000000009</v>
      </c>
      <c r="J83" s="220"/>
      <c r="K83" s="302"/>
      <c r="L83" s="302"/>
    </row>
    <row r="84" spans="1:12" s="145" customFormat="1" hidden="1">
      <c r="A84" s="87" t="s">
        <v>40</v>
      </c>
      <c r="B84" s="1148">
        <v>246333.6</v>
      </c>
      <c r="C84" s="1149">
        <v>38290.699999999997</v>
      </c>
      <c r="D84" s="1148">
        <v>145740</v>
      </c>
      <c r="E84" s="1150">
        <v>2655.7</v>
      </c>
      <c r="F84" s="1148">
        <v>14653.3</v>
      </c>
      <c r="G84" s="1150">
        <v>195.3</v>
      </c>
      <c r="H84" s="1148">
        <v>406726.89999999997</v>
      </c>
      <c r="I84" s="1148">
        <v>41141.699999999997</v>
      </c>
      <c r="J84" s="220"/>
      <c r="K84" s="302"/>
      <c r="L84" s="302"/>
    </row>
    <row r="85" spans="1:12" s="145" customFormat="1" hidden="1">
      <c r="A85" s="87" t="s">
        <v>41</v>
      </c>
      <c r="B85" s="1148">
        <v>254065.2</v>
      </c>
      <c r="C85" s="1149">
        <v>36999.800000000003</v>
      </c>
      <c r="D85" s="1148">
        <v>153860.29999999999</v>
      </c>
      <c r="E85" s="1150">
        <v>2502.8000000000002</v>
      </c>
      <c r="F85" s="1148">
        <v>15017.7</v>
      </c>
      <c r="G85" s="1150">
        <v>206.2</v>
      </c>
      <c r="H85" s="1148">
        <v>422943.2</v>
      </c>
      <c r="I85" s="1148">
        <v>39708.800000000003</v>
      </c>
      <c r="J85" s="220"/>
      <c r="K85" s="302"/>
      <c r="L85" s="302"/>
    </row>
    <row r="86" spans="1:12" s="145" customFormat="1" hidden="1">
      <c r="A86" s="87" t="s">
        <v>42</v>
      </c>
      <c r="B86" s="1148">
        <v>259333.5</v>
      </c>
      <c r="C86" s="1149">
        <v>36708.400000000001</v>
      </c>
      <c r="D86" s="1148">
        <v>155819.5</v>
      </c>
      <c r="E86" s="1150">
        <v>2563.8000000000002</v>
      </c>
      <c r="F86" s="1148">
        <v>15366.6</v>
      </c>
      <c r="G86" s="1150">
        <v>230</v>
      </c>
      <c r="H86" s="1148">
        <v>430519.6</v>
      </c>
      <c r="I86" s="1148">
        <v>39502.200000000004</v>
      </c>
      <c r="J86" s="220"/>
      <c r="K86" s="302"/>
      <c r="L86" s="302"/>
    </row>
    <row r="87" spans="1:12" s="145" customFormat="1" hidden="1">
      <c r="A87" s="87" t="s">
        <v>43</v>
      </c>
      <c r="B87" s="1148">
        <v>267975.59999999998</v>
      </c>
      <c r="C87" s="1149">
        <v>36632.400000000001</v>
      </c>
      <c r="D87" s="1148">
        <v>168322.3</v>
      </c>
      <c r="E87" s="1150">
        <v>2584.4</v>
      </c>
      <c r="F87" s="1148">
        <v>15650.1</v>
      </c>
      <c r="G87" s="1150">
        <v>221.4</v>
      </c>
      <c r="H87" s="1148">
        <v>451947.99999999994</v>
      </c>
      <c r="I87" s="1148">
        <v>39438.200000000004</v>
      </c>
      <c r="J87" s="220"/>
      <c r="K87" s="302"/>
      <c r="L87" s="302"/>
    </row>
    <row r="88" spans="1:12" s="145" customFormat="1" hidden="1">
      <c r="A88" s="87" t="s">
        <v>44</v>
      </c>
      <c r="B88" s="1148">
        <v>292610.59999999998</v>
      </c>
      <c r="C88" s="1149">
        <v>36042.6</v>
      </c>
      <c r="D88" s="1148">
        <v>172536.4</v>
      </c>
      <c r="E88" s="1150">
        <v>2626.6</v>
      </c>
      <c r="F88" s="1148">
        <v>16806.400000000001</v>
      </c>
      <c r="G88" s="1150">
        <v>226.4</v>
      </c>
      <c r="H88" s="1148">
        <v>481953.4</v>
      </c>
      <c r="I88" s="1148">
        <v>38895.599999999999</v>
      </c>
      <c r="J88" s="220"/>
      <c r="K88" s="302"/>
      <c r="L88" s="302"/>
    </row>
    <row r="89" spans="1:12" s="145" customFormat="1" hidden="1">
      <c r="A89" s="87" t="s">
        <v>45</v>
      </c>
      <c r="B89" s="1148">
        <v>307394.3</v>
      </c>
      <c r="C89" s="1149">
        <v>37036.199999999997</v>
      </c>
      <c r="D89" s="1148">
        <v>172554.6</v>
      </c>
      <c r="E89" s="1150">
        <v>2648</v>
      </c>
      <c r="F89" s="1148">
        <v>18951.400000000001</v>
      </c>
      <c r="G89" s="1150">
        <v>211.1</v>
      </c>
      <c r="H89" s="1148">
        <v>498900.30000000005</v>
      </c>
      <c r="I89" s="1148">
        <v>39895.299999999996</v>
      </c>
      <c r="J89" s="220"/>
      <c r="K89" s="302"/>
      <c r="L89" s="302"/>
    </row>
    <row r="90" spans="1:12" s="145" customFormat="1" hidden="1">
      <c r="A90" s="87" t="s">
        <v>46</v>
      </c>
      <c r="B90" s="1148">
        <v>333205.5</v>
      </c>
      <c r="C90" s="1149">
        <v>38524.800000000003</v>
      </c>
      <c r="D90" s="1148">
        <v>162502.1</v>
      </c>
      <c r="E90" s="1150">
        <v>2661.8</v>
      </c>
      <c r="F90" s="1148">
        <v>18144.7</v>
      </c>
      <c r="G90" s="1150">
        <v>1128.7</v>
      </c>
      <c r="H90" s="1148">
        <v>513852.3</v>
      </c>
      <c r="I90" s="1148">
        <v>42315.3</v>
      </c>
      <c r="J90" s="220"/>
      <c r="K90" s="302"/>
      <c r="L90" s="302"/>
    </row>
    <row r="91" spans="1:12" s="145" customFormat="1" hidden="1">
      <c r="A91" s="87" t="s">
        <v>47</v>
      </c>
      <c r="B91" s="1148">
        <v>335552.8</v>
      </c>
      <c r="C91" s="1149">
        <v>37268.199999999997</v>
      </c>
      <c r="D91" s="1148">
        <v>168503.6</v>
      </c>
      <c r="E91" s="1150">
        <v>2852.1</v>
      </c>
      <c r="F91" s="1148">
        <v>20141.2</v>
      </c>
      <c r="G91" s="1150">
        <v>191.4</v>
      </c>
      <c r="H91" s="1148">
        <v>524197.60000000003</v>
      </c>
      <c r="I91" s="1148">
        <v>40311.699999999997</v>
      </c>
      <c r="J91" s="220"/>
      <c r="K91" s="302"/>
      <c r="L91" s="302"/>
    </row>
    <row r="92" spans="1:12" s="145" customFormat="1" hidden="1">
      <c r="A92" s="87" t="s">
        <v>48</v>
      </c>
      <c r="B92" s="1148">
        <v>355088.7</v>
      </c>
      <c r="C92" s="1149">
        <v>36180.300000000003</v>
      </c>
      <c r="D92" s="1148">
        <v>162613.6</v>
      </c>
      <c r="E92" s="1150">
        <v>4382.7</v>
      </c>
      <c r="F92" s="1148">
        <v>20830.8</v>
      </c>
      <c r="G92" s="1150">
        <v>229.7</v>
      </c>
      <c r="H92" s="1148">
        <v>538533.10000000009</v>
      </c>
      <c r="I92" s="1148">
        <v>40792.699999999997</v>
      </c>
      <c r="J92" s="220"/>
      <c r="K92" s="302"/>
      <c r="L92" s="302"/>
    </row>
    <row r="93" spans="1:12" s="145" customFormat="1" hidden="1">
      <c r="A93" s="87" t="s">
        <v>49</v>
      </c>
      <c r="B93" s="1148">
        <v>355240.1</v>
      </c>
      <c r="C93" s="1149">
        <v>35001.1</v>
      </c>
      <c r="D93" s="1148">
        <v>169842</v>
      </c>
      <c r="E93" s="1150">
        <v>5649.4</v>
      </c>
      <c r="F93" s="1148">
        <v>20963.900000000001</v>
      </c>
      <c r="G93" s="1150">
        <v>232.9</v>
      </c>
      <c r="H93" s="1148">
        <v>546046</v>
      </c>
      <c r="I93" s="1148">
        <v>40883.4</v>
      </c>
      <c r="J93" s="220"/>
      <c r="K93" s="302"/>
      <c r="L93" s="302"/>
    </row>
    <row r="94" spans="1:12" s="145" customFormat="1" hidden="1">
      <c r="A94" s="87" t="s">
        <v>50</v>
      </c>
      <c r="B94" s="1148">
        <v>341803.80000000005</v>
      </c>
      <c r="C94" s="1149">
        <v>37336.699999999997</v>
      </c>
      <c r="D94" s="1148">
        <v>165470.1</v>
      </c>
      <c r="E94" s="1150">
        <v>6544.4</v>
      </c>
      <c r="F94" s="1148">
        <v>23918.5</v>
      </c>
      <c r="G94" s="1150">
        <v>231.1</v>
      </c>
      <c r="H94" s="1148">
        <v>531192.4</v>
      </c>
      <c r="I94" s="1148">
        <v>44112.2</v>
      </c>
      <c r="J94" s="220"/>
      <c r="K94" s="302"/>
      <c r="L94" s="302"/>
    </row>
    <row r="95" spans="1:12" s="145" customFormat="1" hidden="1">
      <c r="A95" s="214"/>
      <c r="B95" s="288"/>
      <c r="C95" s="683"/>
      <c r="D95" s="288"/>
      <c r="E95" s="684"/>
      <c r="F95" s="288"/>
      <c r="G95" s="684"/>
      <c r="H95" s="288"/>
      <c r="I95" s="288"/>
      <c r="J95" s="220"/>
      <c r="K95" s="302"/>
      <c r="L95" s="302"/>
    </row>
    <row r="96" spans="1:12" s="145" customFormat="1" hidden="1">
      <c r="A96" s="87" t="s">
        <v>56</v>
      </c>
      <c r="B96" s="1153">
        <v>337863.8</v>
      </c>
      <c r="C96" s="1152">
        <v>38222.800000000003</v>
      </c>
      <c r="D96" s="1153">
        <v>164927.4</v>
      </c>
      <c r="E96" s="1151">
        <v>7294.7</v>
      </c>
      <c r="F96" s="1153">
        <v>27639.8</v>
      </c>
      <c r="G96" s="1151">
        <v>235.1</v>
      </c>
      <c r="H96" s="1153">
        <v>530431</v>
      </c>
      <c r="I96" s="1153">
        <v>45752.6</v>
      </c>
      <c r="J96" s="220"/>
      <c r="K96" s="302"/>
      <c r="L96" s="302"/>
    </row>
    <row r="97" spans="1:12" s="145" customFormat="1" hidden="1">
      <c r="A97" s="87" t="s">
        <v>40</v>
      </c>
      <c r="B97" s="1153">
        <v>335300.8</v>
      </c>
      <c r="C97" s="1152">
        <v>38331.199999999997</v>
      </c>
      <c r="D97" s="1153">
        <v>167924.2</v>
      </c>
      <c r="E97" s="1151">
        <v>7243.5</v>
      </c>
      <c r="F97" s="1153">
        <v>27983.1</v>
      </c>
      <c r="G97" s="1151">
        <v>226.1</v>
      </c>
      <c r="H97" s="1153">
        <v>531208.1</v>
      </c>
      <c r="I97" s="1153">
        <v>45800.799999999996</v>
      </c>
      <c r="J97" s="220"/>
      <c r="K97" s="302"/>
      <c r="L97" s="302"/>
    </row>
    <row r="98" spans="1:12" s="145" customFormat="1" hidden="1">
      <c r="A98" s="87" t="s">
        <v>41</v>
      </c>
      <c r="B98" s="1153">
        <v>345436</v>
      </c>
      <c r="C98" s="1152">
        <v>39908.9</v>
      </c>
      <c r="D98" s="1153">
        <v>171566.4</v>
      </c>
      <c r="E98" s="1151">
        <v>7772.6</v>
      </c>
      <c r="F98" s="1153">
        <v>28148.7</v>
      </c>
      <c r="G98" s="1151">
        <v>284.10000000000002</v>
      </c>
      <c r="H98" s="1153">
        <v>545151.1</v>
      </c>
      <c r="I98" s="1153">
        <v>47965.599999999999</v>
      </c>
      <c r="J98" s="220"/>
      <c r="K98" s="302"/>
      <c r="L98" s="302"/>
    </row>
    <row r="99" spans="1:12" s="145" customFormat="1" hidden="1">
      <c r="A99" s="87" t="s">
        <v>42</v>
      </c>
      <c r="B99" s="1153">
        <v>351855.7</v>
      </c>
      <c r="C99" s="1152">
        <v>40904.400000000001</v>
      </c>
      <c r="D99" s="1153">
        <v>168570</v>
      </c>
      <c r="E99" s="1151">
        <v>7317.8</v>
      </c>
      <c r="F99" s="1153">
        <v>29760.9</v>
      </c>
      <c r="G99" s="1151">
        <v>343.1</v>
      </c>
      <c r="H99" s="1153">
        <v>550186.6</v>
      </c>
      <c r="I99" s="1153">
        <v>48565.3</v>
      </c>
      <c r="J99" s="220"/>
      <c r="K99" s="302"/>
      <c r="L99" s="302"/>
    </row>
    <row r="100" spans="1:12" s="145" customFormat="1" hidden="1">
      <c r="A100" s="87" t="s">
        <v>43</v>
      </c>
      <c r="B100" s="1153">
        <v>377317.6</v>
      </c>
      <c r="C100" s="1152">
        <v>40530.800000000003</v>
      </c>
      <c r="D100" s="1153">
        <v>173542.7</v>
      </c>
      <c r="E100" s="1151">
        <v>7453.5</v>
      </c>
      <c r="F100" s="1153">
        <v>30644.3</v>
      </c>
      <c r="G100" s="1151">
        <v>347.5</v>
      </c>
      <c r="H100" s="1153">
        <v>581504.60000000009</v>
      </c>
      <c r="I100" s="1153">
        <v>48331.8</v>
      </c>
      <c r="J100" s="220"/>
      <c r="K100" s="302"/>
      <c r="L100" s="302"/>
    </row>
    <row r="101" spans="1:12" s="145" customFormat="1" hidden="1">
      <c r="A101" s="87" t="s">
        <v>44</v>
      </c>
      <c r="B101" s="1153">
        <v>387341</v>
      </c>
      <c r="C101" s="1152">
        <v>38930.9</v>
      </c>
      <c r="D101" s="1153">
        <v>183942.5</v>
      </c>
      <c r="E101" s="1151">
        <v>7686.2</v>
      </c>
      <c r="F101" s="1153">
        <v>28336.6</v>
      </c>
      <c r="G101" s="1151">
        <v>380.8</v>
      </c>
      <c r="H101" s="1153">
        <v>599620.1</v>
      </c>
      <c r="I101" s="1153">
        <v>46997.9</v>
      </c>
      <c r="J101" s="220"/>
      <c r="K101" s="302"/>
      <c r="L101" s="302"/>
    </row>
    <row r="102" spans="1:12" s="145" customFormat="1" hidden="1">
      <c r="A102" s="87" t="s">
        <v>45</v>
      </c>
      <c r="B102" s="1153">
        <v>387829.7</v>
      </c>
      <c r="C102" s="1152">
        <v>39784.199999999997</v>
      </c>
      <c r="D102" s="1153">
        <v>183485.4</v>
      </c>
      <c r="E102" s="1151">
        <v>7930.3</v>
      </c>
      <c r="F102" s="1153">
        <v>28585.599999999999</v>
      </c>
      <c r="G102" s="1151">
        <v>414</v>
      </c>
      <c r="H102" s="1153">
        <v>599900.69999999995</v>
      </c>
      <c r="I102" s="1153">
        <v>48128.5</v>
      </c>
      <c r="J102" s="220"/>
      <c r="K102" s="302"/>
      <c r="L102" s="302"/>
    </row>
    <row r="103" spans="1:12" s="145" customFormat="1" hidden="1">
      <c r="A103" s="87" t="s">
        <v>46</v>
      </c>
      <c r="B103" s="1153">
        <v>397944</v>
      </c>
      <c r="C103" s="1152">
        <v>41302.5</v>
      </c>
      <c r="D103" s="1153">
        <v>184212</v>
      </c>
      <c r="E103" s="1151">
        <v>10096.5</v>
      </c>
      <c r="F103" s="1153">
        <v>30880.799999999999</v>
      </c>
      <c r="G103" s="1151">
        <v>527.1</v>
      </c>
      <c r="H103" s="1153">
        <v>613036.80000000005</v>
      </c>
      <c r="I103" s="1153">
        <v>51926.1</v>
      </c>
      <c r="J103" s="220"/>
      <c r="K103" s="302"/>
      <c r="L103" s="302"/>
    </row>
    <row r="104" spans="1:12" s="145" customFormat="1" hidden="1">
      <c r="A104" s="87" t="s">
        <v>47</v>
      </c>
      <c r="B104" s="1153">
        <v>398069.5</v>
      </c>
      <c r="C104" s="1152">
        <v>40723.9</v>
      </c>
      <c r="D104" s="1153">
        <v>176819.7</v>
      </c>
      <c r="E104" s="1151">
        <v>11223.7</v>
      </c>
      <c r="F104" s="1153">
        <v>31078.3</v>
      </c>
      <c r="G104" s="1151">
        <v>583.1</v>
      </c>
      <c r="H104" s="1153">
        <v>605967.5</v>
      </c>
      <c r="I104" s="1153">
        <v>52530.700000000004</v>
      </c>
      <c r="J104" s="220"/>
      <c r="K104" s="302"/>
      <c r="L104" s="302"/>
    </row>
    <row r="105" spans="1:12" s="145" customFormat="1" hidden="1">
      <c r="A105" s="87" t="s">
        <v>48</v>
      </c>
      <c r="B105" s="1153">
        <v>408283.5</v>
      </c>
      <c r="C105" s="1152">
        <v>38697.5</v>
      </c>
      <c r="D105" s="1153">
        <v>177294</v>
      </c>
      <c r="E105" s="1151">
        <v>11520.9</v>
      </c>
      <c r="F105" s="1153">
        <v>31407.7</v>
      </c>
      <c r="G105" s="1151">
        <v>716</v>
      </c>
      <c r="H105" s="1153">
        <v>616985.19999999995</v>
      </c>
      <c r="I105" s="1153">
        <v>50934.400000000001</v>
      </c>
      <c r="J105" s="220"/>
      <c r="K105" s="302"/>
      <c r="L105" s="302"/>
    </row>
    <row r="106" spans="1:12" s="145" customFormat="1" hidden="1">
      <c r="A106" s="87" t="s">
        <v>49</v>
      </c>
      <c r="B106" s="1153">
        <v>403025.1</v>
      </c>
      <c r="C106" s="1152">
        <v>41117</v>
      </c>
      <c r="D106" s="1153">
        <v>173013.4</v>
      </c>
      <c r="E106" s="1151">
        <v>15943.9</v>
      </c>
      <c r="F106" s="1153">
        <v>32238</v>
      </c>
      <c r="G106" s="1151">
        <v>938.5</v>
      </c>
      <c r="H106" s="1153">
        <v>608276.5</v>
      </c>
      <c r="I106" s="1153">
        <v>57999.4</v>
      </c>
      <c r="J106" s="220"/>
      <c r="K106" s="302"/>
      <c r="L106" s="302"/>
    </row>
    <row r="107" spans="1:12" s="145" customFormat="1" hidden="1">
      <c r="A107" s="87" t="s">
        <v>50</v>
      </c>
      <c r="B107" s="1153">
        <v>375660.7</v>
      </c>
      <c r="C107" s="1152">
        <v>41448.6</v>
      </c>
      <c r="D107" s="1153">
        <v>181820.6</v>
      </c>
      <c r="E107" s="1151">
        <v>13991.8</v>
      </c>
      <c r="F107" s="1153">
        <v>37766.1</v>
      </c>
      <c r="G107" s="1151">
        <v>1072.9000000000001</v>
      </c>
      <c r="H107" s="1153">
        <v>595247.4</v>
      </c>
      <c r="I107" s="1153">
        <v>56513.299999999996</v>
      </c>
      <c r="J107" s="220"/>
      <c r="K107" s="302"/>
      <c r="L107" s="302"/>
    </row>
    <row r="108" spans="1:12" s="145" customFormat="1" hidden="1">
      <c r="A108" s="87"/>
      <c r="B108" s="288"/>
      <c r="C108" s="683"/>
      <c r="D108" s="288"/>
      <c r="E108" s="684"/>
      <c r="F108" s="288"/>
      <c r="G108" s="684"/>
      <c r="H108" s="288"/>
      <c r="I108" s="288"/>
      <c r="J108" s="220"/>
      <c r="K108" s="302"/>
      <c r="L108" s="302"/>
    </row>
    <row r="109" spans="1:12" s="145" customFormat="1" hidden="1">
      <c r="A109" s="87" t="s">
        <v>55</v>
      </c>
      <c r="B109" s="1156">
        <v>376461.6</v>
      </c>
      <c r="C109" s="1155">
        <v>45270.8</v>
      </c>
      <c r="D109" s="1156">
        <v>185419.5</v>
      </c>
      <c r="E109" s="1154">
        <v>15123.4</v>
      </c>
      <c r="F109" s="1156">
        <v>37464.300000000003</v>
      </c>
      <c r="G109" s="1154">
        <v>1120.0999999999999</v>
      </c>
      <c r="H109" s="1156">
        <v>599345.4</v>
      </c>
      <c r="I109" s="1156">
        <v>61514.3</v>
      </c>
      <c r="J109" s="220"/>
      <c r="K109" s="302"/>
      <c r="L109" s="302"/>
    </row>
    <row r="110" spans="1:12" s="145" customFormat="1" hidden="1">
      <c r="A110" s="87" t="s">
        <v>40</v>
      </c>
      <c r="B110" s="1156">
        <v>379052.5</v>
      </c>
      <c r="C110" s="1155">
        <v>47883.199999999997</v>
      </c>
      <c r="D110" s="1156">
        <v>183151</v>
      </c>
      <c r="E110" s="1154">
        <v>15751.5</v>
      </c>
      <c r="F110" s="1156">
        <v>37753.5</v>
      </c>
      <c r="G110" s="1154">
        <v>1129.8</v>
      </c>
      <c r="H110" s="1156">
        <v>599957</v>
      </c>
      <c r="I110" s="1156">
        <v>64764.5</v>
      </c>
      <c r="J110" s="220"/>
      <c r="K110" s="302"/>
      <c r="L110" s="302"/>
    </row>
    <row r="111" spans="1:12" s="145" customFormat="1" hidden="1">
      <c r="A111" s="87" t="s">
        <v>41</v>
      </c>
      <c r="B111" s="1156">
        <v>386816.89999999997</v>
      </c>
      <c r="C111" s="1155">
        <v>49632.5</v>
      </c>
      <c r="D111" s="1156">
        <v>183549.1</v>
      </c>
      <c r="E111" s="1154">
        <v>15072.2</v>
      </c>
      <c r="F111" s="1156">
        <v>44059</v>
      </c>
      <c r="G111" s="1154">
        <v>1328</v>
      </c>
      <c r="H111" s="1156">
        <v>614425</v>
      </c>
      <c r="I111" s="1156">
        <v>66032.7</v>
      </c>
      <c r="J111" s="220"/>
      <c r="K111" s="302"/>
      <c r="L111" s="302"/>
    </row>
    <row r="112" spans="1:12" s="145" customFormat="1" hidden="1">
      <c r="A112" s="87" t="s">
        <v>42</v>
      </c>
      <c r="B112" s="1156">
        <v>383779.1</v>
      </c>
      <c r="C112" s="1155">
        <v>49278</v>
      </c>
      <c r="D112" s="1156">
        <v>181342.3</v>
      </c>
      <c r="E112" s="1154">
        <v>15685.9</v>
      </c>
      <c r="F112" s="1156">
        <v>45220.1</v>
      </c>
      <c r="G112" s="1154">
        <v>1587</v>
      </c>
      <c r="H112" s="1156">
        <v>610341.49999999988</v>
      </c>
      <c r="I112" s="1156">
        <v>66550.899999999994</v>
      </c>
      <c r="J112" s="220"/>
      <c r="K112" s="302"/>
      <c r="L112" s="302"/>
    </row>
    <row r="113" spans="1:12" s="145" customFormat="1" hidden="1">
      <c r="A113" s="87" t="s">
        <v>43</v>
      </c>
      <c r="B113" s="1156">
        <v>388185.39999999997</v>
      </c>
      <c r="C113" s="1155">
        <v>51249.599999999999</v>
      </c>
      <c r="D113" s="1156">
        <v>181505</v>
      </c>
      <c r="E113" s="1154">
        <v>15423.1</v>
      </c>
      <c r="F113" s="1156">
        <v>43584.9</v>
      </c>
      <c r="G113" s="1154">
        <v>1353.3</v>
      </c>
      <c r="H113" s="1156">
        <v>613275.29999999993</v>
      </c>
      <c r="I113" s="1156">
        <v>68026</v>
      </c>
      <c r="J113" s="220"/>
      <c r="K113" s="302"/>
      <c r="L113" s="302"/>
    </row>
    <row r="114" spans="1:12" s="145" customFormat="1" hidden="1">
      <c r="A114" s="87" t="s">
        <v>44</v>
      </c>
      <c r="B114" s="1156">
        <v>392023.10000000003</v>
      </c>
      <c r="C114" s="1155">
        <v>51399.4</v>
      </c>
      <c r="D114" s="1156">
        <v>192071.1</v>
      </c>
      <c r="E114" s="1154">
        <v>15989.7</v>
      </c>
      <c r="F114" s="1156">
        <v>34722.199999999997</v>
      </c>
      <c r="G114" s="1154">
        <v>1291.4000000000001</v>
      </c>
      <c r="H114" s="1156">
        <v>618816.4</v>
      </c>
      <c r="I114" s="1156">
        <v>68680.5</v>
      </c>
      <c r="J114" s="220"/>
      <c r="K114" s="302"/>
      <c r="L114" s="302"/>
    </row>
    <row r="115" spans="1:12" s="145" customFormat="1" hidden="1">
      <c r="A115" s="87" t="s">
        <v>45</v>
      </c>
      <c r="B115" s="1156">
        <v>377155.1</v>
      </c>
      <c r="C115" s="1155">
        <v>54636.3</v>
      </c>
      <c r="D115" s="1156">
        <v>210044.3</v>
      </c>
      <c r="E115" s="1154">
        <v>17126</v>
      </c>
      <c r="F115" s="1156">
        <v>37581.9</v>
      </c>
      <c r="G115" s="1154">
        <v>1404</v>
      </c>
      <c r="H115" s="1156">
        <v>624781.29999999993</v>
      </c>
      <c r="I115" s="1156">
        <v>73166.3</v>
      </c>
      <c r="J115" s="220"/>
      <c r="K115" s="302"/>
      <c r="L115" s="302"/>
    </row>
    <row r="116" spans="1:12" s="145" customFormat="1" hidden="1">
      <c r="A116" s="87" t="s">
        <v>46</v>
      </c>
      <c r="B116" s="1156">
        <v>380085.69999999995</v>
      </c>
      <c r="C116" s="1155">
        <v>52412.6</v>
      </c>
      <c r="D116" s="1156">
        <v>209616.2</v>
      </c>
      <c r="E116" s="1154">
        <v>19521</v>
      </c>
      <c r="F116" s="1156">
        <v>36364</v>
      </c>
      <c r="G116" s="1154">
        <v>1683.8</v>
      </c>
      <c r="H116" s="1156">
        <v>626065.89999999991</v>
      </c>
      <c r="I116" s="1156">
        <v>73617.400000000009</v>
      </c>
      <c r="J116" s="220"/>
      <c r="K116" s="302"/>
      <c r="L116" s="302"/>
    </row>
    <row r="117" spans="1:12" s="145" customFormat="1" hidden="1">
      <c r="A117" s="87" t="s">
        <v>47</v>
      </c>
      <c r="B117" s="1156">
        <v>390201.8</v>
      </c>
      <c r="C117" s="1155">
        <v>51333.3</v>
      </c>
      <c r="D117" s="1156">
        <v>204841.8</v>
      </c>
      <c r="E117" s="1154">
        <v>18712.599999999999</v>
      </c>
      <c r="F117" s="1156">
        <v>50032.6</v>
      </c>
      <c r="G117" s="1154">
        <v>1545.9</v>
      </c>
      <c r="H117" s="1156">
        <v>645076.19999999995</v>
      </c>
      <c r="I117" s="1156">
        <v>71591.799999999988</v>
      </c>
      <c r="J117" s="220"/>
      <c r="K117" s="302"/>
      <c r="L117" s="302"/>
    </row>
    <row r="118" spans="1:12" s="145" customFormat="1" hidden="1">
      <c r="A118" s="87" t="s">
        <v>48</v>
      </c>
      <c r="B118" s="1156">
        <v>380750.9</v>
      </c>
      <c r="C118" s="1155">
        <v>51013.1</v>
      </c>
      <c r="D118" s="1156">
        <v>205870.3</v>
      </c>
      <c r="E118" s="1154">
        <v>19271.3</v>
      </c>
      <c r="F118" s="1156">
        <v>51950.5</v>
      </c>
      <c r="G118" s="1154">
        <v>1315.3</v>
      </c>
      <c r="H118" s="1156">
        <v>638571.69999999995</v>
      </c>
      <c r="I118" s="1156">
        <v>71599.7</v>
      </c>
      <c r="J118" s="220"/>
      <c r="K118" s="302"/>
      <c r="L118" s="302"/>
    </row>
    <row r="119" spans="1:12" s="145" customFormat="1" hidden="1">
      <c r="A119" s="87" t="s">
        <v>49</v>
      </c>
      <c r="B119" s="1156">
        <v>381853.5</v>
      </c>
      <c r="C119" s="1155">
        <v>50242.7</v>
      </c>
      <c r="D119" s="1156">
        <v>202867.20000000001</v>
      </c>
      <c r="E119" s="1154">
        <v>19246.5</v>
      </c>
      <c r="F119" s="1156">
        <v>53487.9</v>
      </c>
      <c r="G119" s="1154">
        <v>1316.2</v>
      </c>
      <c r="H119" s="1156">
        <v>638208.6</v>
      </c>
      <c r="I119" s="1156">
        <v>70805.399999999994</v>
      </c>
      <c r="J119" s="220"/>
      <c r="K119" s="302"/>
      <c r="L119" s="302"/>
    </row>
    <row r="120" spans="1:12" s="145" customFormat="1" hidden="1">
      <c r="A120" s="87" t="s">
        <v>50</v>
      </c>
      <c r="B120" s="1156">
        <v>368888.5</v>
      </c>
      <c r="C120" s="1155">
        <v>51587.7</v>
      </c>
      <c r="D120" s="1156">
        <v>204539.7</v>
      </c>
      <c r="E120" s="1154">
        <v>18513.8</v>
      </c>
      <c r="F120" s="1156">
        <v>55677.599999999999</v>
      </c>
      <c r="G120" s="1154">
        <v>1092.2</v>
      </c>
      <c r="H120" s="1156">
        <v>629105.79999999993</v>
      </c>
      <c r="I120" s="1156">
        <v>71193.7</v>
      </c>
      <c r="J120" s="220"/>
      <c r="K120" s="302"/>
      <c r="L120" s="302"/>
    </row>
    <row r="121" spans="1:12" s="145" customFormat="1" hidden="1">
      <c r="A121" s="222"/>
      <c r="B121" s="288"/>
      <c r="C121" s="683"/>
      <c r="D121" s="288"/>
      <c r="E121" s="684"/>
      <c r="F121" s="288"/>
      <c r="G121" s="684"/>
      <c r="H121" s="288"/>
      <c r="I121" s="288"/>
      <c r="J121" s="220"/>
      <c r="K121" s="302"/>
      <c r="L121" s="302"/>
    </row>
    <row r="122" spans="1:12" s="145" customFormat="1" hidden="1">
      <c r="A122" s="87" t="s">
        <v>54</v>
      </c>
      <c r="B122" s="1157">
        <v>369560.60000000003</v>
      </c>
      <c r="C122" s="1158">
        <v>51676.2</v>
      </c>
      <c r="D122" s="1157">
        <v>208067.20000000001</v>
      </c>
      <c r="E122" s="1159">
        <v>19406.5</v>
      </c>
      <c r="F122" s="1157">
        <v>53607.1</v>
      </c>
      <c r="G122" s="1159">
        <v>1386.9</v>
      </c>
      <c r="H122" s="1157">
        <v>631234.9</v>
      </c>
      <c r="I122" s="1157">
        <v>72469.599999999991</v>
      </c>
      <c r="J122" s="220"/>
      <c r="K122" s="302"/>
      <c r="L122" s="302"/>
    </row>
    <row r="123" spans="1:12" s="145" customFormat="1" hidden="1">
      <c r="A123" s="87" t="s">
        <v>40</v>
      </c>
      <c r="B123" s="1157">
        <v>367323.19999999995</v>
      </c>
      <c r="C123" s="1158">
        <v>57017.1</v>
      </c>
      <c r="D123" s="1157">
        <v>206508.2</v>
      </c>
      <c r="E123" s="1159">
        <v>19539.900000000001</v>
      </c>
      <c r="F123" s="1157">
        <v>53237.1</v>
      </c>
      <c r="G123" s="1159">
        <v>1696.6</v>
      </c>
      <c r="H123" s="1157">
        <v>627068.49999999988</v>
      </c>
      <c r="I123" s="1157">
        <v>78253.600000000006</v>
      </c>
      <c r="J123" s="220"/>
      <c r="K123" s="302"/>
      <c r="L123" s="302"/>
    </row>
    <row r="124" spans="1:12" s="145" customFormat="1" hidden="1">
      <c r="A124" s="87" t="s">
        <v>41</v>
      </c>
      <c r="B124" s="1157">
        <v>370708.3</v>
      </c>
      <c r="C124" s="1158">
        <v>59422.400000000001</v>
      </c>
      <c r="D124" s="1157">
        <v>198876.4</v>
      </c>
      <c r="E124" s="1159">
        <v>19390.3</v>
      </c>
      <c r="F124" s="1157">
        <v>53754</v>
      </c>
      <c r="G124" s="1159">
        <v>2068.3000000000002</v>
      </c>
      <c r="H124" s="1157">
        <v>623338.69999999995</v>
      </c>
      <c r="I124" s="1157">
        <v>80880.899999999994</v>
      </c>
      <c r="J124" s="220"/>
      <c r="K124" s="302"/>
      <c r="L124" s="302"/>
    </row>
    <row r="125" spans="1:12" s="145" customFormat="1" hidden="1">
      <c r="A125" s="87" t="s">
        <v>42</v>
      </c>
      <c r="B125" s="1157">
        <v>371875.8</v>
      </c>
      <c r="C125" s="1158">
        <v>59330.3</v>
      </c>
      <c r="D125" s="1157">
        <v>197166.3</v>
      </c>
      <c r="E125" s="1159">
        <v>20220.599999999999</v>
      </c>
      <c r="F125" s="1157">
        <v>55546.7</v>
      </c>
      <c r="G125" s="1159">
        <v>2461.4</v>
      </c>
      <c r="H125" s="1157">
        <v>624588.79999999993</v>
      </c>
      <c r="I125" s="1157">
        <v>82012.3</v>
      </c>
      <c r="J125" s="220"/>
      <c r="K125" s="302"/>
      <c r="L125" s="302"/>
    </row>
    <row r="126" spans="1:12" s="145" customFormat="1" hidden="1">
      <c r="A126" s="87" t="s">
        <v>43</v>
      </c>
      <c r="B126" s="1157">
        <v>366695.2</v>
      </c>
      <c r="C126" s="1158">
        <v>59344.4</v>
      </c>
      <c r="D126" s="1157">
        <v>200235.1</v>
      </c>
      <c r="E126" s="1159">
        <v>21664.2</v>
      </c>
      <c r="F126" s="1157">
        <v>58300</v>
      </c>
      <c r="G126" s="1159">
        <v>2440.1</v>
      </c>
      <c r="H126" s="1157">
        <v>625230.30000000005</v>
      </c>
      <c r="I126" s="1157">
        <v>83448.600000000006</v>
      </c>
      <c r="J126" s="220"/>
      <c r="K126" s="302"/>
      <c r="L126" s="302"/>
    </row>
    <row r="127" spans="1:12" s="145" customFormat="1" hidden="1">
      <c r="A127" s="87" t="s">
        <v>44</v>
      </c>
      <c r="B127" s="1157">
        <v>377354.4</v>
      </c>
      <c r="C127" s="1158">
        <v>66648.899999999994</v>
      </c>
      <c r="D127" s="1157">
        <v>199654.7</v>
      </c>
      <c r="E127" s="1159">
        <v>22154.9</v>
      </c>
      <c r="F127" s="1157">
        <v>65572.800000000003</v>
      </c>
      <c r="G127" s="1159">
        <v>2934.7</v>
      </c>
      <c r="H127" s="1157">
        <v>642581.90000000014</v>
      </c>
      <c r="I127" s="1157">
        <v>91738.5</v>
      </c>
      <c r="J127" s="220"/>
      <c r="K127" s="302"/>
      <c r="L127" s="302"/>
    </row>
    <row r="128" spans="1:12" s="145" customFormat="1" hidden="1">
      <c r="A128" s="87" t="s">
        <v>45</v>
      </c>
      <c r="B128" s="1157">
        <v>357146.9</v>
      </c>
      <c r="C128" s="1158">
        <v>66443.399999999994</v>
      </c>
      <c r="D128" s="1157">
        <v>208067.5</v>
      </c>
      <c r="E128" s="1159">
        <v>24027.1</v>
      </c>
      <c r="F128" s="1157">
        <v>88216</v>
      </c>
      <c r="G128" s="1159">
        <v>2699.6</v>
      </c>
      <c r="H128" s="1157">
        <v>653430.4</v>
      </c>
      <c r="I128" s="1157">
        <v>93170.1</v>
      </c>
      <c r="J128" s="220"/>
      <c r="K128" s="302"/>
      <c r="L128" s="302"/>
    </row>
    <row r="129" spans="1:12" s="145" customFormat="1" hidden="1">
      <c r="A129" s="87" t="s">
        <v>46</v>
      </c>
      <c r="B129" s="1157">
        <v>375156.8</v>
      </c>
      <c r="C129" s="1158">
        <v>68228</v>
      </c>
      <c r="D129" s="1157">
        <v>202740.4</v>
      </c>
      <c r="E129" s="1159">
        <v>25245.3</v>
      </c>
      <c r="F129" s="1157">
        <v>85603</v>
      </c>
      <c r="G129" s="1159">
        <v>3627.2</v>
      </c>
      <c r="H129" s="1157">
        <v>663500.19999999995</v>
      </c>
      <c r="I129" s="1157">
        <v>97100.5</v>
      </c>
      <c r="J129" s="220"/>
      <c r="K129" s="302"/>
      <c r="L129" s="302"/>
    </row>
    <row r="130" spans="1:12" s="145" customFormat="1" hidden="1">
      <c r="A130" s="87" t="s">
        <v>47</v>
      </c>
      <c r="B130" s="1157">
        <v>356247.8</v>
      </c>
      <c r="C130" s="1158">
        <v>69056.399999999994</v>
      </c>
      <c r="D130" s="1157">
        <v>209685.7</v>
      </c>
      <c r="E130" s="1159">
        <v>25548.799999999999</v>
      </c>
      <c r="F130" s="1157">
        <v>85454.1</v>
      </c>
      <c r="G130" s="1159">
        <v>4946.3999999999996</v>
      </c>
      <c r="H130" s="1157">
        <v>651387.6</v>
      </c>
      <c r="I130" s="1157">
        <v>99551.6</v>
      </c>
      <c r="J130" s="220"/>
      <c r="K130" s="302"/>
      <c r="L130" s="302"/>
    </row>
    <row r="131" spans="1:12" s="145" customFormat="1" hidden="1">
      <c r="A131" s="87" t="s">
        <v>48</v>
      </c>
      <c r="B131" s="1157">
        <v>364476.7</v>
      </c>
      <c r="C131" s="1158">
        <v>70903.199999999997</v>
      </c>
      <c r="D131" s="1157">
        <v>205949</v>
      </c>
      <c r="E131" s="1159">
        <v>22905.5</v>
      </c>
      <c r="F131" s="1157">
        <v>83774.5</v>
      </c>
      <c r="G131" s="1159">
        <v>5628</v>
      </c>
      <c r="H131" s="1157">
        <v>654200.19999999995</v>
      </c>
      <c r="I131" s="1157">
        <v>99436.7</v>
      </c>
      <c r="J131" s="220"/>
      <c r="K131" s="302"/>
      <c r="L131" s="302"/>
    </row>
    <row r="132" spans="1:12" s="145" customFormat="1" hidden="1">
      <c r="A132" s="87" t="s">
        <v>49</v>
      </c>
      <c r="B132" s="1157">
        <v>372315</v>
      </c>
      <c r="C132" s="1158">
        <v>73854</v>
      </c>
      <c r="D132" s="1157">
        <v>204142.6</v>
      </c>
      <c r="E132" s="1159">
        <v>23687.9</v>
      </c>
      <c r="F132" s="1157">
        <v>87352.2</v>
      </c>
      <c r="G132" s="1159">
        <v>5579.1</v>
      </c>
      <c r="H132" s="1157">
        <v>663810.1</v>
      </c>
      <c r="I132" s="1157">
        <v>103121</v>
      </c>
      <c r="J132" s="220"/>
      <c r="K132" s="302"/>
      <c r="L132" s="302"/>
    </row>
    <row r="133" spans="1:12" s="145" customFormat="1" hidden="1">
      <c r="A133" s="87" t="s">
        <v>50</v>
      </c>
      <c r="B133" s="1157">
        <v>374417.8</v>
      </c>
      <c r="C133" s="1158">
        <v>69744.899999999994</v>
      </c>
      <c r="D133" s="1157">
        <v>219611.2</v>
      </c>
      <c r="E133" s="1159">
        <v>24871</v>
      </c>
      <c r="F133" s="1157">
        <v>125842.5</v>
      </c>
      <c r="G133" s="1159">
        <v>4060.4</v>
      </c>
      <c r="H133" s="1157">
        <v>719871.5</v>
      </c>
      <c r="I133" s="1157">
        <v>98676.299999999988</v>
      </c>
      <c r="J133" s="220"/>
      <c r="K133" s="302"/>
      <c r="L133" s="302"/>
    </row>
    <row r="134" spans="1:12" s="145" customFormat="1" hidden="1">
      <c r="A134" s="87"/>
      <c r="B134" s="1157"/>
      <c r="C134" s="1158"/>
      <c r="D134" s="1157"/>
      <c r="E134" s="1159"/>
      <c r="F134" s="1157"/>
      <c r="G134" s="1159"/>
      <c r="H134" s="1157"/>
      <c r="I134" s="1157"/>
      <c r="J134" s="220"/>
      <c r="K134" s="302"/>
      <c r="L134" s="302"/>
    </row>
    <row r="135" spans="1:12" s="145" customFormat="1" hidden="1">
      <c r="A135" s="87" t="s">
        <v>51</v>
      </c>
      <c r="B135" s="1157">
        <v>358153.1</v>
      </c>
      <c r="C135" s="1158">
        <v>68604.899999999994</v>
      </c>
      <c r="D135" s="1157">
        <v>219481.2</v>
      </c>
      <c r="E135" s="1159">
        <v>24091.3</v>
      </c>
      <c r="F135" s="1157">
        <v>120507.1</v>
      </c>
      <c r="G135" s="1159">
        <v>4273.3</v>
      </c>
      <c r="H135" s="1157">
        <v>698141.4</v>
      </c>
      <c r="I135" s="1157">
        <v>96969.5</v>
      </c>
      <c r="J135" s="220"/>
      <c r="K135" s="302"/>
      <c r="L135" s="302"/>
    </row>
    <row r="136" spans="1:12" s="145" customFormat="1" hidden="1">
      <c r="A136" s="87" t="s">
        <v>52</v>
      </c>
      <c r="B136" s="1157">
        <v>351850.2</v>
      </c>
      <c r="C136" s="1158">
        <v>69343.100000000006</v>
      </c>
      <c r="D136" s="1157">
        <v>216195.20000000001</v>
      </c>
      <c r="E136" s="1159">
        <v>26039.9</v>
      </c>
      <c r="F136" s="1157">
        <v>122148.1</v>
      </c>
      <c r="G136" s="1159">
        <v>3985.8</v>
      </c>
      <c r="H136" s="1157">
        <v>690193.5</v>
      </c>
      <c r="I136" s="1157">
        <v>99368.8</v>
      </c>
      <c r="J136" s="220"/>
      <c r="K136" s="302"/>
      <c r="L136" s="302"/>
    </row>
    <row r="137" spans="1:12" s="145" customFormat="1" hidden="1">
      <c r="A137" s="87" t="s">
        <v>53</v>
      </c>
      <c r="B137" s="1157">
        <v>357572.6</v>
      </c>
      <c r="C137" s="1158">
        <v>70480.7</v>
      </c>
      <c r="D137" s="1157">
        <v>249972.7</v>
      </c>
      <c r="E137" s="1159">
        <v>24221.3</v>
      </c>
      <c r="F137" s="1157">
        <v>96022.8</v>
      </c>
      <c r="G137" s="1159">
        <v>4178.1000000000004</v>
      </c>
      <c r="H137" s="1157">
        <v>703568.10000000009</v>
      </c>
      <c r="I137" s="1157">
        <v>98880.1</v>
      </c>
      <c r="J137" s="220"/>
      <c r="K137" s="302"/>
      <c r="L137" s="302"/>
    </row>
    <row r="138" spans="1:12" s="145" customFormat="1" hidden="1">
      <c r="A138" s="87" t="s">
        <v>604</v>
      </c>
      <c r="B138" s="1157">
        <v>366197.1</v>
      </c>
      <c r="C138" s="1158">
        <v>75004.7</v>
      </c>
      <c r="D138" s="1157">
        <v>266959.3</v>
      </c>
      <c r="E138" s="1159">
        <v>24841.3</v>
      </c>
      <c r="F138" s="1157">
        <v>99448.8</v>
      </c>
      <c r="G138" s="1159">
        <v>4492.3999999999996</v>
      </c>
      <c r="H138" s="1157">
        <v>732605.2</v>
      </c>
      <c r="I138" s="1157">
        <v>104338.4</v>
      </c>
      <c r="J138" s="220"/>
      <c r="K138" s="302"/>
      <c r="L138" s="302"/>
    </row>
    <row r="139" spans="1:12" s="145" customFormat="1" hidden="1">
      <c r="A139" s="87" t="s">
        <v>609</v>
      </c>
      <c r="B139" s="1157">
        <v>367333.2</v>
      </c>
      <c r="C139" s="1158">
        <v>76594.5</v>
      </c>
      <c r="D139" s="1157">
        <v>249106.2</v>
      </c>
      <c r="E139" s="1159">
        <v>27673.9</v>
      </c>
      <c r="F139" s="1157">
        <v>98307.3</v>
      </c>
      <c r="G139" s="1159">
        <v>5546.4</v>
      </c>
      <c r="H139" s="1157">
        <v>714746.70000000007</v>
      </c>
      <c r="I139" s="1157">
        <v>109814.79999999999</v>
      </c>
      <c r="J139" s="220"/>
      <c r="K139" s="302"/>
      <c r="L139" s="302"/>
    </row>
    <row r="140" spans="1:12" s="145" customFormat="1" hidden="1">
      <c r="A140" s="87" t="s">
        <v>44</v>
      </c>
      <c r="B140" s="1157">
        <v>375434.3</v>
      </c>
      <c r="C140" s="1158">
        <v>75885.399999999994</v>
      </c>
      <c r="D140" s="1157">
        <v>233630.3</v>
      </c>
      <c r="E140" s="1159">
        <v>29918.9</v>
      </c>
      <c r="F140" s="1157">
        <v>97698.3</v>
      </c>
      <c r="G140" s="1159">
        <v>7791.3</v>
      </c>
      <c r="H140" s="1157">
        <v>706762.9</v>
      </c>
      <c r="I140" s="1157">
        <v>113595.59999999999</v>
      </c>
      <c r="J140" s="220"/>
      <c r="K140" s="302"/>
      <c r="L140" s="302"/>
    </row>
    <row r="141" spans="1:12" s="145" customFormat="1" hidden="1">
      <c r="A141" s="87" t="s">
        <v>617</v>
      </c>
      <c r="B141" s="1157">
        <v>367522.7</v>
      </c>
      <c r="C141" s="1158">
        <v>79580.399999999994</v>
      </c>
      <c r="D141" s="1157">
        <v>243804.4</v>
      </c>
      <c r="E141" s="1159">
        <v>27782.799999999999</v>
      </c>
      <c r="F141" s="1157">
        <v>95838.2</v>
      </c>
      <c r="G141" s="1159">
        <v>10558.8</v>
      </c>
      <c r="H141" s="1157">
        <v>707165.29999999993</v>
      </c>
      <c r="I141" s="1157">
        <v>117922</v>
      </c>
      <c r="J141" s="220"/>
      <c r="K141" s="302"/>
      <c r="L141" s="302"/>
    </row>
    <row r="142" spans="1:12" s="145" customFormat="1" hidden="1">
      <c r="A142" s="87" t="s">
        <v>623</v>
      </c>
      <c r="B142" s="1157">
        <v>366499.7</v>
      </c>
      <c r="C142" s="1158">
        <v>79250.5</v>
      </c>
      <c r="D142" s="1157">
        <v>240078.4</v>
      </c>
      <c r="E142" s="1159">
        <v>29033.3</v>
      </c>
      <c r="F142" s="1157">
        <v>96958.3</v>
      </c>
      <c r="G142" s="1159">
        <v>11096.8</v>
      </c>
      <c r="H142" s="1157">
        <v>703536.4</v>
      </c>
      <c r="I142" s="1157">
        <v>119380.6</v>
      </c>
      <c r="J142" s="220"/>
      <c r="K142" s="302"/>
      <c r="L142" s="302"/>
    </row>
    <row r="143" spans="1:12" s="145" customFormat="1" hidden="1">
      <c r="A143" s="87" t="s">
        <v>47</v>
      </c>
      <c r="B143" s="1157">
        <v>372566.5</v>
      </c>
      <c r="C143" s="1158">
        <v>82109.600000000006</v>
      </c>
      <c r="D143" s="1157">
        <v>232921.3</v>
      </c>
      <c r="E143" s="1159">
        <v>29296.400000000001</v>
      </c>
      <c r="F143" s="1157">
        <v>96986.8</v>
      </c>
      <c r="G143" s="1159">
        <v>11016.2</v>
      </c>
      <c r="H143" s="1157">
        <v>702474.60000000009</v>
      </c>
      <c r="I143" s="1157">
        <v>122422.2</v>
      </c>
      <c r="J143" s="220"/>
      <c r="K143" s="302"/>
      <c r="L143" s="302"/>
    </row>
    <row r="144" spans="1:12" s="145" customFormat="1" hidden="1">
      <c r="A144" s="87" t="s">
        <v>631</v>
      </c>
      <c r="B144" s="1157">
        <v>368736.1</v>
      </c>
      <c r="C144" s="1158">
        <v>78761.3</v>
      </c>
      <c r="D144" s="1157">
        <v>233666.4</v>
      </c>
      <c r="E144" s="1159">
        <v>28976.1</v>
      </c>
      <c r="F144" s="1157">
        <v>99010.6</v>
      </c>
      <c r="G144" s="1159">
        <v>11411.4</v>
      </c>
      <c r="H144" s="1157">
        <v>701413.1</v>
      </c>
      <c r="I144" s="1157">
        <v>119148.79999999999</v>
      </c>
      <c r="J144" s="220"/>
      <c r="K144" s="302"/>
      <c r="L144" s="302"/>
    </row>
    <row r="145" spans="1:12" s="145" customFormat="1" hidden="1">
      <c r="A145" s="87" t="s">
        <v>654</v>
      </c>
      <c r="B145" s="1157">
        <v>387578.3</v>
      </c>
      <c r="C145" s="1158">
        <v>71689.7</v>
      </c>
      <c r="D145" s="1157">
        <v>217053.4</v>
      </c>
      <c r="E145" s="1160">
        <v>26487.1</v>
      </c>
      <c r="F145" s="1157">
        <v>115474.80000000002</v>
      </c>
      <c r="G145" s="1157">
        <v>8427.7999999999993</v>
      </c>
      <c r="H145" s="1157">
        <v>720106.5</v>
      </c>
      <c r="I145" s="1157">
        <v>106604.59999999999</v>
      </c>
      <c r="J145" s="220"/>
      <c r="K145" s="302"/>
      <c r="L145" s="302"/>
    </row>
    <row r="146" spans="1:12" s="145" customFormat="1" hidden="1">
      <c r="A146" s="87" t="s">
        <v>665</v>
      </c>
      <c r="B146" s="1157">
        <v>334591</v>
      </c>
      <c r="C146" s="1158">
        <v>112741.6</v>
      </c>
      <c r="D146" s="1157">
        <v>210296.40000000002</v>
      </c>
      <c r="E146" s="1160">
        <v>21741.8</v>
      </c>
      <c r="F146" s="1157">
        <v>114789.90000000001</v>
      </c>
      <c r="G146" s="1157">
        <v>6938.7</v>
      </c>
      <c r="H146" s="1157">
        <v>659677.30000000005</v>
      </c>
      <c r="I146" s="1157">
        <v>141422.1</v>
      </c>
      <c r="J146" s="220"/>
      <c r="K146" s="302"/>
      <c r="L146" s="302"/>
    </row>
    <row r="147" spans="1:12" s="145" customFormat="1" hidden="1">
      <c r="A147" s="87"/>
      <c r="B147" s="1157"/>
      <c r="C147" s="1158"/>
      <c r="D147" s="1157"/>
      <c r="E147" s="1160"/>
      <c r="F147" s="1157"/>
      <c r="G147" s="1159"/>
      <c r="H147" s="1157"/>
      <c r="I147" s="1157"/>
      <c r="J147" s="220"/>
      <c r="K147" s="302"/>
      <c r="L147" s="302"/>
    </row>
    <row r="148" spans="1:12" s="145" customFormat="1" hidden="1">
      <c r="A148" s="87" t="s">
        <v>39</v>
      </c>
      <c r="B148" s="1157">
        <v>342778.5</v>
      </c>
      <c r="C148" s="1158">
        <v>93498.5</v>
      </c>
      <c r="D148" s="1157">
        <v>207904.40000000002</v>
      </c>
      <c r="E148" s="1160">
        <v>41581.800000000003</v>
      </c>
      <c r="F148" s="1157">
        <v>117314.70000000001</v>
      </c>
      <c r="G148" s="1157">
        <v>7318.9</v>
      </c>
      <c r="H148" s="1157">
        <v>667997.60000000009</v>
      </c>
      <c r="I148" s="1157">
        <v>142399.19999999998</v>
      </c>
      <c r="J148" s="220"/>
      <c r="K148" s="302"/>
      <c r="L148" s="302"/>
    </row>
    <row r="149" spans="1:12" s="145" customFormat="1" hidden="1">
      <c r="A149" s="87" t="s">
        <v>677</v>
      </c>
      <c r="B149" s="1157">
        <v>339918.1</v>
      </c>
      <c r="C149" s="1158">
        <v>95447.3</v>
      </c>
      <c r="D149" s="1157">
        <v>205002.5</v>
      </c>
      <c r="E149" s="1160">
        <v>41799</v>
      </c>
      <c r="F149" s="1157">
        <v>116397</v>
      </c>
      <c r="G149" s="1157">
        <v>7355.1</v>
      </c>
      <c r="H149" s="1157">
        <v>661317.6</v>
      </c>
      <c r="I149" s="1157">
        <v>144601.4</v>
      </c>
      <c r="J149" s="220"/>
      <c r="K149" s="302"/>
      <c r="L149" s="302"/>
    </row>
    <row r="150" spans="1:12" s="145" customFormat="1" hidden="1">
      <c r="A150" s="87" t="s">
        <v>65</v>
      </c>
      <c r="B150" s="1157">
        <v>332007.70000000007</v>
      </c>
      <c r="C150" s="1158">
        <v>116525.20000000001</v>
      </c>
      <c r="D150" s="1157">
        <v>213007.6</v>
      </c>
      <c r="E150" s="1160">
        <v>22708.3</v>
      </c>
      <c r="F150" s="1157">
        <v>115568.1</v>
      </c>
      <c r="G150" s="1157">
        <v>7367.6</v>
      </c>
      <c r="H150" s="1157">
        <v>660583.4</v>
      </c>
      <c r="I150" s="1157">
        <v>146601.1</v>
      </c>
      <c r="J150" s="220"/>
      <c r="K150" s="302"/>
      <c r="L150" s="302"/>
    </row>
    <row r="151" spans="1:12" s="145" customFormat="1" hidden="1">
      <c r="A151" s="87" t="s">
        <v>691</v>
      </c>
      <c r="B151" s="1157">
        <v>329304.5</v>
      </c>
      <c r="C151" s="1158">
        <v>98847.3</v>
      </c>
      <c r="D151" s="1157">
        <v>213930.9</v>
      </c>
      <c r="E151" s="1160">
        <v>42257.9</v>
      </c>
      <c r="F151" s="1157">
        <v>113603.2</v>
      </c>
      <c r="G151" s="1157">
        <v>7762.6</v>
      </c>
      <c r="H151" s="1157">
        <v>656838.6</v>
      </c>
      <c r="I151" s="1157">
        <v>148867.80000000002</v>
      </c>
      <c r="J151" s="220"/>
      <c r="K151" s="302"/>
      <c r="L151" s="302"/>
    </row>
    <row r="152" spans="1:12" s="145" customFormat="1" hidden="1">
      <c r="A152" s="87" t="s">
        <v>700</v>
      </c>
      <c r="B152" s="1157">
        <v>328438.90000000002</v>
      </c>
      <c r="C152" s="1160">
        <v>99745.3</v>
      </c>
      <c r="D152" s="1157">
        <v>217097.19999999998</v>
      </c>
      <c r="E152" s="1157">
        <v>43318.399999999994</v>
      </c>
      <c r="F152" s="1157">
        <v>112563</v>
      </c>
      <c r="G152" s="1157">
        <v>9839.7999999999993</v>
      </c>
      <c r="H152" s="1157">
        <v>658099.1</v>
      </c>
      <c r="I152" s="1157">
        <v>152903.5</v>
      </c>
      <c r="J152" s="220"/>
      <c r="K152" s="302"/>
      <c r="L152" s="302"/>
    </row>
    <row r="153" spans="1:12" s="145" customFormat="1" hidden="1">
      <c r="A153" s="87" t="s">
        <v>711</v>
      </c>
      <c r="B153" s="1157">
        <v>351868.50000000006</v>
      </c>
      <c r="C153" s="1157">
        <v>100323.29999999999</v>
      </c>
      <c r="D153" s="1157">
        <v>208994.1</v>
      </c>
      <c r="E153" s="1159">
        <v>44201.899999999994</v>
      </c>
      <c r="F153" s="1157">
        <v>114679.9</v>
      </c>
      <c r="G153" s="1159">
        <v>9040.0999999999985</v>
      </c>
      <c r="H153" s="1157">
        <v>675542.50000000012</v>
      </c>
      <c r="I153" s="1157">
        <v>153565.29999999999</v>
      </c>
      <c r="J153" s="220"/>
      <c r="K153" s="302"/>
      <c r="L153" s="302"/>
    </row>
    <row r="154" spans="1:12" s="145" customFormat="1">
      <c r="A154" s="87" t="s">
        <v>735</v>
      </c>
      <c r="B154" s="1157">
        <v>355237.2</v>
      </c>
      <c r="C154" s="1157">
        <v>109456</v>
      </c>
      <c r="D154" s="1157">
        <v>204096.59999999998</v>
      </c>
      <c r="E154" s="1159">
        <v>42280.399999999994</v>
      </c>
      <c r="F154" s="1157">
        <v>108496.7</v>
      </c>
      <c r="G154" s="1159">
        <v>9196.1</v>
      </c>
      <c r="H154" s="1157">
        <v>667830.5</v>
      </c>
      <c r="I154" s="1157">
        <v>160932.5</v>
      </c>
      <c r="J154" s="220"/>
      <c r="K154" s="302"/>
      <c r="L154" s="302"/>
    </row>
    <row r="155" spans="1:12" s="145" customFormat="1">
      <c r="A155" s="87" t="s">
        <v>46</v>
      </c>
      <c r="B155" s="1157">
        <v>358495.49999999994</v>
      </c>
      <c r="C155" s="1157">
        <v>108839.5</v>
      </c>
      <c r="D155" s="1157">
        <v>204149.7</v>
      </c>
      <c r="E155" s="1157">
        <v>42280.5</v>
      </c>
      <c r="F155" s="1157">
        <v>109016</v>
      </c>
      <c r="G155" s="1157">
        <v>9196.1</v>
      </c>
      <c r="H155" s="1157">
        <v>671661.2</v>
      </c>
      <c r="I155" s="1157">
        <v>160316.1</v>
      </c>
      <c r="J155" s="220"/>
      <c r="K155" s="302"/>
      <c r="L155" s="302"/>
    </row>
    <row r="156" spans="1:12" s="145" customFormat="1">
      <c r="A156" s="87" t="s">
        <v>47</v>
      </c>
      <c r="B156" s="1157">
        <v>339502.99999999994</v>
      </c>
      <c r="C156" s="1157">
        <v>123501.79999999999</v>
      </c>
      <c r="D156" s="1157">
        <v>223168.09999999998</v>
      </c>
      <c r="E156" s="1157">
        <v>24970.2</v>
      </c>
      <c r="F156" s="1157">
        <v>118898.79999999999</v>
      </c>
      <c r="G156" s="1157">
        <v>9820.6</v>
      </c>
      <c r="H156" s="1157">
        <v>681569.89999999991</v>
      </c>
      <c r="I156" s="1157">
        <v>158292.6</v>
      </c>
      <c r="J156" s="220"/>
      <c r="K156" s="302"/>
      <c r="L156" s="302"/>
    </row>
    <row r="157" spans="1:12" s="145" customFormat="1">
      <c r="A157" s="87" t="s">
        <v>48</v>
      </c>
      <c r="B157" s="1157">
        <v>335559.2</v>
      </c>
      <c r="C157" s="1157">
        <v>122680.70000000001</v>
      </c>
      <c r="D157" s="1157">
        <v>221322.80000000002</v>
      </c>
      <c r="E157" s="1157">
        <v>24820.899999999998</v>
      </c>
      <c r="F157" s="1157">
        <v>121131.7</v>
      </c>
      <c r="G157" s="1157">
        <v>9679.6</v>
      </c>
      <c r="H157" s="1157">
        <v>678013.7</v>
      </c>
      <c r="I157" s="1157">
        <v>157181.20000000001</v>
      </c>
      <c r="J157" s="220"/>
      <c r="K157" s="302"/>
      <c r="L157" s="302"/>
    </row>
    <row r="158" spans="1:12" s="145" customFormat="1">
      <c r="A158" s="87" t="s">
        <v>49</v>
      </c>
      <c r="B158" s="1157">
        <v>317086.3</v>
      </c>
      <c r="C158" s="1157">
        <v>114564.4</v>
      </c>
      <c r="D158" s="1157">
        <v>227971</v>
      </c>
      <c r="E158" s="1157">
        <v>35261.5</v>
      </c>
      <c r="F158" s="1157">
        <v>124276.69999999998</v>
      </c>
      <c r="G158" s="1157">
        <v>9767.8000000000011</v>
      </c>
      <c r="H158" s="1157">
        <v>669334</v>
      </c>
      <c r="I158" s="1157">
        <v>159593.69999999998</v>
      </c>
      <c r="J158" s="220"/>
      <c r="K158" s="302"/>
      <c r="L158" s="302"/>
    </row>
    <row r="159" spans="1:12" s="145" customFormat="1">
      <c r="A159" s="87" t="s">
        <v>50</v>
      </c>
      <c r="B159" s="1157">
        <v>307292.2</v>
      </c>
      <c r="C159" s="1157">
        <v>132116.09999999998</v>
      </c>
      <c r="D159" s="1157">
        <v>212009.39999999997</v>
      </c>
      <c r="E159" s="1157">
        <v>25205.500000000004</v>
      </c>
      <c r="F159" s="1157">
        <v>125378.1</v>
      </c>
      <c r="G159" s="1157">
        <v>9776.1</v>
      </c>
      <c r="H159" s="1157">
        <v>644679.69999999995</v>
      </c>
      <c r="I159" s="1157">
        <v>167097.69999999998</v>
      </c>
      <c r="J159" s="220"/>
      <c r="K159" s="302"/>
      <c r="L159" s="302"/>
    </row>
    <row r="160" spans="1:12" s="145" customFormat="1">
      <c r="A160" s="87"/>
      <c r="B160" s="1157"/>
      <c r="C160" s="1157"/>
      <c r="D160" s="1157"/>
      <c r="E160" s="1157"/>
      <c r="F160" s="1157"/>
      <c r="G160" s="1157"/>
      <c r="H160" s="1157"/>
      <c r="I160" s="1157"/>
      <c r="J160" s="220"/>
      <c r="K160" s="302"/>
      <c r="L160" s="302"/>
    </row>
    <row r="161" spans="1:12" s="145" customFormat="1">
      <c r="A161" s="87" t="s">
        <v>36</v>
      </c>
      <c r="B161" s="1157">
        <v>293470.3</v>
      </c>
      <c r="C161" s="1157">
        <v>131433.5</v>
      </c>
      <c r="D161" s="1157">
        <v>215735.2</v>
      </c>
      <c r="E161" s="1157">
        <v>25125.4</v>
      </c>
      <c r="F161" s="1157">
        <v>128518.7</v>
      </c>
      <c r="G161" s="1157">
        <v>9795.5999999999985</v>
      </c>
      <c r="H161" s="1157">
        <v>637724.19999999995</v>
      </c>
      <c r="I161" s="1157">
        <v>166354.5</v>
      </c>
      <c r="J161" s="220"/>
      <c r="K161" s="302"/>
      <c r="L161" s="302"/>
    </row>
    <row r="162" spans="1:12" s="145" customFormat="1">
      <c r="A162" s="87" t="s">
        <v>37</v>
      </c>
      <c r="B162" s="1157">
        <v>298741.59999999998</v>
      </c>
      <c r="C162" s="1157">
        <v>87233</v>
      </c>
      <c r="D162" s="1157">
        <v>210181.8</v>
      </c>
      <c r="E162" s="1157">
        <v>14731.3</v>
      </c>
      <c r="F162" s="1157">
        <v>130560</v>
      </c>
      <c r="G162" s="1157">
        <v>10180</v>
      </c>
      <c r="H162" s="1157">
        <v>639483.39999999991</v>
      </c>
      <c r="I162" s="1157">
        <v>112144.3</v>
      </c>
      <c r="J162" s="220"/>
      <c r="K162" s="302"/>
      <c r="L162" s="302"/>
    </row>
    <row r="163" spans="1:12" s="145" customFormat="1">
      <c r="A163" s="87" t="s">
        <v>38</v>
      </c>
      <c r="B163" s="1157">
        <v>306720.70000000007</v>
      </c>
      <c r="C163" s="1157">
        <v>78003.7</v>
      </c>
      <c r="D163" s="1157">
        <v>213329.8</v>
      </c>
      <c r="E163" s="1157">
        <v>16212</v>
      </c>
      <c r="F163" s="1157">
        <v>127453.5</v>
      </c>
      <c r="G163" s="1157">
        <v>8550.9000000000015</v>
      </c>
      <c r="H163" s="1157">
        <v>647504</v>
      </c>
      <c r="I163" s="1157">
        <v>102766.6</v>
      </c>
      <c r="J163" s="220"/>
      <c r="K163" s="302"/>
      <c r="L163" s="302"/>
    </row>
    <row r="164" spans="1:12" s="145" customFormat="1">
      <c r="A164" s="87" t="s">
        <v>42</v>
      </c>
      <c r="B164" s="1157">
        <v>295218</v>
      </c>
      <c r="C164" s="1157">
        <v>81810.100000000006</v>
      </c>
      <c r="D164" s="1157">
        <v>215343.7</v>
      </c>
      <c r="E164" s="1157">
        <v>17052.599999999999</v>
      </c>
      <c r="F164" s="1157">
        <v>131619.70000000001</v>
      </c>
      <c r="G164" s="1157">
        <v>7133.9</v>
      </c>
      <c r="H164" s="1157">
        <v>642181.4</v>
      </c>
      <c r="I164" s="1157">
        <v>105996.6</v>
      </c>
      <c r="J164" s="220"/>
      <c r="K164" s="302"/>
      <c r="L164" s="302"/>
    </row>
    <row r="165" spans="1:12" s="145" customFormat="1">
      <c r="A165" s="87" t="s">
        <v>606</v>
      </c>
      <c r="B165" s="1157">
        <v>302769.5</v>
      </c>
      <c r="C165" s="1157">
        <v>81561.3</v>
      </c>
      <c r="D165" s="1157">
        <v>219664.7</v>
      </c>
      <c r="E165" s="1157">
        <v>17037.3</v>
      </c>
      <c r="F165" s="1157">
        <v>132507.79999999999</v>
      </c>
      <c r="G165" s="1157">
        <v>8932.1</v>
      </c>
      <c r="H165" s="1157">
        <v>654942</v>
      </c>
      <c r="I165" s="1157">
        <v>107530.70000000001</v>
      </c>
      <c r="J165" s="220"/>
      <c r="K165" s="302"/>
      <c r="L165" s="302"/>
    </row>
    <row r="166" spans="1:12" s="145" customFormat="1">
      <c r="A166" s="87" t="s">
        <v>62</v>
      </c>
      <c r="B166" s="1157">
        <v>342927.4</v>
      </c>
      <c r="C166" s="1157">
        <v>83049.600000000006</v>
      </c>
      <c r="D166" s="1157">
        <v>221911.9</v>
      </c>
      <c r="E166" s="1157">
        <v>16973.8</v>
      </c>
      <c r="F166" s="1157">
        <v>130820.8</v>
      </c>
      <c r="G166" s="1157">
        <v>8404.5</v>
      </c>
      <c r="H166" s="1157">
        <v>695660.10000000009</v>
      </c>
      <c r="I166" s="1157">
        <v>108427.90000000001</v>
      </c>
      <c r="J166" s="220"/>
      <c r="K166" s="302"/>
      <c r="L166" s="302"/>
    </row>
    <row r="167" spans="1:12" s="145" customFormat="1">
      <c r="A167" s="87" t="s">
        <v>614</v>
      </c>
      <c r="B167" s="1157">
        <v>376010.4</v>
      </c>
      <c r="C167" s="1157">
        <v>61423.1</v>
      </c>
      <c r="D167" s="1157">
        <v>226823.6</v>
      </c>
      <c r="E167" s="1157">
        <v>16830.900000000001</v>
      </c>
      <c r="F167" s="1157">
        <v>131138.5</v>
      </c>
      <c r="G167" s="1157">
        <v>9117.5</v>
      </c>
      <c r="H167" s="1157">
        <v>733972.5</v>
      </c>
      <c r="I167" s="1157">
        <v>87371.5</v>
      </c>
      <c r="J167" s="220"/>
      <c r="K167" s="302"/>
      <c r="L167" s="302"/>
    </row>
    <row r="168" spans="1:12" s="145" customFormat="1">
      <c r="A168" s="87" t="s">
        <v>620</v>
      </c>
      <c r="B168" s="1157">
        <v>376436.8</v>
      </c>
      <c r="C168" s="1157">
        <v>88990.1</v>
      </c>
      <c r="D168" s="1157">
        <v>209650.3</v>
      </c>
      <c r="E168" s="1157">
        <v>16387</v>
      </c>
      <c r="F168" s="1157">
        <v>131770.1</v>
      </c>
      <c r="G168" s="1157">
        <v>9205.1</v>
      </c>
      <c r="H168" s="1157">
        <v>717857.2</v>
      </c>
      <c r="I168" s="1157">
        <v>114582.20000000001</v>
      </c>
      <c r="J168" s="220"/>
      <c r="K168" s="302"/>
      <c r="L168" s="302"/>
    </row>
    <row r="169" spans="1:12" s="145" customFormat="1">
      <c r="A169" s="87" t="s">
        <v>63</v>
      </c>
      <c r="B169" s="1157">
        <v>369292.89999999997</v>
      </c>
      <c r="C169" s="1157">
        <v>94843.099999999991</v>
      </c>
      <c r="D169" s="1157">
        <v>220792.40000000002</v>
      </c>
      <c r="E169" s="1157">
        <v>16013.3</v>
      </c>
      <c r="F169" s="1157">
        <v>127586.69999999998</v>
      </c>
      <c r="G169" s="1157">
        <v>8342.6</v>
      </c>
      <c r="H169" s="1157">
        <v>717672</v>
      </c>
      <c r="I169" s="1157">
        <v>119199</v>
      </c>
      <c r="J169" s="220"/>
      <c r="K169" s="302"/>
      <c r="L169" s="302"/>
    </row>
    <row r="170" spans="1:12" s="145" customFormat="1">
      <c r="A170" s="87" t="s">
        <v>632</v>
      </c>
      <c r="B170" s="1157">
        <v>371090</v>
      </c>
      <c r="C170" s="1157">
        <v>95641.900000000009</v>
      </c>
      <c r="D170" s="1157">
        <v>217404.30000000002</v>
      </c>
      <c r="E170" s="1157">
        <v>16345.800000000001</v>
      </c>
      <c r="F170" s="1157">
        <v>139555.1</v>
      </c>
      <c r="G170" s="1157">
        <v>8706.5</v>
      </c>
      <c r="H170" s="1157">
        <v>728049.4</v>
      </c>
      <c r="I170" s="1157">
        <v>120694.20000000001</v>
      </c>
      <c r="J170" s="220"/>
      <c r="K170" s="302"/>
      <c r="L170" s="302"/>
    </row>
    <row r="171" spans="1:12" s="145" customFormat="1">
      <c r="A171" s="87" t="s">
        <v>653</v>
      </c>
      <c r="B171" s="1157">
        <v>379391.7</v>
      </c>
      <c r="C171" s="1157">
        <v>92048.799999999988</v>
      </c>
      <c r="D171" s="1157">
        <v>219247.60000000003</v>
      </c>
      <c r="E171" s="1157">
        <v>17573.599999999999</v>
      </c>
      <c r="F171" s="1157">
        <v>135565.9</v>
      </c>
      <c r="G171" s="1157">
        <v>9179</v>
      </c>
      <c r="H171" s="1157">
        <v>734205.20000000007</v>
      </c>
      <c r="I171" s="1157">
        <v>118801.4</v>
      </c>
      <c r="J171" s="220"/>
      <c r="K171" s="302"/>
      <c r="L171" s="302"/>
    </row>
    <row r="172" spans="1:12" s="145" customFormat="1">
      <c r="A172" s="87" t="s">
        <v>64</v>
      </c>
      <c r="B172" s="1157">
        <v>337350.60000000003</v>
      </c>
      <c r="C172" s="1157">
        <v>89694.1</v>
      </c>
      <c r="D172" s="1157">
        <v>201131.3</v>
      </c>
      <c r="E172" s="1157">
        <v>16991.2</v>
      </c>
      <c r="F172" s="1157">
        <v>143947.9</v>
      </c>
      <c r="G172" s="1157">
        <v>9085</v>
      </c>
      <c r="H172" s="1157">
        <v>682429.8</v>
      </c>
      <c r="I172" s="1157">
        <v>115770.3</v>
      </c>
      <c r="J172" s="220"/>
      <c r="K172" s="302"/>
      <c r="L172" s="302"/>
    </row>
    <row r="173" spans="1:12" s="145" customFormat="1">
      <c r="A173" s="87"/>
      <c r="B173" s="1157"/>
      <c r="C173" s="1157"/>
      <c r="D173" s="1157"/>
      <c r="E173" s="1157"/>
      <c r="F173" s="1157"/>
      <c r="G173" s="1157"/>
      <c r="H173" s="1157"/>
      <c r="I173" s="1157"/>
      <c r="J173" s="220"/>
      <c r="K173" s="302"/>
      <c r="L173" s="302"/>
    </row>
    <row r="174" spans="1:12" s="145" customFormat="1">
      <c r="A174" s="87" t="s">
        <v>671</v>
      </c>
      <c r="B174" s="1157">
        <v>335162.30000000005</v>
      </c>
      <c r="C174" s="1157">
        <v>88685.299999999988</v>
      </c>
      <c r="D174" s="1157">
        <v>208662.6</v>
      </c>
      <c r="E174" s="1157">
        <v>16844.900000000001</v>
      </c>
      <c r="F174" s="1157">
        <v>139389.79999999999</v>
      </c>
      <c r="G174" s="1157">
        <v>7601</v>
      </c>
      <c r="H174" s="1157">
        <v>683214.7</v>
      </c>
      <c r="I174" s="1157">
        <v>113131.19999999998</v>
      </c>
      <c r="J174" s="220"/>
      <c r="K174" s="302"/>
      <c r="L174" s="302"/>
    </row>
    <row r="175" spans="1:12" s="145" customFormat="1">
      <c r="A175" s="87" t="s">
        <v>37</v>
      </c>
      <c r="B175" s="1157">
        <v>341529.7</v>
      </c>
      <c r="C175" s="1157">
        <v>88307.5</v>
      </c>
      <c r="D175" s="1157">
        <v>209408.5</v>
      </c>
      <c r="E175" s="1157">
        <v>18253.3</v>
      </c>
      <c r="F175" s="1157">
        <v>148334</v>
      </c>
      <c r="G175" s="1157">
        <v>8356.0999999999985</v>
      </c>
      <c r="H175" s="1157">
        <v>699272.2</v>
      </c>
      <c r="I175" s="1157">
        <v>114916.9</v>
      </c>
      <c r="J175" s="220"/>
      <c r="K175" s="302"/>
      <c r="L175" s="302"/>
    </row>
    <row r="176" spans="1:12" s="145" customFormat="1">
      <c r="A176" s="87" t="s">
        <v>38</v>
      </c>
      <c r="B176" s="1157">
        <v>334056.59999999992</v>
      </c>
      <c r="C176" s="1157">
        <v>101695.70000000001</v>
      </c>
      <c r="D176" s="1157">
        <v>194259.5</v>
      </c>
      <c r="E176" s="1157">
        <v>16935</v>
      </c>
      <c r="F176" s="1157">
        <v>153961.09999999998</v>
      </c>
      <c r="G176" s="1157">
        <v>9848.2000000000007</v>
      </c>
      <c r="H176" s="1157">
        <v>682277.19999999984</v>
      </c>
      <c r="I176" s="1157">
        <v>128478.90000000001</v>
      </c>
      <c r="J176" s="220"/>
      <c r="K176" s="302"/>
      <c r="L176" s="302"/>
    </row>
    <row r="177" spans="1:12" s="145" customFormat="1">
      <c r="A177" s="87" t="s">
        <v>602</v>
      </c>
      <c r="B177" s="1157">
        <v>336030.9</v>
      </c>
      <c r="C177" s="1157">
        <v>101034</v>
      </c>
      <c r="D177" s="1157">
        <v>198175.4</v>
      </c>
      <c r="E177" s="1157">
        <v>17666.599999999999</v>
      </c>
      <c r="F177" s="1157">
        <v>156625.1</v>
      </c>
      <c r="G177" s="1157">
        <v>6792.9</v>
      </c>
      <c r="H177" s="1157">
        <v>690831.4</v>
      </c>
      <c r="I177" s="1157">
        <v>125493.5</v>
      </c>
      <c r="J177" s="220"/>
      <c r="K177" s="302"/>
      <c r="L177" s="302"/>
    </row>
    <row r="178" spans="1:12" s="145" customFormat="1">
      <c r="A178" s="87" t="s">
        <v>606</v>
      </c>
      <c r="B178" s="1157">
        <v>336526.5</v>
      </c>
      <c r="C178" s="1157">
        <v>93783</v>
      </c>
      <c r="D178" s="1157">
        <v>198375.4</v>
      </c>
      <c r="E178" s="1157">
        <v>18523.3</v>
      </c>
      <c r="F178" s="1157">
        <v>153838</v>
      </c>
      <c r="G178" s="1157">
        <v>8221</v>
      </c>
      <c r="H178" s="1157">
        <v>688739.9</v>
      </c>
      <c r="I178" s="1157">
        <v>120527.3</v>
      </c>
      <c r="J178" s="220"/>
      <c r="K178" s="302"/>
      <c r="L178" s="302"/>
    </row>
    <row r="179" spans="1:12" s="145" customFormat="1">
      <c r="A179" s="1021" t="s">
        <v>738</v>
      </c>
      <c r="B179" s="1157">
        <v>368916</v>
      </c>
      <c r="C179" s="1157">
        <v>92226</v>
      </c>
      <c r="D179" s="1157">
        <v>254846.1</v>
      </c>
      <c r="E179" s="1157">
        <v>11954.9</v>
      </c>
      <c r="F179" s="1157">
        <v>155230.5</v>
      </c>
      <c r="G179" s="1157">
        <v>8946.7000000000007</v>
      </c>
      <c r="H179" s="1157">
        <v>778992.6</v>
      </c>
      <c r="I179" s="1157">
        <v>113127.59999999999</v>
      </c>
      <c r="J179" s="220"/>
      <c r="K179" s="302"/>
      <c r="L179" s="302"/>
    </row>
    <row r="180" spans="1:12" s="145" customFormat="1">
      <c r="A180" s="1021" t="s">
        <v>614</v>
      </c>
      <c r="B180" s="1157">
        <f>498400.8-71151.8-14162.8-9535</f>
        <v>403551.2</v>
      </c>
      <c r="C180" s="1157">
        <f>71151.8+14162.8+9535</f>
        <v>94849.600000000006</v>
      </c>
      <c r="D180" s="1157">
        <f>258003.5-12880-1934.6-1399.1</f>
        <v>241789.8</v>
      </c>
      <c r="E180" s="1157">
        <f>12880+1934.6+1399.1</f>
        <v>16213.7</v>
      </c>
      <c r="F180" s="1157">
        <f>166569.6-3078.4-1963.5-2906</f>
        <v>158621.70000000001</v>
      </c>
      <c r="G180" s="1157">
        <f>3078.4+1963.5+2906</f>
        <v>7947.9</v>
      </c>
      <c r="H180" s="1157">
        <f>B180+D180+F180</f>
        <v>803962.7</v>
      </c>
      <c r="I180" s="1157">
        <f>C180+E180+G180</f>
        <v>119011.2</v>
      </c>
      <c r="J180" s="220"/>
      <c r="K180" s="302"/>
      <c r="L180" s="302"/>
    </row>
    <row r="181" spans="1:12" s="145" customFormat="1" ht="11.25" customHeight="1">
      <c r="A181" s="87"/>
      <c r="B181" s="1157"/>
      <c r="C181" s="1157"/>
      <c r="D181" s="1157"/>
      <c r="E181" s="1157"/>
      <c r="F181" s="1157"/>
      <c r="G181" s="1157"/>
      <c r="H181" s="1157"/>
      <c r="I181" s="1157"/>
      <c r="J181" s="220"/>
      <c r="K181" s="302"/>
      <c r="L181" s="302"/>
    </row>
    <row r="182" spans="1:12">
      <c r="A182" s="658"/>
      <c r="B182" s="525"/>
      <c r="C182" s="525"/>
      <c r="D182" s="525"/>
      <c r="E182" s="525"/>
      <c r="F182" s="525"/>
      <c r="G182" s="525"/>
      <c r="H182" s="525"/>
      <c r="I182" s="526"/>
      <c r="J182" s="214"/>
      <c r="K182" s="686"/>
    </row>
    <row r="183" spans="1:12">
      <c r="A183" s="94" t="s">
        <v>514</v>
      </c>
      <c r="B183" s="214"/>
      <c r="C183" s="214"/>
      <c r="D183" s="214"/>
      <c r="E183" s="214"/>
      <c r="F183" s="214"/>
      <c r="G183" s="214"/>
      <c r="H183" s="214"/>
      <c r="I183" s="680"/>
      <c r="J183" s="214"/>
      <c r="K183" s="686"/>
    </row>
    <row r="184" spans="1:12">
      <c r="A184" s="94" t="s">
        <v>657</v>
      </c>
      <c r="B184" s="214"/>
      <c r="C184" s="214"/>
      <c r="D184" s="214"/>
      <c r="E184" s="214"/>
      <c r="F184" s="214"/>
      <c r="G184" s="214"/>
      <c r="H184" s="214"/>
      <c r="I184" s="680"/>
      <c r="J184" s="214"/>
      <c r="K184" s="686"/>
    </row>
    <row r="185" spans="1:12">
      <c r="A185" s="770"/>
      <c r="B185" s="537"/>
      <c r="C185" s="537"/>
      <c r="D185" s="537"/>
      <c r="E185" s="537"/>
      <c r="F185" s="537"/>
      <c r="G185" s="537"/>
      <c r="H185" s="537"/>
      <c r="I185" s="659"/>
      <c r="J185" s="71"/>
      <c r="K185" s="132"/>
    </row>
    <row r="186" spans="1:12">
      <c r="A186" s="511"/>
      <c r="B186" s="214"/>
      <c r="C186" s="214"/>
      <c r="D186" s="214"/>
      <c r="E186" s="214"/>
      <c r="F186" s="214"/>
      <c r="G186" s="214"/>
      <c r="H186" s="214"/>
      <c r="I186" s="214"/>
      <c r="J186" s="71"/>
    </row>
    <row r="187" spans="1:12">
      <c r="A187" s="73"/>
      <c r="B187" s="214"/>
      <c r="C187" s="214"/>
      <c r="D187" s="214"/>
      <c r="E187" s="214"/>
      <c r="F187" s="214"/>
      <c r="G187" s="214"/>
      <c r="H187" s="214"/>
      <c r="I187" s="214"/>
      <c r="J187" s="71"/>
    </row>
  </sheetData>
  <mergeCells count="6">
    <mergeCell ref="B5:C5"/>
    <mergeCell ref="D5:E5"/>
    <mergeCell ref="F5:G5"/>
    <mergeCell ref="H5:I5"/>
    <mergeCell ref="C2:H2"/>
    <mergeCell ref="C3:H3"/>
  </mergeCells>
  <pageMargins left="2.0866141732283467" right="0.70866141732283472" top="0.74803149606299213" bottom="0.74803149606299213" header="0.31496062992125984" footer="0.31496062992125984"/>
  <pageSetup paperSize="9" scale="59" orientation="landscape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8"/>
  <sheetViews>
    <sheetView showGridLines="0" view="pageBreakPreview" topLeftCell="A253" zoomScale="80" zoomScaleNormal="100" zoomScaleSheetLayoutView="80" workbookViewId="0">
      <selection activeCell="B273" sqref="B273:M273"/>
    </sheetView>
  </sheetViews>
  <sheetFormatPr defaultColWidth="12.6640625" defaultRowHeight="12.75"/>
  <cols>
    <col min="1" max="1" width="19.77734375" style="689" customWidth="1"/>
    <col min="2" max="2" width="8.21875" style="689" customWidth="1"/>
    <col min="3" max="3" width="8.109375" style="689" customWidth="1"/>
    <col min="4" max="4" width="7.77734375" style="689" customWidth="1"/>
    <col min="5" max="5" width="5.88671875" style="689" bestFit="1" customWidth="1"/>
    <col min="6" max="6" width="7" style="689" customWidth="1"/>
    <col min="7" max="7" width="6.5546875" style="689" bestFit="1" customWidth="1"/>
    <col min="8" max="8" width="8.77734375" style="689" customWidth="1"/>
    <col min="9" max="9" width="6.77734375" style="689" bestFit="1" customWidth="1"/>
    <col min="10" max="10" width="6.5546875" style="689" bestFit="1" customWidth="1"/>
    <col min="11" max="11" width="8.77734375" style="689" customWidth="1"/>
    <col min="12" max="12" width="7.109375" style="689" bestFit="1" customWidth="1"/>
    <col min="13" max="13" width="6.77734375" style="689" customWidth="1"/>
    <col min="14" max="16384" width="12.6640625" style="689"/>
  </cols>
  <sheetData>
    <row r="1" spans="1:14">
      <c r="A1" s="570" t="s">
        <v>0</v>
      </c>
      <c r="B1" s="96"/>
      <c r="C1" s="96"/>
      <c r="D1" s="96"/>
      <c r="E1" s="96"/>
      <c r="F1" s="96"/>
      <c r="G1" s="582" t="s">
        <v>0</v>
      </c>
      <c r="H1" s="96"/>
      <c r="I1" s="96"/>
      <c r="J1" s="96"/>
      <c r="K1" s="96"/>
      <c r="L1" s="96"/>
      <c r="M1" s="688"/>
    </row>
    <row r="2" spans="1:14">
      <c r="A2" s="690"/>
      <c r="B2" s="1194" t="s">
        <v>548</v>
      </c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607" t="s">
        <v>528</v>
      </c>
    </row>
    <row r="3" spans="1:14" ht="15.75" customHeight="1">
      <c r="A3" s="690"/>
      <c r="B3" s="1194" t="s">
        <v>549</v>
      </c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691"/>
    </row>
    <row r="4" spans="1:14">
      <c r="A4" s="555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68"/>
    </row>
    <row r="5" spans="1:14">
      <c r="A5" s="84"/>
      <c r="B5" s="70"/>
      <c r="C5" s="71"/>
      <c r="D5" s="71"/>
      <c r="E5" s="71"/>
      <c r="F5" s="82"/>
      <c r="G5" s="70"/>
      <c r="H5" s="71"/>
      <c r="I5" s="82"/>
      <c r="J5" s="70"/>
      <c r="K5" s="71"/>
      <c r="L5" s="71"/>
      <c r="M5" s="80"/>
    </row>
    <row r="6" spans="1:14" ht="15.75" customHeight="1">
      <c r="A6" s="84" t="s">
        <v>327</v>
      </c>
      <c r="B6" s="1190" t="s">
        <v>550</v>
      </c>
      <c r="C6" s="1191"/>
      <c r="D6" s="1191"/>
      <c r="E6" s="1191"/>
      <c r="F6" s="1192"/>
      <c r="G6" s="1190" t="s">
        <v>551</v>
      </c>
      <c r="H6" s="1191"/>
      <c r="I6" s="1192"/>
      <c r="J6" s="1190" t="s">
        <v>594</v>
      </c>
      <c r="K6" s="1191"/>
      <c r="L6" s="1192"/>
      <c r="M6" s="80"/>
    </row>
    <row r="7" spans="1:14">
      <c r="A7" s="84"/>
      <c r="B7" s="555"/>
      <c r="C7" s="533"/>
      <c r="D7" s="518"/>
      <c r="E7" s="533"/>
      <c r="F7" s="568"/>
      <c r="G7" s="553"/>
      <c r="H7" s="533"/>
      <c r="I7" s="568"/>
      <c r="J7" s="553"/>
      <c r="K7" s="533"/>
      <c r="L7" s="533"/>
      <c r="M7" s="115"/>
    </row>
    <row r="8" spans="1:14">
      <c r="A8" s="84"/>
      <c r="B8" s="246"/>
      <c r="C8" s="109"/>
      <c r="D8" s="107"/>
      <c r="E8" s="109"/>
      <c r="F8" s="107"/>
      <c r="G8" s="692"/>
      <c r="H8" s="109"/>
      <c r="I8" s="250"/>
      <c r="J8" s="692"/>
      <c r="K8" s="692"/>
      <c r="L8" s="617"/>
      <c r="M8" s="115" t="s">
        <v>552</v>
      </c>
      <c r="N8" s="11"/>
    </row>
    <row r="9" spans="1:14">
      <c r="A9" s="84" t="s">
        <v>34</v>
      </c>
      <c r="B9" s="246" t="s">
        <v>553</v>
      </c>
      <c r="C9" s="115" t="s">
        <v>132</v>
      </c>
      <c r="D9" s="107" t="s">
        <v>493</v>
      </c>
      <c r="E9" s="115" t="s">
        <v>554</v>
      </c>
      <c r="F9" s="107" t="s">
        <v>555</v>
      </c>
      <c r="G9" s="246" t="s">
        <v>497</v>
      </c>
      <c r="H9" s="115" t="s">
        <v>498</v>
      </c>
      <c r="I9" s="250" t="s">
        <v>555</v>
      </c>
      <c r="J9" s="246" t="s">
        <v>497</v>
      </c>
      <c r="K9" s="246" t="s">
        <v>498</v>
      </c>
      <c r="L9" s="485" t="s">
        <v>555</v>
      </c>
      <c r="M9" s="115" t="s">
        <v>556</v>
      </c>
    </row>
    <row r="10" spans="1:14">
      <c r="A10" s="121"/>
      <c r="B10" s="75"/>
      <c r="C10" s="253"/>
      <c r="D10" s="76"/>
      <c r="E10" s="253"/>
      <c r="F10" s="76"/>
      <c r="G10" s="75"/>
      <c r="H10" s="310" t="s">
        <v>557</v>
      </c>
      <c r="I10" s="518"/>
      <c r="J10" s="75"/>
      <c r="K10" s="318" t="s">
        <v>557</v>
      </c>
      <c r="L10" s="556"/>
      <c r="M10" s="310"/>
    </row>
    <row r="11" spans="1:14" hidden="1">
      <c r="A11" s="693" t="s">
        <v>529</v>
      </c>
      <c r="B11" s="694">
        <v>9.69</v>
      </c>
      <c r="C11" s="695">
        <v>14.71</v>
      </c>
      <c r="D11" s="696">
        <v>16.41</v>
      </c>
      <c r="E11" s="695">
        <v>13.08</v>
      </c>
      <c r="F11" s="697">
        <v>15.55</v>
      </c>
      <c r="G11" s="694">
        <v>16.29</v>
      </c>
      <c r="H11" s="695">
        <v>14.46</v>
      </c>
      <c r="I11" s="697">
        <v>15.01</v>
      </c>
      <c r="J11" s="694">
        <v>14.02</v>
      </c>
      <c r="K11" s="694">
        <v>14.86</v>
      </c>
      <c r="L11" s="695">
        <v>14.82</v>
      </c>
      <c r="M11" s="697">
        <v>15.48</v>
      </c>
    </row>
    <row r="12" spans="1:14" hidden="1">
      <c r="A12" s="693" t="s">
        <v>530</v>
      </c>
      <c r="B12" s="694">
        <v>12.09</v>
      </c>
      <c r="C12" s="695">
        <v>13.97</v>
      </c>
      <c r="D12" s="696">
        <v>16.68</v>
      </c>
      <c r="E12" s="695">
        <v>15.72</v>
      </c>
      <c r="F12" s="697">
        <v>15.46</v>
      </c>
      <c r="G12" s="694">
        <v>16.45</v>
      </c>
      <c r="H12" s="695">
        <v>14.91</v>
      </c>
      <c r="I12" s="697">
        <v>15.32</v>
      </c>
      <c r="J12" s="694">
        <v>14.24</v>
      </c>
      <c r="K12" s="694">
        <v>15.12</v>
      </c>
      <c r="L12" s="695">
        <v>15.06</v>
      </c>
      <c r="M12" s="697">
        <v>15.45</v>
      </c>
    </row>
    <row r="13" spans="1:14" hidden="1">
      <c r="A13" s="693" t="s">
        <v>531</v>
      </c>
      <c r="B13" s="698">
        <v>12.1</v>
      </c>
      <c r="C13" s="699">
        <v>14.9</v>
      </c>
      <c r="D13" s="700">
        <v>17.100000000000001</v>
      </c>
      <c r="E13" s="699">
        <v>17</v>
      </c>
      <c r="F13" s="701">
        <v>16.100000000000001</v>
      </c>
      <c r="G13" s="698">
        <v>16.649999999999999</v>
      </c>
      <c r="H13" s="699">
        <v>15.5</v>
      </c>
      <c r="I13" s="701">
        <v>15.8</v>
      </c>
      <c r="J13" s="698">
        <v>14.2</v>
      </c>
      <c r="K13" s="698">
        <v>14.48</v>
      </c>
      <c r="L13" s="699">
        <v>14.5</v>
      </c>
      <c r="M13" s="701">
        <v>16</v>
      </c>
    </row>
    <row r="14" spans="1:14" hidden="1">
      <c r="A14" s="702" t="s">
        <v>469</v>
      </c>
      <c r="B14" s="703">
        <v>12.8</v>
      </c>
      <c r="C14" s="704">
        <v>16.100000000000001</v>
      </c>
      <c r="D14" s="705">
        <v>18.399999999999999</v>
      </c>
      <c r="E14" s="699">
        <v>17.8</v>
      </c>
      <c r="F14" s="701">
        <v>17.600000000000001</v>
      </c>
      <c r="G14" s="698">
        <v>18</v>
      </c>
      <c r="H14" s="699">
        <v>17.5</v>
      </c>
      <c r="I14" s="701">
        <v>17.600000000000001</v>
      </c>
      <c r="J14" s="698">
        <v>17.3</v>
      </c>
      <c r="K14" s="698">
        <v>15.3</v>
      </c>
      <c r="L14" s="699">
        <v>15.4</v>
      </c>
      <c r="M14" s="701">
        <v>17.600000000000001</v>
      </c>
    </row>
    <row r="15" spans="1:14" hidden="1">
      <c r="A15" s="702" t="s">
        <v>470</v>
      </c>
      <c r="B15" s="698">
        <v>12.5</v>
      </c>
      <c r="C15" s="699">
        <v>18.2</v>
      </c>
      <c r="D15" s="700">
        <v>18.7</v>
      </c>
      <c r="E15" s="699">
        <v>20</v>
      </c>
      <c r="F15" s="701">
        <v>17.7</v>
      </c>
      <c r="G15" s="698">
        <v>18.600000000000001</v>
      </c>
      <c r="H15" s="699">
        <v>17.8</v>
      </c>
      <c r="I15" s="701">
        <v>18</v>
      </c>
      <c r="J15" s="698">
        <v>14.8</v>
      </c>
      <c r="K15" s="698">
        <v>15.9</v>
      </c>
      <c r="L15" s="699">
        <v>15.9</v>
      </c>
      <c r="M15" s="701">
        <v>17.7</v>
      </c>
    </row>
    <row r="16" spans="1:14" hidden="1">
      <c r="A16" s="702" t="s">
        <v>471</v>
      </c>
      <c r="B16" s="703">
        <v>12.2</v>
      </c>
      <c r="C16" s="704">
        <v>21.4</v>
      </c>
      <c r="D16" s="705">
        <v>20.9</v>
      </c>
      <c r="E16" s="704">
        <v>22</v>
      </c>
      <c r="F16" s="706">
        <v>20.100000000000001</v>
      </c>
      <c r="G16" s="703">
        <v>20.5</v>
      </c>
      <c r="H16" s="704">
        <v>19.899999999999999</v>
      </c>
      <c r="I16" s="706">
        <v>20</v>
      </c>
      <c r="J16" s="703">
        <v>15.4</v>
      </c>
      <c r="K16" s="703">
        <v>16.7</v>
      </c>
      <c r="L16" s="704">
        <v>16.5</v>
      </c>
      <c r="M16" s="706">
        <v>20.399999999999999</v>
      </c>
    </row>
    <row r="17" spans="1:13" hidden="1">
      <c r="A17" s="702" t="s">
        <v>472</v>
      </c>
      <c r="B17" s="703">
        <v>13</v>
      </c>
      <c r="C17" s="704">
        <v>21.1</v>
      </c>
      <c r="D17" s="705">
        <v>21.4</v>
      </c>
      <c r="E17" s="704">
        <v>22.7</v>
      </c>
      <c r="F17" s="706">
        <v>21</v>
      </c>
      <c r="G17" s="703">
        <v>20.399999999999999</v>
      </c>
      <c r="H17" s="704">
        <v>20.399999999999999</v>
      </c>
      <c r="I17" s="706">
        <v>20.399999999999999</v>
      </c>
      <c r="J17" s="703">
        <v>15.8</v>
      </c>
      <c r="K17" s="703">
        <v>17.3</v>
      </c>
      <c r="L17" s="704">
        <v>17.100000000000001</v>
      </c>
      <c r="M17" s="706">
        <v>20.9</v>
      </c>
    </row>
    <row r="18" spans="1:13" hidden="1">
      <c r="A18" s="702" t="s">
        <v>473</v>
      </c>
      <c r="B18" s="703">
        <v>12.6</v>
      </c>
      <c r="C18" s="704">
        <v>20.9</v>
      </c>
      <c r="D18" s="705">
        <v>21.6</v>
      </c>
      <c r="E18" s="704">
        <v>22.5</v>
      </c>
      <c r="F18" s="706">
        <v>20.3</v>
      </c>
      <c r="G18" s="703">
        <v>19.8</v>
      </c>
      <c r="H18" s="704">
        <v>20.7</v>
      </c>
      <c r="I18" s="706">
        <v>20.6</v>
      </c>
      <c r="J18" s="703">
        <v>18.600000000000001</v>
      </c>
      <c r="K18" s="703">
        <v>19.5</v>
      </c>
      <c r="L18" s="704">
        <v>19.399999999999999</v>
      </c>
      <c r="M18" s="706">
        <v>20.3</v>
      </c>
    </row>
    <row r="19" spans="1:13" hidden="1">
      <c r="A19" s="707" t="s">
        <v>474</v>
      </c>
      <c r="B19" s="703">
        <v>12.8</v>
      </c>
      <c r="C19" s="704">
        <v>18.600000000000001</v>
      </c>
      <c r="D19" s="705">
        <v>21.9</v>
      </c>
      <c r="E19" s="704">
        <v>23.3</v>
      </c>
      <c r="F19" s="706">
        <v>21.2</v>
      </c>
      <c r="G19" s="703">
        <v>20.100000000000001</v>
      </c>
      <c r="H19" s="704">
        <v>20.8</v>
      </c>
      <c r="I19" s="706">
        <v>20.7</v>
      </c>
      <c r="J19" s="703">
        <v>14.5</v>
      </c>
      <c r="K19" s="703">
        <v>18.3</v>
      </c>
      <c r="L19" s="704">
        <v>17.600000000000001</v>
      </c>
      <c r="M19" s="706">
        <v>21.1</v>
      </c>
    </row>
    <row r="20" spans="1:13" hidden="1">
      <c r="A20" s="707" t="s">
        <v>475</v>
      </c>
      <c r="B20" s="703">
        <v>13.4</v>
      </c>
      <c r="C20" s="704">
        <v>16</v>
      </c>
      <c r="D20" s="705">
        <v>22.06</v>
      </c>
      <c r="E20" s="704">
        <v>22.54</v>
      </c>
      <c r="F20" s="706">
        <v>21.03</v>
      </c>
      <c r="G20" s="703">
        <v>19.98</v>
      </c>
      <c r="H20" s="704">
        <v>19.48</v>
      </c>
      <c r="I20" s="706">
        <v>19.52</v>
      </c>
      <c r="J20" s="703">
        <v>12.56</v>
      </c>
      <c r="K20" s="703">
        <v>20.54</v>
      </c>
      <c r="L20" s="704">
        <v>19.64</v>
      </c>
      <c r="M20" s="706">
        <v>20.8</v>
      </c>
    </row>
    <row r="21" spans="1:13" ht="14.25" hidden="1" customHeight="1">
      <c r="A21" s="707" t="s">
        <v>476</v>
      </c>
      <c r="B21" s="703">
        <v>13.8</v>
      </c>
      <c r="C21" s="704">
        <v>16</v>
      </c>
      <c r="D21" s="705">
        <v>21.2</v>
      </c>
      <c r="E21" s="704">
        <v>19.28</v>
      </c>
      <c r="F21" s="706">
        <v>20.8</v>
      </c>
      <c r="G21" s="703">
        <v>18.7</v>
      </c>
      <c r="H21" s="704">
        <v>19.2</v>
      </c>
      <c r="I21" s="706">
        <v>19.100000000000001</v>
      </c>
      <c r="J21" s="703">
        <v>16.399999999999999</v>
      </c>
      <c r="K21" s="703">
        <v>19.690000000000001</v>
      </c>
      <c r="L21" s="704">
        <v>19.2</v>
      </c>
      <c r="M21" s="706">
        <v>20.6</v>
      </c>
    </row>
    <row r="22" spans="1:13" ht="14.25" customHeight="1">
      <c r="A22" s="789"/>
      <c r="B22" s="708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</row>
    <row r="23" spans="1:13" ht="14.25" hidden="1" customHeight="1">
      <c r="A23" s="789" t="s">
        <v>477</v>
      </c>
      <c r="B23" s="704">
        <v>15.95</v>
      </c>
      <c r="C23" s="704">
        <v>16.5</v>
      </c>
      <c r="D23" s="704">
        <v>18.329999999999998</v>
      </c>
      <c r="E23" s="704">
        <v>18.78</v>
      </c>
      <c r="F23" s="704">
        <v>18.04</v>
      </c>
      <c r="G23" s="704">
        <v>17.88</v>
      </c>
      <c r="H23" s="704">
        <v>18.010000000000002</v>
      </c>
      <c r="I23" s="704">
        <v>18</v>
      </c>
      <c r="J23" s="704">
        <v>15.75</v>
      </c>
      <c r="K23" s="704">
        <v>16.809999999999999</v>
      </c>
      <c r="L23" s="704">
        <v>16.559999999999999</v>
      </c>
      <c r="M23" s="704">
        <v>17.97</v>
      </c>
    </row>
    <row r="24" spans="1:13" ht="14.25" hidden="1" customHeight="1">
      <c r="A24" s="789" t="s">
        <v>478</v>
      </c>
      <c r="B24" s="704">
        <v>14.53</v>
      </c>
      <c r="C24" s="704">
        <v>17.11</v>
      </c>
      <c r="D24" s="704">
        <v>17.54</v>
      </c>
      <c r="E24" s="704">
        <v>18.41</v>
      </c>
      <c r="F24" s="704">
        <v>17.600000000000001</v>
      </c>
      <c r="G24" s="704">
        <v>17.940000000000001</v>
      </c>
      <c r="H24" s="704">
        <v>17.2</v>
      </c>
      <c r="I24" s="704">
        <v>17.3</v>
      </c>
      <c r="J24" s="704">
        <v>16.11</v>
      </c>
      <c r="K24" s="704">
        <v>17.59</v>
      </c>
      <c r="L24" s="704">
        <v>17.100000000000001</v>
      </c>
      <c r="M24" s="704">
        <v>17.53</v>
      </c>
    </row>
    <row r="25" spans="1:13" ht="14.25" hidden="1" customHeight="1">
      <c r="A25" s="789" t="s">
        <v>4</v>
      </c>
      <c r="B25" s="704">
        <v>15.64</v>
      </c>
      <c r="C25" s="704">
        <v>16.2</v>
      </c>
      <c r="D25" s="704">
        <v>16.86</v>
      </c>
      <c r="E25" s="704">
        <v>16.68</v>
      </c>
      <c r="F25" s="704">
        <v>16.72</v>
      </c>
      <c r="G25" s="704">
        <v>17.54</v>
      </c>
      <c r="H25" s="704">
        <v>16.37</v>
      </c>
      <c r="I25" s="704">
        <v>16.52</v>
      </c>
      <c r="J25" s="704">
        <v>9.9600000000000009</v>
      </c>
      <c r="K25" s="704">
        <v>17.98</v>
      </c>
      <c r="L25" s="704">
        <v>15.13</v>
      </c>
      <c r="M25" s="704">
        <v>16.66</v>
      </c>
    </row>
    <row r="26" spans="1:13" ht="14.25" hidden="1" customHeight="1">
      <c r="A26" s="789" t="s">
        <v>5</v>
      </c>
      <c r="B26" s="704">
        <v>15.03</v>
      </c>
      <c r="C26" s="704">
        <v>14.49</v>
      </c>
      <c r="D26" s="704">
        <v>16.78</v>
      </c>
      <c r="E26" s="704">
        <v>16.350000000000001</v>
      </c>
      <c r="F26" s="704">
        <v>16.7</v>
      </c>
      <c r="G26" s="704">
        <v>16.149999999999999</v>
      </c>
      <c r="H26" s="704">
        <v>16</v>
      </c>
      <c r="I26" s="704">
        <v>16.010000000000002</v>
      </c>
      <c r="J26" s="704">
        <v>10.65</v>
      </c>
      <c r="K26" s="704">
        <v>17.760000000000002</v>
      </c>
      <c r="L26" s="704">
        <v>13.08</v>
      </c>
      <c r="M26" s="704">
        <v>16.47</v>
      </c>
    </row>
    <row r="27" spans="1:13" ht="14.25" hidden="1" customHeight="1">
      <c r="A27" s="789" t="s">
        <v>7</v>
      </c>
      <c r="B27" s="704">
        <v>14.28</v>
      </c>
      <c r="C27" s="704">
        <v>16.8</v>
      </c>
      <c r="D27" s="704">
        <v>16.25</v>
      </c>
      <c r="E27" s="704">
        <v>16.21</v>
      </c>
      <c r="F27" s="704">
        <v>16.239999999999998</v>
      </c>
      <c r="G27" s="704">
        <v>16.2</v>
      </c>
      <c r="H27" s="704">
        <v>15.04</v>
      </c>
      <c r="I27" s="704">
        <v>15.16</v>
      </c>
      <c r="J27" s="704">
        <v>9.1300000000000008</v>
      </c>
      <c r="K27" s="704">
        <v>16.329999999999998</v>
      </c>
      <c r="L27" s="704">
        <v>10.17</v>
      </c>
      <c r="M27" s="704">
        <v>15.85</v>
      </c>
    </row>
    <row r="28" spans="1:13" ht="14.25" hidden="1" customHeight="1">
      <c r="A28" s="789" t="s">
        <v>8</v>
      </c>
      <c r="B28" s="704">
        <v>14.14</v>
      </c>
      <c r="C28" s="704">
        <v>12.27</v>
      </c>
      <c r="D28" s="704">
        <v>15.58</v>
      </c>
      <c r="E28" s="704">
        <v>15.12</v>
      </c>
      <c r="F28" s="704">
        <v>15.49</v>
      </c>
      <c r="G28" s="704">
        <v>15.32</v>
      </c>
      <c r="H28" s="704">
        <v>14.79</v>
      </c>
      <c r="I28" s="704">
        <v>14.85</v>
      </c>
      <c r="J28" s="704">
        <v>13.28</v>
      </c>
      <c r="K28" s="704">
        <v>14.47</v>
      </c>
      <c r="L28" s="704">
        <v>14.79</v>
      </c>
      <c r="M28" s="704">
        <v>15.29</v>
      </c>
    </row>
    <row r="29" spans="1:13" ht="14.25" hidden="1" customHeight="1">
      <c r="A29" s="789" t="s">
        <v>10</v>
      </c>
      <c r="B29" s="704">
        <v>15.41</v>
      </c>
      <c r="C29" s="704">
        <v>11.76</v>
      </c>
      <c r="D29" s="704">
        <v>16.170000000000002</v>
      </c>
      <c r="E29" s="704">
        <v>15.53</v>
      </c>
      <c r="F29" s="704">
        <v>16.079999999999998</v>
      </c>
      <c r="G29" s="704">
        <v>15.42</v>
      </c>
      <c r="H29" s="704">
        <v>14.57</v>
      </c>
      <c r="I29" s="704">
        <v>14.65</v>
      </c>
      <c r="J29" s="704">
        <v>13.17</v>
      </c>
      <c r="K29" s="704">
        <v>15.33</v>
      </c>
      <c r="L29" s="704">
        <v>14.92</v>
      </c>
      <c r="M29" s="704">
        <v>15.67</v>
      </c>
    </row>
    <row r="30" spans="1:13" ht="14.25" customHeight="1">
      <c r="A30" s="789" t="s">
        <v>11</v>
      </c>
      <c r="B30" s="704">
        <v>14.96</v>
      </c>
      <c r="C30" s="704">
        <v>18.86</v>
      </c>
      <c r="D30" s="704">
        <v>16.96</v>
      </c>
      <c r="E30" s="704">
        <v>15.8</v>
      </c>
      <c r="F30" s="704">
        <v>16.87</v>
      </c>
      <c r="G30" s="704">
        <v>15.5</v>
      </c>
      <c r="H30" s="704">
        <v>14.84</v>
      </c>
      <c r="I30" s="704">
        <v>14.89</v>
      </c>
      <c r="J30" s="704">
        <v>13.84</v>
      </c>
      <c r="K30" s="704">
        <v>15.46</v>
      </c>
      <c r="L30" s="704">
        <v>15.27</v>
      </c>
      <c r="M30" s="704">
        <v>16.239999999999998</v>
      </c>
    </row>
    <row r="31" spans="1:13" ht="14.25" customHeight="1">
      <c r="A31" s="789" t="s">
        <v>13</v>
      </c>
      <c r="B31" s="704">
        <v>15.38</v>
      </c>
      <c r="C31" s="704">
        <v>15.21</v>
      </c>
      <c r="D31" s="704">
        <v>17.37</v>
      </c>
      <c r="E31" s="704">
        <v>15.69</v>
      </c>
      <c r="F31" s="704">
        <v>17.27</v>
      </c>
      <c r="G31" s="704">
        <v>16.48</v>
      </c>
      <c r="H31" s="704">
        <v>15.59</v>
      </c>
      <c r="I31" s="704">
        <v>15.65</v>
      </c>
      <c r="J31" s="704">
        <v>12.36</v>
      </c>
      <c r="K31" s="704">
        <v>16.2</v>
      </c>
      <c r="L31" s="704">
        <v>15.86</v>
      </c>
      <c r="M31" s="704">
        <v>16.71</v>
      </c>
    </row>
    <row r="32" spans="1:13" ht="14.25" customHeight="1">
      <c r="A32" s="789" t="s">
        <v>14</v>
      </c>
      <c r="B32" s="704">
        <v>18.78</v>
      </c>
      <c r="C32" s="704">
        <v>20.21</v>
      </c>
      <c r="D32" s="704">
        <v>17.09</v>
      </c>
      <c r="E32" s="704">
        <v>17.8</v>
      </c>
      <c r="F32" s="704">
        <v>17.63</v>
      </c>
      <c r="G32" s="704">
        <v>16.829999999999998</v>
      </c>
      <c r="H32" s="704">
        <v>15.52</v>
      </c>
      <c r="I32" s="704">
        <v>15.57</v>
      </c>
      <c r="J32" s="704">
        <v>13.6</v>
      </c>
      <c r="K32" s="704">
        <v>14.83</v>
      </c>
      <c r="L32" s="704">
        <v>14.79</v>
      </c>
      <c r="M32" s="704">
        <v>16.850000000000001</v>
      </c>
    </row>
    <row r="33" spans="1:13">
      <c r="A33" s="789" t="s">
        <v>15</v>
      </c>
      <c r="B33" s="704">
        <v>15.5</v>
      </c>
      <c r="C33" s="704">
        <v>15.2</v>
      </c>
      <c r="D33" s="704">
        <v>16.82</v>
      </c>
      <c r="E33" s="704">
        <v>17.71</v>
      </c>
      <c r="F33" s="704">
        <v>17.440000000000001</v>
      </c>
      <c r="G33" s="704">
        <v>16.95</v>
      </c>
      <c r="H33" s="704">
        <v>15.79</v>
      </c>
      <c r="I33" s="704">
        <v>15.83</v>
      </c>
      <c r="J33" s="704">
        <v>15.59</v>
      </c>
      <c r="K33" s="704">
        <v>14.77</v>
      </c>
      <c r="L33" s="704">
        <v>14.78</v>
      </c>
      <c r="M33" s="704">
        <v>16.77</v>
      </c>
    </row>
    <row r="34" spans="1:13" ht="14.25" customHeight="1">
      <c r="A34" s="707" t="s">
        <v>669</v>
      </c>
      <c r="B34" s="703">
        <v>0</v>
      </c>
      <c r="C34" s="703">
        <v>16.84</v>
      </c>
      <c r="D34" s="703">
        <v>15.98</v>
      </c>
      <c r="E34" s="703">
        <v>16.54</v>
      </c>
      <c r="F34" s="703">
        <v>16.399999999999999</v>
      </c>
      <c r="G34" s="703">
        <v>17.05</v>
      </c>
      <c r="H34" s="703">
        <v>16</v>
      </c>
      <c r="I34" s="703">
        <v>16.03</v>
      </c>
      <c r="J34" s="703">
        <v>15.7</v>
      </c>
      <c r="K34" s="703">
        <v>14.82</v>
      </c>
      <c r="L34" s="703">
        <v>14.83</v>
      </c>
      <c r="M34" s="704">
        <v>16.16</v>
      </c>
    </row>
    <row r="35" spans="1:13" ht="14.25" customHeight="1">
      <c r="A35" s="789"/>
      <c r="B35" s="703"/>
      <c r="C35" s="703"/>
      <c r="D35" s="703"/>
      <c r="E35" s="703"/>
      <c r="F35" s="703"/>
      <c r="G35" s="703"/>
      <c r="H35" s="703"/>
      <c r="I35" s="703"/>
      <c r="J35" s="703"/>
      <c r="K35" s="703"/>
      <c r="L35" s="703"/>
      <c r="M35" s="704"/>
    </row>
    <row r="36" spans="1:13" ht="14.25" hidden="1" customHeight="1">
      <c r="A36" s="87" t="s">
        <v>61</v>
      </c>
      <c r="B36" s="704">
        <v>15.02</v>
      </c>
      <c r="C36" s="704">
        <v>14.07</v>
      </c>
      <c r="D36" s="704">
        <v>16.96</v>
      </c>
      <c r="E36" s="704">
        <v>15.56</v>
      </c>
      <c r="F36" s="704">
        <v>16.82</v>
      </c>
      <c r="G36" s="704">
        <v>15.6</v>
      </c>
      <c r="H36" s="704">
        <v>14.93</v>
      </c>
      <c r="I36" s="704">
        <v>14.97</v>
      </c>
      <c r="J36" s="704">
        <v>12.51</v>
      </c>
      <c r="K36" s="704">
        <v>15.42</v>
      </c>
      <c r="L36" s="704">
        <v>15.25</v>
      </c>
      <c r="M36" s="704">
        <v>16.260000000000002</v>
      </c>
    </row>
    <row r="37" spans="1:13" ht="14.25" hidden="1" customHeight="1">
      <c r="A37" s="87" t="s">
        <v>62</v>
      </c>
      <c r="B37" s="704">
        <v>15.26</v>
      </c>
      <c r="C37" s="704">
        <v>14.13</v>
      </c>
      <c r="D37" s="704">
        <v>17.149999999999999</v>
      </c>
      <c r="E37" s="704">
        <v>16.07</v>
      </c>
      <c r="F37" s="704">
        <v>17.010000000000002</v>
      </c>
      <c r="G37" s="704">
        <v>15.58</v>
      </c>
      <c r="H37" s="704">
        <v>15.66</v>
      </c>
      <c r="I37" s="704">
        <v>15.66</v>
      </c>
      <c r="J37" s="704">
        <v>14.95</v>
      </c>
      <c r="K37" s="704">
        <v>16.46</v>
      </c>
      <c r="L37" s="704">
        <v>16.38</v>
      </c>
      <c r="M37" s="704">
        <v>16.63</v>
      </c>
    </row>
    <row r="38" spans="1:13" ht="14.25" hidden="1" customHeight="1">
      <c r="A38" s="87" t="s">
        <v>636</v>
      </c>
      <c r="B38" s="704">
        <v>15.72</v>
      </c>
      <c r="C38" s="704">
        <v>14.38</v>
      </c>
      <c r="D38" s="704">
        <v>17.23</v>
      </c>
      <c r="E38" s="704">
        <v>15.87</v>
      </c>
      <c r="F38" s="704">
        <v>17.14</v>
      </c>
      <c r="G38" s="704">
        <v>15.34</v>
      </c>
      <c r="H38" s="704">
        <v>15.72</v>
      </c>
      <c r="I38" s="704">
        <v>15.7</v>
      </c>
      <c r="J38" s="704">
        <v>15.04</v>
      </c>
      <c r="K38" s="704">
        <v>16.03</v>
      </c>
      <c r="L38" s="704">
        <v>15.99</v>
      </c>
      <c r="M38" s="704">
        <v>16.670000000000002</v>
      </c>
    </row>
    <row r="39" spans="1:13" ht="14.25" hidden="1" customHeight="1">
      <c r="A39" s="87" t="s">
        <v>664</v>
      </c>
      <c r="B39" s="704">
        <v>15.38</v>
      </c>
      <c r="C39" s="704">
        <v>15.21</v>
      </c>
      <c r="D39" s="704">
        <v>17.37</v>
      </c>
      <c r="E39" s="704">
        <v>15.69</v>
      </c>
      <c r="F39" s="704">
        <v>17.27</v>
      </c>
      <c r="G39" s="704">
        <v>16.48</v>
      </c>
      <c r="H39" s="704">
        <v>15.59</v>
      </c>
      <c r="I39" s="704">
        <v>15.65</v>
      </c>
      <c r="J39" s="704">
        <v>12.36</v>
      </c>
      <c r="K39" s="704">
        <v>16.2</v>
      </c>
      <c r="L39" s="704">
        <v>15.86</v>
      </c>
      <c r="M39" s="704">
        <v>16.71</v>
      </c>
    </row>
    <row r="40" spans="1:13" ht="14.25" hidden="1" customHeight="1">
      <c r="A40" s="87"/>
      <c r="B40" s="704"/>
      <c r="C40" s="704"/>
      <c r="D40" s="704"/>
      <c r="E40" s="704"/>
      <c r="F40" s="704"/>
      <c r="G40" s="704"/>
      <c r="H40" s="704"/>
      <c r="I40" s="704"/>
      <c r="J40" s="704"/>
      <c r="K40" s="704"/>
      <c r="L40" s="704"/>
      <c r="M40" s="704"/>
    </row>
    <row r="41" spans="1:13" ht="14.25" customHeight="1">
      <c r="A41" s="87" t="s">
        <v>53</v>
      </c>
      <c r="B41" s="704">
        <v>15.35</v>
      </c>
      <c r="C41" s="704">
        <v>14.33</v>
      </c>
      <c r="D41" s="704">
        <v>17.39</v>
      </c>
      <c r="E41" s="704">
        <v>15.01</v>
      </c>
      <c r="F41" s="704">
        <v>17.23</v>
      </c>
      <c r="G41" s="704">
        <v>14.93</v>
      </c>
      <c r="H41" s="704">
        <v>15.66</v>
      </c>
      <c r="I41" s="704">
        <v>15.54</v>
      </c>
      <c r="J41" s="704">
        <v>13.33</v>
      </c>
      <c r="K41" s="704">
        <v>15.92</v>
      </c>
      <c r="L41" s="704">
        <v>15.73</v>
      </c>
      <c r="M41" s="704">
        <v>16.649999999999999</v>
      </c>
    </row>
    <row r="42" spans="1:13" ht="14.25" customHeight="1">
      <c r="A42" s="87" t="s">
        <v>44</v>
      </c>
      <c r="B42" s="704">
        <v>15.71</v>
      </c>
      <c r="C42" s="704">
        <v>14.95</v>
      </c>
      <c r="D42" s="704">
        <v>17.41</v>
      </c>
      <c r="E42" s="704">
        <v>15.33</v>
      </c>
      <c r="F42" s="704">
        <v>17.23</v>
      </c>
      <c r="G42" s="704">
        <v>15.09</v>
      </c>
      <c r="H42" s="704">
        <v>15.39</v>
      </c>
      <c r="I42" s="704">
        <v>15.35</v>
      </c>
      <c r="J42" s="704">
        <v>14.93</v>
      </c>
      <c r="K42" s="704">
        <v>15.31</v>
      </c>
      <c r="L42" s="704">
        <v>15.2</v>
      </c>
      <c r="M42" s="704">
        <v>16.579999999999998</v>
      </c>
    </row>
    <row r="43" spans="1:13" ht="14.25" customHeight="1">
      <c r="A43" s="87" t="s">
        <v>47</v>
      </c>
      <c r="B43" s="704">
        <v>15.98</v>
      </c>
      <c r="C43" s="704">
        <v>15.18</v>
      </c>
      <c r="D43" s="704">
        <v>17.54</v>
      </c>
      <c r="E43" s="704">
        <v>14.95</v>
      </c>
      <c r="F43" s="704">
        <v>17.3</v>
      </c>
      <c r="G43" s="704">
        <v>15.12</v>
      </c>
      <c r="H43" s="704">
        <v>15.44</v>
      </c>
      <c r="I43" s="704">
        <v>15.38</v>
      </c>
      <c r="J43" s="704">
        <v>14.64</v>
      </c>
      <c r="K43" s="704">
        <v>15.37</v>
      </c>
      <c r="L43" s="704">
        <v>15.16</v>
      </c>
      <c r="M43" s="704">
        <v>16.63</v>
      </c>
    </row>
    <row r="44" spans="1:13" ht="14.25" customHeight="1">
      <c r="A44" s="87" t="s">
        <v>50</v>
      </c>
      <c r="B44" s="704">
        <v>18.78</v>
      </c>
      <c r="C44" s="704">
        <v>20.21</v>
      </c>
      <c r="D44" s="704">
        <v>17.09</v>
      </c>
      <c r="E44" s="704">
        <v>17.8</v>
      </c>
      <c r="F44" s="704">
        <v>17.63</v>
      </c>
      <c r="G44" s="704">
        <v>16.829999999999998</v>
      </c>
      <c r="H44" s="704">
        <v>15.52</v>
      </c>
      <c r="I44" s="704">
        <v>15.57</v>
      </c>
      <c r="J44" s="704">
        <v>13.6</v>
      </c>
      <c r="K44" s="704">
        <v>14.83</v>
      </c>
      <c r="L44" s="704">
        <v>14.79</v>
      </c>
      <c r="M44" s="704">
        <v>16.850000000000001</v>
      </c>
    </row>
    <row r="45" spans="1:13" ht="14.25" customHeight="1">
      <c r="A45" s="87"/>
      <c r="B45" s="704"/>
      <c r="C45" s="704"/>
      <c r="D45" s="704"/>
      <c r="E45" s="704"/>
      <c r="F45" s="704"/>
      <c r="G45" s="704"/>
      <c r="H45" s="704"/>
      <c r="I45" s="704"/>
      <c r="J45" s="704"/>
      <c r="K45" s="704"/>
      <c r="L45" s="704"/>
      <c r="M45" s="704"/>
    </row>
    <row r="46" spans="1:13" ht="14.25" customHeight="1">
      <c r="A46" s="87" t="s">
        <v>65</v>
      </c>
      <c r="B46" s="704">
        <v>15.59</v>
      </c>
      <c r="C46" s="704">
        <v>14.94</v>
      </c>
      <c r="D46" s="704">
        <v>16.87</v>
      </c>
      <c r="E46" s="704">
        <v>17.260000000000002</v>
      </c>
      <c r="F46" s="704">
        <v>17.100000000000001</v>
      </c>
      <c r="G46" s="704">
        <v>16.96</v>
      </c>
      <c r="H46" s="704">
        <v>15.47</v>
      </c>
      <c r="I46" s="704">
        <v>15.53</v>
      </c>
      <c r="J46" s="704">
        <v>12.63</v>
      </c>
      <c r="K46" s="704">
        <v>13.2</v>
      </c>
      <c r="L46" s="704">
        <v>13.19</v>
      </c>
      <c r="M46" s="704">
        <v>16.34</v>
      </c>
    </row>
    <row r="47" spans="1:13">
      <c r="A47" s="87" t="s">
        <v>44</v>
      </c>
      <c r="B47" s="704">
        <v>15.65</v>
      </c>
      <c r="C47" s="704">
        <v>14.55</v>
      </c>
      <c r="D47" s="704">
        <v>17.079999999999998</v>
      </c>
      <c r="E47" s="704">
        <v>16.899999999999999</v>
      </c>
      <c r="F47" s="704">
        <v>16.93</v>
      </c>
      <c r="G47" s="704">
        <v>16.78</v>
      </c>
      <c r="H47" s="704">
        <v>16.350000000000001</v>
      </c>
      <c r="I47" s="704">
        <v>16.37</v>
      </c>
      <c r="J47" s="704">
        <v>14.52</v>
      </c>
      <c r="K47" s="704">
        <v>14.55</v>
      </c>
      <c r="L47" s="704">
        <v>14.55</v>
      </c>
      <c r="M47" s="704">
        <v>16.59</v>
      </c>
    </row>
    <row r="48" spans="1:13">
      <c r="A48" s="353" t="s">
        <v>47</v>
      </c>
      <c r="B48" s="704">
        <v>15.91</v>
      </c>
      <c r="C48" s="704">
        <v>14.71</v>
      </c>
      <c r="D48" s="704">
        <v>16.66</v>
      </c>
      <c r="E48" s="704">
        <v>17.420000000000002</v>
      </c>
      <c r="F48" s="704">
        <v>17.16</v>
      </c>
      <c r="G48" s="704">
        <v>16.86</v>
      </c>
      <c r="H48" s="704">
        <v>15.34</v>
      </c>
      <c r="I48" s="704">
        <v>15.4</v>
      </c>
      <c r="J48" s="704">
        <v>13.74</v>
      </c>
      <c r="K48" s="704">
        <v>14.62</v>
      </c>
      <c r="L48" s="704">
        <v>14.59</v>
      </c>
      <c r="M48" s="704">
        <v>16.47</v>
      </c>
    </row>
    <row r="49" spans="1:13">
      <c r="A49" s="353" t="s">
        <v>50</v>
      </c>
      <c r="B49" s="704">
        <v>15.5</v>
      </c>
      <c r="C49" s="704">
        <v>15.2</v>
      </c>
      <c r="D49" s="704">
        <v>16.82</v>
      </c>
      <c r="E49" s="704">
        <v>17.71</v>
      </c>
      <c r="F49" s="704">
        <v>17.440000000000001</v>
      </c>
      <c r="G49" s="704">
        <v>16.95</v>
      </c>
      <c r="H49" s="704">
        <v>15.79</v>
      </c>
      <c r="I49" s="704">
        <v>15.83</v>
      </c>
      <c r="J49" s="704">
        <v>15.59</v>
      </c>
      <c r="K49" s="704">
        <v>14.77</v>
      </c>
      <c r="L49" s="704">
        <v>14.78</v>
      </c>
      <c r="M49" s="704">
        <v>16.77</v>
      </c>
    </row>
    <row r="50" spans="1:13">
      <c r="A50" s="87"/>
      <c r="B50" s="704"/>
      <c r="C50" s="704"/>
      <c r="D50" s="704"/>
      <c r="E50" s="704"/>
      <c r="F50" s="704"/>
      <c r="G50" s="704"/>
      <c r="H50" s="704"/>
      <c r="I50" s="704"/>
      <c r="J50" s="704"/>
      <c r="K50" s="704"/>
      <c r="L50" s="704"/>
      <c r="M50" s="704"/>
    </row>
    <row r="51" spans="1:13">
      <c r="A51" s="353" t="s">
        <v>66</v>
      </c>
      <c r="B51" s="826" t="s">
        <v>88</v>
      </c>
      <c r="C51" s="826">
        <v>14.36</v>
      </c>
      <c r="D51" s="826">
        <v>16.920000000000002</v>
      </c>
      <c r="E51" s="826">
        <v>17.09</v>
      </c>
      <c r="F51" s="826">
        <v>17.02</v>
      </c>
      <c r="G51" s="826">
        <v>16.940000000000001</v>
      </c>
      <c r="H51" s="826">
        <v>15.14</v>
      </c>
      <c r="I51" s="826">
        <v>15.2</v>
      </c>
      <c r="J51" s="826">
        <v>15.56</v>
      </c>
      <c r="K51" s="826">
        <v>14.76</v>
      </c>
      <c r="L51" s="826">
        <v>14.78</v>
      </c>
      <c r="M51" s="826">
        <v>16.29</v>
      </c>
    </row>
    <row r="52" spans="1:13">
      <c r="A52" s="87" t="s">
        <v>62</v>
      </c>
      <c r="B52" s="826">
        <v>15.6</v>
      </c>
      <c r="C52" s="826">
        <v>15.05</v>
      </c>
      <c r="D52" s="826">
        <v>16.63</v>
      </c>
      <c r="E52" s="826">
        <v>16.98</v>
      </c>
      <c r="F52" s="826">
        <v>16.850000000000001</v>
      </c>
      <c r="G52" s="826">
        <v>16.95</v>
      </c>
      <c r="H52" s="826">
        <v>15.47</v>
      </c>
      <c r="I52" s="826">
        <v>15.52</v>
      </c>
      <c r="J52" s="826">
        <v>14.61</v>
      </c>
      <c r="K52" s="826">
        <v>14.88</v>
      </c>
      <c r="L52" s="826">
        <v>14.87</v>
      </c>
      <c r="M52" s="826">
        <v>16.3</v>
      </c>
    </row>
    <row r="53" spans="1:13">
      <c r="A53" s="87" t="s">
        <v>63</v>
      </c>
      <c r="B53" s="703">
        <v>9</v>
      </c>
      <c r="C53" s="703">
        <v>17.05</v>
      </c>
      <c r="D53" s="703">
        <v>15.81</v>
      </c>
      <c r="E53" s="703">
        <v>17.11</v>
      </c>
      <c r="F53" s="703">
        <v>16.62</v>
      </c>
      <c r="G53" s="703">
        <v>17</v>
      </c>
      <c r="H53" s="703">
        <v>15.27</v>
      </c>
      <c r="I53" s="703">
        <v>15.32</v>
      </c>
      <c r="J53" s="703">
        <v>15.69</v>
      </c>
      <c r="K53" s="703">
        <v>14.68</v>
      </c>
      <c r="L53" s="703">
        <v>14.69</v>
      </c>
      <c r="M53" s="704">
        <v>16.13</v>
      </c>
    </row>
    <row r="54" spans="1:13">
      <c r="A54" s="87" t="s">
        <v>64</v>
      </c>
      <c r="B54" s="703">
        <v>0</v>
      </c>
      <c r="C54" s="703">
        <v>16.84</v>
      </c>
      <c r="D54" s="703">
        <v>15.98</v>
      </c>
      <c r="E54" s="703">
        <v>16.54</v>
      </c>
      <c r="F54" s="703">
        <v>16.399999999999999</v>
      </c>
      <c r="G54" s="703">
        <v>17.05</v>
      </c>
      <c r="H54" s="703">
        <v>16</v>
      </c>
      <c r="I54" s="703">
        <v>16.03</v>
      </c>
      <c r="J54" s="703">
        <v>15.7</v>
      </c>
      <c r="K54" s="703">
        <v>14.82</v>
      </c>
      <c r="L54" s="703">
        <v>14.83</v>
      </c>
      <c r="M54" s="704">
        <v>16.16</v>
      </c>
    </row>
    <row r="55" spans="1:13">
      <c r="A55" s="87"/>
      <c r="B55" s="703"/>
      <c r="C55" s="703"/>
      <c r="D55" s="703"/>
      <c r="E55" s="703"/>
      <c r="F55" s="703"/>
      <c r="G55" s="703"/>
      <c r="H55" s="703"/>
      <c r="I55" s="703"/>
      <c r="J55" s="703"/>
      <c r="K55" s="703"/>
      <c r="L55" s="703"/>
      <c r="M55" s="704"/>
    </row>
    <row r="56" spans="1:13">
      <c r="A56" s="87" t="s">
        <v>684</v>
      </c>
      <c r="B56" s="703">
        <v>9</v>
      </c>
      <c r="C56" s="703">
        <v>15.65</v>
      </c>
      <c r="D56" s="704">
        <v>16.239999999999998</v>
      </c>
      <c r="E56" s="703">
        <v>16.05</v>
      </c>
      <c r="F56" s="703">
        <v>16.100000000000001</v>
      </c>
      <c r="G56" s="703">
        <v>17.14</v>
      </c>
      <c r="H56" s="703">
        <v>16.14</v>
      </c>
      <c r="I56" s="704">
        <v>16.170000000000002</v>
      </c>
      <c r="J56" s="703">
        <v>15.66</v>
      </c>
      <c r="K56" s="703">
        <v>14.77</v>
      </c>
      <c r="L56" s="704">
        <v>14.78</v>
      </c>
      <c r="M56" s="704">
        <v>15.97</v>
      </c>
    </row>
    <row r="57" spans="1:13">
      <c r="A57" s="1021" t="s">
        <v>44</v>
      </c>
      <c r="B57" s="703">
        <v>15.6</v>
      </c>
      <c r="C57" s="703">
        <v>15.05</v>
      </c>
      <c r="D57" s="704">
        <v>16.63</v>
      </c>
      <c r="E57" s="703">
        <v>16.989999999999998</v>
      </c>
      <c r="F57" s="703">
        <v>16.850000000000001</v>
      </c>
      <c r="G57" s="703">
        <v>16.850000000000001</v>
      </c>
      <c r="H57" s="703">
        <v>15.47</v>
      </c>
      <c r="I57" s="704">
        <v>15.52</v>
      </c>
      <c r="J57" s="703">
        <v>14.61</v>
      </c>
      <c r="K57" s="703">
        <v>14.8</v>
      </c>
      <c r="L57" s="704">
        <v>14.87</v>
      </c>
      <c r="M57" s="704">
        <v>16.309999999999999</v>
      </c>
    </row>
    <row r="58" spans="1:13">
      <c r="A58" s="87"/>
      <c r="B58" s="826"/>
      <c r="C58" s="826"/>
      <c r="D58" s="826"/>
      <c r="E58" s="826"/>
      <c r="F58" s="826"/>
      <c r="G58" s="826"/>
      <c r="H58" s="826"/>
      <c r="I58" s="826"/>
      <c r="J58" s="826"/>
      <c r="K58" s="826"/>
      <c r="L58" s="826"/>
      <c r="M58" s="826"/>
    </row>
    <row r="59" spans="1:13" hidden="1">
      <c r="A59" s="87" t="s">
        <v>335</v>
      </c>
      <c r="B59" s="704">
        <v>13.7</v>
      </c>
      <c r="C59" s="704">
        <v>21.3</v>
      </c>
      <c r="D59" s="704">
        <v>21.5</v>
      </c>
      <c r="E59" s="704">
        <v>22.4</v>
      </c>
      <c r="F59" s="704">
        <v>21.121200000000002</v>
      </c>
      <c r="G59" s="704">
        <v>20.2</v>
      </c>
      <c r="H59" s="704">
        <v>20.5</v>
      </c>
      <c r="I59" s="704">
        <v>20.399999999999999</v>
      </c>
      <c r="J59" s="704">
        <v>15.8</v>
      </c>
      <c r="K59" s="704">
        <v>17.3</v>
      </c>
      <c r="L59" s="704">
        <v>17.100000000000001</v>
      </c>
      <c r="M59" s="704">
        <v>21.1</v>
      </c>
    </row>
    <row r="60" spans="1:13" hidden="1">
      <c r="A60" s="87" t="s">
        <v>40</v>
      </c>
      <c r="B60" s="704">
        <v>13.2</v>
      </c>
      <c r="C60" s="704">
        <v>21.3</v>
      </c>
      <c r="D60" s="704">
        <v>21.4</v>
      </c>
      <c r="E60" s="704">
        <v>22.7</v>
      </c>
      <c r="F60" s="704">
        <v>21.2</v>
      </c>
      <c r="G60" s="704">
        <v>20.100000000000001</v>
      </c>
      <c r="H60" s="704">
        <v>20.6</v>
      </c>
      <c r="I60" s="704">
        <v>20.5</v>
      </c>
      <c r="J60" s="704">
        <v>15.8</v>
      </c>
      <c r="K60" s="704">
        <v>19.600000000000001</v>
      </c>
      <c r="L60" s="704">
        <v>19.399999999999999</v>
      </c>
      <c r="M60" s="704">
        <v>21.1</v>
      </c>
    </row>
    <row r="61" spans="1:13" hidden="1">
      <c r="A61" s="87" t="s">
        <v>41</v>
      </c>
      <c r="B61" s="704">
        <v>13.5</v>
      </c>
      <c r="C61" s="704">
        <v>20.5</v>
      </c>
      <c r="D61" s="704">
        <v>21.6</v>
      </c>
      <c r="E61" s="704">
        <v>22.8</v>
      </c>
      <c r="F61" s="704">
        <v>21.3</v>
      </c>
      <c r="G61" s="704">
        <v>20.7</v>
      </c>
      <c r="H61" s="704">
        <v>20.399999999999999</v>
      </c>
      <c r="I61" s="704">
        <v>20.5</v>
      </c>
      <c r="J61" s="704">
        <v>15.6</v>
      </c>
      <c r="K61" s="704">
        <v>19.8</v>
      </c>
      <c r="L61" s="704">
        <v>19.600000000000001</v>
      </c>
      <c r="M61" s="704">
        <v>21.2</v>
      </c>
    </row>
    <row r="62" spans="1:13" hidden="1">
      <c r="A62" s="87" t="s">
        <v>42</v>
      </c>
      <c r="B62" s="704">
        <v>13.3</v>
      </c>
      <c r="C62" s="704">
        <v>20.7</v>
      </c>
      <c r="D62" s="704">
        <v>21.6</v>
      </c>
      <c r="E62" s="704">
        <v>22.9</v>
      </c>
      <c r="F62" s="704">
        <v>21.2</v>
      </c>
      <c r="G62" s="704">
        <v>20.399999999999999</v>
      </c>
      <c r="H62" s="704">
        <v>20.8</v>
      </c>
      <c r="I62" s="704">
        <v>20.7</v>
      </c>
      <c r="J62" s="704">
        <v>18</v>
      </c>
      <c r="K62" s="704">
        <v>19.8</v>
      </c>
      <c r="L62" s="704">
        <v>19.7</v>
      </c>
      <c r="M62" s="704">
        <v>21.1</v>
      </c>
    </row>
    <row r="63" spans="1:13" hidden="1">
      <c r="A63" s="87" t="s">
        <v>43</v>
      </c>
      <c r="B63" s="704">
        <v>13.7</v>
      </c>
      <c r="C63" s="704">
        <v>20.399999999999999</v>
      </c>
      <c r="D63" s="704">
        <v>21.4</v>
      </c>
      <c r="E63" s="704">
        <v>23.9</v>
      </c>
      <c r="F63" s="704">
        <v>20.8</v>
      </c>
      <c r="G63" s="704">
        <v>20.5</v>
      </c>
      <c r="H63" s="704">
        <v>20.9</v>
      </c>
      <c r="I63" s="704">
        <v>20.8</v>
      </c>
      <c r="J63" s="704">
        <v>18.600000000000001</v>
      </c>
      <c r="K63" s="704">
        <v>20.399999999999999</v>
      </c>
      <c r="L63" s="704">
        <v>20.2</v>
      </c>
      <c r="M63" s="704">
        <v>20.8</v>
      </c>
    </row>
    <row r="64" spans="1:13" hidden="1">
      <c r="A64" s="87" t="s">
        <v>44</v>
      </c>
      <c r="B64" s="704">
        <v>12.8</v>
      </c>
      <c r="C64" s="704">
        <v>20.5</v>
      </c>
      <c r="D64" s="704">
        <v>21.6</v>
      </c>
      <c r="E64" s="704">
        <v>22.9</v>
      </c>
      <c r="F64" s="704">
        <v>20.8</v>
      </c>
      <c r="G64" s="704">
        <v>20.6</v>
      </c>
      <c r="H64" s="704">
        <v>20.8</v>
      </c>
      <c r="I64" s="704">
        <v>20.8</v>
      </c>
      <c r="J64" s="704">
        <v>18.600000000000001</v>
      </c>
      <c r="K64" s="704">
        <v>19.8</v>
      </c>
      <c r="L64" s="704">
        <v>19.7</v>
      </c>
      <c r="M64" s="704">
        <v>20.8</v>
      </c>
    </row>
    <row r="65" spans="1:13" hidden="1">
      <c r="A65" s="87" t="s">
        <v>45</v>
      </c>
      <c r="B65" s="704">
        <v>12</v>
      </c>
      <c r="C65" s="704">
        <v>21.9</v>
      </c>
      <c r="D65" s="704">
        <v>21.4</v>
      </c>
      <c r="E65" s="704">
        <v>22.5</v>
      </c>
      <c r="F65" s="704">
        <v>20.2</v>
      </c>
      <c r="G65" s="704">
        <v>20.5</v>
      </c>
      <c r="H65" s="704">
        <v>20.100000000000001</v>
      </c>
      <c r="I65" s="704">
        <v>20.2</v>
      </c>
      <c r="J65" s="704">
        <v>18.7</v>
      </c>
      <c r="K65" s="704">
        <v>19.8</v>
      </c>
      <c r="L65" s="704">
        <v>19.7</v>
      </c>
      <c r="M65" s="704">
        <v>20.100000000000001</v>
      </c>
    </row>
    <row r="66" spans="1:13" hidden="1">
      <c r="A66" s="87" t="s">
        <v>46</v>
      </c>
      <c r="B66" s="704">
        <v>12</v>
      </c>
      <c r="C66" s="704">
        <v>21.8</v>
      </c>
      <c r="D66" s="704">
        <v>21.6</v>
      </c>
      <c r="E66" s="704">
        <v>21.8</v>
      </c>
      <c r="F66" s="704">
        <v>20</v>
      </c>
      <c r="G66" s="704">
        <v>20.6</v>
      </c>
      <c r="H66" s="704">
        <v>20.2</v>
      </c>
      <c r="I66" s="704">
        <v>20.3</v>
      </c>
      <c r="J66" s="704">
        <v>19.899999999999999</v>
      </c>
      <c r="K66" s="704">
        <v>18.399999999999999</v>
      </c>
      <c r="L66" s="704">
        <v>18.600000000000001</v>
      </c>
      <c r="M66" s="704">
        <v>20</v>
      </c>
    </row>
    <row r="67" spans="1:13" ht="14.25" hidden="1" customHeight="1">
      <c r="A67" s="87" t="s">
        <v>47</v>
      </c>
      <c r="B67" s="704">
        <v>12</v>
      </c>
      <c r="C67" s="704">
        <v>21.8</v>
      </c>
      <c r="D67" s="704">
        <v>23.2</v>
      </c>
      <c r="E67" s="704">
        <v>22.1</v>
      </c>
      <c r="F67" s="704">
        <v>20</v>
      </c>
      <c r="G67" s="704">
        <v>20.7</v>
      </c>
      <c r="H67" s="704">
        <v>20.399999999999999</v>
      </c>
      <c r="I67" s="704">
        <v>20.5</v>
      </c>
      <c r="J67" s="704">
        <v>21.4</v>
      </c>
      <c r="K67" s="704">
        <v>20</v>
      </c>
      <c r="L67" s="704">
        <v>20</v>
      </c>
      <c r="M67" s="704">
        <v>20</v>
      </c>
    </row>
    <row r="68" spans="1:13" hidden="1">
      <c r="A68" s="87" t="s">
        <v>48</v>
      </c>
      <c r="B68" s="704">
        <v>12.5</v>
      </c>
      <c r="C68" s="704">
        <v>20.8</v>
      </c>
      <c r="D68" s="704">
        <v>21.5</v>
      </c>
      <c r="E68" s="704">
        <v>22.5</v>
      </c>
      <c r="F68" s="704">
        <v>20.2</v>
      </c>
      <c r="G68" s="704">
        <v>20.399999999999999</v>
      </c>
      <c r="H68" s="704">
        <v>20.7</v>
      </c>
      <c r="I68" s="704">
        <v>20.6</v>
      </c>
      <c r="J68" s="704">
        <v>19.899999999999999</v>
      </c>
      <c r="K68" s="704">
        <v>19.899999999999999</v>
      </c>
      <c r="L68" s="704">
        <v>19.899999999999999</v>
      </c>
      <c r="M68" s="704">
        <v>20.2</v>
      </c>
    </row>
    <row r="69" spans="1:13" hidden="1">
      <c r="A69" s="87" t="s">
        <v>49</v>
      </c>
      <c r="B69" s="704">
        <v>12.6</v>
      </c>
      <c r="C69" s="704">
        <v>23.3</v>
      </c>
      <c r="D69" s="704">
        <v>21.5</v>
      </c>
      <c r="E69" s="704">
        <v>22.6</v>
      </c>
      <c r="F69" s="704">
        <v>20.3</v>
      </c>
      <c r="G69" s="704">
        <v>20.3</v>
      </c>
      <c r="H69" s="704">
        <v>20.7</v>
      </c>
      <c r="I69" s="704">
        <v>20.6</v>
      </c>
      <c r="J69" s="704">
        <v>18.600000000000001</v>
      </c>
      <c r="K69" s="704">
        <v>20.6</v>
      </c>
      <c r="L69" s="704">
        <v>20.5</v>
      </c>
      <c r="M69" s="704">
        <v>20.3</v>
      </c>
    </row>
    <row r="70" spans="1:13" hidden="1">
      <c r="A70" s="87" t="s">
        <v>50</v>
      </c>
      <c r="B70" s="704">
        <v>12.6</v>
      </c>
      <c r="C70" s="704">
        <v>20.9</v>
      </c>
      <c r="D70" s="704">
        <v>21.6</v>
      </c>
      <c r="E70" s="704">
        <v>22.5</v>
      </c>
      <c r="F70" s="704">
        <v>20.3</v>
      </c>
      <c r="G70" s="704">
        <v>19.8</v>
      </c>
      <c r="H70" s="704">
        <v>20.7</v>
      </c>
      <c r="I70" s="704">
        <v>20.6</v>
      </c>
      <c r="J70" s="704">
        <v>18.600000000000001</v>
      </c>
      <c r="K70" s="704">
        <v>19.5</v>
      </c>
      <c r="L70" s="704">
        <v>19.399999999999999</v>
      </c>
      <c r="M70" s="704">
        <v>20.3</v>
      </c>
    </row>
    <row r="71" spans="1:13" hidden="1">
      <c r="A71" s="70"/>
      <c r="B71" s="704"/>
      <c r="C71" s="704"/>
      <c r="D71" s="704"/>
      <c r="E71" s="704"/>
      <c r="F71" s="704"/>
      <c r="G71" s="704"/>
      <c r="H71" s="704"/>
      <c r="I71" s="704"/>
      <c r="J71" s="704"/>
      <c r="K71" s="704"/>
      <c r="L71" s="704"/>
      <c r="M71" s="704"/>
    </row>
    <row r="72" spans="1:13" hidden="1">
      <c r="A72" s="87" t="s">
        <v>334</v>
      </c>
      <c r="B72" s="704">
        <v>12.7</v>
      </c>
      <c r="C72" s="704">
        <v>21.7</v>
      </c>
      <c r="D72" s="704">
        <v>21.7</v>
      </c>
      <c r="E72" s="704">
        <v>22.5</v>
      </c>
      <c r="F72" s="704">
        <v>20.399999999999999</v>
      </c>
      <c r="G72" s="704">
        <v>19.8</v>
      </c>
      <c r="H72" s="704">
        <v>20.7</v>
      </c>
      <c r="I72" s="704">
        <v>20.5</v>
      </c>
      <c r="J72" s="704">
        <v>18.600000000000001</v>
      </c>
      <c r="K72" s="704">
        <v>19.7</v>
      </c>
      <c r="L72" s="704">
        <v>19.600000000000001</v>
      </c>
      <c r="M72" s="704">
        <v>20.399999999999999</v>
      </c>
    </row>
    <row r="73" spans="1:13" hidden="1">
      <c r="A73" s="87" t="s">
        <v>40</v>
      </c>
      <c r="B73" s="704">
        <v>12.6</v>
      </c>
      <c r="C73" s="704">
        <v>22</v>
      </c>
      <c r="D73" s="704">
        <v>21.9</v>
      </c>
      <c r="E73" s="704">
        <v>22.8</v>
      </c>
      <c r="F73" s="704">
        <v>20.6</v>
      </c>
      <c r="G73" s="704">
        <v>19.899999999999999</v>
      </c>
      <c r="H73" s="704">
        <v>20.8</v>
      </c>
      <c r="I73" s="704">
        <v>20.6</v>
      </c>
      <c r="J73" s="704">
        <v>18.600000000000001</v>
      </c>
      <c r="K73" s="704">
        <v>19.600000000000001</v>
      </c>
      <c r="L73" s="704">
        <v>19.600000000000001</v>
      </c>
      <c r="M73" s="704">
        <v>20.6</v>
      </c>
    </row>
    <row r="74" spans="1:13" hidden="1">
      <c r="A74" s="87" t="s">
        <v>41</v>
      </c>
      <c r="B74" s="704">
        <v>12.6</v>
      </c>
      <c r="C74" s="704">
        <v>21.4</v>
      </c>
      <c r="D74" s="704">
        <v>21.9</v>
      </c>
      <c r="E74" s="704">
        <v>22.8</v>
      </c>
      <c r="F74" s="704">
        <v>20.7</v>
      </c>
      <c r="G74" s="704">
        <v>20</v>
      </c>
      <c r="H74" s="704">
        <v>20.5</v>
      </c>
      <c r="I74" s="704">
        <v>20.399999999999999</v>
      </c>
      <c r="J74" s="704">
        <v>18</v>
      </c>
      <c r="K74" s="704">
        <v>19.3</v>
      </c>
      <c r="L74" s="704">
        <v>19.2</v>
      </c>
      <c r="M74" s="704">
        <v>20.7</v>
      </c>
    </row>
    <row r="75" spans="1:13" hidden="1">
      <c r="A75" s="87" t="s">
        <v>42</v>
      </c>
      <c r="B75" s="704">
        <v>12.6</v>
      </c>
      <c r="C75" s="704">
        <v>21.4</v>
      </c>
      <c r="D75" s="704">
        <v>21.8</v>
      </c>
      <c r="E75" s="704">
        <v>22.9</v>
      </c>
      <c r="F75" s="704">
        <v>20.8</v>
      </c>
      <c r="G75" s="704">
        <v>19.8</v>
      </c>
      <c r="H75" s="704">
        <v>20.3</v>
      </c>
      <c r="I75" s="704">
        <v>20.2</v>
      </c>
      <c r="J75" s="704">
        <v>17.3</v>
      </c>
      <c r="K75" s="704">
        <v>19</v>
      </c>
      <c r="L75" s="704">
        <v>18.899999999999999</v>
      </c>
      <c r="M75" s="704">
        <v>20.7</v>
      </c>
    </row>
    <row r="76" spans="1:13" hidden="1">
      <c r="A76" s="87" t="s">
        <v>43</v>
      </c>
      <c r="B76" s="704">
        <v>12.5</v>
      </c>
      <c r="C76" s="704">
        <v>21.3</v>
      </c>
      <c r="D76" s="704">
        <v>22.5</v>
      </c>
      <c r="E76" s="704">
        <v>23.1</v>
      </c>
      <c r="F76" s="704">
        <v>21.4</v>
      </c>
      <c r="G76" s="704">
        <v>19.899999999999999</v>
      </c>
      <c r="H76" s="704">
        <v>20.399999999999999</v>
      </c>
      <c r="I76" s="704">
        <v>20.3</v>
      </c>
      <c r="J76" s="704">
        <v>16.399999999999999</v>
      </c>
      <c r="K76" s="704">
        <v>19.899999999999999</v>
      </c>
      <c r="L76" s="704">
        <v>20.399999999999999</v>
      </c>
      <c r="M76" s="704">
        <v>21.3</v>
      </c>
    </row>
    <row r="77" spans="1:13" hidden="1">
      <c r="A77" s="87" t="s">
        <v>44</v>
      </c>
      <c r="B77" s="704">
        <v>12.5</v>
      </c>
      <c r="C77" s="704">
        <v>16.7</v>
      </c>
      <c r="D77" s="704">
        <v>22.5</v>
      </c>
      <c r="E77" s="704">
        <v>23.2</v>
      </c>
      <c r="F77" s="704">
        <v>21.5</v>
      </c>
      <c r="G77" s="704">
        <v>20</v>
      </c>
      <c r="H77" s="704">
        <v>20.5</v>
      </c>
      <c r="I77" s="704">
        <v>20.5</v>
      </c>
      <c r="J77" s="704">
        <v>15.1</v>
      </c>
      <c r="K77" s="704">
        <v>18.5</v>
      </c>
      <c r="L77" s="704">
        <v>17.5</v>
      </c>
      <c r="M77" s="704">
        <v>21.3</v>
      </c>
    </row>
    <row r="78" spans="1:13" hidden="1">
      <c r="A78" s="87" t="s">
        <v>45</v>
      </c>
      <c r="B78" s="704">
        <v>12.5</v>
      </c>
      <c r="C78" s="704">
        <v>15.8</v>
      </c>
      <c r="D78" s="704">
        <v>22</v>
      </c>
      <c r="E78" s="704">
        <v>22</v>
      </c>
      <c r="F78" s="704">
        <v>21</v>
      </c>
      <c r="G78" s="704">
        <v>20.2</v>
      </c>
      <c r="H78" s="704">
        <v>20.5</v>
      </c>
      <c r="I78" s="704">
        <v>20.5</v>
      </c>
      <c r="J78" s="704">
        <v>15.1</v>
      </c>
      <c r="K78" s="704">
        <v>18.2</v>
      </c>
      <c r="L78" s="704">
        <v>17.600000000000001</v>
      </c>
      <c r="M78" s="704">
        <v>21</v>
      </c>
    </row>
    <row r="79" spans="1:13" hidden="1">
      <c r="A79" s="87" t="s">
        <v>46</v>
      </c>
      <c r="B79" s="704">
        <v>12.7</v>
      </c>
      <c r="C79" s="704">
        <v>15.6</v>
      </c>
      <c r="D79" s="704">
        <v>22</v>
      </c>
      <c r="E79" s="704">
        <v>23.2</v>
      </c>
      <c r="F79" s="704">
        <v>21.2</v>
      </c>
      <c r="G79" s="704">
        <v>20.100000000000001</v>
      </c>
      <c r="H79" s="704">
        <v>20.6</v>
      </c>
      <c r="I79" s="704">
        <v>20.5</v>
      </c>
      <c r="J79" s="704">
        <v>14.5</v>
      </c>
      <c r="K79" s="704">
        <v>18.3</v>
      </c>
      <c r="L79" s="704">
        <v>17.5</v>
      </c>
      <c r="M79" s="704">
        <v>21</v>
      </c>
    </row>
    <row r="80" spans="1:13" ht="14.25" hidden="1" customHeight="1">
      <c r="A80" s="87" t="s">
        <v>47</v>
      </c>
      <c r="B80" s="704">
        <v>12.8</v>
      </c>
      <c r="C80" s="704">
        <v>16.3</v>
      </c>
      <c r="D80" s="704">
        <v>22</v>
      </c>
      <c r="E80" s="704">
        <v>23.4</v>
      </c>
      <c r="F80" s="704">
        <v>21.1</v>
      </c>
      <c r="G80" s="704">
        <v>20.2</v>
      </c>
      <c r="H80" s="704">
        <v>20.2</v>
      </c>
      <c r="I80" s="704">
        <v>20.2</v>
      </c>
      <c r="J80" s="704">
        <v>14</v>
      </c>
      <c r="K80" s="704">
        <v>18.2</v>
      </c>
      <c r="L80" s="704">
        <v>17.3</v>
      </c>
      <c r="M80" s="704">
        <v>21</v>
      </c>
    </row>
    <row r="81" spans="1:13" hidden="1">
      <c r="A81" s="87" t="s">
        <v>48</v>
      </c>
      <c r="B81" s="704">
        <v>12.8</v>
      </c>
      <c r="C81" s="704">
        <v>16.2</v>
      </c>
      <c r="D81" s="704">
        <v>22</v>
      </c>
      <c r="E81" s="704">
        <v>23.2</v>
      </c>
      <c r="F81" s="704">
        <v>21.3</v>
      </c>
      <c r="G81" s="704">
        <v>20</v>
      </c>
      <c r="H81" s="704">
        <v>20.8</v>
      </c>
      <c r="I81" s="704">
        <v>20.7</v>
      </c>
      <c r="J81" s="704">
        <v>14</v>
      </c>
      <c r="K81" s="704">
        <v>17.899999999999999</v>
      </c>
      <c r="L81" s="704">
        <v>17</v>
      </c>
      <c r="M81" s="704">
        <v>21</v>
      </c>
    </row>
    <row r="82" spans="1:13" hidden="1">
      <c r="A82" s="87" t="s">
        <v>49</v>
      </c>
      <c r="B82" s="704">
        <v>12.9</v>
      </c>
      <c r="C82" s="704">
        <v>16.399999999999999</v>
      </c>
      <c r="D82" s="704">
        <v>22.7</v>
      </c>
      <c r="E82" s="704">
        <v>23.2</v>
      </c>
      <c r="F82" s="704">
        <v>21.8</v>
      </c>
      <c r="G82" s="704">
        <v>20.100000000000001</v>
      </c>
      <c r="H82" s="704">
        <v>20.8</v>
      </c>
      <c r="I82" s="704">
        <v>20.7</v>
      </c>
      <c r="J82" s="704">
        <v>14</v>
      </c>
      <c r="K82" s="704">
        <v>18.2</v>
      </c>
      <c r="L82" s="704">
        <v>17.3</v>
      </c>
      <c r="M82" s="704">
        <v>21.6</v>
      </c>
    </row>
    <row r="83" spans="1:13" hidden="1">
      <c r="A83" s="87" t="s">
        <v>50</v>
      </c>
      <c r="B83" s="704">
        <v>12.8</v>
      </c>
      <c r="C83" s="704">
        <v>18.600000000000001</v>
      </c>
      <c r="D83" s="704">
        <v>21.9</v>
      </c>
      <c r="E83" s="704">
        <v>23.3</v>
      </c>
      <c r="F83" s="704">
        <v>21.2</v>
      </c>
      <c r="G83" s="704">
        <v>20.100000000000001</v>
      </c>
      <c r="H83" s="704">
        <v>20.8</v>
      </c>
      <c r="I83" s="704">
        <v>20.7</v>
      </c>
      <c r="J83" s="704">
        <v>14.5</v>
      </c>
      <c r="K83" s="704">
        <v>18.3</v>
      </c>
      <c r="L83" s="704">
        <v>17.600000000000001</v>
      </c>
      <c r="M83" s="704">
        <v>21.1</v>
      </c>
    </row>
    <row r="84" spans="1:13" hidden="1">
      <c r="A84" s="87"/>
      <c r="B84" s="704"/>
      <c r="C84" s="704"/>
      <c r="D84" s="704"/>
      <c r="E84" s="704"/>
      <c r="F84" s="704"/>
      <c r="G84" s="704"/>
      <c r="H84" s="704"/>
      <c r="I84" s="704"/>
      <c r="J84" s="704"/>
      <c r="K84" s="704"/>
      <c r="L84" s="704"/>
      <c r="M84" s="704"/>
    </row>
    <row r="85" spans="1:13" hidden="1">
      <c r="A85" s="87" t="s">
        <v>333</v>
      </c>
      <c r="B85" s="704">
        <v>12.8</v>
      </c>
      <c r="C85" s="704">
        <v>18.8</v>
      </c>
      <c r="D85" s="704">
        <v>21.6</v>
      </c>
      <c r="E85" s="704">
        <v>23.4</v>
      </c>
      <c r="F85" s="704">
        <v>20.9</v>
      </c>
      <c r="G85" s="704">
        <v>20.100000000000001</v>
      </c>
      <c r="H85" s="704">
        <v>21.1</v>
      </c>
      <c r="I85" s="704">
        <v>21</v>
      </c>
      <c r="J85" s="704">
        <v>14</v>
      </c>
      <c r="K85" s="704">
        <v>18.3</v>
      </c>
      <c r="L85" s="704">
        <v>17.5</v>
      </c>
      <c r="M85" s="704">
        <v>20.9</v>
      </c>
    </row>
    <row r="86" spans="1:13" hidden="1">
      <c r="A86" s="87" t="s">
        <v>40</v>
      </c>
      <c r="B86" s="704">
        <v>12.6</v>
      </c>
      <c r="C86" s="704">
        <v>19.7</v>
      </c>
      <c r="D86" s="704">
        <v>21.6</v>
      </c>
      <c r="E86" s="704">
        <v>23.1</v>
      </c>
      <c r="F86" s="704">
        <v>21</v>
      </c>
      <c r="G86" s="704">
        <v>19.899999999999999</v>
      </c>
      <c r="H86" s="704">
        <v>21.1</v>
      </c>
      <c r="I86" s="704">
        <v>20.9</v>
      </c>
      <c r="J86" s="704">
        <v>13.6</v>
      </c>
      <c r="K86" s="704">
        <v>18.100000000000001</v>
      </c>
      <c r="L86" s="704">
        <v>17.2</v>
      </c>
      <c r="M86" s="704">
        <v>20.9</v>
      </c>
    </row>
    <row r="87" spans="1:13" hidden="1">
      <c r="A87" s="87" t="s">
        <v>41</v>
      </c>
      <c r="B87" s="704">
        <v>12.6</v>
      </c>
      <c r="C87" s="704">
        <v>19.5</v>
      </c>
      <c r="D87" s="704">
        <v>22.4</v>
      </c>
      <c r="E87" s="704">
        <v>23.1</v>
      </c>
      <c r="F87" s="704">
        <v>21.7</v>
      </c>
      <c r="G87" s="704">
        <v>19.7</v>
      </c>
      <c r="H87" s="704">
        <v>20.9</v>
      </c>
      <c r="I87" s="704">
        <v>20.8</v>
      </c>
      <c r="J87" s="704">
        <v>13.6</v>
      </c>
      <c r="K87" s="704">
        <v>19.600000000000001</v>
      </c>
      <c r="L87" s="704">
        <v>18.2</v>
      </c>
      <c r="M87" s="704">
        <v>21.5</v>
      </c>
    </row>
    <row r="88" spans="1:13" hidden="1">
      <c r="A88" s="87" t="s">
        <v>42</v>
      </c>
      <c r="B88" s="704">
        <v>13.4</v>
      </c>
      <c r="C88" s="704">
        <v>19</v>
      </c>
      <c r="D88" s="704">
        <v>22.6</v>
      </c>
      <c r="E88" s="704">
        <v>23.2</v>
      </c>
      <c r="F88" s="704">
        <v>21.9</v>
      </c>
      <c r="G88" s="704">
        <v>19.7</v>
      </c>
      <c r="H88" s="704">
        <v>20.399999999999999</v>
      </c>
      <c r="I88" s="704">
        <v>20.3</v>
      </c>
      <c r="J88" s="704">
        <v>13.6</v>
      </c>
      <c r="K88" s="704">
        <v>19.8</v>
      </c>
      <c r="L88" s="704">
        <v>18.7</v>
      </c>
      <c r="M88" s="704">
        <v>21.6</v>
      </c>
    </row>
    <row r="89" spans="1:13" hidden="1">
      <c r="A89" s="87" t="s">
        <v>43</v>
      </c>
      <c r="B89" s="704">
        <v>13.8</v>
      </c>
      <c r="C89" s="704">
        <v>18.5</v>
      </c>
      <c r="D89" s="704">
        <v>21.9</v>
      </c>
      <c r="E89" s="704">
        <v>23.2</v>
      </c>
      <c r="F89" s="704">
        <v>21.2</v>
      </c>
      <c r="G89" s="704">
        <v>19.600000000000001</v>
      </c>
      <c r="H89" s="704">
        <v>20.8</v>
      </c>
      <c r="I89" s="704">
        <v>20.6</v>
      </c>
      <c r="J89" s="704">
        <v>14</v>
      </c>
      <c r="K89" s="704">
        <v>19.600000000000001</v>
      </c>
      <c r="L89" s="704">
        <v>18.7</v>
      </c>
      <c r="M89" s="704">
        <v>21.1</v>
      </c>
    </row>
    <row r="90" spans="1:13" hidden="1">
      <c r="A90" s="87" t="s">
        <v>44</v>
      </c>
      <c r="B90" s="704">
        <v>14.03</v>
      </c>
      <c r="C90" s="704">
        <v>16.2</v>
      </c>
      <c r="D90" s="704">
        <v>21.4</v>
      </c>
      <c r="E90" s="704">
        <v>24.1</v>
      </c>
      <c r="F90" s="704">
        <v>20.9</v>
      </c>
      <c r="G90" s="704">
        <v>20.399999999999999</v>
      </c>
      <c r="H90" s="704">
        <v>20.2</v>
      </c>
      <c r="I90" s="704">
        <v>20.2</v>
      </c>
      <c r="J90" s="704">
        <v>13.6</v>
      </c>
      <c r="K90" s="704">
        <v>19.5</v>
      </c>
      <c r="L90" s="704">
        <v>18.3</v>
      </c>
      <c r="M90" s="704">
        <v>20.8</v>
      </c>
    </row>
    <row r="91" spans="1:13" hidden="1">
      <c r="A91" s="87" t="s">
        <v>45</v>
      </c>
      <c r="B91" s="704">
        <v>14.69</v>
      </c>
      <c r="C91" s="704">
        <v>14.23</v>
      </c>
      <c r="D91" s="704">
        <v>21.95</v>
      </c>
      <c r="E91" s="704">
        <v>23.81</v>
      </c>
      <c r="F91" s="704">
        <v>20.63</v>
      </c>
      <c r="G91" s="704">
        <v>20.29</v>
      </c>
      <c r="H91" s="704">
        <v>20.309999999999999</v>
      </c>
      <c r="I91" s="704">
        <v>20.309999999999999</v>
      </c>
      <c r="J91" s="704">
        <v>14.99</v>
      </c>
      <c r="K91" s="704">
        <v>19.54</v>
      </c>
      <c r="L91" s="704">
        <v>18.16</v>
      </c>
      <c r="M91" s="704">
        <v>20.56</v>
      </c>
    </row>
    <row r="92" spans="1:13" hidden="1">
      <c r="A92" s="87" t="s">
        <v>46</v>
      </c>
      <c r="B92" s="704">
        <v>15.42</v>
      </c>
      <c r="C92" s="704">
        <v>14.36</v>
      </c>
      <c r="D92" s="704">
        <v>22.36</v>
      </c>
      <c r="E92" s="704">
        <v>22.7</v>
      </c>
      <c r="F92" s="704">
        <v>20.94</v>
      </c>
      <c r="G92" s="704">
        <v>20.190000000000001</v>
      </c>
      <c r="H92" s="704">
        <v>20.36</v>
      </c>
      <c r="I92" s="704">
        <v>20.34</v>
      </c>
      <c r="J92" s="704">
        <v>12.7</v>
      </c>
      <c r="K92" s="704">
        <v>19.13</v>
      </c>
      <c r="L92" s="704">
        <v>18.059999999999999</v>
      </c>
      <c r="M92" s="704">
        <v>20.82</v>
      </c>
    </row>
    <row r="93" spans="1:13" hidden="1">
      <c r="A93" s="87" t="s">
        <v>47</v>
      </c>
      <c r="B93" s="704">
        <v>14.6</v>
      </c>
      <c r="C93" s="704">
        <v>16.8</v>
      </c>
      <c r="D93" s="704">
        <v>22.4</v>
      </c>
      <c r="E93" s="704">
        <v>22.9</v>
      </c>
      <c r="F93" s="704">
        <v>20.9</v>
      </c>
      <c r="G93" s="704">
        <v>20.190000000000001</v>
      </c>
      <c r="H93" s="704">
        <v>19.8</v>
      </c>
      <c r="I93" s="704">
        <v>19.8</v>
      </c>
      <c r="J93" s="704">
        <v>12.6</v>
      </c>
      <c r="K93" s="704">
        <v>19.2</v>
      </c>
      <c r="L93" s="704">
        <v>18.399999999999999</v>
      </c>
      <c r="M93" s="704">
        <v>20.8</v>
      </c>
    </row>
    <row r="94" spans="1:13" hidden="1">
      <c r="A94" s="87" t="s">
        <v>48</v>
      </c>
      <c r="B94" s="704">
        <v>15.01</v>
      </c>
      <c r="C94" s="704">
        <v>20.18</v>
      </c>
      <c r="D94" s="704">
        <v>21.3</v>
      </c>
      <c r="E94" s="704">
        <v>21.33</v>
      </c>
      <c r="F94" s="704">
        <v>20.9</v>
      </c>
      <c r="G94" s="704">
        <v>20.66</v>
      </c>
      <c r="H94" s="704">
        <v>21.11</v>
      </c>
      <c r="I94" s="704">
        <v>19.8</v>
      </c>
      <c r="J94" s="704">
        <v>13.45</v>
      </c>
      <c r="K94" s="704">
        <v>19.13</v>
      </c>
      <c r="L94" s="704">
        <v>18.399999999999999</v>
      </c>
      <c r="M94" s="704">
        <v>20.8</v>
      </c>
    </row>
    <row r="95" spans="1:13" hidden="1">
      <c r="A95" s="87" t="s">
        <v>49</v>
      </c>
      <c r="B95" s="704">
        <v>14.45</v>
      </c>
      <c r="C95" s="704">
        <v>17.8</v>
      </c>
      <c r="D95" s="704">
        <v>22.38</v>
      </c>
      <c r="E95" s="704">
        <v>21.94</v>
      </c>
      <c r="F95" s="704">
        <v>21.1</v>
      </c>
      <c r="G95" s="704">
        <v>20.100000000000001</v>
      </c>
      <c r="H95" s="704">
        <v>19.77</v>
      </c>
      <c r="I95" s="704">
        <v>19.8</v>
      </c>
      <c r="J95" s="704">
        <v>12.41</v>
      </c>
      <c r="K95" s="704">
        <v>19.12</v>
      </c>
      <c r="L95" s="704">
        <v>18.34</v>
      </c>
      <c r="M95" s="704">
        <v>20.89</v>
      </c>
    </row>
    <row r="96" spans="1:13" hidden="1">
      <c r="A96" s="87" t="s">
        <v>50</v>
      </c>
      <c r="B96" s="704">
        <v>13.4</v>
      </c>
      <c r="C96" s="704">
        <v>16</v>
      </c>
      <c r="D96" s="704">
        <v>22.06</v>
      </c>
      <c r="E96" s="704">
        <v>22.54</v>
      </c>
      <c r="F96" s="704">
        <v>21.03</v>
      </c>
      <c r="G96" s="704">
        <v>19.98</v>
      </c>
      <c r="H96" s="704">
        <v>19.48</v>
      </c>
      <c r="I96" s="704">
        <v>19.52</v>
      </c>
      <c r="J96" s="704">
        <v>12.56</v>
      </c>
      <c r="K96" s="704">
        <v>20.54</v>
      </c>
      <c r="L96" s="704">
        <v>19.64</v>
      </c>
      <c r="M96" s="704">
        <v>20.8</v>
      </c>
    </row>
    <row r="97" spans="1:13" hidden="1">
      <c r="A97" s="87"/>
      <c r="B97" s="704"/>
      <c r="C97" s="704"/>
      <c r="D97" s="704"/>
      <c r="E97" s="704"/>
      <c r="F97" s="704"/>
      <c r="G97" s="704"/>
      <c r="H97" s="704"/>
      <c r="I97" s="704"/>
      <c r="J97" s="704"/>
      <c r="K97" s="704"/>
      <c r="L97" s="704"/>
      <c r="M97" s="704"/>
    </row>
    <row r="98" spans="1:13" hidden="1">
      <c r="A98" s="87" t="s">
        <v>332</v>
      </c>
      <c r="B98" s="704">
        <v>13.57</v>
      </c>
      <c r="C98" s="704">
        <v>16.75</v>
      </c>
      <c r="D98" s="704">
        <v>22.32</v>
      </c>
      <c r="E98" s="704">
        <v>21.87</v>
      </c>
      <c r="F98" s="704">
        <v>21.33</v>
      </c>
      <c r="G98" s="704">
        <v>20.03</v>
      </c>
      <c r="H98" s="704">
        <v>19.78</v>
      </c>
      <c r="I98" s="704">
        <v>19.8</v>
      </c>
      <c r="J98" s="704">
        <v>12.39</v>
      </c>
      <c r="K98" s="704">
        <v>19.64</v>
      </c>
      <c r="L98" s="704">
        <v>18.96</v>
      </c>
      <c r="M98" s="704">
        <v>21.08</v>
      </c>
    </row>
    <row r="99" spans="1:13" hidden="1">
      <c r="A99" s="87" t="s">
        <v>40</v>
      </c>
      <c r="B99" s="704">
        <v>13.5</v>
      </c>
      <c r="C99" s="704">
        <v>18</v>
      </c>
      <c r="D99" s="704">
        <v>22</v>
      </c>
      <c r="E99" s="704">
        <v>22.3</v>
      </c>
      <c r="F99" s="704">
        <v>21.33</v>
      </c>
      <c r="G99" s="704">
        <v>19.8</v>
      </c>
      <c r="H99" s="704">
        <v>19.5</v>
      </c>
      <c r="I99" s="704">
        <v>19.5</v>
      </c>
      <c r="J99" s="704">
        <v>12.3</v>
      </c>
      <c r="K99" s="704">
        <v>19.64</v>
      </c>
      <c r="L99" s="704">
        <v>19.5</v>
      </c>
      <c r="M99" s="704">
        <v>21</v>
      </c>
    </row>
    <row r="100" spans="1:13" hidden="1">
      <c r="A100" s="87" t="s">
        <v>41</v>
      </c>
      <c r="B100" s="704">
        <v>13.6</v>
      </c>
      <c r="C100" s="704">
        <v>18.600000000000001</v>
      </c>
      <c r="D100" s="704">
        <v>21.9</v>
      </c>
      <c r="E100" s="704">
        <v>21.8</v>
      </c>
      <c r="F100" s="704">
        <v>21.3</v>
      </c>
      <c r="G100" s="704">
        <v>19.8</v>
      </c>
      <c r="H100" s="704">
        <v>19.5</v>
      </c>
      <c r="I100" s="704">
        <v>19.5</v>
      </c>
      <c r="J100" s="704">
        <v>16</v>
      </c>
      <c r="K100" s="704">
        <v>19.64</v>
      </c>
      <c r="L100" s="704">
        <v>19.100000000000001</v>
      </c>
      <c r="M100" s="704">
        <v>21</v>
      </c>
    </row>
    <row r="101" spans="1:13" hidden="1">
      <c r="A101" s="87" t="s">
        <v>42</v>
      </c>
      <c r="B101" s="704">
        <v>13.4</v>
      </c>
      <c r="C101" s="704">
        <v>18.8</v>
      </c>
      <c r="D101" s="704">
        <v>21.9</v>
      </c>
      <c r="E101" s="704">
        <v>22</v>
      </c>
      <c r="F101" s="704">
        <v>21.3</v>
      </c>
      <c r="G101" s="704">
        <v>19.600000000000001</v>
      </c>
      <c r="H101" s="704">
        <v>19.5</v>
      </c>
      <c r="I101" s="704">
        <v>19.5</v>
      </c>
      <c r="J101" s="704">
        <v>16</v>
      </c>
      <c r="K101" s="704">
        <v>19.5</v>
      </c>
      <c r="L101" s="704">
        <v>19</v>
      </c>
      <c r="M101" s="704">
        <v>21</v>
      </c>
    </row>
    <row r="102" spans="1:13" hidden="1">
      <c r="A102" s="87" t="s">
        <v>43</v>
      </c>
      <c r="B102" s="704">
        <v>13.7</v>
      </c>
      <c r="C102" s="704">
        <v>19.5</v>
      </c>
      <c r="D102" s="704">
        <v>21.6</v>
      </c>
      <c r="E102" s="704">
        <v>22.3</v>
      </c>
      <c r="F102" s="704">
        <v>21.1</v>
      </c>
      <c r="G102" s="704">
        <v>19.399999999999999</v>
      </c>
      <c r="H102" s="704">
        <v>19.3</v>
      </c>
      <c r="I102" s="704">
        <v>19.3</v>
      </c>
      <c r="J102" s="704">
        <v>16.100000000000001</v>
      </c>
      <c r="K102" s="704">
        <v>19.5</v>
      </c>
      <c r="L102" s="704">
        <v>19</v>
      </c>
      <c r="M102" s="704">
        <v>20.8</v>
      </c>
    </row>
    <row r="103" spans="1:13" hidden="1">
      <c r="A103" s="87" t="s">
        <v>44</v>
      </c>
      <c r="B103" s="704">
        <v>14.06</v>
      </c>
      <c r="C103" s="704">
        <v>19.239999999999998</v>
      </c>
      <c r="D103" s="704">
        <v>21.34</v>
      </c>
      <c r="E103" s="704">
        <v>22.58</v>
      </c>
      <c r="F103" s="704">
        <v>21.07</v>
      </c>
      <c r="G103" s="704">
        <v>19.21</v>
      </c>
      <c r="H103" s="704">
        <v>19.3</v>
      </c>
      <c r="I103" s="704">
        <v>19.29</v>
      </c>
      <c r="J103" s="704">
        <v>16.100000000000001</v>
      </c>
      <c r="K103" s="704">
        <v>19.59</v>
      </c>
      <c r="L103" s="704">
        <v>19.149999999999999</v>
      </c>
      <c r="M103" s="704">
        <v>20.78</v>
      </c>
    </row>
    <row r="104" spans="1:13" hidden="1">
      <c r="A104" s="87" t="s">
        <v>45</v>
      </c>
      <c r="B104" s="704">
        <v>13.99</v>
      </c>
      <c r="C104" s="704">
        <v>19.27</v>
      </c>
      <c r="D104" s="704">
        <v>21.29</v>
      </c>
      <c r="E104" s="704">
        <v>22.19</v>
      </c>
      <c r="F104" s="704">
        <v>21.04</v>
      </c>
      <c r="G104" s="704">
        <v>18.920000000000002</v>
      </c>
      <c r="H104" s="704">
        <v>19.36</v>
      </c>
      <c r="I104" s="704">
        <v>19.329999999999998</v>
      </c>
      <c r="J104" s="704">
        <v>15.7</v>
      </c>
      <c r="K104" s="704">
        <v>20.05</v>
      </c>
      <c r="L104" s="704">
        <v>19.48</v>
      </c>
      <c r="M104" s="704">
        <v>20.77</v>
      </c>
    </row>
    <row r="105" spans="1:13" ht="14.25" hidden="1" customHeight="1">
      <c r="A105" s="87" t="s">
        <v>46</v>
      </c>
      <c r="B105" s="704">
        <v>13.81</v>
      </c>
      <c r="C105" s="704">
        <v>19.47</v>
      </c>
      <c r="D105" s="704">
        <v>21.29</v>
      </c>
      <c r="E105" s="704">
        <v>32.01</v>
      </c>
      <c r="F105" s="704">
        <v>21.08</v>
      </c>
      <c r="G105" s="704">
        <v>19.05</v>
      </c>
      <c r="H105" s="704">
        <v>19.329999999999998</v>
      </c>
      <c r="I105" s="704">
        <v>19.309999999999999</v>
      </c>
      <c r="J105" s="704">
        <v>15.27</v>
      </c>
      <c r="K105" s="704">
        <v>19.88</v>
      </c>
      <c r="L105" s="704">
        <v>19.239999999999998</v>
      </c>
      <c r="M105" s="704">
        <v>20.8</v>
      </c>
    </row>
    <row r="106" spans="1:13" ht="14.25" hidden="1" customHeight="1">
      <c r="A106" s="87" t="s">
        <v>47</v>
      </c>
      <c r="B106" s="704">
        <v>14.02</v>
      </c>
      <c r="C106" s="704">
        <v>18.61</v>
      </c>
      <c r="D106" s="704">
        <v>21.12</v>
      </c>
      <c r="E106" s="704">
        <v>21.96</v>
      </c>
      <c r="F106" s="704">
        <v>20.86</v>
      </c>
      <c r="G106" s="704">
        <v>18.86</v>
      </c>
      <c r="H106" s="704">
        <v>19.29</v>
      </c>
      <c r="I106" s="704">
        <v>19.25</v>
      </c>
      <c r="J106" s="704">
        <v>15.26</v>
      </c>
      <c r="K106" s="704">
        <v>19.850000000000001</v>
      </c>
      <c r="L106" s="704">
        <v>19.190000000000001</v>
      </c>
      <c r="M106" s="704">
        <v>20.62</v>
      </c>
    </row>
    <row r="107" spans="1:13" ht="14.25" hidden="1" customHeight="1">
      <c r="A107" s="87" t="s">
        <v>48</v>
      </c>
      <c r="B107" s="704">
        <v>13.91</v>
      </c>
      <c r="C107" s="704">
        <v>19.09</v>
      </c>
      <c r="D107" s="704">
        <v>21.14</v>
      </c>
      <c r="E107" s="704">
        <v>22.94</v>
      </c>
      <c r="F107" s="704">
        <v>20.83</v>
      </c>
      <c r="G107" s="704">
        <v>18.79</v>
      </c>
      <c r="H107" s="704">
        <v>19.309999999999999</v>
      </c>
      <c r="I107" s="704">
        <v>19.27</v>
      </c>
      <c r="J107" s="704">
        <v>15.28</v>
      </c>
      <c r="K107" s="704">
        <v>19.86</v>
      </c>
      <c r="L107" s="704">
        <v>19.190000000000001</v>
      </c>
      <c r="M107" s="704">
        <v>20.59</v>
      </c>
    </row>
    <row r="108" spans="1:13" ht="14.25" hidden="1" customHeight="1">
      <c r="A108" s="87" t="s">
        <v>49</v>
      </c>
      <c r="B108" s="704">
        <v>13.63</v>
      </c>
      <c r="C108" s="704">
        <v>19.09</v>
      </c>
      <c r="D108" s="704">
        <v>21.14</v>
      </c>
      <c r="E108" s="704">
        <v>21.37</v>
      </c>
      <c r="F108" s="704">
        <v>20.78</v>
      </c>
      <c r="G108" s="704">
        <v>18.79</v>
      </c>
      <c r="H108" s="704">
        <v>19.100000000000001</v>
      </c>
      <c r="I108" s="704">
        <v>19.09</v>
      </c>
      <c r="J108" s="704">
        <v>16.420000000000002</v>
      </c>
      <c r="K108" s="704">
        <v>18.940000000000001</v>
      </c>
      <c r="L108" s="704">
        <v>18.149999999999999</v>
      </c>
      <c r="M108" s="704">
        <v>20.54</v>
      </c>
    </row>
    <row r="109" spans="1:13" ht="14.25" hidden="1" customHeight="1">
      <c r="A109" s="87" t="s">
        <v>50</v>
      </c>
      <c r="B109" s="704">
        <v>13.8</v>
      </c>
      <c r="C109" s="704">
        <v>16</v>
      </c>
      <c r="D109" s="704">
        <v>21.2</v>
      </c>
      <c r="E109" s="704">
        <v>19.28</v>
      </c>
      <c r="F109" s="704">
        <v>20.8</v>
      </c>
      <c r="G109" s="704">
        <v>18.7</v>
      </c>
      <c r="H109" s="704">
        <v>19.2</v>
      </c>
      <c r="I109" s="704">
        <v>19.100000000000001</v>
      </c>
      <c r="J109" s="704">
        <v>16.399999999999999</v>
      </c>
      <c r="K109" s="704">
        <v>19.690000000000001</v>
      </c>
      <c r="L109" s="704">
        <v>19.2</v>
      </c>
      <c r="M109" s="704">
        <v>20.6</v>
      </c>
    </row>
    <row r="110" spans="1:13" ht="14.25" hidden="1" customHeight="1">
      <c r="A110" s="87"/>
      <c r="B110" s="704"/>
      <c r="C110" s="704"/>
      <c r="D110" s="704"/>
      <c r="E110" s="704"/>
      <c r="F110" s="704"/>
      <c r="G110" s="704"/>
      <c r="H110" s="704"/>
      <c r="I110" s="704"/>
      <c r="J110" s="704"/>
      <c r="K110" s="704"/>
      <c r="L110" s="704"/>
      <c r="M110" s="704"/>
    </row>
    <row r="111" spans="1:13" ht="14.25" hidden="1" customHeight="1">
      <c r="A111" s="87" t="s">
        <v>331</v>
      </c>
      <c r="B111" s="704">
        <v>13.56</v>
      </c>
      <c r="C111" s="704">
        <v>18.53</v>
      </c>
      <c r="D111" s="704">
        <v>20.71</v>
      </c>
      <c r="E111" s="704">
        <v>21.7</v>
      </c>
      <c r="F111" s="704">
        <v>20.5</v>
      </c>
      <c r="G111" s="704">
        <v>18.75</v>
      </c>
      <c r="H111" s="704">
        <v>19.07</v>
      </c>
      <c r="I111" s="704">
        <v>19.04</v>
      </c>
      <c r="J111" s="704">
        <v>16.399999999999999</v>
      </c>
      <c r="K111" s="704">
        <v>19.690000000000001</v>
      </c>
      <c r="L111" s="704">
        <v>19.2</v>
      </c>
      <c r="M111" s="704">
        <v>20.48</v>
      </c>
    </row>
    <row r="112" spans="1:13" ht="14.25" hidden="1" customHeight="1">
      <c r="A112" s="87" t="s">
        <v>40</v>
      </c>
      <c r="B112" s="704">
        <v>13.34</v>
      </c>
      <c r="C112" s="704">
        <v>18.22</v>
      </c>
      <c r="D112" s="704">
        <v>20.02</v>
      </c>
      <c r="E112" s="704">
        <v>21.8</v>
      </c>
      <c r="F112" s="704">
        <v>19.87</v>
      </c>
      <c r="G112" s="704">
        <v>18.72</v>
      </c>
      <c r="H112" s="704">
        <v>18.29</v>
      </c>
      <c r="I112" s="704">
        <v>18.32</v>
      </c>
      <c r="J112" s="704">
        <v>16.100000000000001</v>
      </c>
      <c r="K112" s="704">
        <v>18.84</v>
      </c>
      <c r="L112" s="704">
        <v>18.11</v>
      </c>
      <c r="M112" s="704">
        <v>19.61</v>
      </c>
    </row>
    <row r="113" spans="1:14" ht="14.25" hidden="1" customHeight="1">
      <c r="A113" s="87" t="s">
        <v>41</v>
      </c>
      <c r="B113" s="704">
        <v>13.87</v>
      </c>
      <c r="C113" s="704">
        <v>18.12</v>
      </c>
      <c r="D113" s="704">
        <v>20.100000000000001</v>
      </c>
      <c r="E113" s="704">
        <v>21.33</v>
      </c>
      <c r="F113" s="704">
        <v>19.98</v>
      </c>
      <c r="G113" s="704">
        <v>18.62</v>
      </c>
      <c r="H113" s="704">
        <v>18.45</v>
      </c>
      <c r="I113" s="704">
        <v>18.46</v>
      </c>
      <c r="J113" s="704">
        <v>15.83</v>
      </c>
      <c r="K113" s="704">
        <v>18.82</v>
      </c>
      <c r="L113" s="704">
        <v>17.93</v>
      </c>
      <c r="M113" s="704">
        <v>19.71</v>
      </c>
    </row>
    <row r="114" spans="1:14" ht="14.25" hidden="1" customHeight="1">
      <c r="A114" s="87" t="s">
        <v>42</v>
      </c>
      <c r="B114" s="704">
        <v>13.86</v>
      </c>
      <c r="C114" s="704">
        <v>17.940000000000001</v>
      </c>
      <c r="D114" s="704">
        <v>20.13</v>
      </c>
      <c r="E114" s="704">
        <v>21.81</v>
      </c>
      <c r="F114" s="704">
        <v>20.02</v>
      </c>
      <c r="G114" s="704">
        <v>18.27</v>
      </c>
      <c r="H114" s="704">
        <v>18.170000000000002</v>
      </c>
      <c r="I114" s="704">
        <v>18.18</v>
      </c>
      <c r="J114" s="704">
        <v>13.2</v>
      </c>
      <c r="K114" s="704">
        <v>17.54</v>
      </c>
      <c r="L114" s="704">
        <v>16.829999999999998</v>
      </c>
      <c r="M114" s="704">
        <v>19.670000000000002</v>
      </c>
    </row>
    <row r="115" spans="1:14" ht="14.25" hidden="1" customHeight="1">
      <c r="A115" s="87" t="s">
        <v>43</v>
      </c>
      <c r="B115" s="704">
        <v>13.41</v>
      </c>
      <c r="C115" s="704">
        <v>17.43</v>
      </c>
      <c r="D115" s="704">
        <v>20.03</v>
      </c>
      <c r="E115" s="704">
        <v>22.04</v>
      </c>
      <c r="F115" s="704">
        <v>19.989999999999998</v>
      </c>
      <c r="G115" s="704">
        <v>18.7</v>
      </c>
      <c r="H115" s="704">
        <v>18.43</v>
      </c>
      <c r="I115" s="704">
        <v>18.45</v>
      </c>
      <c r="J115" s="704">
        <v>12.75</v>
      </c>
      <c r="K115" s="704">
        <v>17.809999999999999</v>
      </c>
      <c r="L115" s="704">
        <v>17.03</v>
      </c>
      <c r="M115" s="704">
        <v>19.71</v>
      </c>
    </row>
    <row r="116" spans="1:14" ht="14.25" hidden="1" customHeight="1">
      <c r="A116" s="87" t="s">
        <v>44</v>
      </c>
      <c r="B116" s="704">
        <v>14.81</v>
      </c>
      <c r="C116" s="704">
        <v>16.21</v>
      </c>
      <c r="D116" s="704">
        <v>20.03</v>
      </c>
      <c r="E116" s="704">
        <v>21.67</v>
      </c>
      <c r="F116" s="704">
        <v>19.95</v>
      </c>
      <c r="G116" s="704">
        <v>17.16</v>
      </c>
      <c r="H116" s="704">
        <v>18.32</v>
      </c>
      <c r="I116" s="704">
        <v>18.239999999999998</v>
      </c>
      <c r="J116" s="704">
        <v>13.86</v>
      </c>
      <c r="K116" s="704">
        <v>17.579999999999998</v>
      </c>
      <c r="L116" s="704">
        <v>16.97</v>
      </c>
      <c r="M116" s="704">
        <v>19.649999999999999</v>
      </c>
    </row>
    <row r="117" spans="1:14" ht="14.25" hidden="1" customHeight="1">
      <c r="A117" s="87" t="s">
        <v>45</v>
      </c>
      <c r="B117" s="704">
        <v>16.03</v>
      </c>
      <c r="C117" s="704">
        <v>16.649999999999999</v>
      </c>
      <c r="D117" s="704">
        <v>19.54</v>
      </c>
      <c r="E117" s="704">
        <v>21.6</v>
      </c>
      <c r="F117" s="704">
        <v>19.260000000000002</v>
      </c>
      <c r="G117" s="704">
        <v>18.05</v>
      </c>
      <c r="H117" s="704">
        <v>18.16</v>
      </c>
      <c r="I117" s="704">
        <v>18.149999999999999</v>
      </c>
      <c r="J117" s="704">
        <v>15.58</v>
      </c>
      <c r="K117" s="704">
        <v>17.55</v>
      </c>
      <c r="L117" s="704">
        <v>16.559999999999999</v>
      </c>
      <c r="M117" s="704">
        <v>19.07</v>
      </c>
    </row>
    <row r="118" spans="1:14" ht="14.25" hidden="1" customHeight="1">
      <c r="A118" s="87" t="s">
        <v>46</v>
      </c>
      <c r="B118" s="704">
        <v>15.96</v>
      </c>
      <c r="C118" s="704">
        <v>16.37</v>
      </c>
      <c r="D118" s="704">
        <v>19.47</v>
      </c>
      <c r="E118" s="704">
        <v>21.54</v>
      </c>
      <c r="F118" s="704">
        <v>19.100000000000001</v>
      </c>
      <c r="G118" s="704">
        <v>17.97</v>
      </c>
      <c r="H118" s="704">
        <v>18.18</v>
      </c>
      <c r="I118" s="704">
        <v>18.170000000000002</v>
      </c>
      <c r="J118" s="704">
        <v>15.68</v>
      </c>
      <c r="K118" s="704">
        <v>17.84</v>
      </c>
      <c r="L118" s="704">
        <v>17</v>
      </c>
      <c r="M118" s="704">
        <v>18.95</v>
      </c>
    </row>
    <row r="119" spans="1:14" ht="14.25" hidden="1" customHeight="1">
      <c r="A119" s="87" t="s">
        <v>47</v>
      </c>
      <c r="B119" s="704">
        <v>15.87</v>
      </c>
      <c r="C119" s="704">
        <v>16.309999999999999</v>
      </c>
      <c r="D119" s="704">
        <v>19.54</v>
      </c>
      <c r="E119" s="704">
        <v>21.5</v>
      </c>
      <c r="F119" s="704">
        <v>19.07</v>
      </c>
      <c r="G119" s="704">
        <v>18.14</v>
      </c>
      <c r="H119" s="704">
        <v>18.21</v>
      </c>
      <c r="I119" s="704">
        <v>18.12</v>
      </c>
      <c r="J119" s="704">
        <v>15.67</v>
      </c>
      <c r="K119" s="704">
        <v>17.45</v>
      </c>
      <c r="L119" s="704">
        <v>16.86</v>
      </c>
      <c r="M119" s="704">
        <v>18.91</v>
      </c>
    </row>
    <row r="120" spans="1:14" ht="14.25" hidden="1" customHeight="1">
      <c r="A120" s="87" t="s">
        <v>48</v>
      </c>
      <c r="B120" s="704">
        <v>15.79</v>
      </c>
      <c r="C120" s="704">
        <v>16.329999999999998</v>
      </c>
      <c r="D120" s="704">
        <v>18.54</v>
      </c>
      <c r="E120" s="704">
        <v>21.43</v>
      </c>
      <c r="F120" s="704">
        <v>18.329999999999998</v>
      </c>
      <c r="G120" s="704">
        <v>17.88</v>
      </c>
      <c r="H120" s="704">
        <v>18.190000000000001</v>
      </c>
      <c r="I120" s="704">
        <v>16.34</v>
      </c>
      <c r="J120" s="704">
        <v>15.25</v>
      </c>
      <c r="K120" s="704">
        <v>16.760000000000002</v>
      </c>
      <c r="L120" s="704">
        <v>16.34</v>
      </c>
      <c r="M120" s="704">
        <v>18.29</v>
      </c>
    </row>
    <row r="121" spans="1:14" ht="14.25" hidden="1" customHeight="1">
      <c r="A121" s="87" t="s">
        <v>49</v>
      </c>
      <c r="B121" s="704">
        <v>15.84</v>
      </c>
      <c r="C121" s="704">
        <v>16.66</v>
      </c>
      <c r="D121" s="704">
        <v>18.23</v>
      </c>
      <c r="E121" s="704">
        <v>21.4</v>
      </c>
      <c r="F121" s="704">
        <v>18.149999999999999</v>
      </c>
      <c r="G121" s="704">
        <v>17.77</v>
      </c>
      <c r="H121" s="704">
        <v>18.100000000000001</v>
      </c>
      <c r="I121" s="704">
        <v>18.07</v>
      </c>
      <c r="J121" s="704">
        <v>15.76</v>
      </c>
      <c r="K121" s="704">
        <v>16.8</v>
      </c>
      <c r="L121" s="704">
        <v>16.55</v>
      </c>
      <c r="M121" s="704">
        <v>18.12</v>
      </c>
    </row>
    <row r="122" spans="1:14" ht="14.25" hidden="1" customHeight="1">
      <c r="A122" s="87" t="s">
        <v>50</v>
      </c>
      <c r="B122" s="704">
        <v>15.95</v>
      </c>
      <c r="C122" s="704">
        <v>16.5</v>
      </c>
      <c r="D122" s="704">
        <v>18.329999999999998</v>
      </c>
      <c r="E122" s="704">
        <v>18.78</v>
      </c>
      <c r="F122" s="704">
        <v>18.04</v>
      </c>
      <c r="G122" s="704">
        <v>17.88</v>
      </c>
      <c r="H122" s="704">
        <v>18.010000000000002</v>
      </c>
      <c r="I122" s="704">
        <v>18</v>
      </c>
      <c r="J122" s="704">
        <v>15.75</v>
      </c>
      <c r="K122" s="704">
        <v>16.809999999999999</v>
      </c>
      <c r="L122" s="704">
        <v>16.559999999999999</v>
      </c>
      <c r="M122" s="704">
        <v>17.97</v>
      </c>
    </row>
    <row r="123" spans="1:14" ht="14.25" hidden="1" customHeight="1">
      <c r="A123" s="87"/>
      <c r="B123" s="704"/>
      <c r="C123" s="704"/>
      <c r="D123" s="704"/>
      <c r="E123" s="704"/>
      <c r="F123" s="704"/>
      <c r="G123" s="704"/>
      <c r="H123" s="704"/>
      <c r="I123" s="704"/>
      <c r="J123" s="704"/>
      <c r="K123" s="704"/>
      <c r="L123" s="704"/>
      <c r="M123" s="704"/>
    </row>
    <row r="124" spans="1:14" ht="14.25" hidden="1" customHeight="1">
      <c r="A124" s="87" t="s">
        <v>330</v>
      </c>
      <c r="B124" s="704">
        <v>15.77</v>
      </c>
      <c r="C124" s="704">
        <v>16.8</v>
      </c>
      <c r="D124" s="704">
        <v>18.48</v>
      </c>
      <c r="E124" s="704">
        <v>18.78</v>
      </c>
      <c r="F124" s="704">
        <v>18.239999999999998</v>
      </c>
      <c r="G124" s="704">
        <v>17.88</v>
      </c>
      <c r="H124" s="704">
        <v>17.96</v>
      </c>
      <c r="I124" s="704">
        <v>17.96</v>
      </c>
      <c r="J124" s="704">
        <v>15.77</v>
      </c>
      <c r="K124" s="704">
        <v>16.8</v>
      </c>
      <c r="L124" s="704">
        <v>16.57</v>
      </c>
      <c r="M124" s="704">
        <v>18.18</v>
      </c>
      <c r="N124" s="689" t="s">
        <v>0</v>
      </c>
    </row>
    <row r="125" spans="1:14" ht="14.25" hidden="1" customHeight="1">
      <c r="A125" s="87" t="s">
        <v>40</v>
      </c>
      <c r="B125" s="704">
        <v>15.51</v>
      </c>
      <c r="C125" s="704">
        <v>16.73</v>
      </c>
      <c r="D125" s="704">
        <v>18.47</v>
      </c>
      <c r="E125" s="704">
        <v>18.760000000000002</v>
      </c>
      <c r="F125" s="704">
        <v>18.25</v>
      </c>
      <c r="G125" s="704">
        <v>17.899999999999999</v>
      </c>
      <c r="H125" s="704">
        <v>17.87</v>
      </c>
      <c r="I125" s="704">
        <v>17.88</v>
      </c>
      <c r="J125" s="704">
        <v>15.76</v>
      </c>
      <c r="K125" s="704">
        <v>16.82</v>
      </c>
      <c r="L125" s="704">
        <v>16.57</v>
      </c>
      <c r="M125" s="704">
        <v>18.170000000000002</v>
      </c>
    </row>
    <row r="126" spans="1:14" ht="14.25" hidden="1" customHeight="1">
      <c r="A126" s="87" t="s">
        <v>41</v>
      </c>
      <c r="B126" s="704">
        <v>15.57</v>
      </c>
      <c r="C126" s="704">
        <v>16.54</v>
      </c>
      <c r="D126" s="704">
        <v>17.91</v>
      </c>
      <c r="E126" s="704">
        <v>18.46</v>
      </c>
      <c r="F126" s="704">
        <v>17.75</v>
      </c>
      <c r="G126" s="704">
        <v>17.84</v>
      </c>
      <c r="H126" s="704">
        <v>17.739999999999998</v>
      </c>
      <c r="I126" s="704">
        <v>17.75</v>
      </c>
      <c r="J126" s="704">
        <v>15.75</v>
      </c>
      <c r="K126" s="704">
        <v>16.34</v>
      </c>
      <c r="L126" s="704">
        <v>16.2</v>
      </c>
      <c r="M126" s="704">
        <v>17.73</v>
      </c>
    </row>
    <row r="127" spans="1:14" ht="14.25" hidden="1" customHeight="1">
      <c r="A127" s="87" t="s">
        <v>42</v>
      </c>
      <c r="B127" s="704">
        <v>15.96</v>
      </c>
      <c r="C127" s="704">
        <v>16.79</v>
      </c>
      <c r="D127" s="704">
        <v>17.989999999999998</v>
      </c>
      <c r="E127" s="704">
        <v>19.329999999999998</v>
      </c>
      <c r="F127" s="704">
        <v>17.88</v>
      </c>
      <c r="G127" s="704">
        <v>17.72</v>
      </c>
      <c r="H127" s="704">
        <v>17.72</v>
      </c>
      <c r="I127" s="704">
        <v>17.72</v>
      </c>
      <c r="J127" s="704">
        <v>15.98</v>
      </c>
      <c r="K127" s="704">
        <v>16.940000000000001</v>
      </c>
      <c r="L127" s="704">
        <v>16.75</v>
      </c>
      <c r="M127" s="704">
        <v>17.84</v>
      </c>
    </row>
    <row r="128" spans="1:14" ht="14.25" hidden="1" customHeight="1">
      <c r="A128" s="87" t="s">
        <v>43</v>
      </c>
      <c r="B128" s="704">
        <v>15.36</v>
      </c>
      <c r="C128" s="704">
        <v>17.12</v>
      </c>
      <c r="D128" s="704">
        <v>18.079999999999998</v>
      </c>
      <c r="E128" s="704">
        <v>18.170000000000002</v>
      </c>
      <c r="F128" s="704">
        <v>17.95</v>
      </c>
      <c r="G128" s="704">
        <v>17.55</v>
      </c>
      <c r="H128" s="704">
        <v>17.559999999999999</v>
      </c>
      <c r="I128" s="704">
        <v>17.559999999999999</v>
      </c>
      <c r="J128" s="704">
        <v>16.39</v>
      </c>
      <c r="K128" s="704">
        <v>17.3</v>
      </c>
      <c r="L128" s="704">
        <v>17</v>
      </c>
      <c r="M128" s="704">
        <v>17.88</v>
      </c>
    </row>
    <row r="129" spans="1:13" ht="14.25" hidden="1" customHeight="1">
      <c r="A129" s="87" t="s">
        <v>44</v>
      </c>
      <c r="B129" s="704">
        <v>14.15</v>
      </c>
      <c r="C129" s="704">
        <v>17.25</v>
      </c>
      <c r="D129" s="704">
        <v>18.010000000000002</v>
      </c>
      <c r="E129" s="704">
        <v>18.239999999999998</v>
      </c>
      <c r="F129" s="704">
        <v>17.93</v>
      </c>
      <c r="G129" s="704">
        <v>17.86</v>
      </c>
      <c r="H129" s="704">
        <v>17.420000000000002</v>
      </c>
      <c r="I129" s="704">
        <v>17.47</v>
      </c>
      <c r="J129" s="704">
        <v>16.38</v>
      </c>
      <c r="K129" s="704">
        <v>17.329999999999998</v>
      </c>
      <c r="L129" s="704">
        <v>17.010000000000002</v>
      </c>
      <c r="M129" s="704">
        <v>17.84</v>
      </c>
    </row>
    <row r="130" spans="1:13" ht="14.25" hidden="1" customHeight="1">
      <c r="A130" s="87" t="s">
        <v>45</v>
      </c>
      <c r="B130" s="704">
        <v>15.58</v>
      </c>
      <c r="C130" s="704">
        <v>16.91</v>
      </c>
      <c r="D130" s="704">
        <v>18.010000000000002</v>
      </c>
      <c r="E130" s="704">
        <v>17.07</v>
      </c>
      <c r="F130" s="704">
        <v>17.87</v>
      </c>
      <c r="G130" s="704">
        <v>17.88</v>
      </c>
      <c r="H130" s="704">
        <v>17.510000000000002</v>
      </c>
      <c r="I130" s="704">
        <v>17.559999999999999</v>
      </c>
      <c r="J130" s="704">
        <v>16.38</v>
      </c>
      <c r="K130" s="704">
        <v>17.34</v>
      </c>
      <c r="L130" s="704">
        <v>17.02</v>
      </c>
      <c r="M130" s="704">
        <v>17.809999999999999</v>
      </c>
    </row>
    <row r="131" spans="1:13" ht="14.25" hidden="1" customHeight="1">
      <c r="A131" s="87" t="s">
        <v>46</v>
      </c>
      <c r="B131" s="704">
        <v>15.47</v>
      </c>
      <c r="C131" s="704">
        <v>16.850000000000001</v>
      </c>
      <c r="D131" s="704">
        <v>17.77</v>
      </c>
      <c r="E131" s="704">
        <v>18.97</v>
      </c>
      <c r="F131" s="704">
        <v>17.8</v>
      </c>
      <c r="G131" s="704">
        <v>17.899999999999999</v>
      </c>
      <c r="H131" s="704">
        <v>17.510000000000002</v>
      </c>
      <c r="I131" s="704">
        <v>17.54</v>
      </c>
      <c r="J131" s="704">
        <v>15.43</v>
      </c>
      <c r="K131" s="704">
        <v>17.350000000000001</v>
      </c>
      <c r="L131" s="704">
        <v>16.89</v>
      </c>
      <c r="M131" s="704">
        <v>17.75</v>
      </c>
    </row>
    <row r="132" spans="1:13" ht="14.25" hidden="1" customHeight="1">
      <c r="A132" s="87" t="s">
        <v>47</v>
      </c>
      <c r="B132" s="704">
        <v>15.96</v>
      </c>
      <c r="C132" s="704">
        <v>16.34</v>
      </c>
      <c r="D132" s="704">
        <v>17.66</v>
      </c>
      <c r="E132" s="704">
        <v>18.079999999999998</v>
      </c>
      <c r="F132" s="704">
        <v>17.57</v>
      </c>
      <c r="G132" s="704">
        <v>17.829999999999998</v>
      </c>
      <c r="H132" s="704">
        <v>17.329999999999998</v>
      </c>
      <c r="I132" s="704">
        <v>17.39</v>
      </c>
      <c r="J132" s="704">
        <v>16.27</v>
      </c>
      <c r="K132" s="704">
        <v>17.18</v>
      </c>
      <c r="L132" s="704">
        <v>16.89</v>
      </c>
      <c r="M132" s="704">
        <v>17.53</v>
      </c>
    </row>
    <row r="133" spans="1:13" ht="14.25" hidden="1" customHeight="1">
      <c r="A133" s="87" t="s">
        <v>48</v>
      </c>
      <c r="B133" s="704">
        <v>16.11</v>
      </c>
      <c r="C133" s="704">
        <v>17.05</v>
      </c>
      <c r="D133" s="704">
        <v>17.5</v>
      </c>
      <c r="E133" s="704">
        <v>18.72</v>
      </c>
      <c r="F133" s="704">
        <v>17.52</v>
      </c>
      <c r="G133" s="704">
        <v>17.82</v>
      </c>
      <c r="H133" s="704">
        <v>17.07</v>
      </c>
      <c r="I133" s="704">
        <v>17.149999999999999</v>
      </c>
      <c r="J133" s="704">
        <v>16.2</v>
      </c>
      <c r="K133" s="704">
        <v>19.5</v>
      </c>
      <c r="L133" s="704">
        <v>17.010000000000002</v>
      </c>
      <c r="M133" s="704">
        <v>17.45</v>
      </c>
    </row>
    <row r="134" spans="1:13" ht="14.25" hidden="1" customHeight="1">
      <c r="A134" s="87" t="s">
        <v>49</v>
      </c>
      <c r="B134" s="704">
        <v>15.24</v>
      </c>
      <c r="C134" s="704">
        <v>15.38</v>
      </c>
      <c r="D134" s="704">
        <v>17.559999999999999</v>
      </c>
      <c r="E134" s="704">
        <v>18.03</v>
      </c>
      <c r="F134" s="704">
        <v>17.55</v>
      </c>
      <c r="G134" s="704">
        <v>17.98</v>
      </c>
      <c r="H134" s="704">
        <v>17.239999999999998</v>
      </c>
      <c r="I134" s="704">
        <v>17.02</v>
      </c>
      <c r="J134" s="704">
        <v>16.12</v>
      </c>
      <c r="K134" s="704">
        <v>17.47</v>
      </c>
      <c r="L134" s="704">
        <v>17.02</v>
      </c>
      <c r="M134" s="704">
        <v>17.5</v>
      </c>
    </row>
    <row r="135" spans="1:13" ht="14.25" hidden="1" customHeight="1">
      <c r="A135" s="87" t="s">
        <v>50</v>
      </c>
      <c r="B135" s="704">
        <v>15.73</v>
      </c>
      <c r="C135" s="704">
        <v>17.11</v>
      </c>
      <c r="D135" s="704">
        <v>17.54</v>
      </c>
      <c r="E135" s="704">
        <v>18.41</v>
      </c>
      <c r="F135" s="704">
        <v>17.600000000000001</v>
      </c>
      <c r="G135" s="704">
        <v>17.68</v>
      </c>
      <c r="H135" s="704">
        <v>17.010000000000002</v>
      </c>
      <c r="I135" s="704">
        <v>17.09</v>
      </c>
      <c r="J135" s="704">
        <v>15.61</v>
      </c>
      <c r="K135" s="704">
        <v>17.59</v>
      </c>
      <c r="L135" s="704">
        <v>17.100000000000001</v>
      </c>
      <c r="M135" s="704">
        <v>17.489999999999998</v>
      </c>
    </row>
    <row r="136" spans="1:13" ht="14.25" hidden="1" customHeight="1">
      <c r="A136" s="87"/>
      <c r="B136" s="704"/>
      <c r="C136" s="704"/>
      <c r="D136" s="704"/>
      <c r="E136" s="704"/>
      <c r="F136" s="704"/>
      <c r="G136" s="704"/>
      <c r="H136" s="704"/>
      <c r="I136" s="704"/>
      <c r="J136" s="704"/>
      <c r="K136" s="704"/>
      <c r="L136" s="704"/>
      <c r="M136" s="704"/>
    </row>
    <row r="137" spans="1:13" ht="14.25" hidden="1" customHeight="1">
      <c r="A137" s="87" t="s">
        <v>60</v>
      </c>
      <c r="B137" s="704">
        <v>15.51</v>
      </c>
      <c r="C137" s="704">
        <v>16.8</v>
      </c>
      <c r="D137" s="704">
        <v>17.399999999999999</v>
      </c>
      <c r="E137" s="704">
        <v>18.64</v>
      </c>
      <c r="F137" s="704">
        <v>17.510000000000002</v>
      </c>
      <c r="G137" s="704">
        <v>17.41</v>
      </c>
      <c r="H137" s="704">
        <v>16.82</v>
      </c>
      <c r="I137" s="704">
        <v>16.940000000000001</v>
      </c>
      <c r="J137" s="704">
        <v>12.84</v>
      </c>
      <c r="K137" s="704">
        <v>17.59</v>
      </c>
      <c r="L137" s="704">
        <v>17.09</v>
      </c>
      <c r="M137" s="704">
        <v>17.37</v>
      </c>
    </row>
    <row r="138" spans="1:13" ht="14.25" hidden="1" customHeight="1">
      <c r="A138" s="87" t="s">
        <v>40</v>
      </c>
      <c r="B138" s="704">
        <v>15.53</v>
      </c>
      <c r="C138" s="704">
        <v>17.149999999999999</v>
      </c>
      <c r="D138" s="704">
        <v>17.7</v>
      </c>
      <c r="E138" s="704">
        <v>18.78</v>
      </c>
      <c r="F138" s="704">
        <v>17.71</v>
      </c>
      <c r="G138" s="704">
        <v>17.37</v>
      </c>
      <c r="H138" s="704">
        <v>16.77</v>
      </c>
      <c r="I138" s="704">
        <v>16.899999999999999</v>
      </c>
      <c r="J138" s="704">
        <v>11.63</v>
      </c>
      <c r="K138" s="704">
        <v>17.600000000000001</v>
      </c>
      <c r="L138" s="704">
        <v>16.97</v>
      </c>
      <c r="M138" s="704">
        <v>17.510000000000002</v>
      </c>
    </row>
    <row r="139" spans="1:13" ht="14.25" hidden="1" customHeight="1">
      <c r="A139" s="87" t="s">
        <v>41</v>
      </c>
      <c r="B139" s="704">
        <v>15.72</v>
      </c>
      <c r="C139" s="704">
        <v>18.190000000000001</v>
      </c>
      <c r="D139" s="704">
        <v>17.579999999999998</v>
      </c>
      <c r="E139" s="704">
        <v>18.54</v>
      </c>
      <c r="F139" s="704">
        <v>17.68</v>
      </c>
      <c r="G139" s="704">
        <v>17.190000000000001</v>
      </c>
      <c r="H139" s="704">
        <v>16.809999999999999</v>
      </c>
      <c r="I139" s="704">
        <v>16.86</v>
      </c>
      <c r="J139" s="704">
        <v>11.6</v>
      </c>
      <c r="K139" s="704">
        <v>17.600000000000001</v>
      </c>
      <c r="L139" s="704">
        <v>16.97</v>
      </c>
      <c r="M139" s="704">
        <v>17.45</v>
      </c>
    </row>
    <row r="140" spans="1:13" ht="14.25" hidden="1" customHeight="1">
      <c r="A140" s="87" t="s">
        <v>42</v>
      </c>
      <c r="B140" s="704">
        <v>14.93</v>
      </c>
      <c r="C140" s="704">
        <v>17.940000000000001</v>
      </c>
      <c r="D140" s="704">
        <v>17.579999999999998</v>
      </c>
      <c r="E140" s="704">
        <v>18.68</v>
      </c>
      <c r="F140" s="704">
        <v>17.7</v>
      </c>
      <c r="G140" s="704">
        <v>17.149999999999999</v>
      </c>
      <c r="H140" s="704">
        <v>16.8</v>
      </c>
      <c r="I140" s="704">
        <v>16.329999999999998</v>
      </c>
      <c r="J140" s="704">
        <v>10.91</v>
      </c>
      <c r="K140" s="704">
        <v>17.09</v>
      </c>
      <c r="L140" s="704">
        <v>16.97</v>
      </c>
      <c r="M140" s="704">
        <v>17.45</v>
      </c>
    </row>
    <row r="141" spans="1:13" ht="14.25" hidden="1" customHeight="1">
      <c r="A141" s="87" t="s">
        <v>43</v>
      </c>
      <c r="B141" s="704">
        <v>14.92</v>
      </c>
      <c r="C141" s="704">
        <v>16.43</v>
      </c>
      <c r="D141" s="704">
        <v>17.63</v>
      </c>
      <c r="E141" s="704">
        <v>18.61</v>
      </c>
      <c r="F141" s="704">
        <v>17.72</v>
      </c>
      <c r="G141" s="704">
        <v>17.149999999999999</v>
      </c>
      <c r="H141" s="704">
        <v>16.77</v>
      </c>
      <c r="I141" s="704">
        <v>16.809999999999999</v>
      </c>
      <c r="J141" s="704">
        <v>10.85</v>
      </c>
      <c r="K141" s="704">
        <v>17.3</v>
      </c>
      <c r="L141" s="704">
        <v>16.440000000000001</v>
      </c>
      <c r="M141" s="704">
        <v>17.489999999999998</v>
      </c>
    </row>
    <row r="142" spans="1:13" ht="14.25" hidden="1" customHeight="1">
      <c r="A142" s="87" t="s">
        <v>44</v>
      </c>
      <c r="B142" s="704">
        <v>16.7</v>
      </c>
      <c r="C142" s="704">
        <v>18.2</v>
      </c>
      <c r="D142" s="704">
        <v>17.100000000000001</v>
      </c>
      <c r="E142" s="704">
        <v>17</v>
      </c>
      <c r="F142" s="704">
        <v>17.2</v>
      </c>
      <c r="G142" s="704">
        <v>17</v>
      </c>
      <c r="H142" s="704">
        <v>16.77</v>
      </c>
      <c r="I142" s="704">
        <v>16.809999999999999</v>
      </c>
      <c r="J142" s="704">
        <v>10.8</v>
      </c>
      <c r="K142" s="704">
        <v>17.399999999999999</v>
      </c>
      <c r="L142" s="704">
        <v>16.5</v>
      </c>
      <c r="M142" s="704">
        <v>17.100000000000001</v>
      </c>
    </row>
    <row r="143" spans="1:13" ht="14.25" hidden="1" customHeight="1">
      <c r="A143" s="87" t="s">
        <v>45</v>
      </c>
      <c r="B143" s="704">
        <v>16.5</v>
      </c>
      <c r="C143" s="704">
        <v>16.91</v>
      </c>
      <c r="D143" s="704">
        <v>17.05</v>
      </c>
      <c r="E143" s="704">
        <v>17.41</v>
      </c>
      <c r="F143" s="704">
        <v>17</v>
      </c>
      <c r="G143" s="704">
        <v>17.03</v>
      </c>
      <c r="H143" s="704">
        <v>16.57</v>
      </c>
      <c r="I143" s="704">
        <v>16.62</v>
      </c>
      <c r="J143" s="704">
        <v>11.53</v>
      </c>
      <c r="K143" s="704">
        <v>17.43</v>
      </c>
      <c r="L143" s="704">
        <v>16.47</v>
      </c>
      <c r="M143" s="704">
        <v>16.91</v>
      </c>
    </row>
    <row r="144" spans="1:13" ht="14.25" hidden="1" customHeight="1">
      <c r="A144" s="87" t="s">
        <v>46</v>
      </c>
      <c r="B144" s="704">
        <v>16.14</v>
      </c>
      <c r="C144" s="704">
        <v>16.25</v>
      </c>
      <c r="D144" s="704">
        <v>17.54</v>
      </c>
      <c r="E144" s="704">
        <v>16.75</v>
      </c>
      <c r="F144" s="704">
        <v>17.27</v>
      </c>
      <c r="G144" s="704">
        <v>17.03</v>
      </c>
      <c r="H144" s="704">
        <v>16.38</v>
      </c>
      <c r="I144" s="704">
        <v>16.45</v>
      </c>
      <c r="J144" s="704">
        <v>11.28</v>
      </c>
      <c r="K144" s="704">
        <v>17.97</v>
      </c>
      <c r="L144" s="704">
        <v>16.84</v>
      </c>
      <c r="M144" s="704">
        <v>17.09</v>
      </c>
    </row>
    <row r="145" spans="1:13" ht="14.25" hidden="1" customHeight="1">
      <c r="A145" s="87" t="s">
        <v>47</v>
      </c>
      <c r="B145" s="704">
        <v>15.84</v>
      </c>
      <c r="C145" s="704">
        <v>16.329999999999998</v>
      </c>
      <c r="D145" s="704">
        <v>17.54</v>
      </c>
      <c r="E145" s="704">
        <v>16.87</v>
      </c>
      <c r="F145" s="704">
        <v>17.22</v>
      </c>
      <c r="G145" s="704">
        <v>17.11</v>
      </c>
      <c r="H145" s="704">
        <v>16.41</v>
      </c>
      <c r="I145" s="704">
        <v>16.48</v>
      </c>
      <c r="J145" s="704">
        <v>10.78</v>
      </c>
      <c r="K145" s="704">
        <v>17.98</v>
      </c>
      <c r="L145" s="704">
        <v>16.649999999999999</v>
      </c>
      <c r="M145" s="704">
        <v>17.05</v>
      </c>
    </row>
    <row r="146" spans="1:13" ht="14.25" hidden="1" customHeight="1">
      <c r="A146" s="87" t="s">
        <v>48</v>
      </c>
      <c r="B146" s="704">
        <v>15.75</v>
      </c>
      <c r="C146" s="704">
        <v>16.260000000000002</v>
      </c>
      <c r="D146" s="704">
        <v>17.420000000000002</v>
      </c>
      <c r="E146" s="704">
        <v>16.940000000000001</v>
      </c>
      <c r="F146" s="704">
        <v>17.16</v>
      </c>
      <c r="G146" s="704">
        <v>17.37</v>
      </c>
      <c r="H146" s="704">
        <v>16.38</v>
      </c>
      <c r="I146" s="704">
        <v>16.5</v>
      </c>
      <c r="J146" s="704">
        <v>12.49</v>
      </c>
      <c r="K146" s="704">
        <v>17.98</v>
      </c>
      <c r="L146" s="704">
        <v>16.41</v>
      </c>
      <c r="M146" s="704">
        <v>17.010000000000002</v>
      </c>
    </row>
    <row r="147" spans="1:13" ht="14.25" hidden="1" customHeight="1">
      <c r="A147" s="87" t="s">
        <v>49</v>
      </c>
      <c r="B147" s="704">
        <v>15.72</v>
      </c>
      <c r="C147" s="704">
        <v>16.39</v>
      </c>
      <c r="D147" s="704">
        <v>17.190000000000001</v>
      </c>
      <c r="E147" s="704">
        <v>16.46</v>
      </c>
      <c r="F147" s="704">
        <v>19.97</v>
      </c>
      <c r="G147" s="704">
        <v>16.940000000000001</v>
      </c>
      <c r="H147" s="704">
        <v>16.39</v>
      </c>
      <c r="I147" s="704">
        <v>16.45</v>
      </c>
      <c r="J147" s="704">
        <v>10.83</v>
      </c>
      <c r="K147" s="704">
        <v>17.98</v>
      </c>
      <c r="L147" s="704">
        <v>15.74</v>
      </c>
      <c r="M147" s="704">
        <v>16.84</v>
      </c>
    </row>
    <row r="148" spans="1:13" ht="14.25" hidden="1" customHeight="1">
      <c r="A148" s="87" t="s">
        <v>50</v>
      </c>
      <c r="B148" s="704">
        <v>15.64</v>
      </c>
      <c r="C148" s="704">
        <v>16.2</v>
      </c>
      <c r="D148" s="704">
        <v>16.86</v>
      </c>
      <c r="E148" s="704">
        <v>16.68</v>
      </c>
      <c r="F148" s="704">
        <v>16.72</v>
      </c>
      <c r="G148" s="704">
        <v>17.54</v>
      </c>
      <c r="H148" s="704">
        <v>16.37</v>
      </c>
      <c r="I148" s="704">
        <v>16.52</v>
      </c>
      <c r="J148" s="704">
        <v>9.9600000000000009</v>
      </c>
      <c r="K148" s="704">
        <v>17.98</v>
      </c>
      <c r="L148" s="704">
        <v>15.13</v>
      </c>
      <c r="M148" s="704">
        <v>16.66</v>
      </c>
    </row>
    <row r="149" spans="1:13" ht="14.25" hidden="1" customHeight="1">
      <c r="A149" s="222"/>
      <c r="B149" s="704"/>
      <c r="C149" s="704"/>
      <c r="D149" s="704"/>
      <c r="E149" s="704"/>
      <c r="F149" s="704"/>
      <c r="G149" s="704"/>
      <c r="H149" s="704"/>
      <c r="I149" s="704"/>
      <c r="J149" s="704"/>
      <c r="K149" s="704"/>
      <c r="L149" s="704"/>
      <c r="M149" s="704"/>
    </row>
    <row r="150" spans="1:13" ht="14.25" hidden="1" customHeight="1">
      <c r="A150" s="87" t="s">
        <v>59</v>
      </c>
      <c r="B150" s="704">
        <v>15.26</v>
      </c>
      <c r="C150" s="704">
        <v>16.12</v>
      </c>
      <c r="D150" s="704">
        <v>17.45</v>
      </c>
      <c r="E150" s="704">
        <v>17.45</v>
      </c>
      <c r="F150" s="704">
        <v>17.22</v>
      </c>
      <c r="G150" s="704">
        <v>15.71</v>
      </c>
      <c r="H150" s="704">
        <v>16.93</v>
      </c>
      <c r="I150" s="704">
        <v>16.649999999999999</v>
      </c>
      <c r="J150" s="704">
        <v>9.4499999999999993</v>
      </c>
      <c r="K150" s="704">
        <v>17.850000000000001</v>
      </c>
      <c r="L150" s="704">
        <v>15.05</v>
      </c>
      <c r="M150" s="704">
        <v>17.07</v>
      </c>
    </row>
    <row r="151" spans="1:13" ht="14.25" hidden="1" customHeight="1">
      <c r="A151" s="87" t="s">
        <v>40</v>
      </c>
      <c r="B151" s="704">
        <v>15.19</v>
      </c>
      <c r="C151" s="704">
        <v>18.03</v>
      </c>
      <c r="D151" s="704">
        <v>17.41</v>
      </c>
      <c r="E151" s="704">
        <v>17.47</v>
      </c>
      <c r="F151" s="704">
        <v>17.25</v>
      </c>
      <c r="G151" s="704">
        <v>17.59</v>
      </c>
      <c r="H151" s="704">
        <v>16.37</v>
      </c>
      <c r="I151" s="704">
        <v>16.52</v>
      </c>
      <c r="J151" s="704">
        <v>10.14</v>
      </c>
      <c r="K151" s="704">
        <v>17.989999999999998</v>
      </c>
      <c r="L151" s="704">
        <v>14.89</v>
      </c>
      <c r="M151" s="704">
        <v>17.05</v>
      </c>
    </row>
    <row r="152" spans="1:13" ht="14.25" hidden="1" customHeight="1">
      <c r="A152" s="87" t="s">
        <v>41</v>
      </c>
      <c r="B152" s="704">
        <v>13.39</v>
      </c>
      <c r="C152" s="704">
        <v>16.21</v>
      </c>
      <c r="D152" s="704">
        <v>17.43</v>
      </c>
      <c r="E152" s="704">
        <v>17.37</v>
      </c>
      <c r="F152" s="704">
        <v>17.2</v>
      </c>
      <c r="G152" s="704">
        <v>17.16</v>
      </c>
      <c r="H152" s="704">
        <v>16.37</v>
      </c>
      <c r="I152" s="704">
        <v>16.46</v>
      </c>
      <c r="J152" s="704">
        <v>9.33</v>
      </c>
      <c r="K152" s="704">
        <v>17.989999999999998</v>
      </c>
      <c r="L152" s="704">
        <v>14.48</v>
      </c>
      <c r="M152" s="704">
        <v>17</v>
      </c>
    </row>
    <row r="153" spans="1:13" ht="14.25" hidden="1" customHeight="1">
      <c r="A153" s="87" t="s">
        <v>42</v>
      </c>
      <c r="B153" s="704">
        <v>13.4</v>
      </c>
      <c r="C153" s="704">
        <v>15.83</v>
      </c>
      <c r="D153" s="704">
        <v>17.309999999999999</v>
      </c>
      <c r="E153" s="704">
        <v>17.739999999999998</v>
      </c>
      <c r="F153" s="704">
        <v>17.190000000000001</v>
      </c>
      <c r="G153" s="704">
        <v>16.93</v>
      </c>
      <c r="H153" s="704">
        <v>16.32</v>
      </c>
      <c r="I153" s="704">
        <v>16.38</v>
      </c>
      <c r="J153" s="704">
        <v>10.43</v>
      </c>
      <c r="K153" s="704">
        <v>17.7</v>
      </c>
      <c r="L153" s="704">
        <v>14.39</v>
      </c>
      <c r="M153" s="704">
        <v>16.96</v>
      </c>
    </row>
    <row r="154" spans="1:13" ht="14.25" hidden="1" customHeight="1">
      <c r="A154" s="87" t="s">
        <v>43</v>
      </c>
      <c r="B154" s="704">
        <v>12.82</v>
      </c>
      <c r="C154" s="704">
        <v>15.71</v>
      </c>
      <c r="D154" s="704">
        <v>17.309999999999999</v>
      </c>
      <c r="E154" s="704">
        <v>17.82</v>
      </c>
      <c r="F154" s="704">
        <v>17.3</v>
      </c>
      <c r="G154" s="704">
        <v>16.78</v>
      </c>
      <c r="H154" s="704">
        <v>16.34</v>
      </c>
      <c r="I154" s="704">
        <v>16.38</v>
      </c>
      <c r="J154" s="704">
        <v>10.029999999999999</v>
      </c>
      <c r="K154" s="704">
        <v>18.03</v>
      </c>
      <c r="L154" s="704">
        <v>14.35</v>
      </c>
      <c r="M154" s="704">
        <v>17.02</v>
      </c>
    </row>
    <row r="155" spans="1:13" ht="14.25" hidden="1" customHeight="1">
      <c r="A155" s="87" t="s">
        <v>44</v>
      </c>
      <c r="B155" s="704">
        <v>10.92</v>
      </c>
      <c r="C155" s="704">
        <v>17.350000000000001</v>
      </c>
      <c r="D155" s="704">
        <v>17.420000000000002</v>
      </c>
      <c r="E155" s="704">
        <v>17.91</v>
      </c>
      <c r="F155" s="704">
        <v>17.420000000000002</v>
      </c>
      <c r="G155" s="704">
        <v>16.5</v>
      </c>
      <c r="H155" s="704">
        <v>16.22</v>
      </c>
      <c r="I155" s="704">
        <v>16.239999999999998</v>
      </c>
      <c r="J155" s="704">
        <v>10.56</v>
      </c>
      <c r="K155" s="704">
        <v>18.010000000000002</v>
      </c>
      <c r="L155" s="704">
        <v>14.33</v>
      </c>
      <c r="M155" s="704">
        <v>17.059999999999999</v>
      </c>
    </row>
    <row r="156" spans="1:13" ht="14.25" hidden="1" customHeight="1">
      <c r="A156" s="87" t="s">
        <v>45</v>
      </c>
      <c r="B156" s="704">
        <v>13.01</v>
      </c>
      <c r="C156" s="704">
        <v>16.38</v>
      </c>
      <c r="D156" s="704">
        <v>17.12</v>
      </c>
      <c r="E156" s="704">
        <v>17.12</v>
      </c>
      <c r="F156" s="704">
        <v>17.02</v>
      </c>
      <c r="G156" s="704">
        <v>16.52</v>
      </c>
      <c r="H156" s="704">
        <v>16.23</v>
      </c>
      <c r="I156" s="704">
        <v>16.260000000000002</v>
      </c>
      <c r="J156" s="704">
        <v>10.8</v>
      </c>
      <c r="K156" s="704">
        <v>18.010000000000002</v>
      </c>
      <c r="L156" s="704">
        <v>14.29</v>
      </c>
      <c r="M156" s="704">
        <v>16.78</v>
      </c>
    </row>
    <row r="157" spans="1:13" ht="14.25" hidden="1" customHeight="1">
      <c r="A157" s="87" t="s">
        <v>46</v>
      </c>
      <c r="B157" s="704">
        <v>12.77</v>
      </c>
      <c r="C157" s="704">
        <v>15.6</v>
      </c>
      <c r="D157" s="704">
        <v>17.079999999999998</v>
      </c>
      <c r="E157" s="704">
        <v>17.22</v>
      </c>
      <c r="F157" s="704">
        <v>16.899999999999999</v>
      </c>
      <c r="G157" s="704">
        <v>16.149999999999999</v>
      </c>
      <c r="H157" s="704">
        <v>16.25</v>
      </c>
      <c r="I157" s="704">
        <v>16.239999999999998</v>
      </c>
      <c r="J157" s="704">
        <v>10.65</v>
      </c>
      <c r="K157" s="704">
        <v>17.79</v>
      </c>
      <c r="L157" s="704">
        <v>13.81</v>
      </c>
      <c r="M157" s="704">
        <v>16.68</v>
      </c>
    </row>
    <row r="158" spans="1:13" ht="14.25" hidden="1" customHeight="1">
      <c r="A158" s="87" t="s">
        <v>47</v>
      </c>
      <c r="B158" s="704">
        <v>10.65</v>
      </c>
      <c r="C158" s="704">
        <v>14.65</v>
      </c>
      <c r="D158" s="704">
        <v>16.8</v>
      </c>
      <c r="E158" s="704">
        <v>18.28</v>
      </c>
      <c r="F158" s="704">
        <v>16.899999999999999</v>
      </c>
      <c r="G158" s="704">
        <v>16.12</v>
      </c>
      <c r="H158" s="704">
        <v>16.16</v>
      </c>
      <c r="I158" s="704">
        <v>16.149999999999999</v>
      </c>
      <c r="J158" s="704">
        <v>10.98</v>
      </c>
      <c r="K158" s="704">
        <v>17.63</v>
      </c>
      <c r="L158" s="704">
        <v>13.83</v>
      </c>
      <c r="M158" s="704">
        <v>16.66</v>
      </c>
    </row>
    <row r="159" spans="1:13" ht="14.25" hidden="1" customHeight="1">
      <c r="A159" s="87" t="s">
        <v>48</v>
      </c>
      <c r="B159" s="704">
        <v>11.2</v>
      </c>
      <c r="C159" s="704">
        <v>16.100000000000001</v>
      </c>
      <c r="D159" s="704">
        <v>17</v>
      </c>
      <c r="E159" s="704">
        <v>16.600000000000001</v>
      </c>
      <c r="F159" s="704">
        <v>16.8</v>
      </c>
      <c r="G159" s="704">
        <v>15.8</v>
      </c>
      <c r="H159" s="704">
        <v>16.2</v>
      </c>
      <c r="I159" s="704">
        <v>16.100000000000001</v>
      </c>
      <c r="J159" s="704">
        <v>10.7</v>
      </c>
      <c r="K159" s="704">
        <v>17.7</v>
      </c>
      <c r="L159" s="704">
        <v>13.2</v>
      </c>
      <c r="M159" s="704">
        <v>16.600000000000001</v>
      </c>
    </row>
    <row r="160" spans="1:13" ht="14.25" hidden="1" customHeight="1">
      <c r="A160" s="87" t="s">
        <v>49</v>
      </c>
      <c r="B160" s="704">
        <v>12.14</v>
      </c>
      <c r="C160" s="704">
        <v>14.61</v>
      </c>
      <c r="D160" s="704">
        <v>17.07</v>
      </c>
      <c r="E160" s="704">
        <v>16.89</v>
      </c>
      <c r="F160" s="704">
        <v>16.940000000000001</v>
      </c>
      <c r="G160" s="704">
        <v>16.149999999999999</v>
      </c>
      <c r="H160" s="704">
        <v>16.13</v>
      </c>
      <c r="I160" s="704">
        <v>16.13</v>
      </c>
      <c r="J160" s="704">
        <v>10.6</v>
      </c>
      <c r="K160" s="704">
        <v>17.72</v>
      </c>
      <c r="L160" s="704">
        <v>13.11</v>
      </c>
      <c r="M160" s="704">
        <v>16.670000000000002</v>
      </c>
    </row>
    <row r="161" spans="1:13" ht="14.25" hidden="1" customHeight="1">
      <c r="A161" s="87" t="s">
        <v>50</v>
      </c>
      <c r="B161" s="704">
        <v>15.03</v>
      </c>
      <c r="C161" s="704">
        <v>14.49</v>
      </c>
      <c r="D161" s="704">
        <v>16.78</v>
      </c>
      <c r="E161" s="704">
        <v>16.350000000000001</v>
      </c>
      <c r="F161" s="704">
        <v>16.7</v>
      </c>
      <c r="G161" s="704">
        <v>16.149999999999999</v>
      </c>
      <c r="H161" s="704">
        <v>16</v>
      </c>
      <c r="I161" s="704">
        <v>16.010000000000002</v>
      </c>
      <c r="J161" s="704">
        <v>10.65</v>
      </c>
      <c r="K161" s="704">
        <v>17.760000000000002</v>
      </c>
      <c r="L161" s="704">
        <v>13.08</v>
      </c>
      <c r="M161" s="704">
        <v>16.47</v>
      </c>
    </row>
    <row r="162" spans="1:13" ht="14.25" hidden="1" customHeight="1">
      <c r="A162" s="87"/>
      <c r="B162" s="704"/>
      <c r="C162" s="704"/>
      <c r="D162" s="704"/>
      <c r="E162" s="704"/>
      <c r="F162" s="704"/>
      <c r="G162" s="704"/>
      <c r="H162" s="704"/>
      <c r="I162" s="704"/>
      <c r="J162" s="704"/>
      <c r="K162" s="704"/>
      <c r="L162" s="704"/>
      <c r="M162" s="704"/>
    </row>
    <row r="163" spans="1:13" ht="14.25" hidden="1" customHeight="1">
      <c r="A163" s="87" t="s">
        <v>58</v>
      </c>
      <c r="B163" s="704">
        <v>12.02</v>
      </c>
      <c r="C163" s="704">
        <v>14.81</v>
      </c>
      <c r="D163" s="704">
        <v>16.82</v>
      </c>
      <c r="E163" s="704">
        <v>16.86</v>
      </c>
      <c r="F163" s="704">
        <v>16.78</v>
      </c>
      <c r="G163" s="704">
        <v>15.76</v>
      </c>
      <c r="H163" s="704">
        <v>15.41</v>
      </c>
      <c r="I163" s="704">
        <v>15.44</v>
      </c>
      <c r="J163" s="704">
        <v>10.66</v>
      </c>
      <c r="K163" s="704">
        <v>17.77</v>
      </c>
      <c r="L163" s="704">
        <v>13.09</v>
      </c>
      <c r="M163" s="704">
        <v>16.32</v>
      </c>
    </row>
    <row r="164" spans="1:13" ht="14.25" hidden="1" customHeight="1">
      <c r="A164" s="87" t="s">
        <v>40</v>
      </c>
      <c r="B164" s="704">
        <v>14.53</v>
      </c>
      <c r="C164" s="704">
        <v>14.14</v>
      </c>
      <c r="D164" s="704">
        <v>16.63</v>
      </c>
      <c r="E164" s="704">
        <v>16.579999999999998</v>
      </c>
      <c r="F164" s="704">
        <v>16.59</v>
      </c>
      <c r="G164" s="704">
        <v>15.44</v>
      </c>
      <c r="H164" s="704">
        <v>15.35</v>
      </c>
      <c r="I164" s="704">
        <v>15.36</v>
      </c>
      <c r="J164" s="704">
        <v>10.95</v>
      </c>
      <c r="K164" s="704">
        <v>17.77</v>
      </c>
      <c r="L164" s="704">
        <v>13.23</v>
      </c>
      <c r="M164" s="704">
        <v>16.18</v>
      </c>
    </row>
    <row r="165" spans="1:13" ht="14.25" hidden="1" customHeight="1">
      <c r="A165" s="87" t="s">
        <v>41</v>
      </c>
      <c r="B165" s="704">
        <v>16.02</v>
      </c>
      <c r="C165" s="704">
        <v>14.69</v>
      </c>
      <c r="D165" s="704">
        <v>16.579999999999998</v>
      </c>
      <c r="E165" s="704">
        <v>16.46</v>
      </c>
      <c r="F165" s="704">
        <v>16.55</v>
      </c>
      <c r="G165" s="704">
        <v>15.69</v>
      </c>
      <c r="H165" s="704">
        <v>15.25</v>
      </c>
      <c r="I165" s="704">
        <v>15.29</v>
      </c>
      <c r="J165" s="704">
        <v>9.27</v>
      </c>
      <c r="K165" s="704">
        <v>18.84</v>
      </c>
      <c r="L165" s="704">
        <v>12.04</v>
      </c>
      <c r="M165" s="704">
        <v>16.13</v>
      </c>
    </row>
    <row r="166" spans="1:13" ht="14.25" hidden="1" customHeight="1">
      <c r="A166" s="87" t="s">
        <v>42</v>
      </c>
      <c r="B166" s="704">
        <v>13.06</v>
      </c>
      <c r="C166" s="704">
        <v>14.9</v>
      </c>
      <c r="D166" s="704">
        <v>16.64</v>
      </c>
      <c r="E166" s="704">
        <v>16.440000000000001</v>
      </c>
      <c r="F166" s="704">
        <v>16.600000000000001</v>
      </c>
      <c r="G166" s="704">
        <v>15.87</v>
      </c>
      <c r="H166" s="704">
        <v>15.23</v>
      </c>
      <c r="I166" s="704">
        <v>15.29</v>
      </c>
      <c r="J166" s="704">
        <v>10.23</v>
      </c>
      <c r="K166" s="704">
        <v>17.739999999999998</v>
      </c>
      <c r="L166" s="704">
        <v>12.21</v>
      </c>
      <c r="M166" s="704">
        <v>16.16</v>
      </c>
    </row>
    <row r="167" spans="1:13" ht="14.25" hidden="1" customHeight="1">
      <c r="A167" s="87" t="s">
        <v>43</v>
      </c>
      <c r="B167" s="704">
        <v>10.36</v>
      </c>
      <c r="C167" s="704">
        <v>14.27</v>
      </c>
      <c r="D167" s="704">
        <v>16.670000000000002</v>
      </c>
      <c r="E167" s="704">
        <v>16.38</v>
      </c>
      <c r="F167" s="704">
        <v>16.62</v>
      </c>
      <c r="G167" s="704">
        <v>15.8</v>
      </c>
      <c r="H167" s="704">
        <v>15.22</v>
      </c>
      <c r="I167" s="704">
        <v>15.28</v>
      </c>
      <c r="J167" s="704">
        <v>10.25</v>
      </c>
      <c r="K167" s="704">
        <v>17.75</v>
      </c>
      <c r="L167" s="704">
        <v>12.2</v>
      </c>
      <c r="M167" s="704">
        <v>16.170000000000002</v>
      </c>
    </row>
    <row r="168" spans="1:13" ht="14.25" hidden="1" customHeight="1">
      <c r="A168" s="87" t="s">
        <v>44</v>
      </c>
      <c r="B168" s="704">
        <v>16.09</v>
      </c>
      <c r="C168" s="704">
        <v>14.57</v>
      </c>
      <c r="D168" s="704">
        <v>16.559999999999999</v>
      </c>
      <c r="E168" s="704">
        <v>16.440000000000001</v>
      </c>
      <c r="F168" s="704">
        <v>16.52</v>
      </c>
      <c r="G168" s="704">
        <v>15.75</v>
      </c>
      <c r="H168" s="704">
        <v>15.12</v>
      </c>
      <c r="I168" s="704">
        <v>15.18</v>
      </c>
      <c r="J168" s="704">
        <v>11.08</v>
      </c>
      <c r="K168" s="704">
        <v>17.760000000000002</v>
      </c>
      <c r="L168" s="704">
        <v>12.59</v>
      </c>
      <c r="M168" s="704">
        <v>16.09</v>
      </c>
    </row>
    <row r="169" spans="1:13" ht="14.25" hidden="1" customHeight="1">
      <c r="A169" s="87" t="s">
        <v>45</v>
      </c>
      <c r="B169" s="704">
        <v>15.5</v>
      </c>
      <c r="C169" s="704">
        <v>14.36</v>
      </c>
      <c r="D169" s="704">
        <v>16.5</v>
      </c>
      <c r="E169" s="704">
        <v>16.97</v>
      </c>
      <c r="F169" s="704">
        <v>16.46</v>
      </c>
      <c r="G169" s="704">
        <v>15.62</v>
      </c>
      <c r="H169" s="704">
        <v>15.12</v>
      </c>
      <c r="I169" s="704">
        <v>15.17</v>
      </c>
      <c r="J169" s="704">
        <v>11.15</v>
      </c>
      <c r="K169" s="704">
        <v>17.309999999999999</v>
      </c>
      <c r="L169" s="704">
        <v>12.15</v>
      </c>
      <c r="M169" s="704">
        <v>16.059999999999999</v>
      </c>
    </row>
    <row r="170" spans="1:13" ht="14.25" hidden="1" customHeight="1">
      <c r="A170" s="87" t="s">
        <v>46</v>
      </c>
      <c r="B170" s="704">
        <v>15.74</v>
      </c>
      <c r="C170" s="704">
        <v>14.07</v>
      </c>
      <c r="D170" s="704">
        <v>16.59</v>
      </c>
      <c r="E170" s="704">
        <v>16.66</v>
      </c>
      <c r="F170" s="704">
        <v>16.48</v>
      </c>
      <c r="G170" s="704">
        <v>15.65</v>
      </c>
      <c r="H170" s="704">
        <v>15.01</v>
      </c>
      <c r="I170" s="704">
        <v>15.15</v>
      </c>
      <c r="J170" s="704">
        <v>11.54</v>
      </c>
      <c r="K170" s="704">
        <v>17.32</v>
      </c>
      <c r="L170" s="704">
        <v>12.41</v>
      </c>
      <c r="M170" s="704">
        <v>16.059999999999999</v>
      </c>
    </row>
    <row r="171" spans="1:13" ht="14.25" hidden="1" customHeight="1">
      <c r="A171" s="87" t="s">
        <v>47</v>
      </c>
      <c r="B171" s="704">
        <v>15.48</v>
      </c>
      <c r="C171" s="704">
        <v>14.67</v>
      </c>
      <c r="D171" s="704">
        <v>16.52</v>
      </c>
      <c r="E171" s="704">
        <v>16.86</v>
      </c>
      <c r="F171" s="704">
        <v>16.43</v>
      </c>
      <c r="G171" s="704">
        <v>15.63</v>
      </c>
      <c r="H171" s="704">
        <v>15.07</v>
      </c>
      <c r="I171" s="704">
        <v>15.12</v>
      </c>
      <c r="J171" s="704">
        <v>11.56</v>
      </c>
      <c r="K171" s="704">
        <v>17.329999999999998</v>
      </c>
      <c r="L171" s="704">
        <v>12.4</v>
      </c>
      <c r="M171" s="704">
        <v>16.03</v>
      </c>
    </row>
    <row r="172" spans="1:13" ht="14.25" hidden="1" customHeight="1">
      <c r="A172" s="87" t="s">
        <v>48</v>
      </c>
      <c r="B172" s="704">
        <v>15.12</v>
      </c>
      <c r="C172" s="704">
        <v>14.61</v>
      </c>
      <c r="D172" s="704">
        <v>16.510000000000002</v>
      </c>
      <c r="E172" s="704">
        <v>16.809999999999999</v>
      </c>
      <c r="F172" s="704">
        <v>16.43</v>
      </c>
      <c r="G172" s="704">
        <v>15.63</v>
      </c>
      <c r="H172" s="704">
        <v>15.06</v>
      </c>
      <c r="I172" s="704">
        <v>15.12</v>
      </c>
      <c r="J172" s="704">
        <v>11.49</v>
      </c>
      <c r="K172" s="704">
        <v>17.34</v>
      </c>
      <c r="L172" s="704">
        <v>12.31</v>
      </c>
      <c r="M172" s="704">
        <v>16</v>
      </c>
    </row>
    <row r="173" spans="1:13" ht="14.25" hidden="1" customHeight="1">
      <c r="A173" s="87" t="s">
        <v>49</v>
      </c>
      <c r="B173" s="704">
        <v>14.89</v>
      </c>
      <c r="C173" s="704">
        <v>15.54</v>
      </c>
      <c r="D173" s="704">
        <v>16.57</v>
      </c>
      <c r="E173" s="704">
        <v>16.010000000000002</v>
      </c>
      <c r="F173" s="704">
        <v>16.420000000000002</v>
      </c>
      <c r="G173" s="704">
        <v>15.75</v>
      </c>
      <c r="H173" s="704">
        <v>15.32</v>
      </c>
      <c r="I173" s="704">
        <v>15.41</v>
      </c>
      <c r="J173" s="704">
        <v>11.98</v>
      </c>
      <c r="K173" s="704">
        <v>16.420000000000002</v>
      </c>
      <c r="L173" s="704">
        <v>12.3</v>
      </c>
      <c r="M173" s="704">
        <v>16.13</v>
      </c>
    </row>
    <row r="174" spans="1:13" ht="14.25" hidden="1" customHeight="1">
      <c r="A174" s="87" t="s">
        <v>50</v>
      </c>
      <c r="B174" s="704">
        <v>14.28</v>
      </c>
      <c r="C174" s="704">
        <v>16.8</v>
      </c>
      <c r="D174" s="704">
        <v>16.25</v>
      </c>
      <c r="E174" s="704">
        <v>16.21</v>
      </c>
      <c r="F174" s="704">
        <v>16.239999999999998</v>
      </c>
      <c r="G174" s="704">
        <v>16.2</v>
      </c>
      <c r="H174" s="704">
        <v>15.04</v>
      </c>
      <c r="I174" s="704">
        <v>15.16</v>
      </c>
      <c r="J174" s="704">
        <v>11.1</v>
      </c>
      <c r="K174" s="704">
        <v>16.329999999999998</v>
      </c>
      <c r="L174" s="704">
        <v>12.1</v>
      </c>
      <c r="M174" s="704">
        <v>15.85</v>
      </c>
    </row>
    <row r="175" spans="1:13" ht="14.25" hidden="1" customHeight="1">
      <c r="A175" s="87"/>
      <c r="B175" s="704"/>
      <c r="C175" s="704"/>
      <c r="D175" s="704"/>
      <c r="E175" s="704"/>
      <c r="F175" s="704"/>
      <c r="G175" s="704"/>
      <c r="H175" s="704"/>
      <c r="I175" s="704"/>
      <c r="J175" s="704"/>
      <c r="K175" s="704"/>
      <c r="L175" s="704"/>
      <c r="M175" s="704"/>
    </row>
    <row r="176" spans="1:13" ht="14.25" hidden="1" customHeight="1">
      <c r="A176" s="87" t="s">
        <v>57</v>
      </c>
      <c r="B176" s="704">
        <v>13.8</v>
      </c>
      <c r="C176" s="704">
        <v>14.25</v>
      </c>
      <c r="D176" s="704">
        <v>16.190000000000001</v>
      </c>
      <c r="E176" s="704">
        <v>16.45</v>
      </c>
      <c r="F176" s="704">
        <v>16.100000000000001</v>
      </c>
      <c r="G176" s="704">
        <v>16.21</v>
      </c>
      <c r="H176" s="704">
        <v>15.03</v>
      </c>
      <c r="I176" s="704">
        <v>15.16</v>
      </c>
      <c r="J176" s="704">
        <v>11.38</v>
      </c>
      <c r="K176" s="704">
        <v>17.29</v>
      </c>
      <c r="L176" s="704">
        <v>12.18</v>
      </c>
      <c r="M176" s="704">
        <v>15.77</v>
      </c>
    </row>
    <row r="177" spans="1:16" ht="14.25" hidden="1" customHeight="1">
      <c r="A177" s="87" t="s">
        <v>40</v>
      </c>
      <c r="B177" s="704">
        <v>13.43</v>
      </c>
      <c r="C177" s="704">
        <v>14.46</v>
      </c>
      <c r="D177" s="704">
        <v>16.16</v>
      </c>
      <c r="E177" s="704">
        <v>17.71</v>
      </c>
      <c r="F177" s="704">
        <v>16.23</v>
      </c>
      <c r="G177" s="704">
        <v>15.63</v>
      </c>
      <c r="H177" s="704">
        <v>14.89</v>
      </c>
      <c r="I177" s="704">
        <v>14.97</v>
      </c>
      <c r="J177" s="704">
        <v>11.14</v>
      </c>
      <c r="K177" s="704">
        <v>17.2</v>
      </c>
      <c r="L177" s="704">
        <v>12</v>
      </c>
      <c r="M177" s="704">
        <v>15.81</v>
      </c>
    </row>
    <row r="178" spans="1:16" ht="14.25" hidden="1" customHeight="1">
      <c r="A178" s="87" t="s">
        <v>41</v>
      </c>
      <c r="B178" s="704">
        <v>14.54</v>
      </c>
      <c r="C178" s="704">
        <v>14.1</v>
      </c>
      <c r="D178" s="704">
        <v>15.94</v>
      </c>
      <c r="E178" s="704">
        <v>17.38</v>
      </c>
      <c r="F178" s="704">
        <v>16.04</v>
      </c>
      <c r="G178" s="704">
        <v>15.63</v>
      </c>
      <c r="H178" s="704">
        <v>14.81</v>
      </c>
      <c r="I178" s="704">
        <v>14.9</v>
      </c>
      <c r="J178" s="704">
        <v>11.32</v>
      </c>
      <c r="K178" s="704">
        <v>17.21</v>
      </c>
      <c r="L178" s="704">
        <v>12.15</v>
      </c>
      <c r="M178" s="704">
        <v>15.65</v>
      </c>
    </row>
    <row r="179" spans="1:16" ht="14.25" hidden="1" customHeight="1">
      <c r="A179" s="87" t="s">
        <v>42</v>
      </c>
      <c r="B179" s="704">
        <v>14.63</v>
      </c>
      <c r="C179" s="704">
        <v>14.09</v>
      </c>
      <c r="D179" s="704">
        <v>16.09</v>
      </c>
      <c r="E179" s="704">
        <v>17.04</v>
      </c>
      <c r="F179" s="704">
        <v>16.11</v>
      </c>
      <c r="G179" s="704">
        <v>14.81</v>
      </c>
      <c r="H179" s="704">
        <v>14.72</v>
      </c>
      <c r="I179" s="704">
        <v>14.81</v>
      </c>
      <c r="J179" s="704">
        <v>11.19</v>
      </c>
      <c r="K179" s="704">
        <v>17.23</v>
      </c>
      <c r="L179" s="704">
        <v>12.03</v>
      </c>
      <c r="M179" s="704">
        <v>15.68</v>
      </c>
      <c r="P179" s="689" t="s">
        <v>0</v>
      </c>
    </row>
    <row r="180" spans="1:16" ht="14.25" hidden="1" customHeight="1">
      <c r="A180" s="87" t="s">
        <v>43</v>
      </c>
      <c r="B180" s="704">
        <v>14.81</v>
      </c>
      <c r="C180" s="704">
        <v>14.12</v>
      </c>
      <c r="D180" s="704">
        <v>16.079999999999998</v>
      </c>
      <c r="E180" s="704">
        <v>17.87</v>
      </c>
      <c r="F180" s="704">
        <v>16.13</v>
      </c>
      <c r="G180" s="704">
        <v>15.63</v>
      </c>
      <c r="H180" s="704">
        <v>14.71</v>
      </c>
      <c r="I180" s="704">
        <v>14.79</v>
      </c>
      <c r="J180" s="704">
        <v>11.38</v>
      </c>
      <c r="K180" s="704">
        <v>17.34</v>
      </c>
      <c r="L180" s="704">
        <v>12.19</v>
      </c>
      <c r="M180" s="704">
        <v>15.68</v>
      </c>
    </row>
    <row r="181" spans="1:16" ht="14.25" hidden="1" customHeight="1">
      <c r="A181" s="87" t="s">
        <v>44</v>
      </c>
      <c r="B181" s="704">
        <v>15.85</v>
      </c>
      <c r="C181" s="704">
        <v>14.24</v>
      </c>
      <c r="D181" s="704">
        <v>15.76</v>
      </c>
      <c r="E181" s="704">
        <v>16.11</v>
      </c>
      <c r="F181" s="704">
        <v>15.77</v>
      </c>
      <c r="G181" s="704">
        <v>15.22</v>
      </c>
      <c r="H181" s="704">
        <v>14.7</v>
      </c>
      <c r="I181" s="704">
        <v>14.79</v>
      </c>
      <c r="J181" s="704">
        <v>13.6</v>
      </c>
      <c r="K181" s="704">
        <v>16.27</v>
      </c>
      <c r="L181" s="704">
        <v>14.01</v>
      </c>
      <c r="M181" s="704">
        <v>15.45</v>
      </c>
    </row>
    <row r="182" spans="1:16" ht="14.25" hidden="1" customHeight="1">
      <c r="A182" s="87" t="s">
        <v>45</v>
      </c>
      <c r="B182" s="704">
        <v>14.65</v>
      </c>
      <c r="C182" s="704">
        <v>14.17</v>
      </c>
      <c r="D182" s="704">
        <v>15.93</v>
      </c>
      <c r="E182" s="704">
        <v>17.55</v>
      </c>
      <c r="F182" s="704">
        <v>15.9</v>
      </c>
      <c r="G182" s="704">
        <v>15.43</v>
      </c>
      <c r="H182" s="704">
        <v>14.72</v>
      </c>
      <c r="I182" s="704">
        <v>14.79</v>
      </c>
      <c r="J182" s="704">
        <v>13.62</v>
      </c>
      <c r="K182" s="704">
        <v>15.01</v>
      </c>
      <c r="L182" s="704">
        <v>14.2</v>
      </c>
      <c r="M182" s="704">
        <v>15.56</v>
      </c>
    </row>
    <row r="183" spans="1:16" ht="14.25" hidden="1" customHeight="1">
      <c r="A183" s="87" t="s">
        <v>46</v>
      </c>
      <c r="B183" s="704">
        <v>13.95</v>
      </c>
      <c r="C183" s="704">
        <v>14.09</v>
      </c>
      <c r="D183" s="704">
        <v>15.99</v>
      </c>
      <c r="E183" s="704">
        <v>16.16</v>
      </c>
      <c r="F183" s="704">
        <v>15.82</v>
      </c>
      <c r="G183" s="704">
        <v>15.36</v>
      </c>
      <c r="H183" s="704">
        <v>14.75</v>
      </c>
      <c r="I183" s="704">
        <v>14.82</v>
      </c>
      <c r="J183" s="704">
        <v>13.23</v>
      </c>
      <c r="K183" s="704">
        <v>15.02</v>
      </c>
      <c r="L183" s="704">
        <v>14.02</v>
      </c>
      <c r="M183" s="704">
        <v>15.52</v>
      </c>
    </row>
    <row r="184" spans="1:16" ht="14.25" hidden="1" customHeight="1">
      <c r="A184" s="87" t="s">
        <v>47</v>
      </c>
      <c r="B184" s="704">
        <v>13.75</v>
      </c>
      <c r="C184" s="704">
        <v>13.57</v>
      </c>
      <c r="D184" s="704">
        <v>15.97</v>
      </c>
      <c r="E184" s="704">
        <v>15.86</v>
      </c>
      <c r="F184" s="704">
        <v>15.8</v>
      </c>
      <c r="G184" s="704">
        <v>15.37</v>
      </c>
      <c r="H184" s="704">
        <v>14.77</v>
      </c>
      <c r="I184" s="704">
        <v>14.84</v>
      </c>
      <c r="J184" s="704">
        <v>13.19</v>
      </c>
      <c r="K184" s="704">
        <v>15.02</v>
      </c>
      <c r="L184" s="704">
        <v>14.13</v>
      </c>
      <c r="M184" s="704">
        <v>15.52</v>
      </c>
    </row>
    <row r="185" spans="1:16" ht="14.25" hidden="1" customHeight="1">
      <c r="A185" s="87" t="s">
        <v>48</v>
      </c>
      <c r="B185" s="704">
        <v>13.4</v>
      </c>
      <c r="C185" s="704">
        <v>12</v>
      </c>
      <c r="D185" s="704">
        <v>15.7</v>
      </c>
      <c r="E185" s="704">
        <v>15.8</v>
      </c>
      <c r="F185" s="704">
        <v>15.5</v>
      </c>
      <c r="G185" s="704">
        <v>15.4</v>
      </c>
      <c r="H185" s="704">
        <v>14.8</v>
      </c>
      <c r="I185" s="704">
        <v>14.8</v>
      </c>
      <c r="J185" s="704">
        <v>13.4</v>
      </c>
      <c r="K185" s="704">
        <v>14.7</v>
      </c>
      <c r="L185" s="704">
        <v>14</v>
      </c>
      <c r="M185" s="704">
        <v>15.3</v>
      </c>
    </row>
    <row r="186" spans="1:16" ht="14.25" hidden="1" customHeight="1">
      <c r="A186" s="87" t="s">
        <v>49</v>
      </c>
      <c r="B186" s="704">
        <v>14.82</v>
      </c>
      <c r="C186" s="704">
        <v>12.16</v>
      </c>
      <c r="D186" s="704">
        <v>15.71</v>
      </c>
      <c r="E186" s="704">
        <v>15.46</v>
      </c>
      <c r="F186" s="704">
        <v>15.58</v>
      </c>
      <c r="G186" s="704">
        <v>15.44</v>
      </c>
      <c r="H186" s="704">
        <v>14.72</v>
      </c>
      <c r="I186" s="704">
        <v>14.8</v>
      </c>
      <c r="J186" s="704">
        <v>13.05</v>
      </c>
      <c r="K186" s="704">
        <v>15.23</v>
      </c>
      <c r="L186" s="704">
        <v>14.29</v>
      </c>
      <c r="M186" s="704">
        <v>15.36</v>
      </c>
    </row>
    <row r="187" spans="1:16" ht="14.25" hidden="1" customHeight="1">
      <c r="A187" s="87" t="s">
        <v>50</v>
      </c>
      <c r="B187" s="704">
        <v>14.14</v>
      </c>
      <c r="C187" s="704">
        <v>12.27</v>
      </c>
      <c r="D187" s="704">
        <v>15.58</v>
      </c>
      <c r="E187" s="704">
        <v>15.12</v>
      </c>
      <c r="F187" s="704">
        <v>15.49</v>
      </c>
      <c r="G187" s="704">
        <v>15.32</v>
      </c>
      <c r="H187" s="704">
        <v>14.79</v>
      </c>
      <c r="I187" s="704">
        <v>14.85</v>
      </c>
      <c r="J187" s="704">
        <v>13.28</v>
      </c>
      <c r="K187" s="704">
        <v>14.47</v>
      </c>
      <c r="L187" s="704">
        <v>14.79</v>
      </c>
      <c r="M187" s="704">
        <v>15.29</v>
      </c>
    </row>
    <row r="188" spans="1:16" ht="14.25" hidden="1" customHeight="1">
      <c r="A188" s="87"/>
      <c r="B188" s="704"/>
      <c r="C188" s="704"/>
      <c r="D188" s="704"/>
      <c r="E188" s="704"/>
      <c r="F188" s="704"/>
      <c r="G188" s="704"/>
      <c r="H188" s="704"/>
      <c r="I188" s="704"/>
      <c r="J188" s="704"/>
      <c r="K188" s="704"/>
      <c r="L188" s="704"/>
      <c r="M188" s="704"/>
    </row>
    <row r="189" spans="1:16" ht="14.25" hidden="1" customHeight="1">
      <c r="A189" s="87" t="s">
        <v>56</v>
      </c>
      <c r="B189" s="704">
        <v>13.76</v>
      </c>
      <c r="C189" s="704">
        <v>11.96</v>
      </c>
      <c r="D189" s="704">
        <v>15.56</v>
      </c>
      <c r="E189" s="704">
        <v>15.39</v>
      </c>
      <c r="F189" s="704">
        <v>15.48</v>
      </c>
      <c r="G189" s="704">
        <v>15.41</v>
      </c>
      <c r="H189" s="704">
        <v>14.78</v>
      </c>
      <c r="I189" s="704">
        <v>14.85</v>
      </c>
      <c r="J189" s="704">
        <v>13.58</v>
      </c>
      <c r="K189" s="704">
        <v>14.23</v>
      </c>
      <c r="L189" s="704">
        <v>14.06</v>
      </c>
      <c r="M189" s="704">
        <v>15.28</v>
      </c>
    </row>
    <row r="190" spans="1:16" ht="14.25" hidden="1" customHeight="1">
      <c r="A190" s="87" t="s">
        <v>40</v>
      </c>
      <c r="B190" s="704">
        <v>13.77</v>
      </c>
      <c r="C190" s="704">
        <v>12.09</v>
      </c>
      <c r="D190" s="704">
        <v>15.46</v>
      </c>
      <c r="E190" s="704">
        <v>15.79</v>
      </c>
      <c r="F190" s="704">
        <v>15.44</v>
      </c>
      <c r="G190" s="704">
        <v>15.28</v>
      </c>
      <c r="H190" s="704">
        <v>14.66</v>
      </c>
      <c r="I190" s="704">
        <v>14.73</v>
      </c>
      <c r="J190" s="704">
        <v>13.27</v>
      </c>
      <c r="K190" s="704">
        <v>14.48</v>
      </c>
      <c r="L190" s="704">
        <v>14.14</v>
      </c>
      <c r="M190" s="704">
        <v>15.22</v>
      </c>
    </row>
    <row r="191" spans="1:16" ht="14.25" hidden="1" customHeight="1">
      <c r="A191" s="87" t="s">
        <v>41</v>
      </c>
      <c r="B191" s="704">
        <v>14.08</v>
      </c>
      <c r="C191" s="704">
        <v>11.75</v>
      </c>
      <c r="D191" s="704">
        <v>15.58</v>
      </c>
      <c r="E191" s="704">
        <v>15.9</v>
      </c>
      <c r="F191" s="704">
        <v>15.75</v>
      </c>
      <c r="G191" s="704">
        <v>15.32</v>
      </c>
      <c r="H191" s="704">
        <v>14.62</v>
      </c>
      <c r="I191" s="704">
        <v>14.7</v>
      </c>
      <c r="J191" s="704">
        <v>13.28</v>
      </c>
      <c r="K191" s="704">
        <v>14.19</v>
      </c>
      <c r="L191" s="704">
        <v>13.96</v>
      </c>
      <c r="M191" s="704">
        <v>15.3</v>
      </c>
    </row>
    <row r="192" spans="1:16" ht="14.25" hidden="1" customHeight="1">
      <c r="A192" s="87" t="s">
        <v>42</v>
      </c>
      <c r="B192" s="704">
        <v>14.05</v>
      </c>
      <c r="C192" s="704">
        <v>11.77</v>
      </c>
      <c r="D192" s="704">
        <v>15.58</v>
      </c>
      <c r="E192" s="704">
        <v>15.64</v>
      </c>
      <c r="F192" s="704">
        <v>15.55</v>
      </c>
      <c r="G192" s="704">
        <v>15.33</v>
      </c>
      <c r="H192" s="704">
        <v>14.64</v>
      </c>
      <c r="I192" s="704">
        <v>14.71</v>
      </c>
      <c r="J192" s="704">
        <v>13.24</v>
      </c>
      <c r="K192" s="704">
        <v>14.22</v>
      </c>
      <c r="L192" s="704">
        <v>13.98</v>
      </c>
      <c r="M192" s="704">
        <v>15.29</v>
      </c>
    </row>
    <row r="193" spans="1:15" ht="14.25" hidden="1" customHeight="1">
      <c r="A193" s="87" t="s">
        <v>43</v>
      </c>
      <c r="B193" s="704">
        <v>14.5</v>
      </c>
      <c r="C193" s="704">
        <v>11.71</v>
      </c>
      <c r="D193" s="704">
        <v>15.58</v>
      </c>
      <c r="E193" s="704">
        <v>15.57</v>
      </c>
      <c r="F193" s="704">
        <v>15.54</v>
      </c>
      <c r="G193" s="704">
        <v>15.31</v>
      </c>
      <c r="H193" s="704">
        <v>14.58</v>
      </c>
      <c r="I193" s="704">
        <v>14.66</v>
      </c>
      <c r="J193" s="704">
        <v>13.26</v>
      </c>
      <c r="K193" s="704">
        <v>14.4</v>
      </c>
      <c r="L193" s="704">
        <v>14.12</v>
      </c>
      <c r="M193" s="704">
        <v>15.28</v>
      </c>
    </row>
    <row r="194" spans="1:15" ht="14.25" hidden="1" customHeight="1">
      <c r="A194" s="87" t="s">
        <v>44</v>
      </c>
      <c r="B194" s="704">
        <v>14.48</v>
      </c>
      <c r="C194" s="704">
        <v>11.54</v>
      </c>
      <c r="D194" s="704">
        <v>15.68</v>
      </c>
      <c r="E194" s="704">
        <v>15.72</v>
      </c>
      <c r="F194" s="704">
        <v>15.61</v>
      </c>
      <c r="G194" s="704">
        <v>15.27</v>
      </c>
      <c r="H194" s="704">
        <v>14.64</v>
      </c>
      <c r="I194" s="704">
        <v>14.71</v>
      </c>
      <c r="J194" s="704">
        <v>13.14</v>
      </c>
      <c r="K194" s="704">
        <v>14.5</v>
      </c>
      <c r="L194" s="704">
        <v>14.13</v>
      </c>
      <c r="M194" s="704">
        <v>15.35</v>
      </c>
    </row>
    <row r="195" spans="1:15" ht="14.25" hidden="1" customHeight="1">
      <c r="A195" s="87" t="s">
        <v>45</v>
      </c>
      <c r="B195" s="704">
        <v>15.58</v>
      </c>
      <c r="C195" s="704">
        <v>11.58</v>
      </c>
      <c r="D195" s="704">
        <v>15.7</v>
      </c>
      <c r="E195" s="704">
        <v>14.71</v>
      </c>
      <c r="F195" s="704">
        <v>15.6</v>
      </c>
      <c r="G195" s="704">
        <v>15.39</v>
      </c>
      <c r="H195" s="704">
        <v>14.63</v>
      </c>
      <c r="I195" s="704">
        <v>14.1</v>
      </c>
      <c r="J195" s="704">
        <v>13.12</v>
      </c>
      <c r="K195" s="704">
        <v>14.46</v>
      </c>
      <c r="L195" s="704">
        <v>14.71</v>
      </c>
      <c r="M195" s="704">
        <v>15.34</v>
      </c>
      <c r="O195" s="689" t="s">
        <v>0</v>
      </c>
    </row>
    <row r="196" spans="1:15" ht="14.25" hidden="1" customHeight="1">
      <c r="A196" s="87" t="s">
        <v>46</v>
      </c>
      <c r="B196" s="704">
        <v>15.69</v>
      </c>
      <c r="C196" s="704">
        <v>11.64</v>
      </c>
      <c r="D196" s="704">
        <v>15.74</v>
      </c>
      <c r="E196" s="704">
        <v>15.09</v>
      </c>
      <c r="F196" s="704">
        <v>15.66</v>
      </c>
      <c r="G196" s="704">
        <v>15.32</v>
      </c>
      <c r="H196" s="704">
        <v>14.62</v>
      </c>
      <c r="I196" s="704">
        <v>14.69</v>
      </c>
      <c r="J196" s="704">
        <v>13.27</v>
      </c>
      <c r="K196" s="704">
        <v>14.28</v>
      </c>
      <c r="L196" s="704">
        <v>14.05</v>
      </c>
      <c r="M196" s="704">
        <v>15.38</v>
      </c>
    </row>
    <row r="197" spans="1:15" ht="14.25" hidden="1" customHeight="1">
      <c r="A197" s="87" t="s">
        <v>47</v>
      </c>
      <c r="B197" s="704">
        <v>15.45</v>
      </c>
      <c r="C197" s="704">
        <v>11.48</v>
      </c>
      <c r="D197" s="704">
        <v>15.92</v>
      </c>
      <c r="E197" s="704">
        <v>15.21</v>
      </c>
      <c r="F197" s="704">
        <v>15.82</v>
      </c>
      <c r="G197" s="704">
        <v>15.39</v>
      </c>
      <c r="H197" s="704">
        <v>14.65</v>
      </c>
      <c r="I197" s="704">
        <v>14.72</v>
      </c>
      <c r="J197" s="704">
        <v>13.31</v>
      </c>
      <c r="K197" s="704">
        <v>14.93</v>
      </c>
      <c r="L197" s="704">
        <v>14.51</v>
      </c>
      <c r="M197" s="704">
        <v>15.51</v>
      </c>
    </row>
    <row r="198" spans="1:15" ht="14.25" hidden="1" customHeight="1">
      <c r="A198" s="87" t="s">
        <v>48</v>
      </c>
      <c r="B198" s="704">
        <v>15.26</v>
      </c>
      <c r="C198" s="704">
        <v>12.14</v>
      </c>
      <c r="D198" s="704">
        <v>16</v>
      </c>
      <c r="E198" s="704">
        <v>15.39</v>
      </c>
      <c r="F198" s="704">
        <v>15.89</v>
      </c>
      <c r="G198" s="704">
        <v>15.43</v>
      </c>
      <c r="H198" s="704">
        <v>14.64</v>
      </c>
      <c r="I198" s="704">
        <v>14.72</v>
      </c>
      <c r="J198" s="704">
        <v>13.25</v>
      </c>
      <c r="K198" s="704">
        <v>15.11</v>
      </c>
      <c r="L198" s="704">
        <v>14.64</v>
      </c>
      <c r="M198" s="704">
        <v>15.57</v>
      </c>
    </row>
    <row r="199" spans="1:15" ht="14.25" hidden="1" customHeight="1">
      <c r="A199" s="87" t="s">
        <v>49</v>
      </c>
      <c r="B199" s="704">
        <v>15.27</v>
      </c>
      <c r="C199" s="704">
        <v>11.45</v>
      </c>
      <c r="D199" s="704">
        <v>16.03</v>
      </c>
      <c r="E199" s="704">
        <v>15.39</v>
      </c>
      <c r="F199" s="704">
        <v>15.93</v>
      </c>
      <c r="G199" s="704">
        <v>15.06</v>
      </c>
      <c r="H199" s="704">
        <v>14.7</v>
      </c>
      <c r="I199" s="704">
        <v>14.73</v>
      </c>
      <c r="J199" s="704">
        <v>13.19</v>
      </c>
      <c r="K199" s="704">
        <v>15.12</v>
      </c>
      <c r="L199" s="704">
        <v>14.62</v>
      </c>
      <c r="M199" s="704">
        <v>15.6</v>
      </c>
    </row>
    <row r="200" spans="1:15" ht="14.25" hidden="1" customHeight="1">
      <c r="A200" s="87" t="s">
        <v>50</v>
      </c>
      <c r="B200" s="704">
        <v>15.41</v>
      </c>
      <c r="C200" s="704">
        <v>11.76</v>
      </c>
      <c r="D200" s="704">
        <v>16.170000000000002</v>
      </c>
      <c r="E200" s="704">
        <v>15.53</v>
      </c>
      <c r="F200" s="704">
        <v>16.079999999999998</v>
      </c>
      <c r="G200" s="704">
        <v>15.42</v>
      </c>
      <c r="H200" s="704">
        <v>14.57</v>
      </c>
      <c r="I200" s="704">
        <v>14.65</v>
      </c>
      <c r="J200" s="704">
        <v>13.17</v>
      </c>
      <c r="K200" s="704">
        <v>15.33</v>
      </c>
      <c r="L200" s="704">
        <v>14.92</v>
      </c>
      <c r="M200" s="704">
        <v>15.67</v>
      </c>
    </row>
    <row r="201" spans="1:15" ht="14.25" hidden="1" customHeight="1">
      <c r="A201" s="87"/>
      <c r="B201" s="704"/>
      <c r="C201" s="704"/>
      <c r="D201" s="704"/>
      <c r="E201" s="704"/>
      <c r="F201" s="704"/>
      <c r="G201" s="704"/>
      <c r="H201" s="704"/>
      <c r="I201" s="704"/>
      <c r="J201" s="704"/>
      <c r="K201" s="704"/>
      <c r="L201" s="704"/>
      <c r="M201" s="704"/>
    </row>
    <row r="202" spans="1:15" ht="14.25" hidden="1" customHeight="1">
      <c r="A202" s="87" t="s">
        <v>55</v>
      </c>
      <c r="B202" s="704">
        <v>15.46</v>
      </c>
      <c r="C202" s="704">
        <v>18.440000000000001</v>
      </c>
      <c r="D202" s="704">
        <v>16.68</v>
      </c>
      <c r="E202" s="704">
        <v>16.079999999999998</v>
      </c>
      <c r="F202" s="704">
        <v>16.62</v>
      </c>
      <c r="G202" s="704">
        <v>15.4</v>
      </c>
      <c r="H202" s="704">
        <v>14.49</v>
      </c>
      <c r="I202" s="704">
        <v>14.58</v>
      </c>
      <c r="J202" s="704">
        <v>13.16</v>
      </c>
      <c r="K202" s="704">
        <v>15.38</v>
      </c>
      <c r="L202" s="704">
        <v>14.96</v>
      </c>
      <c r="M202" s="704">
        <v>16.02</v>
      </c>
    </row>
    <row r="203" spans="1:15" ht="14.25" hidden="1" customHeight="1">
      <c r="A203" s="87" t="s">
        <v>40</v>
      </c>
      <c r="B203" s="704">
        <v>15.57</v>
      </c>
      <c r="C203" s="704">
        <v>14.94</v>
      </c>
      <c r="D203" s="704">
        <v>16.62</v>
      </c>
      <c r="E203" s="704">
        <v>16.11</v>
      </c>
      <c r="F203" s="704">
        <v>16.55</v>
      </c>
      <c r="G203" s="704">
        <v>15.43</v>
      </c>
      <c r="H203" s="704">
        <v>14.55</v>
      </c>
      <c r="I203" s="704">
        <v>14.63</v>
      </c>
      <c r="J203" s="704">
        <v>13.07</v>
      </c>
      <c r="K203" s="704">
        <v>15.57</v>
      </c>
      <c r="L203" s="704">
        <v>15.08</v>
      </c>
      <c r="M203" s="704">
        <v>16</v>
      </c>
    </row>
    <row r="204" spans="1:15" ht="14.25" hidden="1" customHeight="1">
      <c r="A204" s="87" t="s">
        <v>41</v>
      </c>
      <c r="B204" s="704">
        <v>15.84</v>
      </c>
      <c r="C204" s="704">
        <v>14.33</v>
      </c>
      <c r="D204" s="704">
        <v>16.510000000000002</v>
      </c>
      <c r="E204" s="704">
        <v>16.72</v>
      </c>
      <c r="F204" s="704">
        <v>16.5</v>
      </c>
      <c r="G204" s="704">
        <v>15.45</v>
      </c>
      <c r="H204" s="704">
        <v>14.64</v>
      </c>
      <c r="I204" s="704">
        <v>14.71</v>
      </c>
      <c r="J204" s="704">
        <v>13.07</v>
      </c>
      <c r="K204" s="704">
        <v>15.61</v>
      </c>
      <c r="L204" s="704">
        <v>15.12</v>
      </c>
      <c r="M204" s="704">
        <v>16</v>
      </c>
    </row>
    <row r="205" spans="1:15" ht="14.25" hidden="1" customHeight="1">
      <c r="A205" s="87" t="s">
        <v>42</v>
      </c>
      <c r="B205" s="704">
        <v>15.94</v>
      </c>
      <c r="C205" s="704">
        <v>14.43</v>
      </c>
      <c r="D205" s="704">
        <v>16.64</v>
      </c>
      <c r="E205" s="704">
        <v>15.37</v>
      </c>
      <c r="F205" s="704">
        <v>16.510000000000002</v>
      </c>
      <c r="G205" s="704">
        <v>16.09</v>
      </c>
      <c r="H205" s="704">
        <v>14.47</v>
      </c>
      <c r="I205" s="704">
        <v>14.54</v>
      </c>
      <c r="J205" s="704">
        <v>13.32</v>
      </c>
      <c r="K205" s="704">
        <v>15.56</v>
      </c>
      <c r="L205" s="704">
        <v>15.01</v>
      </c>
      <c r="M205" s="704">
        <v>16.010000000000002</v>
      </c>
    </row>
    <row r="206" spans="1:15" ht="14.25" hidden="1" customHeight="1">
      <c r="A206" s="87" t="s">
        <v>43</v>
      </c>
      <c r="B206" s="704">
        <v>14.72</v>
      </c>
      <c r="C206" s="704">
        <v>13.46</v>
      </c>
      <c r="D206" s="704">
        <v>16.649999999999999</v>
      </c>
      <c r="E206" s="704">
        <v>16.02</v>
      </c>
      <c r="F206" s="704">
        <v>16.559999999999999</v>
      </c>
      <c r="G206" s="704">
        <v>15.43</v>
      </c>
      <c r="H206" s="704">
        <v>14.63</v>
      </c>
      <c r="I206" s="704">
        <v>14.7</v>
      </c>
      <c r="J206" s="704">
        <v>13.73</v>
      </c>
      <c r="K206" s="704">
        <v>15.79</v>
      </c>
      <c r="L206" s="704">
        <v>15.2</v>
      </c>
      <c r="M206" s="704">
        <v>16.03</v>
      </c>
    </row>
    <row r="207" spans="1:15" ht="14.25" hidden="1" customHeight="1">
      <c r="A207" s="87" t="s">
        <v>44</v>
      </c>
      <c r="B207" s="704">
        <v>14.3</v>
      </c>
      <c r="C207" s="704">
        <v>13.42</v>
      </c>
      <c r="D207" s="704">
        <v>16.7</v>
      </c>
      <c r="E207" s="704">
        <v>15.77</v>
      </c>
      <c r="F207" s="704">
        <v>16.59</v>
      </c>
      <c r="G207" s="704">
        <v>16.059999999999999</v>
      </c>
      <c r="H207" s="704">
        <v>14.6</v>
      </c>
      <c r="I207" s="704">
        <v>14.82</v>
      </c>
      <c r="J207" s="704">
        <v>13.49</v>
      </c>
      <c r="K207" s="704">
        <v>15.62</v>
      </c>
      <c r="L207" s="704">
        <v>14.94</v>
      </c>
      <c r="M207" s="704">
        <v>16.079999999999998</v>
      </c>
    </row>
    <row r="208" spans="1:15" ht="14.25" hidden="1" customHeight="1">
      <c r="A208" s="87" t="s">
        <v>45</v>
      </c>
      <c r="B208" s="704">
        <v>15.53</v>
      </c>
      <c r="C208" s="704">
        <v>13.44</v>
      </c>
      <c r="D208" s="704">
        <v>16.79</v>
      </c>
      <c r="E208" s="704">
        <v>15.85</v>
      </c>
      <c r="F208" s="704">
        <v>16.7</v>
      </c>
      <c r="G208" s="704">
        <v>15.55</v>
      </c>
      <c r="H208" s="704">
        <v>14.83</v>
      </c>
      <c r="I208" s="704">
        <v>14.88</v>
      </c>
      <c r="J208" s="704">
        <v>13.86</v>
      </c>
      <c r="K208" s="704">
        <v>15.77</v>
      </c>
      <c r="L208" s="704">
        <v>15.27</v>
      </c>
      <c r="M208" s="704">
        <v>16.12</v>
      </c>
    </row>
    <row r="209" spans="1:13" ht="14.25" hidden="1" customHeight="1">
      <c r="A209" s="87" t="s">
        <v>46</v>
      </c>
      <c r="B209" s="704">
        <v>15.28</v>
      </c>
      <c r="C209" s="704">
        <v>13.59</v>
      </c>
      <c r="D209" s="704">
        <v>16.97</v>
      </c>
      <c r="E209" s="704">
        <v>17</v>
      </c>
      <c r="F209" s="704">
        <v>16.87</v>
      </c>
      <c r="G209" s="704">
        <v>15.93</v>
      </c>
      <c r="H209" s="704">
        <v>14.82</v>
      </c>
      <c r="I209" s="704">
        <v>14.91</v>
      </c>
      <c r="J209" s="704">
        <v>13.85</v>
      </c>
      <c r="K209" s="704">
        <v>15.76</v>
      </c>
      <c r="L209" s="704">
        <v>15.25</v>
      </c>
      <c r="M209" s="704">
        <v>16.239999999999998</v>
      </c>
    </row>
    <row r="210" spans="1:13" ht="14.25" hidden="1" customHeight="1">
      <c r="A210" s="87" t="s">
        <v>47</v>
      </c>
      <c r="B210" s="704">
        <v>15.25</v>
      </c>
      <c r="C210" s="704">
        <v>13.54</v>
      </c>
      <c r="D210" s="704">
        <v>17.07</v>
      </c>
      <c r="E210" s="704">
        <v>15.95</v>
      </c>
      <c r="F210" s="704">
        <v>16.88</v>
      </c>
      <c r="G210" s="704">
        <v>15.41</v>
      </c>
      <c r="H210" s="704">
        <v>14.8</v>
      </c>
      <c r="I210" s="704">
        <v>14.86</v>
      </c>
      <c r="J210" s="704">
        <v>13.22</v>
      </c>
      <c r="K210" s="704">
        <v>15.55</v>
      </c>
      <c r="L210" s="704">
        <v>15.21</v>
      </c>
      <c r="M210" s="704">
        <v>16.239999999999998</v>
      </c>
    </row>
    <row r="211" spans="1:13" ht="14.25" hidden="1" customHeight="1">
      <c r="A211" s="87" t="s">
        <v>48</v>
      </c>
      <c r="B211" s="704">
        <v>15.1</v>
      </c>
      <c r="C211" s="704">
        <v>13.43</v>
      </c>
      <c r="D211" s="704">
        <v>17.010000000000002</v>
      </c>
      <c r="E211" s="704">
        <v>15.37</v>
      </c>
      <c r="F211" s="704">
        <v>16.850000000000001</v>
      </c>
      <c r="G211" s="704">
        <v>15.57</v>
      </c>
      <c r="H211" s="704">
        <v>14.82</v>
      </c>
      <c r="I211" s="704">
        <v>14.87</v>
      </c>
      <c r="J211" s="704">
        <v>13.91</v>
      </c>
      <c r="K211" s="704">
        <v>15.45</v>
      </c>
      <c r="L211" s="704">
        <v>15.16</v>
      </c>
      <c r="M211" s="704">
        <v>16.22</v>
      </c>
    </row>
    <row r="212" spans="1:13" ht="14.25" hidden="1" customHeight="1">
      <c r="A212" s="87" t="s">
        <v>49</v>
      </c>
      <c r="B212" s="704">
        <v>15.06</v>
      </c>
      <c r="C212" s="704">
        <v>13.41</v>
      </c>
      <c r="D212" s="704">
        <v>16.93</v>
      </c>
      <c r="E212" s="704">
        <v>15.4</v>
      </c>
      <c r="F212" s="704">
        <v>16.760000000000002</v>
      </c>
      <c r="G212" s="704">
        <v>15.85</v>
      </c>
      <c r="H212" s="704">
        <v>14.83</v>
      </c>
      <c r="I212" s="704">
        <v>14.91</v>
      </c>
      <c r="J212" s="704">
        <v>12.94</v>
      </c>
      <c r="K212" s="704">
        <v>15.65</v>
      </c>
      <c r="L212" s="704">
        <v>15.3</v>
      </c>
      <c r="M212" s="704">
        <v>16.190000000000001</v>
      </c>
    </row>
    <row r="213" spans="1:13" ht="14.25" hidden="1" customHeight="1">
      <c r="A213" s="87" t="s">
        <v>50</v>
      </c>
      <c r="B213" s="704">
        <v>14.96</v>
      </c>
      <c r="C213" s="704">
        <v>18.86</v>
      </c>
      <c r="D213" s="704">
        <v>16.96</v>
      </c>
      <c r="E213" s="704">
        <v>15.8</v>
      </c>
      <c r="F213" s="704">
        <v>16.87</v>
      </c>
      <c r="G213" s="704">
        <v>15.5</v>
      </c>
      <c r="H213" s="704">
        <v>14.84</v>
      </c>
      <c r="I213" s="704">
        <v>14.89</v>
      </c>
      <c r="J213" s="704">
        <v>13.84</v>
      </c>
      <c r="K213" s="704">
        <v>15.46</v>
      </c>
      <c r="L213" s="704">
        <v>15.27</v>
      </c>
      <c r="M213" s="704">
        <v>16.239999999999998</v>
      </c>
    </row>
    <row r="214" spans="1:13" ht="14.25" hidden="1" customHeight="1">
      <c r="A214" s="222"/>
      <c r="B214" s="704"/>
      <c r="C214" s="704"/>
      <c r="D214" s="704"/>
      <c r="E214" s="704"/>
      <c r="F214" s="704"/>
      <c r="G214" s="704"/>
      <c r="H214" s="704"/>
      <c r="I214" s="704"/>
      <c r="J214" s="704"/>
      <c r="K214" s="704"/>
      <c r="L214" s="704"/>
      <c r="M214" s="704"/>
    </row>
    <row r="215" spans="1:13" ht="14.25" hidden="1" customHeight="1">
      <c r="A215" s="87" t="s">
        <v>54</v>
      </c>
      <c r="B215" s="704">
        <v>14.98</v>
      </c>
      <c r="C215" s="704">
        <v>14.1</v>
      </c>
      <c r="D215" s="704">
        <v>16.97</v>
      </c>
      <c r="E215" s="704">
        <v>15.89</v>
      </c>
      <c r="F215" s="704">
        <v>16.86</v>
      </c>
      <c r="G215" s="704">
        <v>15.59</v>
      </c>
      <c r="H215" s="704">
        <v>14.89</v>
      </c>
      <c r="I215" s="704">
        <v>14.94</v>
      </c>
      <c r="J215" s="704">
        <v>13.28</v>
      </c>
      <c r="K215" s="704">
        <v>15.33</v>
      </c>
      <c r="L215" s="704">
        <v>15.18</v>
      </c>
      <c r="M215" s="704">
        <v>16.25</v>
      </c>
    </row>
    <row r="216" spans="1:13" ht="14.25" hidden="1" customHeight="1">
      <c r="A216" s="87" t="s">
        <v>40</v>
      </c>
      <c r="B216" s="704">
        <v>14.91</v>
      </c>
      <c r="C216" s="704">
        <v>14.09</v>
      </c>
      <c r="D216" s="704">
        <v>17</v>
      </c>
      <c r="E216" s="704">
        <v>15.79</v>
      </c>
      <c r="F216" s="704">
        <v>16.87</v>
      </c>
      <c r="G216" s="704">
        <v>15.61</v>
      </c>
      <c r="H216" s="704">
        <v>14.88</v>
      </c>
      <c r="I216" s="704">
        <v>14.93</v>
      </c>
      <c r="J216" s="704">
        <v>13.65</v>
      </c>
      <c r="K216" s="704">
        <v>15.3</v>
      </c>
      <c r="L216" s="704">
        <v>15.16</v>
      </c>
      <c r="M216" s="704">
        <v>16.260000000000002</v>
      </c>
    </row>
    <row r="217" spans="1:13" ht="14.25" hidden="1" customHeight="1">
      <c r="A217" s="87" t="s">
        <v>41</v>
      </c>
      <c r="B217" s="704">
        <v>15.02</v>
      </c>
      <c r="C217" s="704">
        <v>14.07</v>
      </c>
      <c r="D217" s="704">
        <v>16.96</v>
      </c>
      <c r="E217" s="704">
        <v>15.56</v>
      </c>
      <c r="F217" s="704">
        <v>16.82</v>
      </c>
      <c r="G217" s="704">
        <v>15.6</v>
      </c>
      <c r="H217" s="704">
        <v>14.93</v>
      </c>
      <c r="I217" s="704">
        <v>14.97</v>
      </c>
      <c r="J217" s="704">
        <v>12.51</v>
      </c>
      <c r="K217" s="704">
        <v>15.42</v>
      </c>
      <c r="L217" s="704">
        <v>15.25</v>
      </c>
      <c r="M217" s="704">
        <v>16.260000000000002</v>
      </c>
    </row>
    <row r="218" spans="1:13" ht="14.25" hidden="1" customHeight="1">
      <c r="A218" s="87" t="s">
        <v>42</v>
      </c>
      <c r="B218" s="704">
        <v>15.41</v>
      </c>
      <c r="C218" s="704">
        <v>14.08</v>
      </c>
      <c r="D218" s="704">
        <v>16.989999999999998</v>
      </c>
      <c r="E218" s="704">
        <v>15.96</v>
      </c>
      <c r="F218" s="704">
        <v>16.88</v>
      </c>
      <c r="G218" s="704">
        <v>15.56</v>
      </c>
      <c r="H218" s="704">
        <v>15.06</v>
      </c>
      <c r="I218" s="704">
        <v>15.09</v>
      </c>
      <c r="J218" s="704">
        <v>13.11</v>
      </c>
      <c r="K218" s="704">
        <v>15.43</v>
      </c>
      <c r="L218" s="704">
        <v>15.28</v>
      </c>
      <c r="M218" s="704">
        <v>16.34</v>
      </c>
    </row>
    <row r="219" spans="1:13" ht="14.25" hidden="1" customHeight="1">
      <c r="A219" s="87" t="s">
        <v>43</v>
      </c>
      <c r="B219" s="704">
        <v>15.45</v>
      </c>
      <c r="C219" s="704">
        <v>15.71</v>
      </c>
      <c r="D219" s="704">
        <v>17.239999999999998</v>
      </c>
      <c r="E219" s="704">
        <v>16.41</v>
      </c>
      <c r="F219" s="704">
        <v>17.14</v>
      </c>
      <c r="G219" s="704">
        <v>16.010000000000002</v>
      </c>
      <c r="H219" s="704">
        <v>15.07</v>
      </c>
      <c r="I219" s="704">
        <v>15.14</v>
      </c>
      <c r="J219" s="704">
        <v>12.63</v>
      </c>
      <c r="K219" s="704">
        <v>15.36</v>
      </c>
      <c r="L219" s="704">
        <v>15.18</v>
      </c>
      <c r="M219" s="704">
        <v>16.510000000000002</v>
      </c>
    </row>
    <row r="220" spans="1:13" ht="14.25" hidden="1" customHeight="1">
      <c r="A220" s="87" t="s">
        <v>44</v>
      </c>
      <c r="B220" s="704">
        <v>15.26</v>
      </c>
      <c r="C220" s="704">
        <v>14.13</v>
      </c>
      <c r="D220" s="704">
        <v>17.149999999999999</v>
      </c>
      <c r="E220" s="704">
        <v>16.07</v>
      </c>
      <c r="F220" s="704">
        <v>17.010000000000002</v>
      </c>
      <c r="G220" s="704">
        <v>15.58</v>
      </c>
      <c r="H220" s="704">
        <v>15.66</v>
      </c>
      <c r="I220" s="704">
        <v>15.66</v>
      </c>
      <c r="J220" s="704">
        <v>14.95</v>
      </c>
      <c r="K220" s="704">
        <v>16.46</v>
      </c>
      <c r="L220" s="704">
        <v>16.38</v>
      </c>
      <c r="M220" s="704">
        <v>16.63</v>
      </c>
    </row>
    <row r="221" spans="1:13" ht="14.25" hidden="1" customHeight="1">
      <c r="A221" s="87" t="s">
        <v>45</v>
      </c>
      <c r="B221" s="704">
        <v>15.59</v>
      </c>
      <c r="C221" s="704">
        <v>14.35</v>
      </c>
      <c r="D221" s="704">
        <v>17.29</v>
      </c>
      <c r="E221" s="704">
        <v>15.81</v>
      </c>
      <c r="F221" s="704">
        <v>17.09</v>
      </c>
      <c r="G221" s="704">
        <v>15.58</v>
      </c>
      <c r="H221" s="704">
        <v>15.7</v>
      </c>
      <c r="I221" s="704">
        <v>15.69</v>
      </c>
      <c r="J221" s="704">
        <v>14.58</v>
      </c>
      <c r="K221" s="704">
        <v>16.079999999999998</v>
      </c>
      <c r="L221" s="704">
        <v>16.03</v>
      </c>
      <c r="M221" s="704">
        <v>16.62</v>
      </c>
    </row>
    <row r="222" spans="1:13" ht="14.25" hidden="1" customHeight="1">
      <c r="A222" s="87" t="s">
        <v>46</v>
      </c>
      <c r="B222" s="704">
        <v>15.7</v>
      </c>
      <c r="C222" s="704">
        <v>14.45</v>
      </c>
      <c r="D222" s="704">
        <v>16.940000000000001</v>
      </c>
      <c r="E222" s="704">
        <v>15.94</v>
      </c>
      <c r="F222" s="704">
        <v>16.850000000000001</v>
      </c>
      <c r="G222" s="704">
        <v>15.66</v>
      </c>
      <c r="H222" s="704">
        <v>15.82</v>
      </c>
      <c r="I222" s="704">
        <v>15.81</v>
      </c>
      <c r="J222" s="704">
        <v>14.8</v>
      </c>
      <c r="K222" s="704">
        <v>16.059999999999999</v>
      </c>
      <c r="L222" s="704">
        <v>16.010000000000002</v>
      </c>
      <c r="M222" s="704">
        <v>16.510000000000002</v>
      </c>
    </row>
    <row r="223" spans="1:13" ht="14.25" hidden="1" customHeight="1">
      <c r="A223" s="87" t="s">
        <v>47</v>
      </c>
      <c r="B223" s="704">
        <v>15.72</v>
      </c>
      <c r="C223" s="704">
        <v>14.38</v>
      </c>
      <c r="D223" s="704">
        <v>17.23</v>
      </c>
      <c r="E223" s="704">
        <v>15.87</v>
      </c>
      <c r="F223" s="704">
        <v>17.14</v>
      </c>
      <c r="G223" s="704">
        <v>15.34</v>
      </c>
      <c r="H223" s="704">
        <v>15.72</v>
      </c>
      <c r="I223" s="704">
        <v>15.7</v>
      </c>
      <c r="J223" s="704">
        <v>15.04</v>
      </c>
      <c r="K223" s="704">
        <v>16.03</v>
      </c>
      <c r="L223" s="704">
        <v>15.99</v>
      </c>
      <c r="M223" s="704">
        <v>16.670000000000002</v>
      </c>
    </row>
    <row r="224" spans="1:13" ht="14.25" hidden="1" customHeight="1">
      <c r="A224" s="87" t="s">
        <v>48</v>
      </c>
      <c r="B224" s="704">
        <v>15.59</v>
      </c>
      <c r="C224" s="704">
        <v>14.5</v>
      </c>
      <c r="D224" s="704">
        <v>17.16</v>
      </c>
      <c r="E224" s="704">
        <v>16.25</v>
      </c>
      <c r="F224" s="704">
        <v>17.09</v>
      </c>
      <c r="G224" s="704">
        <v>15.26</v>
      </c>
      <c r="H224" s="704">
        <v>15.61</v>
      </c>
      <c r="I224" s="704">
        <v>15.58</v>
      </c>
      <c r="J224" s="704">
        <v>15.63</v>
      </c>
      <c r="K224" s="704">
        <v>16.13</v>
      </c>
      <c r="L224" s="704">
        <v>16.11</v>
      </c>
      <c r="M224" s="704">
        <v>16.63</v>
      </c>
    </row>
    <row r="225" spans="1:13" ht="14.25" hidden="1" customHeight="1">
      <c r="A225" s="87" t="s">
        <v>49</v>
      </c>
      <c r="B225" s="704">
        <v>15.65</v>
      </c>
      <c r="C225" s="704">
        <v>14.01</v>
      </c>
      <c r="D225" s="704">
        <v>17.47</v>
      </c>
      <c r="E225" s="704">
        <v>15.04</v>
      </c>
      <c r="F225" s="704">
        <v>17.329999999999998</v>
      </c>
      <c r="G225" s="704">
        <v>16.28</v>
      </c>
      <c r="H225" s="704">
        <v>15.55</v>
      </c>
      <c r="I225" s="704">
        <v>15.6</v>
      </c>
      <c r="J225" s="704">
        <v>13.79</v>
      </c>
      <c r="K225" s="704">
        <v>15.87</v>
      </c>
      <c r="L225" s="704">
        <v>15.71</v>
      </c>
      <c r="M225" s="704">
        <v>16.760000000000002</v>
      </c>
    </row>
    <row r="226" spans="1:13" ht="14.25" hidden="1" customHeight="1">
      <c r="A226" s="87" t="s">
        <v>50</v>
      </c>
      <c r="B226" s="704">
        <v>15.38</v>
      </c>
      <c r="C226" s="704">
        <v>15.21</v>
      </c>
      <c r="D226" s="704">
        <v>17.37</v>
      </c>
      <c r="E226" s="704">
        <v>15.69</v>
      </c>
      <c r="F226" s="704">
        <v>17.27</v>
      </c>
      <c r="G226" s="704">
        <v>16.48</v>
      </c>
      <c r="H226" s="704">
        <v>15.59</v>
      </c>
      <c r="I226" s="704">
        <v>15.65</v>
      </c>
      <c r="J226" s="704">
        <v>12.36</v>
      </c>
      <c r="K226" s="704">
        <v>16.2</v>
      </c>
      <c r="L226" s="704">
        <v>15.86</v>
      </c>
      <c r="M226" s="704">
        <v>16.71</v>
      </c>
    </row>
    <row r="227" spans="1:13" ht="14.25" hidden="1" customHeight="1">
      <c r="A227" s="87"/>
      <c r="B227" s="704"/>
      <c r="C227" s="704"/>
      <c r="D227" s="704"/>
      <c r="E227" s="704"/>
      <c r="F227" s="704"/>
      <c r="G227" s="704"/>
      <c r="H227" s="704"/>
      <c r="I227" s="704"/>
      <c r="J227" s="704"/>
      <c r="K227" s="704"/>
      <c r="L227" s="704"/>
      <c r="M227" s="704"/>
    </row>
    <row r="228" spans="1:13" ht="14.25" hidden="1" customHeight="1">
      <c r="A228" s="87" t="s">
        <v>51</v>
      </c>
      <c r="B228" s="704">
        <v>15.12</v>
      </c>
      <c r="C228" s="704">
        <v>14.01</v>
      </c>
      <c r="D228" s="704">
        <v>17.43</v>
      </c>
      <c r="E228" s="704">
        <v>15.46</v>
      </c>
      <c r="F228" s="704">
        <v>17.32</v>
      </c>
      <c r="G228" s="704">
        <v>15.65</v>
      </c>
      <c r="H228" s="704">
        <v>15.7</v>
      </c>
      <c r="I228" s="704">
        <v>15.7</v>
      </c>
      <c r="J228" s="704">
        <v>13.69</v>
      </c>
      <c r="K228" s="704">
        <v>16.260000000000002</v>
      </c>
      <c r="L228" s="704">
        <v>16.059999999999999</v>
      </c>
      <c r="M228" s="704">
        <v>16.77</v>
      </c>
    </row>
    <row r="229" spans="1:13" ht="14.25" hidden="1" customHeight="1">
      <c r="A229" s="87" t="s">
        <v>52</v>
      </c>
      <c r="B229" s="704">
        <v>15.13</v>
      </c>
      <c r="C229" s="704">
        <v>14.44</v>
      </c>
      <c r="D229" s="704">
        <v>17.37</v>
      </c>
      <c r="E229" s="704">
        <v>15.45</v>
      </c>
      <c r="F229" s="704">
        <v>17.260000000000002</v>
      </c>
      <c r="G229" s="704">
        <v>15.6</v>
      </c>
      <c r="H229" s="704">
        <v>15.67</v>
      </c>
      <c r="I229" s="704">
        <v>15.67</v>
      </c>
      <c r="J229" s="704">
        <v>13.49</v>
      </c>
      <c r="K229" s="704">
        <v>15.88</v>
      </c>
      <c r="L229" s="704">
        <v>15.47</v>
      </c>
      <c r="M229" s="704">
        <v>16.649999999999999</v>
      </c>
    </row>
    <row r="230" spans="1:13" ht="14.25" hidden="1" customHeight="1">
      <c r="A230" s="87" t="s">
        <v>53</v>
      </c>
      <c r="B230" s="704">
        <v>15.35</v>
      </c>
      <c r="C230" s="704">
        <v>14.33</v>
      </c>
      <c r="D230" s="704">
        <v>17.39</v>
      </c>
      <c r="E230" s="704">
        <v>15.01</v>
      </c>
      <c r="F230" s="704">
        <v>17.23</v>
      </c>
      <c r="G230" s="704">
        <v>14.93</v>
      </c>
      <c r="H230" s="704">
        <v>15.66</v>
      </c>
      <c r="I230" s="704">
        <v>15.54</v>
      </c>
      <c r="J230" s="704">
        <v>13.33</v>
      </c>
      <c r="K230" s="704">
        <v>15.92</v>
      </c>
      <c r="L230" s="704">
        <v>15.73</v>
      </c>
      <c r="M230" s="704">
        <v>16.649999999999999</v>
      </c>
    </row>
    <row r="231" spans="1:13" ht="14.25" hidden="1" customHeight="1">
      <c r="A231" s="87" t="s">
        <v>603</v>
      </c>
      <c r="B231" s="704">
        <v>15.48</v>
      </c>
      <c r="C231" s="704">
        <v>14.16</v>
      </c>
      <c r="D231" s="704">
        <v>17.57</v>
      </c>
      <c r="E231" s="704">
        <v>15.26</v>
      </c>
      <c r="F231" s="704">
        <v>17.420000000000002</v>
      </c>
      <c r="G231" s="704">
        <v>14.28</v>
      </c>
      <c r="H231" s="704">
        <v>15.48</v>
      </c>
      <c r="I231" s="704">
        <v>15.32</v>
      </c>
      <c r="J231" s="704">
        <v>13.45</v>
      </c>
      <c r="K231" s="704">
        <v>16.07</v>
      </c>
      <c r="L231" s="704">
        <v>15.87</v>
      </c>
      <c r="M231" s="704">
        <v>16.73</v>
      </c>
    </row>
    <row r="232" spans="1:13" ht="14.25" hidden="1" customHeight="1">
      <c r="A232" s="87" t="s">
        <v>609</v>
      </c>
      <c r="B232" s="704">
        <v>15.73</v>
      </c>
      <c r="C232" s="704">
        <v>14.12</v>
      </c>
      <c r="D232" s="704">
        <v>17.47</v>
      </c>
      <c r="E232" s="704">
        <v>15.46</v>
      </c>
      <c r="F232" s="704">
        <v>17.3</v>
      </c>
      <c r="G232" s="704">
        <v>15.79</v>
      </c>
      <c r="H232" s="704">
        <v>15.28</v>
      </c>
      <c r="I232" s="704">
        <v>15.32</v>
      </c>
      <c r="J232" s="704">
        <v>12.96</v>
      </c>
      <c r="K232" s="704">
        <v>15.44</v>
      </c>
      <c r="L232" s="704">
        <v>15.26</v>
      </c>
      <c r="M232" s="704">
        <v>16.59</v>
      </c>
    </row>
    <row r="233" spans="1:13" ht="14.25" hidden="1" customHeight="1">
      <c r="A233" s="87" t="s">
        <v>44</v>
      </c>
      <c r="B233" s="704">
        <v>15.71</v>
      </c>
      <c r="C233" s="704">
        <v>14.95</v>
      </c>
      <c r="D233" s="704">
        <v>17.41</v>
      </c>
      <c r="E233" s="704">
        <v>15.33</v>
      </c>
      <c r="F233" s="704">
        <v>17.23</v>
      </c>
      <c r="G233" s="704">
        <v>15.09</v>
      </c>
      <c r="H233" s="704">
        <v>15.39</v>
      </c>
      <c r="I233" s="704">
        <v>15.35</v>
      </c>
      <c r="J233" s="704">
        <v>14.93</v>
      </c>
      <c r="K233" s="704">
        <v>15.31</v>
      </c>
      <c r="L233" s="704">
        <v>15.2</v>
      </c>
      <c r="M233" s="704">
        <v>16.579999999999998</v>
      </c>
    </row>
    <row r="234" spans="1:13" ht="14.25" hidden="1" customHeight="1">
      <c r="A234" s="87" t="s">
        <v>617</v>
      </c>
      <c r="B234" s="704">
        <v>15.73</v>
      </c>
      <c r="C234" s="704">
        <v>14.12</v>
      </c>
      <c r="D234" s="704">
        <v>17.47</v>
      </c>
      <c r="E234" s="704">
        <v>15.48</v>
      </c>
      <c r="F234" s="704">
        <v>17.3</v>
      </c>
      <c r="G234" s="704">
        <v>15.95</v>
      </c>
      <c r="H234" s="704">
        <v>15.3</v>
      </c>
      <c r="I234" s="704">
        <v>15.34</v>
      </c>
      <c r="J234" s="704">
        <v>14.03</v>
      </c>
      <c r="K234" s="704">
        <v>15.44</v>
      </c>
      <c r="L234" s="704">
        <v>15.35</v>
      </c>
      <c r="M234" s="704">
        <v>16.61</v>
      </c>
    </row>
    <row r="235" spans="1:13" ht="14.25" hidden="1" customHeight="1">
      <c r="A235" s="87" t="s">
        <v>623</v>
      </c>
      <c r="B235" s="704">
        <v>15.92</v>
      </c>
      <c r="C235" s="704">
        <v>14.97</v>
      </c>
      <c r="D235" s="704">
        <v>17.61</v>
      </c>
      <c r="E235" s="704">
        <v>14.96</v>
      </c>
      <c r="F235" s="704">
        <v>17.37</v>
      </c>
      <c r="G235" s="704">
        <v>15.62</v>
      </c>
      <c r="H235" s="704">
        <v>15.31</v>
      </c>
      <c r="I235" s="704">
        <v>15.33</v>
      </c>
      <c r="J235" s="704">
        <v>14.67</v>
      </c>
      <c r="K235" s="704">
        <v>15.57</v>
      </c>
      <c r="L235" s="704">
        <v>15.29</v>
      </c>
      <c r="M235" s="704">
        <v>16.670000000000002</v>
      </c>
    </row>
    <row r="236" spans="1:13" ht="14.25" hidden="1" customHeight="1">
      <c r="A236" s="87" t="s">
        <v>47</v>
      </c>
      <c r="B236" s="704">
        <v>15.98</v>
      </c>
      <c r="C236" s="704">
        <v>15.18</v>
      </c>
      <c r="D236" s="704">
        <v>17.54</v>
      </c>
      <c r="E236" s="704">
        <v>14.95</v>
      </c>
      <c r="F236" s="704">
        <v>17.3</v>
      </c>
      <c r="G236" s="704">
        <v>15.12</v>
      </c>
      <c r="H236" s="704">
        <v>15.44</v>
      </c>
      <c r="I236" s="704">
        <v>15.38</v>
      </c>
      <c r="J236" s="704">
        <v>14.64</v>
      </c>
      <c r="K236" s="704">
        <v>15.37</v>
      </c>
      <c r="L236" s="704">
        <v>15.16</v>
      </c>
      <c r="M236" s="704">
        <v>16.63</v>
      </c>
    </row>
    <row r="237" spans="1:13" ht="14.25" hidden="1" customHeight="1">
      <c r="A237" s="87" t="s">
        <v>631</v>
      </c>
      <c r="B237" s="704">
        <v>15.96</v>
      </c>
      <c r="C237" s="704">
        <v>15.15</v>
      </c>
      <c r="D237" s="704">
        <v>17.61</v>
      </c>
      <c r="E237" s="704">
        <v>17.05</v>
      </c>
      <c r="F237" s="704">
        <v>17.489999999999998</v>
      </c>
      <c r="G237" s="704">
        <v>15.14</v>
      </c>
      <c r="H237" s="704">
        <v>14.21</v>
      </c>
      <c r="I237" s="704">
        <v>14.35</v>
      </c>
      <c r="J237" s="704">
        <v>14.72</v>
      </c>
      <c r="K237" s="704">
        <v>15.07</v>
      </c>
      <c r="L237" s="704">
        <v>14.95</v>
      </c>
      <c r="M237" s="704">
        <v>16.36</v>
      </c>
    </row>
    <row r="238" spans="1:13" ht="14.25" hidden="1" customHeight="1">
      <c r="A238" s="87" t="s">
        <v>654</v>
      </c>
      <c r="B238" s="704">
        <v>18.8</v>
      </c>
      <c r="C238" s="704">
        <v>20.399999999999999</v>
      </c>
      <c r="D238" s="704">
        <v>17.7</v>
      </c>
      <c r="E238" s="704">
        <v>17.829999999999998</v>
      </c>
      <c r="F238" s="704">
        <v>17.63</v>
      </c>
      <c r="G238" s="704">
        <v>16.71</v>
      </c>
      <c r="H238" s="704">
        <v>15.14</v>
      </c>
      <c r="I238" s="704">
        <v>15.21</v>
      </c>
      <c r="J238" s="704">
        <v>14.02</v>
      </c>
      <c r="K238" s="704">
        <v>14.98</v>
      </c>
      <c r="L238" s="704">
        <v>14.82</v>
      </c>
      <c r="M238" s="704">
        <v>16.71</v>
      </c>
    </row>
    <row r="239" spans="1:13" ht="14.25" hidden="1" customHeight="1">
      <c r="A239" s="87" t="s">
        <v>665</v>
      </c>
      <c r="B239" s="704">
        <v>18.78</v>
      </c>
      <c r="C239" s="704">
        <v>20.21</v>
      </c>
      <c r="D239" s="704">
        <v>17.09</v>
      </c>
      <c r="E239" s="704">
        <v>17.8</v>
      </c>
      <c r="F239" s="704">
        <v>17.63</v>
      </c>
      <c r="G239" s="704">
        <v>16.829999999999998</v>
      </c>
      <c r="H239" s="704">
        <v>15.52</v>
      </c>
      <c r="I239" s="704">
        <v>15.57</v>
      </c>
      <c r="J239" s="704">
        <v>13.6</v>
      </c>
      <c r="K239" s="704">
        <v>14.83</v>
      </c>
      <c r="L239" s="704">
        <v>14.79</v>
      </c>
      <c r="M239" s="704">
        <v>16.850000000000001</v>
      </c>
    </row>
    <row r="240" spans="1:13" ht="14.25" hidden="1" customHeight="1">
      <c r="A240" s="87"/>
      <c r="B240" s="704"/>
      <c r="C240" s="704"/>
      <c r="D240" s="704"/>
      <c r="E240" s="704"/>
      <c r="F240" s="704"/>
      <c r="G240" s="704"/>
      <c r="H240" s="704"/>
      <c r="I240" s="704"/>
      <c r="J240" s="704"/>
      <c r="K240" s="704"/>
      <c r="L240" s="704"/>
      <c r="M240" s="704"/>
    </row>
    <row r="241" spans="1:13" ht="14.25" hidden="1" customHeight="1">
      <c r="A241" s="87" t="s">
        <v>39</v>
      </c>
      <c r="B241" s="704">
        <v>15.67</v>
      </c>
      <c r="C241" s="704">
        <v>14.83</v>
      </c>
      <c r="D241" s="704">
        <v>16.809999999999999</v>
      </c>
      <c r="E241" s="704">
        <v>16.87</v>
      </c>
      <c r="F241" s="704">
        <v>16.8</v>
      </c>
      <c r="G241" s="704">
        <v>16.850000000000001</v>
      </c>
      <c r="H241" s="704">
        <v>16.28</v>
      </c>
      <c r="I241" s="704">
        <v>16.3</v>
      </c>
      <c r="J241" s="704">
        <v>13.38</v>
      </c>
      <c r="K241" s="704">
        <v>13.29</v>
      </c>
      <c r="L241" s="704">
        <v>13.29</v>
      </c>
      <c r="M241" s="704">
        <v>16.350000000000001</v>
      </c>
    </row>
    <row r="242" spans="1:13" ht="14.25" hidden="1" customHeight="1">
      <c r="A242" s="87" t="s">
        <v>677</v>
      </c>
      <c r="B242" s="704">
        <v>15.56</v>
      </c>
      <c r="C242" s="704">
        <v>17.86</v>
      </c>
      <c r="D242" s="704">
        <v>16.559999999999999</v>
      </c>
      <c r="E242" s="704">
        <v>16.46</v>
      </c>
      <c r="F242" s="704">
        <v>16.54</v>
      </c>
      <c r="G242" s="704">
        <v>16.95</v>
      </c>
      <c r="H242" s="704">
        <v>16.27</v>
      </c>
      <c r="I242" s="704">
        <v>16.3</v>
      </c>
      <c r="J242" s="704">
        <v>12.94</v>
      </c>
      <c r="K242" s="704">
        <v>13.32</v>
      </c>
      <c r="L242" s="704">
        <v>13.31</v>
      </c>
      <c r="M242" s="704">
        <v>16.190000000000001</v>
      </c>
    </row>
    <row r="243" spans="1:13" ht="14.25" hidden="1" customHeight="1">
      <c r="A243" s="87" t="s">
        <v>65</v>
      </c>
      <c r="B243" s="704">
        <v>15.59</v>
      </c>
      <c r="C243" s="704">
        <v>14.94</v>
      </c>
      <c r="D243" s="704">
        <v>16.87</v>
      </c>
      <c r="E243" s="704">
        <v>17.260000000000002</v>
      </c>
      <c r="F243" s="704">
        <v>17.100000000000001</v>
      </c>
      <c r="G243" s="704">
        <v>16.96</v>
      </c>
      <c r="H243" s="704">
        <v>15.47</v>
      </c>
      <c r="I243" s="704">
        <v>15.53</v>
      </c>
      <c r="J243" s="704">
        <v>12.63</v>
      </c>
      <c r="K243" s="704">
        <v>13.2</v>
      </c>
      <c r="L243" s="704">
        <v>13.19</v>
      </c>
      <c r="M243" s="704">
        <v>16.34</v>
      </c>
    </row>
    <row r="244" spans="1:13" ht="14.25" hidden="1" customHeight="1">
      <c r="A244" s="87" t="s">
        <v>692</v>
      </c>
      <c r="B244" s="704">
        <v>15.61</v>
      </c>
      <c r="C244" s="704">
        <v>14.71</v>
      </c>
      <c r="D244" s="704">
        <v>17.23</v>
      </c>
      <c r="E244" s="704">
        <v>16.829999999999998</v>
      </c>
      <c r="F244" s="704">
        <v>16.920000000000002</v>
      </c>
      <c r="G244" s="704">
        <v>16.809999999999999</v>
      </c>
      <c r="H244" s="704">
        <v>16.27</v>
      </c>
      <c r="I244" s="704">
        <v>16.29</v>
      </c>
      <c r="J244" s="704">
        <v>12.67</v>
      </c>
      <c r="K244" s="704">
        <v>14.26</v>
      </c>
      <c r="L244" s="704">
        <v>14.22</v>
      </c>
      <c r="M244" s="704">
        <v>16.52</v>
      </c>
    </row>
    <row r="245" spans="1:13" ht="14.25" hidden="1" customHeight="1">
      <c r="A245" s="87" t="s">
        <v>700</v>
      </c>
      <c r="B245" s="704">
        <v>15.63</v>
      </c>
      <c r="C245" s="704">
        <v>14.68</v>
      </c>
      <c r="D245" s="704">
        <v>17.2</v>
      </c>
      <c r="E245" s="704">
        <v>17</v>
      </c>
      <c r="F245" s="704">
        <v>17.03</v>
      </c>
      <c r="G245" s="704">
        <v>16.88</v>
      </c>
      <c r="H245" s="704">
        <v>16.22</v>
      </c>
      <c r="I245" s="704">
        <v>16.239999999999998</v>
      </c>
      <c r="J245" s="704">
        <v>14.72</v>
      </c>
      <c r="K245" s="704">
        <v>14.57</v>
      </c>
      <c r="L245" s="704">
        <v>14.58</v>
      </c>
      <c r="M245" s="704">
        <v>16.600000000000001</v>
      </c>
    </row>
    <row r="246" spans="1:13" hidden="1">
      <c r="A246" s="87" t="s">
        <v>713</v>
      </c>
      <c r="B246" s="704">
        <v>15.65</v>
      </c>
      <c r="C246" s="704">
        <v>14.55</v>
      </c>
      <c r="D246" s="704">
        <v>17.079999999999998</v>
      </c>
      <c r="E246" s="704">
        <v>16.899999999999999</v>
      </c>
      <c r="F246" s="704">
        <v>16.93</v>
      </c>
      <c r="G246" s="704">
        <v>16.78</v>
      </c>
      <c r="H246" s="704">
        <v>16.350000000000001</v>
      </c>
      <c r="I246" s="704">
        <v>16.37</v>
      </c>
      <c r="J246" s="704">
        <v>14.52</v>
      </c>
      <c r="K246" s="704">
        <v>14.55</v>
      </c>
      <c r="L246" s="704">
        <v>14.55</v>
      </c>
      <c r="M246" s="704">
        <v>16.59</v>
      </c>
    </row>
    <row r="247" spans="1:13">
      <c r="A247" s="87" t="s">
        <v>735</v>
      </c>
      <c r="B247" s="704">
        <v>15.7</v>
      </c>
      <c r="C247" s="704">
        <v>14.81</v>
      </c>
      <c r="D247" s="704">
        <v>17.170000000000002</v>
      </c>
      <c r="E247" s="704">
        <v>16.98</v>
      </c>
      <c r="F247" s="704">
        <v>17</v>
      </c>
      <c r="G247" s="704">
        <v>16.8</v>
      </c>
      <c r="H247" s="704">
        <v>16.38</v>
      </c>
      <c r="I247" s="704">
        <v>16.399999999999999</v>
      </c>
      <c r="J247" s="704">
        <v>14.85</v>
      </c>
      <c r="K247" s="704">
        <v>14.43</v>
      </c>
      <c r="L247" s="704">
        <v>14.45</v>
      </c>
      <c r="M247" s="704">
        <v>16.64</v>
      </c>
    </row>
    <row r="248" spans="1:13">
      <c r="A248" s="87" t="s">
        <v>46</v>
      </c>
      <c r="B248" s="704">
        <v>15.81</v>
      </c>
      <c r="C248" s="704">
        <v>14.85</v>
      </c>
      <c r="D248" s="704">
        <v>16.79</v>
      </c>
      <c r="E248" s="704">
        <v>17.260000000000002</v>
      </c>
      <c r="F248" s="704">
        <v>17.079999999999998</v>
      </c>
      <c r="G248" s="704">
        <v>16.82</v>
      </c>
      <c r="H248" s="704">
        <v>15.37</v>
      </c>
      <c r="I248" s="704">
        <v>15.42</v>
      </c>
      <c r="J248" s="704">
        <v>13.55</v>
      </c>
      <c r="K248" s="704">
        <v>14.64</v>
      </c>
      <c r="L248" s="704">
        <v>14.6</v>
      </c>
      <c r="M248" s="704">
        <v>16.43</v>
      </c>
    </row>
    <row r="249" spans="1:13">
      <c r="A249" s="87" t="s">
        <v>47</v>
      </c>
      <c r="B249" s="704">
        <v>15.91</v>
      </c>
      <c r="C249" s="704">
        <v>14.71</v>
      </c>
      <c r="D249" s="704">
        <v>16.66</v>
      </c>
      <c r="E249" s="704">
        <v>17.420000000000002</v>
      </c>
      <c r="F249" s="704">
        <v>17.16</v>
      </c>
      <c r="G249" s="704">
        <v>16.86</v>
      </c>
      <c r="H249" s="704">
        <v>15.34</v>
      </c>
      <c r="I249" s="704">
        <v>15.4</v>
      </c>
      <c r="J249" s="704">
        <v>13.74</v>
      </c>
      <c r="K249" s="704">
        <v>14.62</v>
      </c>
      <c r="L249" s="704">
        <v>14.59</v>
      </c>
      <c r="M249" s="704">
        <v>16.47</v>
      </c>
    </row>
    <row r="250" spans="1:13">
      <c r="A250" s="87" t="s">
        <v>48</v>
      </c>
      <c r="B250" s="704">
        <v>15.5</v>
      </c>
      <c r="C250" s="704">
        <v>15.03</v>
      </c>
      <c r="D250" s="704">
        <v>16.78</v>
      </c>
      <c r="E250" s="704">
        <v>17.62</v>
      </c>
      <c r="F250" s="704">
        <v>17.34</v>
      </c>
      <c r="G250" s="704">
        <v>16.86</v>
      </c>
      <c r="H250" s="704">
        <v>15.35</v>
      </c>
      <c r="I250" s="704">
        <v>15.4</v>
      </c>
      <c r="J250" s="704">
        <v>14.13</v>
      </c>
      <c r="K250" s="704">
        <v>14.62</v>
      </c>
      <c r="L250" s="704">
        <v>14.58</v>
      </c>
      <c r="M250" s="704">
        <v>16.579999999999998</v>
      </c>
    </row>
    <row r="251" spans="1:13">
      <c r="A251" s="87" t="s">
        <v>49</v>
      </c>
      <c r="B251" s="704">
        <v>15.5</v>
      </c>
      <c r="C251" s="704">
        <v>15.12</v>
      </c>
      <c r="D251" s="704">
        <v>17.11</v>
      </c>
      <c r="E251" s="704">
        <v>17.690000000000001</v>
      </c>
      <c r="F251" s="704">
        <v>17.489999999999998</v>
      </c>
      <c r="G251" s="704">
        <v>16.920000000000002</v>
      </c>
      <c r="H251" s="704">
        <v>15.86</v>
      </c>
      <c r="I251" s="704">
        <v>15.9</v>
      </c>
      <c r="J251" s="704">
        <v>15.55</v>
      </c>
      <c r="K251" s="704">
        <v>14.72</v>
      </c>
      <c r="L251" s="704">
        <v>14.72</v>
      </c>
      <c r="M251" s="704">
        <v>16.78</v>
      </c>
    </row>
    <row r="252" spans="1:13">
      <c r="A252" s="87" t="s">
        <v>50</v>
      </c>
      <c r="B252" s="704">
        <v>15.5</v>
      </c>
      <c r="C252" s="704">
        <v>15.2</v>
      </c>
      <c r="D252" s="704">
        <v>16.82</v>
      </c>
      <c r="E252" s="704">
        <v>17.71</v>
      </c>
      <c r="F252" s="704">
        <v>17.440000000000001</v>
      </c>
      <c r="G252" s="704">
        <v>16.95</v>
      </c>
      <c r="H252" s="704">
        <v>15.79</v>
      </c>
      <c r="I252" s="704">
        <v>15.83</v>
      </c>
      <c r="J252" s="704">
        <v>15.59</v>
      </c>
      <c r="K252" s="704">
        <v>14.77</v>
      </c>
      <c r="L252" s="704">
        <v>14.78</v>
      </c>
      <c r="M252" s="704">
        <v>16.77</v>
      </c>
    </row>
    <row r="253" spans="1:13">
      <c r="A253" s="87"/>
      <c r="B253" s="704"/>
      <c r="C253" s="704"/>
      <c r="D253" s="704"/>
      <c r="E253" s="704"/>
      <c r="F253" s="704"/>
      <c r="G253" s="704"/>
      <c r="H253" s="704"/>
      <c r="I253" s="704"/>
      <c r="J253" s="704"/>
      <c r="K253" s="704"/>
      <c r="L253" s="704"/>
      <c r="M253" s="704"/>
    </row>
    <row r="254" spans="1:13">
      <c r="A254" s="87" t="s">
        <v>36</v>
      </c>
      <c r="B254" s="826" t="s">
        <v>88</v>
      </c>
      <c r="C254" s="826">
        <v>14.98</v>
      </c>
      <c r="D254" s="826">
        <v>16.89</v>
      </c>
      <c r="E254" s="826">
        <v>17.72</v>
      </c>
      <c r="F254" s="826">
        <v>17.47</v>
      </c>
      <c r="G254" s="826">
        <v>16.97</v>
      </c>
      <c r="H254" s="826">
        <v>15.8</v>
      </c>
      <c r="I254" s="826">
        <v>15.84</v>
      </c>
      <c r="J254" s="826">
        <v>15.66</v>
      </c>
      <c r="K254" s="826">
        <v>14.82</v>
      </c>
      <c r="L254" s="826">
        <v>14.83</v>
      </c>
      <c r="M254" s="826">
        <v>16.78</v>
      </c>
    </row>
    <row r="255" spans="1:13">
      <c r="A255" s="87" t="s">
        <v>37</v>
      </c>
      <c r="B255" s="826" t="s">
        <v>88</v>
      </c>
      <c r="C255" s="826">
        <v>14.92</v>
      </c>
      <c r="D255" s="826">
        <v>16.940000000000001</v>
      </c>
      <c r="E255" s="826">
        <v>17.02</v>
      </c>
      <c r="F255" s="826">
        <v>16.98</v>
      </c>
      <c r="G255" s="826">
        <v>16.940000000000001</v>
      </c>
      <c r="H255" s="826">
        <v>15.13</v>
      </c>
      <c r="I255" s="826">
        <v>15.19</v>
      </c>
      <c r="J255" s="826">
        <v>15.56</v>
      </c>
      <c r="K255" s="826">
        <v>14.84</v>
      </c>
      <c r="L255" s="826">
        <v>14.85</v>
      </c>
      <c r="M255" s="826">
        <v>16.27</v>
      </c>
    </row>
    <row r="256" spans="1:13">
      <c r="A256" s="87" t="s">
        <v>38</v>
      </c>
      <c r="B256" s="826" t="s">
        <v>88</v>
      </c>
      <c r="C256" s="826">
        <v>14.36</v>
      </c>
      <c r="D256" s="826">
        <v>16.920000000000002</v>
      </c>
      <c r="E256" s="826">
        <v>17.09</v>
      </c>
      <c r="F256" s="826">
        <v>17.02</v>
      </c>
      <c r="G256" s="826">
        <v>16.940000000000001</v>
      </c>
      <c r="H256" s="826">
        <v>15.14</v>
      </c>
      <c r="I256" s="826">
        <v>15.2</v>
      </c>
      <c r="J256" s="826">
        <v>15.56</v>
      </c>
      <c r="K256" s="826">
        <v>14.76</v>
      </c>
      <c r="L256" s="826">
        <v>14.78</v>
      </c>
      <c r="M256" s="826">
        <v>16.29</v>
      </c>
    </row>
    <row r="257" spans="1:13">
      <c r="A257" s="87" t="s">
        <v>42</v>
      </c>
      <c r="B257" s="827" t="s">
        <v>88</v>
      </c>
      <c r="C257" s="827">
        <v>15.22</v>
      </c>
      <c r="D257" s="827">
        <v>16.690000000000001</v>
      </c>
      <c r="E257" s="827">
        <v>16.829999999999998</v>
      </c>
      <c r="F257" s="827">
        <v>16.79</v>
      </c>
      <c r="G257" s="827">
        <v>16.71</v>
      </c>
      <c r="H257" s="827">
        <v>15.2</v>
      </c>
      <c r="I257" s="827">
        <v>15.25</v>
      </c>
      <c r="J257" s="827">
        <v>15.57</v>
      </c>
      <c r="K257" s="827">
        <v>14.77</v>
      </c>
      <c r="L257" s="827">
        <v>14.78</v>
      </c>
      <c r="M257" s="827">
        <v>16.09</v>
      </c>
    </row>
    <row r="258" spans="1:13">
      <c r="A258" s="87" t="s">
        <v>606</v>
      </c>
      <c r="B258" s="826" t="s">
        <v>88</v>
      </c>
      <c r="C258" s="826">
        <v>15.42</v>
      </c>
      <c r="D258" s="826">
        <v>16.89</v>
      </c>
      <c r="E258" s="826">
        <v>17.04</v>
      </c>
      <c r="F258" s="826">
        <v>16.989999999999998</v>
      </c>
      <c r="G258" s="826">
        <v>16.809999999999999</v>
      </c>
      <c r="H258" s="826">
        <v>15.19</v>
      </c>
      <c r="I258" s="826">
        <v>15.25</v>
      </c>
      <c r="J258" s="826">
        <v>16.05</v>
      </c>
      <c r="K258" s="826">
        <v>14.86</v>
      </c>
      <c r="L258" s="826">
        <v>14.88</v>
      </c>
      <c r="M258" s="826">
        <v>16.3</v>
      </c>
    </row>
    <row r="259" spans="1:13">
      <c r="A259" s="87" t="s">
        <v>62</v>
      </c>
      <c r="B259" s="826">
        <v>15.6</v>
      </c>
      <c r="C259" s="826">
        <v>15.05</v>
      </c>
      <c r="D259" s="826">
        <v>16.63</v>
      </c>
      <c r="E259" s="826">
        <v>16.98</v>
      </c>
      <c r="F259" s="826">
        <v>16.850000000000001</v>
      </c>
      <c r="G259" s="826">
        <v>16.95</v>
      </c>
      <c r="H259" s="826">
        <v>15.47</v>
      </c>
      <c r="I259" s="826">
        <v>15.52</v>
      </c>
      <c r="J259" s="826">
        <v>14.61</v>
      </c>
      <c r="K259" s="826">
        <v>14.88</v>
      </c>
      <c r="L259" s="826">
        <v>14.87</v>
      </c>
      <c r="M259" s="826">
        <v>16.3</v>
      </c>
    </row>
    <row r="260" spans="1:13">
      <c r="A260" s="87" t="s">
        <v>614</v>
      </c>
      <c r="B260" s="826">
        <v>15.63</v>
      </c>
      <c r="C260" s="826">
        <v>15.14</v>
      </c>
      <c r="D260" s="826">
        <v>16.73</v>
      </c>
      <c r="E260" s="826">
        <v>17</v>
      </c>
      <c r="F260" s="826">
        <v>16.89</v>
      </c>
      <c r="G260" s="826">
        <v>16.96</v>
      </c>
      <c r="H260" s="826">
        <v>15.26</v>
      </c>
      <c r="I260" s="826">
        <v>15.32</v>
      </c>
      <c r="J260" s="826">
        <v>15.98</v>
      </c>
      <c r="K260" s="826">
        <v>14.85</v>
      </c>
      <c r="L260" s="826">
        <v>14.86</v>
      </c>
      <c r="M260" s="826">
        <v>16.28</v>
      </c>
    </row>
    <row r="261" spans="1:13">
      <c r="A261" s="87" t="s">
        <v>620</v>
      </c>
      <c r="B261" s="703">
        <v>15.63</v>
      </c>
      <c r="C261" s="703">
        <v>16.489999999999998</v>
      </c>
      <c r="D261" s="703">
        <v>15.93</v>
      </c>
      <c r="E261" s="703">
        <v>16.63</v>
      </c>
      <c r="F261" s="703">
        <v>16.41</v>
      </c>
      <c r="G261" s="703">
        <v>16.98</v>
      </c>
      <c r="H261" s="703">
        <v>16.04</v>
      </c>
      <c r="I261" s="703">
        <v>16.07</v>
      </c>
      <c r="J261" s="703">
        <v>16.04</v>
      </c>
      <c r="K261" s="703">
        <v>14.76</v>
      </c>
      <c r="L261" s="703">
        <v>14.78</v>
      </c>
      <c r="M261" s="704">
        <v>16.190000000000001</v>
      </c>
    </row>
    <row r="262" spans="1:13">
      <c r="A262" s="87" t="s">
        <v>63</v>
      </c>
      <c r="B262" s="703">
        <v>9</v>
      </c>
      <c r="C262" s="703">
        <v>17.05</v>
      </c>
      <c r="D262" s="703">
        <v>15.81</v>
      </c>
      <c r="E262" s="703">
        <v>17.11</v>
      </c>
      <c r="F262" s="703">
        <v>16.62</v>
      </c>
      <c r="G262" s="703">
        <v>17</v>
      </c>
      <c r="H262" s="703">
        <v>15.27</v>
      </c>
      <c r="I262" s="703">
        <v>15.32</v>
      </c>
      <c r="J262" s="703">
        <v>15.69</v>
      </c>
      <c r="K262" s="703">
        <v>14.68</v>
      </c>
      <c r="L262" s="703">
        <v>14.69</v>
      </c>
      <c r="M262" s="704">
        <v>16.13</v>
      </c>
    </row>
    <row r="263" spans="1:13">
      <c r="A263" s="87" t="s">
        <v>632</v>
      </c>
      <c r="B263" s="703">
        <v>9</v>
      </c>
      <c r="C263" s="703">
        <v>15.97</v>
      </c>
      <c r="D263" s="703">
        <v>16.21</v>
      </c>
      <c r="E263" s="703">
        <v>17.170000000000002</v>
      </c>
      <c r="F263" s="703">
        <v>16.809999999999999</v>
      </c>
      <c r="G263" s="703">
        <v>16.97</v>
      </c>
      <c r="H263" s="703">
        <v>15.32</v>
      </c>
      <c r="I263" s="703">
        <v>15.38</v>
      </c>
      <c r="J263" s="703">
        <v>14.83</v>
      </c>
      <c r="K263" s="703">
        <v>14.68</v>
      </c>
      <c r="L263" s="703">
        <v>14.69</v>
      </c>
      <c r="M263" s="704">
        <v>16.25</v>
      </c>
    </row>
    <row r="264" spans="1:13">
      <c r="A264" s="87" t="s">
        <v>653</v>
      </c>
      <c r="B264" s="703">
        <v>9</v>
      </c>
      <c r="C264" s="703">
        <v>16.54</v>
      </c>
      <c r="D264" s="703">
        <v>16.03</v>
      </c>
      <c r="E264" s="703">
        <v>17.05</v>
      </c>
      <c r="F264" s="703">
        <v>16.690000000000001</v>
      </c>
      <c r="G264" s="703">
        <v>17.02</v>
      </c>
      <c r="H264" s="703">
        <v>15.31</v>
      </c>
      <c r="I264" s="703">
        <v>15.36</v>
      </c>
      <c r="J264" s="703">
        <v>15.7</v>
      </c>
      <c r="K264" s="703">
        <v>14.71</v>
      </c>
      <c r="L264" s="703">
        <v>14.72</v>
      </c>
      <c r="M264" s="704">
        <v>16.18</v>
      </c>
    </row>
    <row r="265" spans="1:13">
      <c r="A265" s="87" t="s">
        <v>64</v>
      </c>
      <c r="B265" s="703">
        <v>0</v>
      </c>
      <c r="C265" s="703">
        <v>16.84</v>
      </c>
      <c r="D265" s="703">
        <v>15.98</v>
      </c>
      <c r="E265" s="703">
        <v>16.54</v>
      </c>
      <c r="F265" s="703">
        <v>16.399999999999999</v>
      </c>
      <c r="G265" s="703">
        <v>17.05</v>
      </c>
      <c r="H265" s="703">
        <v>16</v>
      </c>
      <c r="I265" s="703">
        <v>16.03</v>
      </c>
      <c r="J265" s="703">
        <v>15.7</v>
      </c>
      <c r="K265" s="703">
        <v>14.82</v>
      </c>
      <c r="L265" s="703">
        <v>14.83</v>
      </c>
      <c r="M265" s="704">
        <v>16.16</v>
      </c>
    </row>
    <row r="266" spans="1:13">
      <c r="A266" s="87"/>
      <c r="B266" s="703"/>
      <c r="C266" s="703"/>
      <c r="D266" s="703"/>
      <c r="E266" s="703"/>
      <c r="F266" s="703"/>
      <c r="G266" s="703"/>
      <c r="H266" s="703"/>
      <c r="I266" s="703"/>
      <c r="J266" s="703"/>
      <c r="K266" s="703"/>
      <c r="L266" s="703"/>
      <c r="M266" s="704"/>
    </row>
    <row r="267" spans="1:13">
      <c r="A267" s="702" t="s">
        <v>671</v>
      </c>
      <c r="B267" s="703">
        <v>9</v>
      </c>
      <c r="C267" s="703">
        <v>15.88</v>
      </c>
      <c r="D267" s="703">
        <v>16.059999999999999</v>
      </c>
      <c r="E267" s="703">
        <v>16.5</v>
      </c>
      <c r="F267" s="703">
        <v>16.36</v>
      </c>
      <c r="G267" s="703">
        <v>17.07</v>
      </c>
      <c r="H267" s="703">
        <v>16</v>
      </c>
      <c r="I267" s="703">
        <v>16.04</v>
      </c>
      <c r="J267" s="703">
        <v>15.72</v>
      </c>
      <c r="K267" s="703">
        <v>14.84</v>
      </c>
      <c r="L267" s="703">
        <v>14.85</v>
      </c>
      <c r="M267" s="704">
        <v>16.13</v>
      </c>
    </row>
    <row r="268" spans="1:13">
      <c r="A268" s="702" t="s">
        <v>263</v>
      </c>
      <c r="B268" s="703">
        <v>9</v>
      </c>
      <c r="C268" s="703">
        <v>15.9</v>
      </c>
      <c r="D268" s="703">
        <v>16.21</v>
      </c>
      <c r="E268" s="703">
        <v>16.5</v>
      </c>
      <c r="F268" s="703">
        <v>16.399999999999999</v>
      </c>
      <c r="G268" s="703">
        <v>17.12</v>
      </c>
      <c r="H268" s="703">
        <v>15.72</v>
      </c>
      <c r="I268" s="703">
        <v>15.76</v>
      </c>
      <c r="J268" s="703">
        <v>15.65</v>
      </c>
      <c r="K268" s="703">
        <v>14.8</v>
      </c>
      <c r="L268" s="703">
        <v>14.81</v>
      </c>
      <c r="M268" s="704">
        <v>16.079999999999998</v>
      </c>
    </row>
    <row r="269" spans="1:13">
      <c r="A269" s="702" t="s">
        <v>41</v>
      </c>
      <c r="B269" s="703">
        <v>9</v>
      </c>
      <c r="C269" s="703">
        <v>15.65</v>
      </c>
      <c r="D269" s="704">
        <v>16.239999999999998</v>
      </c>
      <c r="E269" s="703">
        <v>16.05</v>
      </c>
      <c r="F269" s="703">
        <v>16.100000000000001</v>
      </c>
      <c r="G269" s="703">
        <v>17.14</v>
      </c>
      <c r="H269" s="703">
        <v>16.14</v>
      </c>
      <c r="I269" s="704">
        <v>16.170000000000002</v>
      </c>
      <c r="J269" s="703">
        <v>15.66</v>
      </c>
      <c r="K269" s="703">
        <v>14.77</v>
      </c>
      <c r="L269" s="704">
        <v>14.78</v>
      </c>
      <c r="M269" s="704">
        <v>15.97</v>
      </c>
    </row>
    <row r="270" spans="1:13">
      <c r="A270" s="933" t="s">
        <v>42</v>
      </c>
      <c r="B270" s="703">
        <v>9</v>
      </c>
      <c r="C270" s="703">
        <v>15.91</v>
      </c>
      <c r="D270" s="704">
        <v>16.3</v>
      </c>
      <c r="E270" s="703">
        <v>16.47</v>
      </c>
      <c r="F270" s="703">
        <v>16.420000000000002</v>
      </c>
      <c r="G270" s="703">
        <v>17.05</v>
      </c>
      <c r="H270" s="703">
        <v>16.18</v>
      </c>
      <c r="I270" s="704">
        <v>16.21</v>
      </c>
      <c r="J270" s="703">
        <v>15.69</v>
      </c>
      <c r="K270" s="703">
        <v>14.81</v>
      </c>
      <c r="L270" s="704">
        <v>14.82</v>
      </c>
      <c r="M270" s="704">
        <v>16.21</v>
      </c>
    </row>
    <row r="271" spans="1:13">
      <c r="A271" s="933" t="s">
        <v>43</v>
      </c>
      <c r="B271" s="703">
        <v>19</v>
      </c>
      <c r="C271" s="703">
        <v>16.23</v>
      </c>
      <c r="D271" s="704">
        <v>16.36</v>
      </c>
      <c r="E271" s="703">
        <v>16.45</v>
      </c>
      <c r="F271" s="703">
        <v>16.43</v>
      </c>
      <c r="G271" s="703">
        <v>17.05</v>
      </c>
      <c r="H271" s="703">
        <v>16.149999999999999</v>
      </c>
      <c r="I271" s="704">
        <v>16.18</v>
      </c>
      <c r="J271" s="703">
        <v>15.71</v>
      </c>
      <c r="K271" s="703">
        <v>14.82</v>
      </c>
      <c r="L271" s="704">
        <v>14.83</v>
      </c>
      <c r="M271" s="704">
        <v>16.21</v>
      </c>
    </row>
    <row r="272" spans="1:13">
      <c r="A272" s="933" t="s">
        <v>44</v>
      </c>
      <c r="B272" s="703">
        <v>15.6</v>
      </c>
      <c r="C272" s="703">
        <v>15.05</v>
      </c>
      <c r="D272" s="704">
        <v>16.63</v>
      </c>
      <c r="E272" s="703">
        <v>16.989999999999998</v>
      </c>
      <c r="F272" s="703">
        <v>16.850000000000001</v>
      </c>
      <c r="G272" s="703">
        <v>16.850000000000001</v>
      </c>
      <c r="H272" s="703">
        <v>15.47</v>
      </c>
      <c r="I272" s="704">
        <v>15.52</v>
      </c>
      <c r="J272" s="703">
        <v>14.61</v>
      </c>
      <c r="K272" s="703">
        <v>14.8</v>
      </c>
      <c r="L272" s="704">
        <v>14.87</v>
      </c>
      <c r="M272" s="704">
        <v>16.309999999999999</v>
      </c>
    </row>
    <row r="273" spans="1:13">
      <c r="A273" s="933" t="s">
        <v>619</v>
      </c>
      <c r="B273" s="703">
        <v>13.2</v>
      </c>
      <c r="C273" s="703">
        <v>15.81</v>
      </c>
      <c r="D273" s="704">
        <v>15.66</v>
      </c>
      <c r="E273" s="703">
        <v>16.32</v>
      </c>
      <c r="F273" s="703">
        <v>16.079999999999998</v>
      </c>
      <c r="G273" s="703">
        <v>17.04</v>
      </c>
      <c r="H273" s="703">
        <v>14.64</v>
      </c>
      <c r="I273" s="704">
        <v>14.69</v>
      </c>
      <c r="J273" s="703">
        <v>15.74</v>
      </c>
      <c r="K273" s="703">
        <v>14.85</v>
      </c>
      <c r="L273" s="704">
        <v>14.83</v>
      </c>
      <c r="M273" s="704">
        <v>15.61</v>
      </c>
    </row>
    <row r="274" spans="1:13">
      <c r="A274" s="735"/>
      <c r="B274" s="790"/>
      <c r="C274" s="790"/>
      <c r="D274" s="790"/>
      <c r="E274" s="790"/>
      <c r="F274" s="790"/>
      <c r="G274" s="790"/>
      <c r="H274" s="790"/>
      <c r="I274" s="790"/>
      <c r="J274" s="790"/>
      <c r="K274" s="790"/>
      <c r="L274" s="790"/>
      <c r="M274" s="790"/>
    </row>
    <row r="275" spans="1:13">
      <c r="A275" s="709"/>
      <c r="B275" s="710"/>
      <c r="C275" s="710"/>
      <c r="D275" s="710"/>
      <c r="E275" s="710"/>
      <c r="F275" s="710"/>
      <c r="G275" s="710"/>
      <c r="H275" s="710"/>
      <c r="I275" s="710"/>
      <c r="J275" s="710"/>
      <c r="K275" s="710"/>
      <c r="L275" s="710"/>
      <c r="M275" s="688"/>
    </row>
    <row r="276" spans="1:13" hidden="1">
      <c r="A276" s="1242"/>
      <c r="B276" s="1243"/>
      <c r="C276" s="1243"/>
      <c r="D276" s="1243"/>
      <c r="E276" s="1243"/>
      <c r="F276" s="1243"/>
      <c r="G276" s="1243"/>
      <c r="H276" s="1243"/>
      <c r="I276" s="1243"/>
      <c r="J276" s="1243"/>
      <c r="K276" s="1243"/>
      <c r="L276" s="1243"/>
      <c r="M276" s="1244"/>
    </row>
    <row r="277" spans="1:13" s="69" customFormat="1">
      <c r="A277" s="1260" t="s">
        <v>641</v>
      </c>
      <c r="B277" s="1261"/>
      <c r="C277" s="1261"/>
      <c r="D277" s="1261"/>
      <c r="E277" s="1261"/>
      <c r="F277" s="1261"/>
      <c r="G277" s="1261"/>
      <c r="H277" s="1261"/>
      <c r="I277" s="1261"/>
      <c r="J277" s="1261"/>
      <c r="K277" s="1261"/>
      <c r="L277" s="1261"/>
      <c r="M277" s="1262"/>
    </row>
    <row r="278" spans="1:13">
      <c r="A278" s="772"/>
      <c r="B278" s="773"/>
      <c r="C278" s="773"/>
      <c r="D278" s="773"/>
      <c r="E278" s="773"/>
      <c r="F278" s="773"/>
      <c r="G278" s="773"/>
      <c r="H278" s="773"/>
      <c r="I278" s="773"/>
      <c r="J278" s="773"/>
      <c r="K278" s="773"/>
      <c r="L278" s="773"/>
      <c r="M278" s="774"/>
    </row>
  </sheetData>
  <mergeCells count="7">
    <mergeCell ref="A276:M276"/>
    <mergeCell ref="A277:M277"/>
    <mergeCell ref="B2:L2"/>
    <mergeCell ref="B3:L3"/>
    <mergeCell ref="B6:F6"/>
    <mergeCell ref="G6:I6"/>
    <mergeCell ref="J6:L6"/>
  </mergeCells>
  <pageMargins left="2.6771653543307088" right="0.70866141732283472" top="0.74803149606299213" bottom="0.74803149606299213" header="0.31496062992125984" footer="0.31496062992125984"/>
  <pageSetup paperSize="9" scale="57" orientation="landscape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79"/>
  <sheetViews>
    <sheetView showGridLines="0" view="pageBreakPreview" topLeftCell="A56" zoomScale="60" zoomScaleNormal="100" workbookViewId="0">
      <selection activeCell="X279" sqref="X279"/>
    </sheetView>
  </sheetViews>
  <sheetFormatPr defaultColWidth="12.6640625" defaultRowHeight="12.75"/>
  <cols>
    <col min="1" max="1" width="20.77734375" style="689" customWidth="1"/>
    <col min="2" max="2" width="9.77734375" style="689" customWidth="1"/>
    <col min="3" max="3" width="10.77734375" style="689" customWidth="1"/>
    <col min="4" max="4" width="11.77734375" style="689" customWidth="1"/>
    <col min="5" max="5" width="12" style="689" customWidth="1"/>
    <col min="6" max="7" width="10.77734375" style="689" customWidth="1"/>
    <col min="8" max="8" width="8.21875" style="689" customWidth="1"/>
    <col min="9" max="13" width="9.77734375" style="689" hidden="1" customWidth="1"/>
    <col min="14" max="14" width="0" style="689" hidden="1" customWidth="1"/>
    <col min="15" max="16" width="12.6640625" style="689"/>
    <col min="17" max="17" width="0" style="689" hidden="1" customWidth="1"/>
    <col min="18" max="18" width="12.6640625" style="689"/>
    <col min="19" max="19" width="11.77734375" style="689" hidden="1" customWidth="1"/>
    <col min="20" max="20" width="13.77734375" style="689" hidden="1" customWidth="1"/>
    <col min="21" max="21" width="0" style="689" hidden="1" customWidth="1"/>
    <col min="22" max="22" width="13.44140625" style="689" customWidth="1"/>
    <col min="23" max="16384" width="12.6640625" style="689"/>
  </cols>
  <sheetData>
    <row r="1" spans="1:248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3"/>
    </row>
    <row r="2" spans="1:248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82"/>
      <c r="IM2" s="714" t="s">
        <v>532</v>
      </c>
    </row>
    <row r="3" spans="1:248">
      <c r="A3" s="552" t="s">
        <v>0</v>
      </c>
      <c r="B3" s="71"/>
      <c r="C3" s="71"/>
      <c r="D3" s="71"/>
      <c r="E3" s="71"/>
      <c r="F3" s="71"/>
      <c r="G3" s="715" t="s">
        <v>0</v>
      </c>
      <c r="H3" s="715" t="s">
        <v>0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71"/>
      <c r="IM3" s="714" t="s">
        <v>429</v>
      </c>
      <c r="IN3" s="716" t="s">
        <v>430</v>
      </c>
    </row>
    <row r="4" spans="1:248">
      <c r="A4" s="690"/>
      <c r="B4" s="1234" t="s">
        <v>558</v>
      </c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  <c r="N4" s="1234"/>
      <c r="O4" s="1234"/>
      <c r="P4" s="1234"/>
      <c r="Q4" s="1234"/>
      <c r="R4" s="1234"/>
      <c r="S4" s="717"/>
      <c r="T4" s="717"/>
      <c r="U4" s="717"/>
      <c r="V4" s="818" t="s">
        <v>533</v>
      </c>
      <c r="IN4" s="716" t="s">
        <v>431</v>
      </c>
    </row>
    <row r="5" spans="1:248">
      <c r="A5" s="690"/>
      <c r="B5" s="1194" t="s">
        <v>559</v>
      </c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  <c r="O5" s="1194"/>
      <c r="P5" s="1194"/>
      <c r="Q5" s="1194"/>
      <c r="R5" s="1194"/>
      <c r="S5" s="517"/>
      <c r="T5" s="517"/>
      <c r="U5" s="517"/>
      <c r="V5" s="316"/>
    </row>
    <row r="6" spans="1:248" s="718" customFormat="1">
      <c r="A6" s="555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68"/>
      <c r="IM6" s="719"/>
    </row>
    <row r="7" spans="1:248">
      <c r="A7" s="578"/>
      <c r="B7" s="80"/>
      <c r="C7" s="80"/>
      <c r="D7" s="70"/>
      <c r="E7" s="71"/>
      <c r="F7" s="71"/>
      <c r="G7" s="71"/>
      <c r="H7" s="82"/>
      <c r="I7" s="243"/>
      <c r="J7" s="243"/>
      <c r="K7" s="243"/>
      <c r="L7" s="243"/>
      <c r="M7" s="243"/>
      <c r="N7" s="401"/>
      <c r="O7" s="70"/>
      <c r="P7" s="71"/>
      <c r="Q7" s="71"/>
      <c r="R7" s="71"/>
      <c r="S7" s="80"/>
      <c r="T7" s="100"/>
      <c r="U7" s="80"/>
      <c r="V7" s="100"/>
      <c r="IM7" s="714" t="s">
        <v>432</v>
      </c>
      <c r="IN7" s="716" t="s">
        <v>433</v>
      </c>
    </row>
    <row r="8" spans="1:248" ht="15.75" customHeight="1">
      <c r="A8" s="84" t="s">
        <v>327</v>
      </c>
      <c r="B8" s="115" t="s">
        <v>379</v>
      </c>
      <c r="C8" s="115" t="s">
        <v>445</v>
      </c>
      <c r="D8" s="1245" t="s">
        <v>446</v>
      </c>
      <c r="E8" s="1246"/>
      <c r="F8" s="1246"/>
      <c r="G8" s="1246"/>
      <c r="H8" s="1247"/>
      <c r="I8" s="588" t="s">
        <v>435</v>
      </c>
      <c r="J8" s="588"/>
      <c r="K8" s="336" t="s">
        <v>560</v>
      </c>
      <c r="L8" s="720"/>
      <c r="M8" s="242"/>
      <c r="N8" s="244"/>
      <c r="O8" s="1233" t="s">
        <v>561</v>
      </c>
      <c r="P8" s="1234"/>
      <c r="Q8" s="1234"/>
      <c r="R8" s="1235"/>
      <c r="S8" s="80"/>
      <c r="T8" s="80"/>
      <c r="U8" s="80"/>
      <c r="V8" s="721" t="s">
        <v>564</v>
      </c>
    </row>
    <row r="9" spans="1:248">
      <c r="A9" s="84"/>
      <c r="B9" s="115" t="s">
        <v>562</v>
      </c>
      <c r="C9" s="115" t="s">
        <v>448</v>
      </c>
      <c r="D9" s="102"/>
      <c r="E9" s="71"/>
      <c r="F9" s="104"/>
      <c r="G9" s="104"/>
      <c r="H9" s="122"/>
      <c r="I9" s="592"/>
      <c r="J9" s="592"/>
      <c r="K9" s="243"/>
      <c r="L9" s="243"/>
      <c r="M9" s="592"/>
      <c r="N9" s="722"/>
      <c r="O9" s="102"/>
      <c r="P9" s="71"/>
      <c r="Q9" s="104"/>
      <c r="R9" s="104"/>
      <c r="S9" s="485" t="s">
        <v>534</v>
      </c>
      <c r="T9" s="240" t="s">
        <v>563</v>
      </c>
      <c r="U9" s="485" t="s">
        <v>437</v>
      </c>
      <c r="V9" s="721" t="s">
        <v>566</v>
      </c>
    </row>
    <row r="10" spans="1:248">
      <c r="A10" s="84"/>
      <c r="B10" s="80"/>
      <c r="C10" s="80"/>
      <c r="D10" s="596"/>
      <c r="E10" s="595"/>
      <c r="F10" s="596"/>
      <c r="G10" s="597"/>
      <c r="H10" s="115" t="s">
        <v>0</v>
      </c>
      <c r="I10" s="264" t="s">
        <v>441</v>
      </c>
      <c r="J10" s="596"/>
      <c r="K10" s="595"/>
      <c r="L10" s="723"/>
      <c r="M10" s="596"/>
      <c r="N10" s="115" t="s">
        <v>0</v>
      </c>
      <c r="O10" s="596"/>
      <c r="P10" s="595"/>
      <c r="Q10" s="596"/>
      <c r="R10" s="617" t="s">
        <v>0</v>
      </c>
      <c r="S10" s="485" t="s">
        <v>535</v>
      </c>
      <c r="T10" s="485" t="s">
        <v>565</v>
      </c>
      <c r="U10" s="120" t="s">
        <v>442</v>
      </c>
      <c r="V10" s="724"/>
    </row>
    <row r="11" spans="1:248">
      <c r="A11" s="84" t="s">
        <v>34</v>
      </c>
      <c r="B11" s="599"/>
      <c r="C11" s="599"/>
      <c r="D11" s="107" t="s">
        <v>567</v>
      </c>
      <c r="E11" s="115" t="s">
        <v>567</v>
      </c>
      <c r="F11" s="107" t="s">
        <v>567</v>
      </c>
      <c r="G11" s="597" t="s">
        <v>568</v>
      </c>
      <c r="H11" s="115" t="s">
        <v>555</v>
      </c>
      <c r="I11" s="264" t="s">
        <v>443</v>
      </c>
      <c r="J11" s="107" t="s">
        <v>567</v>
      </c>
      <c r="K11" s="115" t="s">
        <v>567</v>
      </c>
      <c r="L11" s="284" t="s">
        <v>567</v>
      </c>
      <c r="M11" s="596" t="s">
        <v>568</v>
      </c>
      <c r="N11" s="115" t="s">
        <v>555</v>
      </c>
      <c r="O11" s="246" t="s">
        <v>567</v>
      </c>
      <c r="P11" s="115" t="s">
        <v>567</v>
      </c>
      <c r="Q11" s="596" t="s">
        <v>568</v>
      </c>
      <c r="R11" s="485" t="s">
        <v>555</v>
      </c>
      <c r="S11" s="80"/>
      <c r="T11" s="80"/>
      <c r="U11" s="80"/>
      <c r="V11" s="80"/>
    </row>
    <row r="12" spans="1:248">
      <c r="A12" s="125" t="s">
        <v>444</v>
      </c>
      <c r="B12" s="343"/>
      <c r="C12" s="343"/>
      <c r="D12" s="596" t="s">
        <v>569</v>
      </c>
      <c r="E12" s="725" t="s">
        <v>570</v>
      </c>
      <c r="F12" s="726" t="s">
        <v>455</v>
      </c>
      <c r="G12" s="597" t="s">
        <v>455</v>
      </c>
      <c r="H12" s="343"/>
      <c r="I12" s="90"/>
      <c r="J12" s="596" t="s">
        <v>569</v>
      </c>
      <c r="K12" s="725" t="s">
        <v>570</v>
      </c>
      <c r="L12" s="727" t="s">
        <v>455</v>
      </c>
      <c r="M12" s="596" t="s">
        <v>455</v>
      </c>
      <c r="N12" s="343"/>
      <c r="O12" s="597" t="s">
        <v>570</v>
      </c>
      <c r="P12" s="725" t="s">
        <v>455</v>
      </c>
      <c r="Q12" s="596" t="s">
        <v>455</v>
      </c>
      <c r="R12" s="253"/>
      <c r="S12" s="343"/>
      <c r="T12" s="343"/>
      <c r="U12" s="343"/>
      <c r="V12" s="253"/>
    </row>
    <row r="13" spans="1:248">
      <c r="A13" s="733" t="s">
        <v>444</v>
      </c>
      <c r="B13" s="728"/>
      <c r="C13" s="728"/>
      <c r="D13" s="729"/>
      <c r="E13" s="728"/>
      <c r="F13" s="729"/>
      <c r="G13" s="730"/>
      <c r="H13" s="731"/>
      <c r="I13" s="729"/>
      <c r="J13" s="728" t="s">
        <v>0</v>
      </c>
      <c r="K13" s="732"/>
      <c r="L13" s="728"/>
      <c r="M13" s="728"/>
      <c r="N13" s="728"/>
      <c r="O13" s="710"/>
      <c r="P13" s="733"/>
      <c r="Q13" s="733"/>
      <c r="R13" s="710"/>
      <c r="S13" s="734"/>
      <c r="T13" s="734"/>
      <c r="U13" s="734"/>
      <c r="V13" s="734"/>
    </row>
    <row r="14" spans="1:248" hidden="1">
      <c r="A14" s="693" t="s">
        <v>529</v>
      </c>
      <c r="B14" s="695">
        <v>4.3</v>
      </c>
      <c r="C14" s="695">
        <v>8.01</v>
      </c>
      <c r="D14" s="696">
        <v>9.01</v>
      </c>
      <c r="E14" s="695">
        <v>9.5</v>
      </c>
      <c r="F14" s="696">
        <v>12.12</v>
      </c>
      <c r="G14" s="694">
        <v>12.89</v>
      </c>
      <c r="H14" s="695">
        <v>9.5299999999999994</v>
      </c>
      <c r="I14" s="696">
        <v>6.28</v>
      </c>
      <c r="J14" s="695"/>
      <c r="K14" s="697">
        <v>7.48</v>
      </c>
      <c r="L14" s="695"/>
      <c r="M14" s="695"/>
      <c r="N14" s="695">
        <v>7.04</v>
      </c>
      <c r="O14" s="696">
        <v>9.0500000000000007</v>
      </c>
      <c r="P14" s="695">
        <v>9.76</v>
      </c>
      <c r="Q14" s="695"/>
      <c r="R14" s="696">
        <v>9.73</v>
      </c>
      <c r="S14" s="695">
        <v>8</v>
      </c>
      <c r="T14" s="695">
        <v>8</v>
      </c>
      <c r="U14" s="695">
        <v>12</v>
      </c>
      <c r="V14" s="695">
        <v>8.3800000000000008</v>
      </c>
    </row>
    <row r="15" spans="1:248" hidden="1">
      <c r="A15" s="693" t="s">
        <v>530</v>
      </c>
      <c r="B15" s="695">
        <v>3.87</v>
      </c>
      <c r="C15" s="695">
        <v>7.8</v>
      </c>
      <c r="D15" s="696">
        <v>8.5</v>
      </c>
      <c r="E15" s="695">
        <v>8.82</v>
      </c>
      <c r="F15" s="696">
        <v>10.36</v>
      </c>
      <c r="G15" s="694">
        <v>12.88</v>
      </c>
      <c r="H15" s="695">
        <v>8.83</v>
      </c>
      <c r="I15" s="696">
        <v>6.35</v>
      </c>
      <c r="J15" s="695"/>
      <c r="K15" s="736">
        <v>7.28</v>
      </c>
      <c r="L15" s="737"/>
      <c r="M15" s="737"/>
      <c r="N15" s="695">
        <v>6.88</v>
      </c>
      <c r="O15" s="696" t="s">
        <v>88</v>
      </c>
      <c r="P15" s="695">
        <v>8.9499999999999993</v>
      </c>
      <c r="Q15" s="695"/>
      <c r="R15" s="696">
        <v>8.9499999999999993</v>
      </c>
      <c r="S15" s="695">
        <v>8</v>
      </c>
      <c r="T15" s="695">
        <v>8</v>
      </c>
      <c r="U15" s="695">
        <v>12</v>
      </c>
      <c r="V15" s="695">
        <v>8.3699999999999992</v>
      </c>
    </row>
    <row r="16" spans="1:248" hidden="1">
      <c r="A16" s="693" t="s">
        <v>531</v>
      </c>
      <c r="B16" s="699">
        <v>4.83</v>
      </c>
      <c r="C16" s="699">
        <v>7.95</v>
      </c>
      <c r="D16" s="700">
        <v>8.73</v>
      </c>
      <c r="E16" s="699">
        <v>9.2899999999999991</v>
      </c>
      <c r="F16" s="700">
        <v>8.5</v>
      </c>
      <c r="G16" s="698">
        <v>8.5</v>
      </c>
      <c r="H16" s="699">
        <v>9.16</v>
      </c>
      <c r="I16" s="700">
        <v>5</v>
      </c>
      <c r="J16" s="699"/>
      <c r="K16" s="701">
        <v>5.49</v>
      </c>
      <c r="L16" s="699"/>
      <c r="M16" s="699"/>
      <c r="N16" s="699">
        <v>5.26</v>
      </c>
      <c r="O16" s="700">
        <v>9.06</v>
      </c>
      <c r="P16" s="699">
        <v>9.6300000000000008</v>
      </c>
      <c r="Q16" s="699"/>
      <c r="R16" s="700">
        <v>9.4700000000000006</v>
      </c>
      <c r="S16" s="699">
        <v>8</v>
      </c>
      <c r="T16" s="699">
        <v>8</v>
      </c>
      <c r="U16" s="704" t="s">
        <v>88</v>
      </c>
      <c r="V16" s="699">
        <v>8.4499999999999993</v>
      </c>
    </row>
    <row r="17" spans="1:22" hidden="1">
      <c r="A17" s="828" t="s">
        <v>469</v>
      </c>
      <c r="B17" s="699">
        <v>6</v>
      </c>
      <c r="C17" s="699">
        <v>8</v>
      </c>
      <c r="D17" s="700">
        <v>9.6</v>
      </c>
      <c r="E17" s="699">
        <v>9.6</v>
      </c>
      <c r="F17" s="700">
        <v>8.5</v>
      </c>
      <c r="G17" s="698">
        <v>8.5</v>
      </c>
      <c r="H17" s="699">
        <v>9.6</v>
      </c>
      <c r="I17" s="700">
        <v>5</v>
      </c>
      <c r="J17" s="699"/>
      <c r="K17" s="701">
        <v>5.5</v>
      </c>
      <c r="L17" s="699"/>
      <c r="M17" s="699"/>
      <c r="N17" s="699">
        <v>5.3</v>
      </c>
      <c r="O17" s="700" t="s">
        <v>88</v>
      </c>
      <c r="P17" s="699">
        <v>11.3</v>
      </c>
      <c r="Q17" s="699"/>
      <c r="R17" s="700">
        <v>11.3</v>
      </c>
      <c r="S17" s="699">
        <v>8</v>
      </c>
      <c r="T17" s="699">
        <v>8</v>
      </c>
      <c r="U17" s="699" t="s">
        <v>88</v>
      </c>
      <c r="V17" s="699">
        <v>9.1</v>
      </c>
    </row>
    <row r="18" spans="1:22" hidden="1">
      <c r="A18" s="829" t="s">
        <v>470</v>
      </c>
      <c r="B18" s="699">
        <v>4.3</v>
      </c>
      <c r="C18" s="699">
        <v>7.7</v>
      </c>
      <c r="D18" s="700">
        <v>10.9</v>
      </c>
      <c r="E18" s="699">
        <v>10.6</v>
      </c>
      <c r="F18" s="700">
        <v>9.4</v>
      </c>
      <c r="G18" s="698" t="s">
        <v>88</v>
      </c>
      <c r="H18" s="699">
        <v>10.7</v>
      </c>
      <c r="I18" s="700" t="s">
        <v>88</v>
      </c>
      <c r="J18" s="699"/>
      <c r="K18" s="701">
        <v>8.9</v>
      </c>
      <c r="L18" s="699"/>
      <c r="M18" s="699"/>
      <c r="N18" s="699">
        <v>8.9</v>
      </c>
      <c r="O18" s="700" t="s">
        <v>88</v>
      </c>
      <c r="P18" s="699">
        <v>11.8</v>
      </c>
      <c r="Q18" s="699"/>
      <c r="R18" s="700">
        <v>11.8</v>
      </c>
      <c r="S18" s="699">
        <v>7.7</v>
      </c>
      <c r="T18" s="699">
        <v>7.7</v>
      </c>
      <c r="U18" s="699" t="s">
        <v>88</v>
      </c>
      <c r="V18" s="699">
        <v>9.4</v>
      </c>
    </row>
    <row r="19" spans="1:22" hidden="1">
      <c r="A19" s="829" t="s">
        <v>471</v>
      </c>
      <c r="B19" s="704">
        <v>6.4</v>
      </c>
      <c r="C19" s="704">
        <v>8.1999999999999993</v>
      </c>
      <c r="D19" s="705">
        <v>13.1</v>
      </c>
      <c r="E19" s="704">
        <v>12.1</v>
      </c>
      <c r="F19" s="705">
        <v>11</v>
      </c>
      <c r="G19" s="703">
        <v>9.9700000000000006</v>
      </c>
      <c r="H19" s="704">
        <v>12.6</v>
      </c>
      <c r="I19" s="700" t="s">
        <v>88</v>
      </c>
      <c r="J19" s="699"/>
      <c r="K19" s="738" t="s">
        <v>88</v>
      </c>
      <c r="L19" s="739"/>
      <c r="M19" s="739"/>
      <c r="N19" s="699" t="s">
        <v>88</v>
      </c>
      <c r="O19" s="700">
        <v>13.8</v>
      </c>
      <c r="P19" s="704">
        <v>13.3</v>
      </c>
      <c r="Q19" s="704"/>
      <c r="R19" s="705">
        <v>13.5</v>
      </c>
      <c r="S19" s="704">
        <v>9</v>
      </c>
      <c r="T19" s="704">
        <v>9</v>
      </c>
      <c r="U19" s="699" t="s">
        <v>88</v>
      </c>
      <c r="V19" s="704">
        <v>11.3</v>
      </c>
    </row>
    <row r="20" spans="1:22" hidden="1">
      <c r="A20" s="829" t="s">
        <v>472</v>
      </c>
      <c r="B20" s="704">
        <v>9.3000000000000007</v>
      </c>
      <c r="C20" s="704">
        <v>8.3000000000000007</v>
      </c>
      <c r="D20" s="705">
        <v>13.4</v>
      </c>
      <c r="E20" s="704">
        <v>13.2</v>
      </c>
      <c r="F20" s="705">
        <v>11.6</v>
      </c>
      <c r="G20" s="703">
        <v>12.3</v>
      </c>
      <c r="H20" s="704">
        <v>13.3</v>
      </c>
      <c r="I20" s="740" t="s">
        <v>88</v>
      </c>
      <c r="J20" s="739"/>
      <c r="K20" s="738" t="s">
        <v>88</v>
      </c>
      <c r="L20" s="739"/>
      <c r="M20" s="739"/>
      <c r="N20" s="739" t="s">
        <v>88</v>
      </c>
      <c r="O20" s="700">
        <v>13.8</v>
      </c>
      <c r="P20" s="704">
        <v>14</v>
      </c>
      <c r="Q20" s="739" t="s">
        <v>88</v>
      </c>
      <c r="R20" s="705">
        <v>13.8</v>
      </c>
      <c r="S20" s="704">
        <v>9</v>
      </c>
      <c r="T20" s="704">
        <v>9</v>
      </c>
      <c r="U20" s="699" t="s">
        <v>88</v>
      </c>
      <c r="V20" s="704">
        <v>12.1</v>
      </c>
    </row>
    <row r="21" spans="1:22" hidden="1">
      <c r="A21" s="829" t="s">
        <v>473</v>
      </c>
      <c r="B21" s="704">
        <v>11.9</v>
      </c>
      <c r="C21" s="704">
        <v>8.3000000000000007</v>
      </c>
      <c r="D21" s="705">
        <v>14.4</v>
      </c>
      <c r="E21" s="704">
        <v>14.7</v>
      </c>
      <c r="F21" s="705">
        <v>11.4</v>
      </c>
      <c r="G21" s="703">
        <v>12.8</v>
      </c>
      <c r="H21" s="704">
        <v>14.4</v>
      </c>
      <c r="I21" s="740" t="s">
        <v>88</v>
      </c>
      <c r="J21" s="739"/>
      <c r="K21" s="738" t="s">
        <v>88</v>
      </c>
      <c r="L21" s="739"/>
      <c r="M21" s="739"/>
      <c r="N21" s="739" t="s">
        <v>88</v>
      </c>
      <c r="O21" s="700">
        <v>14.1</v>
      </c>
      <c r="P21" s="704">
        <v>14.1</v>
      </c>
      <c r="Q21" s="739" t="s">
        <v>88</v>
      </c>
      <c r="R21" s="705">
        <v>14.2</v>
      </c>
      <c r="S21" s="704">
        <v>11</v>
      </c>
      <c r="T21" s="704">
        <v>11</v>
      </c>
      <c r="U21" s="699" t="s">
        <v>88</v>
      </c>
      <c r="V21" s="704">
        <v>13.3</v>
      </c>
    </row>
    <row r="22" spans="1:22" hidden="1">
      <c r="A22" s="830" t="s">
        <v>536</v>
      </c>
      <c r="B22" s="704">
        <v>10.1</v>
      </c>
      <c r="C22" s="704">
        <v>8.4</v>
      </c>
      <c r="D22" s="705">
        <v>15.3</v>
      </c>
      <c r="E22" s="704">
        <v>15.1</v>
      </c>
      <c r="F22" s="705">
        <v>15.5</v>
      </c>
      <c r="G22" s="703">
        <v>9.3000000000000007</v>
      </c>
      <c r="H22" s="704">
        <v>15.1</v>
      </c>
      <c r="I22" s="740" t="s">
        <v>88</v>
      </c>
      <c r="J22" s="739"/>
      <c r="K22" s="738" t="s">
        <v>88</v>
      </c>
      <c r="L22" s="739"/>
      <c r="M22" s="739"/>
      <c r="N22" s="739" t="s">
        <v>88</v>
      </c>
      <c r="O22" s="700">
        <v>14.6</v>
      </c>
      <c r="P22" s="704">
        <v>13.3</v>
      </c>
      <c r="Q22" s="739" t="s">
        <v>88</v>
      </c>
      <c r="R22" s="705">
        <v>13.8</v>
      </c>
      <c r="S22" s="704">
        <v>11</v>
      </c>
      <c r="T22" s="704">
        <v>8.5</v>
      </c>
      <c r="U22" s="699" t="s">
        <v>88</v>
      </c>
      <c r="V22" s="704">
        <v>13.7</v>
      </c>
    </row>
    <row r="23" spans="1:22" hidden="1">
      <c r="A23" s="830" t="s">
        <v>475</v>
      </c>
      <c r="B23" s="704">
        <v>9.34</v>
      </c>
      <c r="C23" s="704">
        <v>8.1</v>
      </c>
      <c r="D23" s="705">
        <v>13.64</v>
      </c>
      <c r="E23" s="704">
        <v>14.51</v>
      </c>
      <c r="F23" s="705">
        <v>12.43</v>
      </c>
      <c r="G23" s="703">
        <v>12.17</v>
      </c>
      <c r="H23" s="704">
        <v>14.09</v>
      </c>
      <c r="I23" s="740" t="s">
        <v>88</v>
      </c>
      <c r="J23" s="741" t="s">
        <v>88</v>
      </c>
      <c r="K23" s="738">
        <v>18.239999999999998</v>
      </c>
      <c r="L23" s="739"/>
      <c r="M23" s="739"/>
      <c r="N23" s="739">
        <v>18.239999999999998</v>
      </c>
      <c r="O23" s="700">
        <v>13.17</v>
      </c>
      <c r="P23" s="704">
        <v>12.5</v>
      </c>
      <c r="Q23" s="739" t="s">
        <v>88</v>
      </c>
      <c r="R23" s="705">
        <v>12.67</v>
      </c>
      <c r="S23" s="704">
        <v>11</v>
      </c>
      <c r="T23" s="704">
        <v>8.0399999999999991</v>
      </c>
      <c r="U23" s="699" t="s">
        <v>88</v>
      </c>
      <c r="V23" s="704">
        <v>12.79</v>
      </c>
    </row>
    <row r="24" spans="1:22" hidden="1">
      <c r="A24" s="830" t="s">
        <v>476</v>
      </c>
      <c r="B24" s="704">
        <v>7.47</v>
      </c>
      <c r="C24" s="704">
        <v>7.4</v>
      </c>
      <c r="D24" s="705">
        <v>9.9</v>
      </c>
      <c r="E24" s="704">
        <v>10.7</v>
      </c>
      <c r="F24" s="705">
        <v>11.95</v>
      </c>
      <c r="G24" s="703">
        <v>10.8</v>
      </c>
      <c r="H24" s="704">
        <v>10.3</v>
      </c>
      <c r="I24" s="740" t="s">
        <v>88</v>
      </c>
      <c r="J24" s="741" t="s">
        <v>88</v>
      </c>
      <c r="K24" s="742" t="s">
        <v>88</v>
      </c>
      <c r="L24" s="741"/>
      <c r="M24" s="741"/>
      <c r="N24" s="741" t="s">
        <v>88</v>
      </c>
      <c r="O24" s="700">
        <v>9.1300000000000008</v>
      </c>
      <c r="P24" s="704">
        <v>9.7799999999999994</v>
      </c>
      <c r="Q24" s="739" t="s">
        <v>88</v>
      </c>
      <c r="R24" s="705">
        <v>9.6</v>
      </c>
      <c r="S24" s="704">
        <v>9</v>
      </c>
      <c r="T24" s="704">
        <v>8.1</v>
      </c>
      <c r="U24" s="699" t="s">
        <v>88</v>
      </c>
      <c r="V24" s="704">
        <v>9.6</v>
      </c>
    </row>
    <row r="25" spans="1:22" hidden="1">
      <c r="A25" s="830" t="s">
        <v>477</v>
      </c>
      <c r="B25" s="704">
        <v>6.28</v>
      </c>
      <c r="C25" s="704">
        <v>5.0199999999999996</v>
      </c>
      <c r="D25" s="705">
        <v>9.6</v>
      </c>
      <c r="E25" s="704">
        <v>8.9</v>
      </c>
      <c r="F25" s="705">
        <v>8</v>
      </c>
      <c r="G25" s="703" t="s">
        <v>88</v>
      </c>
      <c r="H25" s="704">
        <v>9.35</v>
      </c>
      <c r="I25" s="740" t="s">
        <v>88</v>
      </c>
      <c r="J25" s="741" t="s">
        <v>88</v>
      </c>
      <c r="K25" s="742" t="s">
        <v>88</v>
      </c>
      <c r="L25" s="741"/>
      <c r="M25" s="741" t="s">
        <v>88</v>
      </c>
      <c r="N25" s="741" t="s">
        <v>88</v>
      </c>
      <c r="O25" s="700">
        <v>10.67</v>
      </c>
      <c r="P25" s="704">
        <v>9.49</v>
      </c>
      <c r="Q25" s="739">
        <v>9</v>
      </c>
      <c r="R25" s="705">
        <v>9.6</v>
      </c>
      <c r="S25" s="704" t="s">
        <v>88</v>
      </c>
      <c r="T25" s="704">
        <v>7.99</v>
      </c>
      <c r="U25" s="699" t="s">
        <v>88</v>
      </c>
      <c r="V25" s="704">
        <v>8.86</v>
      </c>
    </row>
    <row r="26" spans="1:22" hidden="1">
      <c r="A26" s="830" t="s">
        <v>478</v>
      </c>
      <c r="B26" s="704">
        <v>6.34</v>
      </c>
      <c r="C26" s="704">
        <v>7.16</v>
      </c>
      <c r="D26" s="705">
        <v>8.73</v>
      </c>
      <c r="E26" s="704">
        <v>9</v>
      </c>
      <c r="F26" s="705">
        <v>8</v>
      </c>
      <c r="G26" s="703">
        <v>5.19</v>
      </c>
      <c r="H26" s="704">
        <v>8.73</v>
      </c>
      <c r="I26" s="740" t="s">
        <v>88</v>
      </c>
      <c r="J26" s="741" t="s">
        <v>88</v>
      </c>
      <c r="K26" s="742" t="s">
        <v>88</v>
      </c>
      <c r="L26" s="741"/>
      <c r="M26" s="741" t="s">
        <v>88</v>
      </c>
      <c r="N26" s="741" t="s">
        <v>88</v>
      </c>
      <c r="O26" s="700">
        <v>9.3800000000000008</v>
      </c>
      <c r="P26" s="704">
        <v>9.1</v>
      </c>
      <c r="Q26" s="739">
        <v>9</v>
      </c>
      <c r="R26" s="705">
        <v>9.2200000000000006</v>
      </c>
      <c r="S26" s="704" t="s">
        <v>88</v>
      </c>
      <c r="T26" s="704">
        <v>8</v>
      </c>
      <c r="U26" s="699" t="s">
        <v>88</v>
      </c>
      <c r="V26" s="704">
        <v>8.33</v>
      </c>
    </row>
    <row r="27" spans="1:22" hidden="1">
      <c r="A27" s="830" t="s">
        <v>4</v>
      </c>
      <c r="B27" s="704">
        <v>6.33</v>
      </c>
      <c r="C27" s="704">
        <v>7.32</v>
      </c>
      <c r="D27" s="705">
        <v>8.41</v>
      </c>
      <c r="E27" s="704">
        <v>8.89</v>
      </c>
      <c r="F27" s="705">
        <v>6.86</v>
      </c>
      <c r="G27" s="703">
        <v>5.27</v>
      </c>
      <c r="H27" s="704">
        <v>8.59</v>
      </c>
      <c r="I27" s="740" t="s">
        <v>88</v>
      </c>
      <c r="J27" s="741" t="s">
        <v>88</v>
      </c>
      <c r="K27" s="742" t="s">
        <v>88</v>
      </c>
      <c r="L27" s="741"/>
      <c r="M27" s="741" t="s">
        <v>88</v>
      </c>
      <c r="N27" s="741" t="s">
        <v>88</v>
      </c>
      <c r="O27" s="700">
        <v>9.34</v>
      </c>
      <c r="P27" s="704">
        <v>8.52</v>
      </c>
      <c r="Q27" s="704" t="s">
        <v>88</v>
      </c>
      <c r="R27" s="704">
        <v>8.99</v>
      </c>
      <c r="S27" s="704" t="s">
        <v>88</v>
      </c>
      <c r="T27" s="704">
        <v>8</v>
      </c>
      <c r="U27" s="699" t="s">
        <v>88</v>
      </c>
      <c r="V27" s="704">
        <v>8.1</v>
      </c>
    </row>
    <row r="28" spans="1:22" hidden="1">
      <c r="A28" s="830" t="s">
        <v>5</v>
      </c>
      <c r="B28" s="704">
        <v>6.55</v>
      </c>
      <c r="C28" s="704">
        <v>6.99</v>
      </c>
      <c r="D28" s="705">
        <v>7.91</v>
      </c>
      <c r="E28" s="704">
        <v>7.9</v>
      </c>
      <c r="F28" s="705">
        <v>6.86</v>
      </c>
      <c r="G28" s="703">
        <v>11</v>
      </c>
      <c r="H28" s="704">
        <v>7.9</v>
      </c>
      <c r="I28" s="740" t="s">
        <v>88</v>
      </c>
      <c r="J28" s="741">
        <v>7.98</v>
      </c>
      <c r="K28" s="742">
        <v>7.58</v>
      </c>
      <c r="L28" s="741"/>
      <c r="M28" s="741" t="s">
        <v>88</v>
      </c>
      <c r="N28" s="741">
        <v>7.7</v>
      </c>
      <c r="O28" s="700">
        <v>9.73</v>
      </c>
      <c r="P28" s="704">
        <v>8.6199999999999992</v>
      </c>
      <c r="Q28" s="704" t="s">
        <v>88</v>
      </c>
      <c r="R28" s="704">
        <v>9.4</v>
      </c>
      <c r="S28" s="704" t="s">
        <v>88</v>
      </c>
      <c r="T28" s="704">
        <v>8.2799999999999994</v>
      </c>
      <c r="U28" s="704" t="s">
        <v>88</v>
      </c>
      <c r="V28" s="704">
        <v>7.61</v>
      </c>
    </row>
    <row r="29" spans="1:22" hidden="1">
      <c r="A29" s="830" t="s">
        <v>7</v>
      </c>
      <c r="B29" s="704">
        <v>5.2</v>
      </c>
      <c r="C29" s="704">
        <v>7.03</v>
      </c>
      <c r="D29" s="705">
        <v>8.06</v>
      </c>
      <c r="E29" s="704">
        <v>7.49</v>
      </c>
      <c r="F29" s="741">
        <v>8.99</v>
      </c>
      <c r="G29" s="703">
        <v>7.26</v>
      </c>
      <c r="H29" s="704">
        <v>7.83</v>
      </c>
      <c r="I29" s="740" t="s">
        <v>88</v>
      </c>
      <c r="J29" s="741">
        <v>6.94</v>
      </c>
      <c r="K29" s="742" t="s">
        <v>88</v>
      </c>
      <c r="L29" s="741"/>
      <c r="M29" s="741" t="s">
        <v>88</v>
      </c>
      <c r="N29" s="741">
        <v>6.94</v>
      </c>
      <c r="O29" s="700">
        <v>9.69</v>
      </c>
      <c r="P29" s="704">
        <v>7.44</v>
      </c>
      <c r="Q29" s="704" t="s">
        <v>88</v>
      </c>
      <c r="R29" s="704">
        <v>8.68</v>
      </c>
      <c r="S29" s="704" t="s">
        <v>88</v>
      </c>
      <c r="T29" s="704">
        <v>4.68</v>
      </c>
      <c r="U29" s="704" t="s">
        <v>88</v>
      </c>
      <c r="V29" s="704">
        <v>7.31</v>
      </c>
    </row>
    <row r="30" spans="1:22" hidden="1">
      <c r="A30" s="830" t="s">
        <v>8</v>
      </c>
      <c r="B30" s="704">
        <v>5.99</v>
      </c>
      <c r="C30" s="704">
        <v>7.06</v>
      </c>
      <c r="D30" s="705">
        <v>7.44</v>
      </c>
      <c r="E30" s="704">
        <v>7.88</v>
      </c>
      <c r="F30" s="743">
        <v>9.6300000000000008</v>
      </c>
      <c r="G30" s="703">
        <v>7.01</v>
      </c>
      <c r="H30" s="704">
        <v>7.92</v>
      </c>
      <c r="I30" s="740"/>
      <c r="J30" s="741">
        <v>8.41</v>
      </c>
      <c r="K30" s="742">
        <v>8.36</v>
      </c>
      <c r="L30" s="741" t="s">
        <v>88</v>
      </c>
      <c r="M30" s="741">
        <v>8.17</v>
      </c>
      <c r="N30" s="741">
        <v>8.34</v>
      </c>
      <c r="O30" s="700">
        <v>10.4</v>
      </c>
      <c r="P30" s="704">
        <v>8.2200000000000006</v>
      </c>
      <c r="Q30" s="704" t="s">
        <v>88</v>
      </c>
      <c r="R30" s="705">
        <v>10.199999999999999</v>
      </c>
      <c r="S30" s="704"/>
      <c r="T30" s="704">
        <v>4</v>
      </c>
      <c r="U30" s="704"/>
      <c r="V30" s="704">
        <v>7.59</v>
      </c>
    </row>
    <row r="31" spans="1:22" hidden="1">
      <c r="A31" s="830" t="s">
        <v>10</v>
      </c>
      <c r="B31" s="704">
        <v>5.95</v>
      </c>
      <c r="C31" s="704">
        <v>7.24</v>
      </c>
      <c r="D31" s="705">
        <v>9.64</v>
      </c>
      <c r="E31" s="704">
        <v>9.83</v>
      </c>
      <c r="F31" s="743">
        <v>10.210000000000001</v>
      </c>
      <c r="G31" s="703">
        <v>7.7</v>
      </c>
      <c r="H31" s="704">
        <v>9.77</v>
      </c>
      <c r="I31" s="740"/>
      <c r="J31" s="741" t="s">
        <v>88</v>
      </c>
      <c r="K31" s="742" t="s">
        <v>88</v>
      </c>
      <c r="L31" s="741" t="s">
        <v>88</v>
      </c>
      <c r="M31" s="741" t="s">
        <v>88</v>
      </c>
      <c r="N31" s="741" t="s">
        <v>88</v>
      </c>
      <c r="O31" s="700">
        <v>11.5</v>
      </c>
      <c r="P31" s="704">
        <v>11.12</v>
      </c>
      <c r="Q31" s="704" t="s">
        <v>88</v>
      </c>
      <c r="R31" s="705">
        <v>11.17</v>
      </c>
      <c r="S31" s="704"/>
      <c r="T31" s="704" t="s">
        <v>88</v>
      </c>
      <c r="U31" s="704"/>
      <c r="V31" s="704">
        <v>8.75</v>
      </c>
    </row>
    <row r="32" spans="1:22">
      <c r="A32" s="830" t="s">
        <v>11</v>
      </c>
      <c r="B32" s="704">
        <v>5.32</v>
      </c>
      <c r="C32" s="704">
        <v>7.18</v>
      </c>
      <c r="D32" s="705">
        <v>9.8699999999999992</v>
      </c>
      <c r="E32" s="704">
        <v>10.37</v>
      </c>
      <c r="F32" s="743">
        <v>10.92</v>
      </c>
      <c r="G32" s="703">
        <v>5.44</v>
      </c>
      <c r="H32" s="704">
        <v>10.199999999999999</v>
      </c>
      <c r="I32" s="740"/>
      <c r="J32" s="741" t="s">
        <v>88</v>
      </c>
      <c r="K32" s="742" t="s">
        <v>88</v>
      </c>
      <c r="L32" s="741" t="s">
        <v>88</v>
      </c>
      <c r="M32" s="741" t="s">
        <v>88</v>
      </c>
      <c r="N32" s="741" t="s">
        <v>88</v>
      </c>
      <c r="O32" s="700">
        <v>11.5</v>
      </c>
      <c r="P32" s="704">
        <v>10.56</v>
      </c>
      <c r="Q32" s="704" t="s">
        <v>88</v>
      </c>
      <c r="R32" s="705">
        <v>10.62</v>
      </c>
      <c r="S32" s="704"/>
      <c r="T32" s="704" t="s">
        <v>88</v>
      </c>
      <c r="U32" s="704"/>
      <c r="V32" s="704">
        <v>8.9700000000000006</v>
      </c>
    </row>
    <row r="33" spans="1:22">
      <c r="A33" s="830" t="s">
        <v>13</v>
      </c>
      <c r="B33" s="704">
        <v>5.23</v>
      </c>
      <c r="C33" s="704">
        <v>7.34</v>
      </c>
      <c r="D33" s="705">
        <v>9.33</v>
      </c>
      <c r="E33" s="704">
        <v>10.11</v>
      </c>
      <c r="F33" s="743">
        <v>11.32</v>
      </c>
      <c r="G33" s="703">
        <v>8.5399999999999991</v>
      </c>
      <c r="H33" s="704">
        <v>9.91</v>
      </c>
      <c r="I33" s="740"/>
      <c r="J33" s="741" t="s">
        <v>88</v>
      </c>
      <c r="K33" s="742" t="s">
        <v>88</v>
      </c>
      <c r="L33" s="741" t="s">
        <v>88</v>
      </c>
      <c r="M33" s="741" t="s">
        <v>88</v>
      </c>
      <c r="N33" s="741" t="s">
        <v>88</v>
      </c>
      <c r="O33" s="700">
        <v>11.5</v>
      </c>
      <c r="P33" s="704">
        <v>10.44</v>
      </c>
      <c r="Q33" s="704" t="s">
        <v>88</v>
      </c>
      <c r="R33" s="705">
        <v>10.49</v>
      </c>
      <c r="S33" s="704"/>
      <c r="T33" s="704" t="s">
        <v>88</v>
      </c>
      <c r="U33" s="704"/>
      <c r="V33" s="704">
        <v>8.8000000000000007</v>
      </c>
    </row>
    <row r="34" spans="1:22">
      <c r="A34" s="830" t="s">
        <v>14</v>
      </c>
      <c r="B34" s="704">
        <v>5.28</v>
      </c>
      <c r="C34" s="704">
        <v>7.75</v>
      </c>
      <c r="D34" s="705">
        <v>8.06</v>
      </c>
      <c r="E34" s="704">
        <v>9.39</v>
      </c>
      <c r="F34" s="743">
        <v>9.8000000000000007</v>
      </c>
      <c r="G34" s="703">
        <v>11.27</v>
      </c>
      <c r="H34" s="704">
        <v>9.0299999999999994</v>
      </c>
      <c r="I34" s="740"/>
      <c r="J34" s="741" t="s">
        <v>88</v>
      </c>
      <c r="K34" s="742" t="s">
        <v>88</v>
      </c>
      <c r="L34" s="741" t="s">
        <v>88</v>
      </c>
      <c r="M34" s="741" t="s">
        <v>88</v>
      </c>
      <c r="N34" s="741" t="s">
        <v>88</v>
      </c>
      <c r="O34" s="741" t="s">
        <v>88</v>
      </c>
      <c r="P34" s="704">
        <v>8.57</v>
      </c>
      <c r="Q34" s="704" t="s">
        <v>88</v>
      </c>
      <c r="R34" s="705">
        <v>8.57</v>
      </c>
      <c r="S34" s="704"/>
      <c r="T34" s="704" t="s">
        <v>88</v>
      </c>
      <c r="U34" s="704"/>
      <c r="V34" s="704">
        <v>8.6999999999999993</v>
      </c>
    </row>
    <row r="35" spans="1:22">
      <c r="A35" s="830" t="s">
        <v>15</v>
      </c>
      <c r="B35" s="704">
        <v>4.55</v>
      </c>
      <c r="C35" s="704">
        <v>6.84</v>
      </c>
      <c r="D35" s="704">
        <v>7.47</v>
      </c>
      <c r="E35" s="704">
        <v>7.21</v>
      </c>
      <c r="F35" s="704">
        <v>10.69</v>
      </c>
      <c r="G35" s="704">
        <v>9.58</v>
      </c>
      <c r="H35" s="704">
        <v>7.6</v>
      </c>
      <c r="I35" s="704"/>
      <c r="J35" s="741" t="s">
        <v>88</v>
      </c>
      <c r="K35" s="742" t="s">
        <v>88</v>
      </c>
      <c r="L35" s="741" t="s">
        <v>88</v>
      </c>
      <c r="M35" s="741" t="s">
        <v>88</v>
      </c>
      <c r="N35" s="741" t="s">
        <v>88</v>
      </c>
      <c r="O35" s="741" t="s">
        <v>88</v>
      </c>
      <c r="P35" s="704">
        <v>8.0299999999999994</v>
      </c>
      <c r="Q35" s="704"/>
      <c r="R35" s="704">
        <v>8.3000000000000007</v>
      </c>
      <c r="S35" s="704"/>
      <c r="T35" s="704"/>
      <c r="U35" s="704"/>
      <c r="V35" s="704">
        <v>7.21</v>
      </c>
    </row>
    <row r="36" spans="1:22">
      <c r="A36" s="830" t="s">
        <v>669</v>
      </c>
      <c r="B36" s="704">
        <v>3.18</v>
      </c>
      <c r="C36" s="704">
        <v>5.48</v>
      </c>
      <c r="D36" s="704">
        <v>6.53</v>
      </c>
      <c r="E36" s="704">
        <v>6.86</v>
      </c>
      <c r="F36" s="704">
        <v>10.34</v>
      </c>
      <c r="G36" s="704">
        <v>8.81</v>
      </c>
      <c r="H36" s="704">
        <v>6.94</v>
      </c>
      <c r="I36" s="704"/>
      <c r="J36" s="741"/>
      <c r="K36" s="742"/>
      <c r="L36" s="741"/>
      <c r="M36" s="741"/>
      <c r="N36" s="741"/>
      <c r="O36" s="741" t="s">
        <v>88</v>
      </c>
      <c r="P36" s="704">
        <v>4.8</v>
      </c>
      <c r="Q36" s="704"/>
      <c r="R36" s="704">
        <v>4.34</v>
      </c>
      <c r="S36" s="704"/>
      <c r="T36" s="704"/>
      <c r="U36" s="704"/>
      <c r="V36" s="704">
        <v>5.96</v>
      </c>
    </row>
    <row r="37" spans="1:22" hidden="1">
      <c r="A37" s="113" t="s">
        <v>61</v>
      </c>
      <c r="B37" s="704">
        <v>4.16</v>
      </c>
      <c r="C37" s="704">
        <v>6.7</v>
      </c>
      <c r="D37" s="705">
        <v>8.6300000000000008</v>
      </c>
      <c r="E37" s="704">
        <v>9.9</v>
      </c>
      <c r="F37" s="743">
        <v>11.17</v>
      </c>
      <c r="G37" s="703">
        <v>8.25</v>
      </c>
      <c r="H37" s="704">
        <v>9.67</v>
      </c>
      <c r="I37" s="740"/>
      <c r="J37" s="741" t="s">
        <v>88</v>
      </c>
      <c r="K37" s="742" t="s">
        <v>88</v>
      </c>
      <c r="L37" s="741" t="s">
        <v>88</v>
      </c>
      <c r="M37" s="741" t="s">
        <v>88</v>
      </c>
      <c r="N37" s="741" t="s">
        <v>88</v>
      </c>
      <c r="O37" s="700">
        <v>11.5</v>
      </c>
      <c r="P37" s="704">
        <v>9.58</v>
      </c>
      <c r="Q37" s="704" t="s">
        <v>88</v>
      </c>
      <c r="R37" s="705">
        <v>9.6300000000000008</v>
      </c>
      <c r="S37" s="704"/>
      <c r="T37" s="704" t="s">
        <v>88</v>
      </c>
      <c r="U37" s="704"/>
      <c r="V37" s="704">
        <v>8.6</v>
      </c>
    </row>
    <row r="38" spans="1:22" hidden="1">
      <c r="A38" s="113" t="s">
        <v>62</v>
      </c>
      <c r="B38" s="704">
        <v>5.55</v>
      </c>
      <c r="C38" s="704">
        <v>7.37</v>
      </c>
      <c r="D38" s="705">
        <v>9.64</v>
      </c>
      <c r="E38" s="704">
        <v>10.28</v>
      </c>
      <c r="F38" s="743">
        <v>11.29</v>
      </c>
      <c r="G38" s="703">
        <v>5.9</v>
      </c>
      <c r="H38" s="704">
        <v>10.08</v>
      </c>
      <c r="I38" s="740"/>
      <c r="J38" s="741" t="s">
        <v>88</v>
      </c>
      <c r="K38" s="742" t="s">
        <v>88</v>
      </c>
      <c r="L38" s="741" t="s">
        <v>88</v>
      </c>
      <c r="M38" s="741" t="s">
        <v>88</v>
      </c>
      <c r="N38" s="741" t="s">
        <v>88</v>
      </c>
      <c r="O38" s="700">
        <v>11.5</v>
      </c>
      <c r="P38" s="704">
        <v>10.45</v>
      </c>
      <c r="Q38" s="704" t="s">
        <v>88</v>
      </c>
      <c r="R38" s="705">
        <v>10.5</v>
      </c>
      <c r="S38" s="704"/>
      <c r="T38" s="704" t="s">
        <v>88</v>
      </c>
      <c r="U38" s="704"/>
      <c r="V38" s="704">
        <v>9.0399999999999991</v>
      </c>
    </row>
    <row r="39" spans="1:22" hidden="1">
      <c r="A39" s="113" t="s">
        <v>636</v>
      </c>
      <c r="B39" s="704">
        <v>5.66</v>
      </c>
      <c r="C39" s="704">
        <v>7.38</v>
      </c>
      <c r="D39" s="705">
        <v>9.2799999999999994</v>
      </c>
      <c r="E39" s="704">
        <v>10.26</v>
      </c>
      <c r="F39" s="743">
        <v>11.33</v>
      </c>
      <c r="G39" s="703">
        <v>8.4499999999999993</v>
      </c>
      <c r="H39" s="704">
        <v>9.9700000000000006</v>
      </c>
      <c r="I39" s="740"/>
      <c r="J39" s="741" t="s">
        <v>88</v>
      </c>
      <c r="K39" s="742" t="s">
        <v>88</v>
      </c>
      <c r="L39" s="741" t="s">
        <v>88</v>
      </c>
      <c r="M39" s="741" t="s">
        <v>88</v>
      </c>
      <c r="N39" s="741" t="s">
        <v>88</v>
      </c>
      <c r="O39" s="700">
        <v>11.5</v>
      </c>
      <c r="P39" s="704">
        <v>10.3</v>
      </c>
      <c r="Q39" s="704" t="s">
        <v>88</v>
      </c>
      <c r="R39" s="705">
        <v>10.38</v>
      </c>
      <c r="S39" s="704"/>
      <c r="T39" s="704" t="s">
        <v>88</v>
      </c>
      <c r="U39" s="704"/>
      <c r="V39" s="704">
        <v>9.0500000000000007</v>
      </c>
    </row>
    <row r="40" spans="1:22" hidden="1">
      <c r="A40" s="113" t="s">
        <v>664</v>
      </c>
      <c r="B40" s="704">
        <v>5.23</v>
      </c>
      <c r="C40" s="704">
        <v>7.34</v>
      </c>
      <c r="D40" s="705">
        <v>9.33</v>
      </c>
      <c r="E40" s="704">
        <v>10.11</v>
      </c>
      <c r="F40" s="743">
        <v>11.32</v>
      </c>
      <c r="G40" s="703">
        <v>8.5399999999999991</v>
      </c>
      <c r="H40" s="704">
        <v>9.91</v>
      </c>
      <c r="I40" s="740"/>
      <c r="J40" s="741" t="s">
        <v>88</v>
      </c>
      <c r="K40" s="742" t="s">
        <v>88</v>
      </c>
      <c r="L40" s="741" t="s">
        <v>88</v>
      </c>
      <c r="M40" s="741" t="s">
        <v>88</v>
      </c>
      <c r="N40" s="741" t="s">
        <v>88</v>
      </c>
      <c r="O40" s="700">
        <v>11.5</v>
      </c>
      <c r="P40" s="704">
        <v>10.44</v>
      </c>
      <c r="Q40" s="704" t="s">
        <v>88</v>
      </c>
      <c r="R40" s="705">
        <v>10.49</v>
      </c>
      <c r="S40" s="704"/>
      <c r="T40" s="704" t="s">
        <v>88</v>
      </c>
      <c r="U40" s="704"/>
      <c r="V40" s="704">
        <v>8.8000000000000007</v>
      </c>
    </row>
    <row r="41" spans="1:22">
      <c r="A41" s="113"/>
      <c r="B41" s="704"/>
      <c r="C41" s="704"/>
      <c r="D41" s="705"/>
      <c r="E41" s="704"/>
      <c r="F41" s="743"/>
      <c r="G41" s="703"/>
      <c r="H41" s="704"/>
      <c r="I41" s="740"/>
      <c r="J41" s="741"/>
      <c r="K41" s="742"/>
      <c r="L41" s="741"/>
      <c r="M41" s="741"/>
      <c r="N41" s="741"/>
      <c r="O41" s="700"/>
      <c r="P41" s="704"/>
      <c r="Q41" s="704"/>
      <c r="R41" s="705"/>
      <c r="S41" s="704"/>
      <c r="T41" s="704"/>
      <c r="U41" s="704"/>
      <c r="V41" s="704"/>
    </row>
    <row r="42" spans="1:22">
      <c r="A42" s="113" t="s">
        <v>53</v>
      </c>
      <c r="B42" s="704">
        <v>4.16</v>
      </c>
      <c r="C42" s="704">
        <v>6.7</v>
      </c>
      <c r="D42" s="705">
        <v>8.6300000000000008</v>
      </c>
      <c r="E42" s="704">
        <v>9.9</v>
      </c>
      <c r="F42" s="743">
        <v>11.17</v>
      </c>
      <c r="G42" s="703">
        <v>8.25</v>
      </c>
      <c r="H42" s="704">
        <v>9.67</v>
      </c>
      <c r="I42" s="740"/>
      <c r="J42" s="741" t="s">
        <v>88</v>
      </c>
      <c r="K42" s="742" t="s">
        <v>88</v>
      </c>
      <c r="L42" s="741" t="s">
        <v>88</v>
      </c>
      <c r="M42" s="741" t="s">
        <v>88</v>
      </c>
      <c r="N42" s="741" t="s">
        <v>88</v>
      </c>
      <c r="O42" s="700">
        <v>11.5</v>
      </c>
      <c r="P42" s="704">
        <v>9.58</v>
      </c>
      <c r="Q42" s="704" t="s">
        <v>88</v>
      </c>
      <c r="R42" s="705">
        <v>9.6300000000000008</v>
      </c>
      <c r="S42" s="704"/>
      <c r="T42" s="704" t="s">
        <v>88</v>
      </c>
      <c r="U42" s="704"/>
      <c r="V42" s="704">
        <v>8.6</v>
      </c>
    </row>
    <row r="43" spans="1:22">
      <c r="A43" s="113" t="s">
        <v>44</v>
      </c>
      <c r="B43" s="704">
        <v>4.29</v>
      </c>
      <c r="C43" s="704">
        <v>6.81</v>
      </c>
      <c r="D43" s="705">
        <v>8.91</v>
      </c>
      <c r="E43" s="704">
        <v>9.9600000000000009</v>
      </c>
      <c r="F43" s="743">
        <v>10.07</v>
      </c>
      <c r="G43" s="703">
        <v>8.6300000000000008</v>
      </c>
      <c r="H43" s="704">
        <v>9.68</v>
      </c>
      <c r="I43" s="740"/>
      <c r="J43" s="741" t="s">
        <v>88</v>
      </c>
      <c r="K43" s="742" t="s">
        <v>88</v>
      </c>
      <c r="L43" s="741" t="s">
        <v>88</v>
      </c>
      <c r="M43" s="741" t="s">
        <v>88</v>
      </c>
      <c r="N43" s="741" t="s">
        <v>88</v>
      </c>
      <c r="O43" s="700">
        <v>11.5</v>
      </c>
      <c r="P43" s="704">
        <v>9.56</v>
      </c>
      <c r="Q43" s="704" t="s">
        <v>88</v>
      </c>
      <c r="R43" s="705">
        <v>9.6199999999999992</v>
      </c>
      <c r="S43" s="704"/>
      <c r="T43" s="704" t="s">
        <v>88</v>
      </c>
      <c r="U43" s="704"/>
      <c r="V43" s="704">
        <v>8.68</v>
      </c>
    </row>
    <row r="44" spans="1:22">
      <c r="A44" s="113" t="s">
        <v>47</v>
      </c>
      <c r="B44" s="704">
        <v>4.49</v>
      </c>
      <c r="C44" s="704">
        <v>6.92</v>
      </c>
      <c r="D44" s="705">
        <v>8.99</v>
      </c>
      <c r="E44" s="704">
        <v>9.82</v>
      </c>
      <c r="F44" s="743">
        <v>10.08</v>
      </c>
      <c r="G44" s="703">
        <v>9.32</v>
      </c>
      <c r="H44" s="704">
        <v>9.6199999999999992</v>
      </c>
      <c r="I44" s="740"/>
      <c r="J44" s="741" t="s">
        <v>88</v>
      </c>
      <c r="K44" s="742" t="s">
        <v>88</v>
      </c>
      <c r="L44" s="741" t="s">
        <v>88</v>
      </c>
      <c r="M44" s="741" t="s">
        <v>88</v>
      </c>
      <c r="N44" s="741" t="s">
        <v>88</v>
      </c>
      <c r="O44" s="700">
        <v>11.5</v>
      </c>
      <c r="P44" s="704">
        <v>9.24</v>
      </c>
      <c r="Q44" s="704" t="s">
        <v>88</v>
      </c>
      <c r="R44" s="705">
        <v>9.32</v>
      </c>
      <c r="S44" s="704"/>
      <c r="T44" s="704" t="s">
        <v>88</v>
      </c>
      <c r="U44" s="704"/>
      <c r="V44" s="704">
        <v>8.6</v>
      </c>
    </row>
    <row r="45" spans="1:22">
      <c r="A45" s="113" t="s">
        <v>50</v>
      </c>
      <c r="B45" s="704">
        <v>5.28</v>
      </c>
      <c r="C45" s="704">
        <v>7.75</v>
      </c>
      <c r="D45" s="705">
        <v>8.06</v>
      </c>
      <c r="E45" s="704">
        <v>9.39</v>
      </c>
      <c r="F45" s="743">
        <v>9.8000000000000007</v>
      </c>
      <c r="G45" s="703">
        <v>11.27</v>
      </c>
      <c r="H45" s="704">
        <v>9.0299999999999994</v>
      </c>
      <c r="I45" s="740"/>
      <c r="J45" s="741" t="s">
        <v>88</v>
      </c>
      <c r="K45" s="742" t="s">
        <v>88</v>
      </c>
      <c r="L45" s="741" t="s">
        <v>88</v>
      </c>
      <c r="M45" s="741" t="s">
        <v>88</v>
      </c>
      <c r="N45" s="741" t="s">
        <v>88</v>
      </c>
      <c r="O45" s="741" t="s">
        <v>88</v>
      </c>
      <c r="P45" s="704">
        <v>8.57</v>
      </c>
      <c r="Q45" s="704" t="s">
        <v>88</v>
      </c>
      <c r="R45" s="705">
        <v>8.57</v>
      </c>
      <c r="S45" s="704"/>
      <c r="T45" s="704" t="s">
        <v>88</v>
      </c>
      <c r="U45" s="704"/>
      <c r="V45" s="704">
        <v>8.6999999999999993</v>
      </c>
    </row>
    <row r="46" spans="1:22">
      <c r="A46" s="113"/>
      <c r="B46" s="704"/>
      <c r="C46" s="704"/>
      <c r="D46" s="705"/>
      <c r="E46" s="704"/>
      <c r="F46" s="743"/>
      <c r="G46" s="703"/>
      <c r="H46" s="704"/>
      <c r="I46" s="740"/>
      <c r="J46" s="741"/>
      <c r="K46" s="742"/>
      <c r="L46" s="741"/>
      <c r="M46" s="741"/>
      <c r="N46" s="741"/>
      <c r="O46" s="700"/>
      <c r="P46" s="704"/>
      <c r="Q46" s="704"/>
      <c r="R46" s="705"/>
      <c r="S46" s="704"/>
      <c r="T46" s="704"/>
      <c r="U46" s="704"/>
      <c r="V46" s="704"/>
    </row>
    <row r="47" spans="1:22">
      <c r="A47" s="113" t="s">
        <v>65</v>
      </c>
      <c r="B47" s="704">
        <v>3.69</v>
      </c>
      <c r="C47" s="704">
        <v>8.33</v>
      </c>
      <c r="D47" s="705">
        <v>7.9</v>
      </c>
      <c r="E47" s="704">
        <v>8.24</v>
      </c>
      <c r="F47" s="743">
        <v>11.15</v>
      </c>
      <c r="G47" s="703">
        <v>9.7200000000000006</v>
      </c>
      <c r="H47" s="704">
        <v>8.36</v>
      </c>
      <c r="I47" s="740"/>
      <c r="J47" s="741" t="s">
        <v>88</v>
      </c>
      <c r="K47" s="742" t="s">
        <v>88</v>
      </c>
      <c r="L47" s="741" t="s">
        <v>88</v>
      </c>
      <c r="M47" s="741" t="s">
        <v>88</v>
      </c>
      <c r="N47" s="741" t="s">
        <v>88</v>
      </c>
      <c r="O47" s="741" t="s">
        <v>88</v>
      </c>
      <c r="P47" s="704">
        <v>8.1199999999999992</v>
      </c>
      <c r="Q47" s="704" t="s">
        <v>88</v>
      </c>
      <c r="R47" s="705">
        <v>8.1199999999999992</v>
      </c>
      <c r="S47" s="704"/>
      <c r="T47" s="704" t="s">
        <v>88</v>
      </c>
      <c r="U47" s="704"/>
      <c r="V47" s="704">
        <v>7.98</v>
      </c>
    </row>
    <row r="48" spans="1:22">
      <c r="A48" s="113" t="s">
        <v>44</v>
      </c>
      <c r="B48" s="704">
        <v>4.8</v>
      </c>
      <c r="C48" s="704">
        <v>6.86</v>
      </c>
      <c r="D48" s="704">
        <v>7.49</v>
      </c>
      <c r="E48" s="704">
        <v>8.06</v>
      </c>
      <c r="F48" s="704">
        <v>11.12</v>
      </c>
      <c r="G48" s="704">
        <v>9.77</v>
      </c>
      <c r="H48" s="704">
        <v>8.1</v>
      </c>
      <c r="I48" s="704"/>
      <c r="J48" s="741" t="s">
        <v>88</v>
      </c>
      <c r="K48" s="742" t="s">
        <v>88</v>
      </c>
      <c r="L48" s="741" t="s">
        <v>88</v>
      </c>
      <c r="M48" s="741" t="s">
        <v>88</v>
      </c>
      <c r="N48" s="741" t="s">
        <v>88</v>
      </c>
      <c r="O48" s="741" t="s">
        <v>88</v>
      </c>
      <c r="P48" s="704">
        <v>8.3000000000000007</v>
      </c>
      <c r="Q48" s="704"/>
      <c r="R48" s="705">
        <v>8.3000000000000007</v>
      </c>
      <c r="S48" s="704"/>
      <c r="T48" s="704" t="s">
        <v>88</v>
      </c>
      <c r="U48" s="704"/>
      <c r="V48" s="704">
        <v>7.65</v>
      </c>
    </row>
    <row r="49" spans="1:247">
      <c r="A49" s="831" t="s">
        <v>47</v>
      </c>
      <c r="B49" s="704">
        <v>4.43</v>
      </c>
      <c r="C49" s="704">
        <v>8.3800000000000008</v>
      </c>
      <c r="D49" s="704">
        <v>7.14</v>
      </c>
      <c r="E49" s="704">
        <v>7.86</v>
      </c>
      <c r="F49" s="704">
        <v>10.74</v>
      </c>
      <c r="G49" s="704">
        <v>9.84</v>
      </c>
      <c r="H49" s="704">
        <v>7.9</v>
      </c>
      <c r="I49" s="704"/>
      <c r="J49" s="741" t="s">
        <v>88</v>
      </c>
      <c r="K49" s="742" t="s">
        <v>88</v>
      </c>
      <c r="L49" s="741" t="s">
        <v>88</v>
      </c>
      <c r="M49" s="741" t="s">
        <v>88</v>
      </c>
      <c r="N49" s="741" t="s">
        <v>88</v>
      </c>
      <c r="O49" s="741" t="s">
        <v>88</v>
      </c>
      <c r="P49" s="704">
        <v>11.09</v>
      </c>
      <c r="Q49" s="704"/>
      <c r="R49" s="704">
        <v>11.09</v>
      </c>
      <c r="S49" s="704"/>
      <c r="T49" s="704" t="s">
        <v>88</v>
      </c>
      <c r="U49" s="704"/>
      <c r="V49" s="704">
        <v>7.34</v>
      </c>
    </row>
    <row r="50" spans="1:247">
      <c r="A50" s="831" t="s">
        <v>50</v>
      </c>
      <c r="B50" s="704">
        <v>4.55</v>
      </c>
      <c r="C50" s="704">
        <v>6.84</v>
      </c>
      <c r="D50" s="704">
        <v>7.47</v>
      </c>
      <c r="E50" s="704">
        <v>7.21</v>
      </c>
      <c r="F50" s="704">
        <v>10.69</v>
      </c>
      <c r="G50" s="704">
        <v>9.58</v>
      </c>
      <c r="H50" s="704">
        <v>7.6</v>
      </c>
      <c r="I50" s="704"/>
      <c r="J50" s="741" t="s">
        <v>88</v>
      </c>
      <c r="K50" s="742" t="s">
        <v>88</v>
      </c>
      <c r="L50" s="741" t="s">
        <v>88</v>
      </c>
      <c r="M50" s="741" t="s">
        <v>88</v>
      </c>
      <c r="N50" s="741" t="s">
        <v>88</v>
      </c>
      <c r="O50" s="741" t="s">
        <v>88</v>
      </c>
      <c r="P50" s="704">
        <v>8.0299999999999994</v>
      </c>
      <c r="Q50" s="704"/>
      <c r="R50" s="704">
        <v>8.3000000000000007</v>
      </c>
      <c r="S50" s="704"/>
      <c r="T50" s="704" t="s">
        <v>88</v>
      </c>
      <c r="U50" s="704"/>
      <c r="V50" s="704">
        <v>7.21</v>
      </c>
    </row>
    <row r="51" spans="1:247">
      <c r="A51" s="113"/>
      <c r="B51" s="704"/>
      <c r="C51" s="704"/>
      <c r="D51" s="705"/>
      <c r="E51" s="704"/>
      <c r="F51" s="705"/>
      <c r="G51" s="703"/>
      <c r="H51" s="704"/>
      <c r="I51" s="705"/>
      <c r="J51" s="741"/>
      <c r="K51" s="742"/>
      <c r="L51" s="741"/>
      <c r="M51" s="741"/>
      <c r="N51" s="741"/>
      <c r="O51" s="743"/>
      <c r="P51" s="704"/>
      <c r="Q51" s="704"/>
      <c r="R51" s="705"/>
      <c r="S51" s="704"/>
      <c r="T51" s="704"/>
      <c r="U51" s="704"/>
      <c r="V51" s="704"/>
    </row>
    <row r="52" spans="1:247">
      <c r="A52" s="831" t="s">
        <v>66</v>
      </c>
      <c r="B52" s="704">
        <v>4.08</v>
      </c>
      <c r="C52" s="704">
        <v>5.49</v>
      </c>
      <c r="D52" s="704">
        <v>6.81</v>
      </c>
      <c r="E52" s="704">
        <v>6.92</v>
      </c>
      <c r="F52" s="704">
        <v>10.56</v>
      </c>
      <c r="G52" s="704">
        <v>8.7799999999999994</v>
      </c>
      <c r="H52" s="704">
        <v>7.12</v>
      </c>
      <c r="I52" s="704"/>
      <c r="J52" s="741"/>
      <c r="K52" s="742"/>
      <c r="L52" s="741"/>
      <c r="M52" s="741"/>
      <c r="N52" s="741"/>
      <c r="O52" s="741" t="s">
        <v>88</v>
      </c>
      <c r="P52" s="704">
        <v>7.81</v>
      </c>
      <c r="Q52" s="704"/>
      <c r="R52" s="704">
        <v>7.81</v>
      </c>
      <c r="S52" s="704"/>
      <c r="T52" s="704"/>
      <c r="U52" s="704"/>
      <c r="V52" s="704">
        <v>6.56</v>
      </c>
    </row>
    <row r="53" spans="1:247">
      <c r="A53" s="113" t="s">
        <v>613</v>
      </c>
      <c r="B53" s="704">
        <v>3.54</v>
      </c>
      <c r="C53" s="704">
        <v>5.46</v>
      </c>
      <c r="D53" s="704">
        <v>6.62</v>
      </c>
      <c r="E53" s="704">
        <v>6.72</v>
      </c>
      <c r="F53" s="704">
        <v>10.26</v>
      </c>
      <c r="G53" s="704">
        <v>9.09</v>
      </c>
      <c r="H53" s="704">
        <v>6.94</v>
      </c>
      <c r="I53" s="704"/>
      <c r="J53" s="741"/>
      <c r="K53" s="742"/>
      <c r="L53" s="741"/>
      <c r="M53" s="741"/>
      <c r="N53" s="741"/>
      <c r="O53" s="741" t="s">
        <v>88</v>
      </c>
      <c r="P53" s="704">
        <v>4.8</v>
      </c>
      <c r="Q53" s="704"/>
      <c r="R53" s="704">
        <v>4.8</v>
      </c>
      <c r="S53" s="704"/>
      <c r="T53" s="704"/>
      <c r="U53" s="704"/>
      <c r="V53" s="704">
        <v>6.17</v>
      </c>
      <c r="IM53" s="714"/>
    </row>
    <row r="54" spans="1:247">
      <c r="A54" s="113" t="s">
        <v>626</v>
      </c>
      <c r="B54" s="704">
        <v>3.09</v>
      </c>
      <c r="C54" s="704">
        <v>5.45</v>
      </c>
      <c r="D54" s="704">
        <v>6.67</v>
      </c>
      <c r="E54" s="704">
        <v>6.62</v>
      </c>
      <c r="F54" s="704">
        <v>10.1</v>
      </c>
      <c r="G54" s="704">
        <v>7.91</v>
      </c>
      <c r="H54" s="704">
        <v>6.85</v>
      </c>
      <c r="I54" s="704"/>
      <c r="J54" s="741"/>
      <c r="K54" s="742"/>
      <c r="L54" s="741"/>
      <c r="M54" s="741"/>
      <c r="N54" s="741"/>
      <c r="O54" s="741" t="s">
        <v>88</v>
      </c>
      <c r="P54" s="704">
        <v>4.8</v>
      </c>
      <c r="Q54" s="704"/>
      <c r="R54" s="704">
        <v>4.8</v>
      </c>
      <c r="S54" s="704"/>
      <c r="T54" s="704"/>
      <c r="U54" s="704"/>
      <c r="V54" s="704">
        <v>5.92</v>
      </c>
      <c r="IM54" s="714"/>
    </row>
    <row r="55" spans="1:247">
      <c r="A55" s="113" t="s">
        <v>662</v>
      </c>
      <c r="B55" s="704">
        <v>3.18</v>
      </c>
      <c r="C55" s="704">
        <v>5.48</v>
      </c>
      <c r="D55" s="704">
        <v>6.53</v>
      </c>
      <c r="E55" s="704">
        <v>6.86</v>
      </c>
      <c r="F55" s="704">
        <v>10.34</v>
      </c>
      <c r="G55" s="704">
        <v>8.81</v>
      </c>
      <c r="H55" s="704">
        <v>6.94</v>
      </c>
      <c r="I55" s="704"/>
      <c r="J55" s="741"/>
      <c r="K55" s="742"/>
      <c r="L55" s="741"/>
      <c r="M55" s="741"/>
      <c r="N55" s="741"/>
      <c r="O55" s="741" t="s">
        <v>88</v>
      </c>
      <c r="P55" s="704">
        <v>4.8</v>
      </c>
      <c r="Q55" s="704"/>
      <c r="R55" s="704">
        <v>4.34</v>
      </c>
      <c r="S55" s="704"/>
      <c r="T55" s="704"/>
      <c r="U55" s="704"/>
      <c r="V55" s="704">
        <v>5.96</v>
      </c>
      <c r="IM55" s="714"/>
    </row>
    <row r="56" spans="1:247">
      <c r="A56" s="113"/>
      <c r="B56" s="704"/>
      <c r="C56" s="704"/>
      <c r="D56" s="705"/>
      <c r="E56" s="704"/>
      <c r="F56" s="705"/>
      <c r="G56" s="703"/>
      <c r="H56" s="704"/>
      <c r="I56" s="705"/>
      <c r="J56" s="741"/>
      <c r="K56" s="742"/>
      <c r="L56" s="741"/>
      <c r="M56" s="741"/>
      <c r="N56" s="741"/>
      <c r="O56" s="743"/>
      <c r="P56" s="704"/>
      <c r="Q56" s="704"/>
      <c r="R56" s="705"/>
      <c r="S56" s="704"/>
      <c r="T56" s="704"/>
      <c r="U56" s="704"/>
      <c r="V56" s="704"/>
      <c r="IM56" s="714"/>
    </row>
    <row r="57" spans="1:247">
      <c r="A57" s="113" t="s">
        <v>684</v>
      </c>
      <c r="B57" s="704">
        <v>3.11</v>
      </c>
      <c r="C57" s="704">
        <v>4.62</v>
      </c>
      <c r="D57" s="704">
        <v>6.31</v>
      </c>
      <c r="E57" s="704">
        <v>6.77</v>
      </c>
      <c r="F57" s="704">
        <v>5.4</v>
      </c>
      <c r="G57" s="704">
        <v>8.07</v>
      </c>
      <c r="H57" s="704">
        <v>6.51</v>
      </c>
      <c r="I57" s="704"/>
      <c r="J57" s="741"/>
      <c r="K57" s="742"/>
      <c r="L57" s="741"/>
      <c r="M57" s="741"/>
      <c r="N57" s="741"/>
      <c r="O57" s="741" t="s">
        <v>88</v>
      </c>
      <c r="P57" s="704">
        <v>4.34</v>
      </c>
      <c r="Q57" s="704"/>
      <c r="R57" s="704">
        <v>4.34</v>
      </c>
      <c r="S57" s="704"/>
      <c r="T57" s="704"/>
      <c r="U57" s="704"/>
      <c r="V57" s="704">
        <v>5.59</v>
      </c>
      <c r="IM57" s="714"/>
    </row>
    <row r="58" spans="1:247">
      <c r="A58" s="1059" t="s">
        <v>44</v>
      </c>
      <c r="B58" s="704">
        <v>3.54</v>
      </c>
      <c r="C58" s="704">
        <v>5.46</v>
      </c>
      <c r="D58" s="704">
        <v>6.62</v>
      </c>
      <c r="E58" s="704">
        <v>6.72</v>
      </c>
      <c r="F58" s="704">
        <v>10.26</v>
      </c>
      <c r="G58" s="704">
        <v>9.09</v>
      </c>
      <c r="H58" s="704">
        <v>6.94</v>
      </c>
      <c r="I58" s="704"/>
      <c r="J58" s="741"/>
      <c r="K58" s="742"/>
      <c r="L58" s="741"/>
      <c r="M58" s="741"/>
      <c r="N58" s="741"/>
      <c r="O58" s="741" t="s">
        <v>88</v>
      </c>
      <c r="P58" s="704">
        <v>4.8</v>
      </c>
      <c r="Q58" s="704"/>
      <c r="R58" s="704">
        <v>4.8</v>
      </c>
      <c r="S58" s="704"/>
      <c r="T58" s="704"/>
      <c r="U58" s="704"/>
      <c r="V58" s="704">
        <v>6.17</v>
      </c>
      <c r="IM58" s="714"/>
    </row>
    <row r="59" spans="1:247">
      <c r="A59" s="113"/>
      <c r="B59" s="704"/>
      <c r="C59" s="704"/>
      <c r="D59" s="705"/>
      <c r="E59" s="704"/>
      <c r="F59" s="705"/>
      <c r="G59" s="703"/>
      <c r="H59" s="704"/>
      <c r="I59" s="705"/>
      <c r="J59" s="741"/>
      <c r="K59" s="742"/>
      <c r="L59" s="741"/>
      <c r="M59" s="741"/>
      <c r="N59" s="741"/>
      <c r="O59" s="743"/>
      <c r="P59" s="704"/>
      <c r="Q59" s="704"/>
      <c r="R59" s="705"/>
      <c r="S59" s="704"/>
      <c r="T59" s="704"/>
      <c r="U59" s="704"/>
      <c r="V59" s="704"/>
    </row>
    <row r="60" spans="1:247" hidden="1">
      <c r="A60" s="113" t="s">
        <v>335</v>
      </c>
      <c r="B60" s="704">
        <v>8.4</v>
      </c>
      <c r="C60" s="704">
        <v>8.3000000000000007</v>
      </c>
      <c r="D60" s="705">
        <v>13.5</v>
      </c>
      <c r="E60" s="704">
        <v>13.3</v>
      </c>
      <c r="F60" s="705">
        <v>11.6</v>
      </c>
      <c r="G60" s="703">
        <v>12.2</v>
      </c>
      <c r="H60" s="704">
        <v>13.4</v>
      </c>
      <c r="I60" s="740" t="s">
        <v>88</v>
      </c>
      <c r="J60" s="741" t="s">
        <v>88</v>
      </c>
      <c r="K60" s="738" t="s">
        <v>88</v>
      </c>
      <c r="L60" s="739"/>
      <c r="M60" s="741" t="s">
        <v>88</v>
      </c>
      <c r="N60" s="739" t="s">
        <v>88</v>
      </c>
      <c r="O60" s="700">
        <v>13.8</v>
      </c>
      <c r="P60" s="704">
        <v>14</v>
      </c>
      <c r="Q60" s="704"/>
      <c r="R60" s="705">
        <v>13.9</v>
      </c>
      <c r="S60" s="704">
        <v>9</v>
      </c>
      <c r="T60" s="704">
        <v>9</v>
      </c>
      <c r="U60" s="699" t="s">
        <v>88</v>
      </c>
      <c r="V60" s="704">
        <v>12.2</v>
      </c>
    </row>
    <row r="61" spans="1:247" hidden="1">
      <c r="A61" s="113" t="s">
        <v>40</v>
      </c>
      <c r="B61" s="744">
        <v>9.1</v>
      </c>
      <c r="C61" s="744">
        <v>8.3000000000000007</v>
      </c>
      <c r="D61" s="744">
        <v>13.5</v>
      </c>
      <c r="E61" s="744">
        <v>13.4</v>
      </c>
      <c r="F61" s="744">
        <v>11.6</v>
      </c>
      <c r="G61" s="744">
        <v>12.2</v>
      </c>
      <c r="H61" s="704">
        <v>13.4</v>
      </c>
      <c r="I61" s="740" t="s">
        <v>88</v>
      </c>
      <c r="J61" s="741" t="s">
        <v>88</v>
      </c>
      <c r="K61" s="738" t="s">
        <v>88</v>
      </c>
      <c r="L61" s="739"/>
      <c r="M61" s="741" t="s">
        <v>88</v>
      </c>
      <c r="N61" s="739" t="s">
        <v>88</v>
      </c>
      <c r="O61" s="700">
        <v>14</v>
      </c>
      <c r="P61" s="704">
        <v>13.9</v>
      </c>
      <c r="Q61" s="704"/>
      <c r="R61" s="705">
        <v>14</v>
      </c>
      <c r="S61" s="704">
        <v>9</v>
      </c>
      <c r="T61" s="704">
        <v>9</v>
      </c>
      <c r="U61" s="699" t="s">
        <v>88</v>
      </c>
      <c r="V61" s="704">
        <v>12.4</v>
      </c>
    </row>
    <row r="62" spans="1:247" hidden="1">
      <c r="A62" s="113" t="s">
        <v>41</v>
      </c>
      <c r="B62" s="704">
        <v>7.6</v>
      </c>
      <c r="C62" s="704">
        <v>8.1999999999999993</v>
      </c>
      <c r="D62" s="705">
        <v>13.5</v>
      </c>
      <c r="E62" s="704">
        <v>13.5</v>
      </c>
      <c r="F62" s="705">
        <v>11.6</v>
      </c>
      <c r="G62" s="703">
        <v>12.3</v>
      </c>
      <c r="H62" s="704">
        <v>13.4</v>
      </c>
      <c r="I62" s="740" t="s">
        <v>88</v>
      </c>
      <c r="J62" s="741" t="s">
        <v>88</v>
      </c>
      <c r="K62" s="738" t="s">
        <v>88</v>
      </c>
      <c r="L62" s="739"/>
      <c r="M62" s="741" t="s">
        <v>88</v>
      </c>
      <c r="N62" s="739" t="s">
        <v>88</v>
      </c>
      <c r="O62" s="700">
        <v>13.9</v>
      </c>
      <c r="P62" s="704">
        <v>14.2</v>
      </c>
      <c r="Q62" s="704"/>
      <c r="R62" s="705">
        <v>14.1</v>
      </c>
      <c r="S62" s="704">
        <v>9</v>
      </c>
      <c r="T62" s="704">
        <v>9</v>
      </c>
      <c r="U62" s="699" t="s">
        <v>88</v>
      </c>
      <c r="V62" s="704">
        <v>12.1</v>
      </c>
    </row>
    <row r="63" spans="1:247" hidden="1">
      <c r="A63" s="113" t="s">
        <v>42</v>
      </c>
      <c r="B63" s="704">
        <v>9.1</v>
      </c>
      <c r="C63" s="704">
        <v>8.3000000000000007</v>
      </c>
      <c r="D63" s="705">
        <v>13.6</v>
      </c>
      <c r="E63" s="704">
        <v>13.5</v>
      </c>
      <c r="F63" s="705">
        <v>11.8</v>
      </c>
      <c r="G63" s="703">
        <v>12</v>
      </c>
      <c r="H63" s="704">
        <v>13.5</v>
      </c>
      <c r="I63" s="740" t="s">
        <v>88</v>
      </c>
      <c r="J63" s="741" t="s">
        <v>88</v>
      </c>
      <c r="K63" s="738" t="s">
        <v>88</v>
      </c>
      <c r="L63" s="739"/>
      <c r="M63" s="741" t="s">
        <v>88</v>
      </c>
      <c r="N63" s="739" t="s">
        <v>88</v>
      </c>
      <c r="O63" s="700">
        <v>14</v>
      </c>
      <c r="P63" s="704">
        <v>14.2</v>
      </c>
      <c r="Q63" s="704"/>
      <c r="R63" s="705">
        <v>14.1</v>
      </c>
      <c r="S63" s="704">
        <v>9</v>
      </c>
      <c r="T63" s="704">
        <v>9</v>
      </c>
      <c r="U63" s="699" t="s">
        <v>88</v>
      </c>
      <c r="V63" s="704">
        <v>12.4</v>
      </c>
    </row>
    <row r="64" spans="1:247" hidden="1">
      <c r="A64" s="113" t="s">
        <v>43</v>
      </c>
      <c r="B64" s="704">
        <v>9.4</v>
      </c>
      <c r="C64" s="704">
        <v>8.3000000000000007</v>
      </c>
      <c r="D64" s="705">
        <v>13.6</v>
      </c>
      <c r="E64" s="704">
        <v>13.6</v>
      </c>
      <c r="F64" s="705">
        <v>11.5</v>
      </c>
      <c r="G64" s="703">
        <v>12.4</v>
      </c>
      <c r="H64" s="704">
        <v>13.5</v>
      </c>
      <c r="I64" s="740" t="s">
        <v>88</v>
      </c>
      <c r="J64" s="741" t="s">
        <v>88</v>
      </c>
      <c r="K64" s="738" t="s">
        <v>88</v>
      </c>
      <c r="L64" s="739"/>
      <c r="M64" s="741" t="s">
        <v>88</v>
      </c>
      <c r="N64" s="739" t="s">
        <v>88</v>
      </c>
      <c r="O64" s="700">
        <v>14</v>
      </c>
      <c r="P64" s="704">
        <v>14.2</v>
      </c>
      <c r="Q64" s="704"/>
      <c r="R64" s="705">
        <v>14.1</v>
      </c>
      <c r="S64" s="704">
        <v>9</v>
      </c>
      <c r="T64" s="704">
        <v>9</v>
      </c>
      <c r="U64" s="699" t="s">
        <v>88</v>
      </c>
      <c r="V64" s="704">
        <v>12.4</v>
      </c>
    </row>
    <row r="65" spans="1:22" hidden="1">
      <c r="A65" s="113" t="s">
        <v>44</v>
      </c>
      <c r="B65" s="704">
        <v>10.1</v>
      </c>
      <c r="C65" s="704">
        <v>8.3000000000000007</v>
      </c>
      <c r="D65" s="705">
        <v>13.7</v>
      </c>
      <c r="E65" s="704">
        <v>13.5</v>
      </c>
      <c r="F65" s="705">
        <v>13.8</v>
      </c>
      <c r="G65" s="703">
        <v>12.2</v>
      </c>
      <c r="H65" s="704">
        <v>13.6</v>
      </c>
      <c r="I65" s="740" t="s">
        <v>88</v>
      </c>
      <c r="J65" s="741" t="s">
        <v>88</v>
      </c>
      <c r="K65" s="738" t="s">
        <v>88</v>
      </c>
      <c r="L65" s="739"/>
      <c r="M65" s="741" t="s">
        <v>88</v>
      </c>
      <c r="N65" s="739" t="s">
        <v>88</v>
      </c>
      <c r="O65" s="700">
        <v>14</v>
      </c>
      <c r="P65" s="704">
        <v>14.2</v>
      </c>
      <c r="Q65" s="704"/>
      <c r="R65" s="705">
        <v>14.1</v>
      </c>
      <c r="S65" s="704">
        <v>9</v>
      </c>
      <c r="T65" s="704">
        <v>9</v>
      </c>
      <c r="U65" s="699" t="s">
        <v>88</v>
      </c>
      <c r="V65" s="704">
        <v>12.5</v>
      </c>
    </row>
    <row r="66" spans="1:22" hidden="1">
      <c r="A66" s="113" t="s">
        <v>45</v>
      </c>
      <c r="B66" s="704">
        <v>10</v>
      </c>
      <c r="C66" s="704">
        <v>8.1999999999999993</v>
      </c>
      <c r="D66" s="705">
        <v>13.6</v>
      </c>
      <c r="E66" s="704">
        <v>13.6</v>
      </c>
      <c r="F66" s="705">
        <v>13.7</v>
      </c>
      <c r="G66" s="703">
        <v>11.5</v>
      </c>
      <c r="H66" s="704">
        <v>12.2</v>
      </c>
      <c r="I66" s="740" t="s">
        <v>88</v>
      </c>
      <c r="J66" s="741" t="s">
        <v>88</v>
      </c>
      <c r="K66" s="738" t="s">
        <v>88</v>
      </c>
      <c r="L66" s="739"/>
      <c r="M66" s="741" t="s">
        <v>88</v>
      </c>
      <c r="N66" s="739" t="s">
        <v>88</v>
      </c>
      <c r="O66" s="700">
        <v>14.1</v>
      </c>
      <c r="P66" s="704">
        <v>14</v>
      </c>
      <c r="Q66" s="704"/>
      <c r="R66" s="705">
        <v>14.2</v>
      </c>
      <c r="S66" s="704">
        <v>9</v>
      </c>
      <c r="T66" s="704">
        <v>9</v>
      </c>
      <c r="U66" s="699" t="s">
        <v>88</v>
      </c>
      <c r="V66" s="704">
        <v>12.5</v>
      </c>
    </row>
    <row r="67" spans="1:22" hidden="1">
      <c r="A67" s="113" t="s">
        <v>46</v>
      </c>
      <c r="B67" s="704">
        <v>11.3</v>
      </c>
      <c r="C67" s="704">
        <v>8.1999999999999993</v>
      </c>
      <c r="D67" s="705">
        <v>13.7</v>
      </c>
      <c r="E67" s="704">
        <v>13.8</v>
      </c>
      <c r="F67" s="705">
        <v>14.3</v>
      </c>
      <c r="G67" s="703">
        <v>12.2</v>
      </c>
      <c r="H67" s="704">
        <v>13.7</v>
      </c>
      <c r="I67" s="740" t="s">
        <v>88</v>
      </c>
      <c r="J67" s="741" t="s">
        <v>88</v>
      </c>
      <c r="K67" s="738" t="s">
        <v>88</v>
      </c>
      <c r="L67" s="739"/>
      <c r="M67" s="741" t="s">
        <v>88</v>
      </c>
      <c r="N67" s="739" t="s">
        <v>88</v>
      </c>
      <c r="O67" s="700">
        <v>14</v>
      </c>
      <c r="P67" s="704">
        <v>14.2</v>
      </c>
      <c r="Q67" s="704"/>
      <c r="R67" s="705">
        <v>14.1</v>
      </c>
      <c r="S67" s="704">
        <v>9</v>
      </c>
      <c r="T67" s="704">
        <v>9</v>
      </c>
      <c r="U67" s="699" t="s">
        <v>88</v>
      </c>
      <c r="V67" s="704">
        <v>12.7</v>
      </c>
    </row>
    <row r="68" spans="1:22" hidden="1">
      <c r="A68" s="113" t="s">
        <v>47</v>
      </c>
      <c r="B68" s="704">
        <v>10.1</v>
      </c>
      <c r="C68" s="704">
        <v>8.1999999999999993</v>
      </c>
      <c r="D68" s="705">
        <v>13.7</v>
      </c>
      <c r="E68" s="704">
        <v>13.9</v>
      </c>
      <c r="F68" s="705">
        <v>14.4</v>
      </c>
      <c r="G68" s="703">
        <v>12.3</v>
      </c>
      <c r="H68" s="704">
        <v>13.8</v>
      </c>
      <c r="I68" s="740" t="s">
        <v>88</v>
      </c>
      <c r="J68" s="741" t="s">
        <v>88</v>
      </c>
      <c r="K68" s="738" t="s">
        <v>88</v>
      </c>
      <c r="L68" s="739"/>
      <c r="M68" s="741" t="s">
        <v>88</v>
      </c>
      <c r="N68" s="739" t="s">
        <v>88</v>
      </c>
      <c r="O68" s="700">
        <v>14</v>
      </c>
      <c r="P68" s="704">
        <v>14.3</v>
      </c>
      <c r="Q68" s="704"/>
      <c r="R68" s="705">
        <v>14.2</v>
      </c>
      <c r="S68" s="704">
        <v>9</v>
      </c>
      <c r="T68" s="704">
        <v>9</v>
      </c>
      <c r="U68" s="699" t="s">
        <v>88</v>
      </c>
      <c r="V68" s="704">
        <v>12.5</v>
      </c>
    </row>
    <row r="69" spans="1:22" hidden="1">
      <c r="A69" s="113" t="s">
        <v>48</v>
      </c>
      <c r="B69" s="704">
        <v>11.7</v>
      </c>
      <c r="C69" s="704">
        <v>8.3000000000000007</v>
      </c>
      <c r="D69" s="705">
        <v>14.2</v>
      </c>
      <c r="E69" s="704">
        <v>13.4</v>
      </c>
      <c r="F69" s="705">
        <v>11.5</v>
      </c>
      <c r="G69" s="703">
        <v>12.3</v>
      </c>
      <c r="H69" s="704">
        <v>13.7</v>
      </c>
      <c r="I69" s="740" t="s">
        <v>88</v>
      </c>
      <c r="J69" s="741" t="s">
        <v>88</v>
      </c>
      <c r="K69" s="738" t="s">
        <v>88</v>
      </c>
      <c r="L69" s="739"/>
      <c r="M69" s="741" t="s">
        <v>88</v>
      </c>
      <c r="N69" s="739" t="s">
        <v>88</v>
      </c>
      <c r="O69" s="700">
        <v>14.6</v>
      </c>
      <c r="P69" s="704">
        <v>14.8</v>
      </c>
      <c r="Q69" s="704"/>
      <c r="R69" s="705">
        <v>14.7</v>
      </c>
      <c r="S69" s="704">
        <v>9</v>
      </c>
      <c r="T69" s="704">
        <v>9</v>
      </c>
      <c r="U69" s="699" t="s">
        <v>88</v>
      </c>
      <c r="V69" s="704">
        <v>12.8</v>
      </c>
    </row>
    <row r="70" spans="1:22" hidden="1">
      <c r="A70" s="113" t="s">
        <v>49</v>
      </c>
      <c r="B70" s="704">
        <v>10.3</v>
      </c>
      <c r="C70" s="704">
        <v>8.3000000000000007</v>
      </c>
      <c r="D70" s="705">
        <v>14.5</v>
      </c>
      <c r="E70" s="704">
        <v>14.2</v>
      </c>
      <c r="F70" s="705">
        <v>11.5</v>
      </c>
      <c r="G70" s="703">
        <v>12.7</v>
      </c>
      <c r="H70" s="704">
        <v>14.2</v>
      </c>
      <c r="I70" s="740" t="s">
        <v>88</v>
      </c>
      <c r="J70" s="741" t="s">
        <v>88</v>
      </c>
      <c r="K70" s="738" t="s">
        <v>88</v>
      </c>
      <c r="L70" s="739"/>
      <c r="M70" s="741" t="s">
        <v>88</v>
      </c>
      <c r="N70" s="739" t="s">
        <v>88</v>
      </c>
      <c r="O70" s="700">
        <v>14</v>
      </c>
      <c r="P70" s="704">
        <v>14.3</v>
      </c>
      <c r="Q70" s="704"/>
      <c r="R70" s="705">
        <v>14.2</v>
      </c>
      <c r="S70" s="704">
        <v>11</v>
      </c>
      <c r="T70" s="704">
        <v>11</v>
      </c>
      <c r="U70" s="699" t="s">
        <v>88</v>
      </c>
      <c r="V70" s="704">
        <v>12.9</v>
      </c>
    </row>
    <row r="71" spans="1:22" hidden="1">
      <c r="A71" s="113" t="s">
        <v>50</v>
      </c>
      <c r="B71" s="704">
        <v>11.9</v>
      </c>
      <c r="C71" s="704">
        <v>8.3000000000000007</v>
      </c>
      <c r="D71" s="705">
        <v>14.4</v>
      </c>
      <c r="E71" s="704">
        <v>14.7</v>
      </c>
      <c r="F71" s="705">
        <v>11.4</v>
      </c>
      <c r="G71" s="703">
        <v>12.8</v>
      </c>
      <c r="H71" s="704">
        <v>14.4</v>
      </c>
      <c r="I71" s="740" t="s">
        <v>88</v>
      </c>
      <c r="J71" s="741" t="s">
        <v>88</v>
      </c>
      <c r="K71" s="738" t="s">
        <v>88</v>
      </c>
      <c r="L71" s="739"/>
      <c r="M71" s="741" t="s">
        <v>88</v>
      </c>
      <c r="N71" s="739" t="s">
        <v>88</v>
      </c>
      <c r="O71" s="700">
        <v>14.1</v>
      </c>
      <c r="P71" s="704">
        <v>14.1</v>
      </c>
      <c r="Q71" s="704"/>
      <c r="R71" s="705">
        <v>14.2</v>
      </c>
      <c r="S71" s="704">
        <v>11</v>
      </c>
      <c r="T71" s="704">
        <v>11</v>
      </c>
      <c r="U71" s="699" t="s">
        <v>88</v>
      </c>
      <c r="V71" s="704">
        <v>13.3</v>
      </c>
    </row>
    <row r="72" spans="1:22" hidden="1">
      <c r="A72" s="80"/>
      <c r="B72" s="704"/>
      <c r="C72" s="704"/>
      <c r="D72" s="705"/>
      <c r="E72" s="704"/>
      <c r="F72" s="705"/>
      <c r="G72" s="703"/>
      <c r="H72" s="704"/>
      <c r="I72" s="740"/>
      <c r="J72" s="741" t="s">
        <v>88</v>
      </c>
      <c r="K72" s="738"/>
      <c r="L72" s="739"/>
      <c r="M72" s="741" t="s">
        <v>88</v>
      </c>
      <c r="N72" s="739"/>
      <c r="O72" s="700"/>
      <c r="P72" s="704"/>
      <c r="Q72" s="739"/>
      <c r="R72" s="705"/>
      <c r="S72" s="704"/>
      <c r="T72" s="704"/>
      <c r="U72" s="699"/>
      <c r="V72" s="704"/>
    </row>
    <row r="73" spans="1:22" hidden="1">
      <c r="A73" s="113" t="s">
        <v>334</v>
      </c>
      <c r="B73" s="704">
        <v>11.3</v>
      </c>
      <c r="C73" s="704">
        <v>8.3000000000000007</v>
      </c>
      <c r="D73" s="705">
        <v>14.9</v>
      </c>
      <c r="E73" s="704">
        <v>14.9</v>
      </c>
      <c r="F73" s="705">
        <v>12.8</v>
      </c>
      <c r="G73" s="703">
        <v>12.8</v>
      </c>
      <c r="H73" s="704">
        <v>14.6</v>
      </c>
      <c r="I73" s="740" t="s">
        <v>88</v>
      </c>
      <c r="J73" s="741" t="s">
        <v>88</v>
      </c>
      <c r="K73" s="738" t="s">
        <v>88</v>
      </c>
      <c r="L73" s="739"/>
      <c r="M73" s="741" t="s">
        <v>88</v>
      </c>
      <c r="N73" s="739" t="s">
        <v>88</v>
      </c>
      <c r="O73" s="700">
        <v>14</v>
      </c>
      <c r="P73" s="704">
        <v>14.2</v>
      </c>
      <c r="Q73" s="739" t="s">
        <v>88</v>
      </c>
      <c r="R73" s="705">
        <v>14.2</v>
      </c>
      <c r="S73" s="704">
        <v>11</v>
      </c>
      <c r="T73" s="704">
        <v>11</v>
      </c>
      <c r="U73" s="699" t="s">
        <v>88</v>
      </c>
      <c r="V73" s="704">
        <v>13.4</v>
      </c>
    </row>
    <row r="74" spans="1:22" hidden="1">
      <c r="A74" s="113" t="s">
        <v>40</v>
      </c>
      <c r="B74" s="704">
        <v>9.6999999999999993</v>
      </c>
      <c r="C74" s="704">
        <v>8.3000000000000007</v>
      </c>
      <c r="D74" s="705">
        <v>14.9</v>
      </c>
      <c r="E74" s="704">
        <v>14.6</v>
      </c>
      <c r="F74" s="705">
        <v>11.5</v>
      </c>
      <c r="G74" s="703">
        <v>12.9</v>
      </c>
      <c r="H74" s="704">
        <v>14.7</v>
      </c>
      <c r="I74" s="740" t="s">
        <v>88</v>
      </c>
      <c r="J74" s="741" t="s">
        <v>88</v>
      </c>
      <c r="K74" s="738" t="s">
        <v>88</v>
      </c>
      <c r="L74" s="739"/>
      <c r="M74" s="741" t="s">
        <v>88</v>
      </c>
      <c r="N74" s="739" t="s">
        <v>88</v>
      </c>
      <c r="O74" s="700">
        <v>14</v>
      </c>
      <c r="P74" s="704">
        <v>14.1</v>
      </c>
      <c r="Q74" s="739" t="s">
        <v>88</v>
      </c>
      <c r="R74" s="705">
        <v>14.1</v>
      </c>
      <c r="S74" s="704">
        <v>11</v>
      </c>
      <c r="T74" s="704">
        <v>11</v>
      </c>
      <c r="U74" s="699" t="s">
        <v>88</v>
      </c>
      <c r="V74" s="704">
        <v>13.1</v>
      </c>
    </row>
    <row r="75" spans="1:22" hidden="1">
      <c r="A75" s="113" t="s">
        <v>41</v>
      </c>
      <c r="B75" s="704">
        <v>9.5</v>
      </c>
      <c r="C75" s="704">
        <v>8.4</v>
      </c>
      <c r="D75" s="705">
        <v>14.9</v>
      </c>
      <c r="E75" s="704">
        <v>14.7</v>
      </c>
      <c r="F75" s="705">
        <v>11.5</v>
      </c>
      <c r="G75" s="703">
        <v>12.9</v>
      </c>
      <c r="H75" s="704">
        <v>14.7</v>
      </c>
      <c r="I75" s="740" t="s">
        <v>88</v>
      </c>
      <c r="J75" s="741" t="s">
        <v>88</v>
      </c>
      <c r="K75" s="738" t="s">
        <v>88</v>
      </c>
      <c r="L75" s="739"/>
      <c r="M75" s="741" t="s">
        <v>88</v>
      </c>
      <c r="N75" s="739" t="s">
        <v>88</v>
      </c>
      <c r="O75" s="700">
        <v>14</v>
      </c>
      <c r="P75" s="704">
        <v>14.2</v>
      </c>
      <c r="Q75" s="739" t="s">
        <v>88</v>
      </c>
      <c r="R75" s="705">
        <v>14.1</v>
      </c>
      <c r="S75" s="704">
        <v>11</v>
      </c>
      <c r="T75" s="704">
        <v>10.3</v>
      </c>
      <c r="U75" s="699" t="s">
        <v>88</v>
      </c>
      <c r="V75" s="704">
        <v>13.1</v>
      </c>
    </row>
    <row r="76" spans="1:22" hidden="1">
      <c r="A76" s="113" t="s">
        <v>42</v>
      </c>
      <c r="B76" s="704">
        <v>10</v>
      </c>
      <c r="C76" s="704">
        <v>8.4</v>
      </c>
      <c r="D76" s="705">
        <v>14.9</v>
      </c>
      <c r="E76" s="704">
        <v>14.7</v>
      </c>
      <c r="F76" s="705">
        <v>14.6</v>
      </c>
      <c r="G76" s="703">
        <v>14.5</v>
      </c>
      <c r="H76" s="704">
        <v>14.7</v>
      </c>
      <c r="I76" s="740" t="s">
        <v>88</v>
      </c>
      <c r="J76" s="741" t="s">
        <v>88</v>
      </c>
      <c r="K76" s="738" t="s">
        <v>88</v>
      </c>
      <c r="L76" s="739"/>
      <c r="M76" s="741" t="s">
        <v>88</v>
      </c>
      <c r="N76" s="739" t="s">
        <v>88</v>
      </c>
      <c r="O76" s="700">
        <v>14.2</v>
      </c>
      <c r="P76" s="704">
        <v>14.2</v>
      </c>
      <c r="Q76" s="739" t="s">
        <v>88</v>
      </c>
      <c r="R76" s="705">
        <v>14.2</v>
      </c>
      <c r="S76" s="704">
        <v>11</v>
      </c>
      <c r="T76" s="704">
        <v>10.3</v>
      </c>
      <c r="U76" s="699" t="s">
        <v>88</v>
      </c>
      <c r="V76" s="704">
        <v>13.2</v>
      </c>
    </row>
    <row r="77" spans="1:22" hidden="1">
      <c r="A77" s="113" t="s">
        <v>43</v>
      </c>
      <c r="B77" s="704">
        <v>10</v>
      </c>
      <c r="C77" s="704">
        <v>8.4</v>
      </c>
      <c r="D77" s="705">
        <v>14.9</v>
      </c>
      <c r="E77" s="704">
        <v>14.8</v>
      </c>
      <c r="F77" s="705">
        <v>15.3</v>
      </c>
      <c r="G77" s="703">
        <v>15.1</v>
      </c>
      <c r="H77" s="704">
        <v>14.9</v>
      </c>
      <c r="I77" s="740" t="s">
        <v>88</v>
      </c>
      <c r="J77" s="741" t="s">
        <v>88</v>
      </c>
      <c r="K77" s="738" t="s">
        <v>88</v>
      </c>
      <c r="L77" s="739"/>
      <c r="M77" s="741" t="s">
        <v>88</v>
      </c>
      <c r="N77" s="739" t="s">
        <v>88</v>
      </c>
      <c r="O77" s="700">
        <v>14.3</v>
      </c>
      <c r="P77" s="704">
        <v>14.2</v>
      </c>
      <c r="Q77" s="739" t="s">
        <v>88</v>
      </c>
      <c r="R77" s="705">
        <v>14.2</v>
      </c>
      <c r="S77" s="704">
        <v>11</v>
      </c>
      <c r="T77" s="704">
        <v>10.1</v>
      </c>
      <c r="U77" s="699" t="s">
        <v>88</v>
      </c>
      <c r="V77" s="704">
        <v>13.5</v>
      </c>
    </row>
    <row r="78" spans="1:22" hidden="1">
      <c r="A78" s="113" t="s">
        <v>44</v>
      </c>
      <c r="B78" s="704">
        <v>10</v>
      </c>
      <c r="C78" s="704">
        <v>8.4</v>
      </c>
      <c r="D78" s="705">
        <v>15.1</v>
      </c>
      <c r="E78" s="704">
        <v>14.9</v>
      </c>
      <c r="F78" s="705">
        <v>15.4</v>
      </c>
      <c r="G78" s="703">
        <v>8.3000000000000007</v>
      </c>
      <c r="H78" s="704">
        <v>14.8</v>
      </c>
      <c r="I78" s="740" t="s">
        <v>88</v>
      </c>
      <c r="J78" s="741" t="s">
        <v>88</v>
      </c>
      <c r="K78" s="738" t="s">
        <v>88</v>
      </c>
      <c r="L78" s="739"/>
      <c r="M78" s="741" t="s">
        <v>88</v>
      </c>
      <c r="N78" s="739" t="s">
        <v>88</v>
      </c>
      <c r="O78" s="700">
        <v>14.2</v>
      </c>
      <c r="P78" s="704">
        <v>14.1</v>
      </c>
      <c r="Q78" s="739" t="s">
        <v>88</v>
      </c>
      <c r="R78" s="705">
        <v>14.1</v>
      </c>
      <c r="S78" s="704">
        <v>11</v>
      </c>
      <c r="T78" s="704">
        <v>10.1</v>
      </c>
      <c r="U78" s="699" t="s">
        <v>88</v>
      </c>
      <c r="V78" s="704">
        <v>13.5</v>
      </c>
    </row>
    <row r="79" spans="1:22" hidden="1">
      <c r="A79" s="113" t="s">
        <v>45</v>
      </c>
      <c r="B79" s="704">
        <v>10.7</v>
      </c>
      <c r="C79" s="704">
        <v>8.4</v>
      </c>
      <c r="D79" s="705">
        <v>15.1</v>
      </c>
      <c r="E79" s="704">
        <v>15</v>
      </c>
      <c r="F79" s="705">
        <v>15.3</v>
      </c>
      <c r="G79" s="703">
        <v>11.8</v>
      </c>
      <c r="H79" s="704">
        <v>14.9</v>
      </c>
      <c r="I79" s="740" t="s">
        <v>88</v>
      </c>
      <c r="J79" s="741" t="s">
        <v>88</v>
      </c>
      <c r="K79" s="738" t="s">
        <v>88</v>
      </c>
      <c r="L79" s="739"/>
      <c r="M79" s="741" t="s">
        <v>88</v>
      </c>
      <c r="N79" s="739" t="s">
        <v>88</v>
      </c>
      <c r="O79" s="700">
        <v>12.2</v>
      </c>
      <c r="P79" s="704">
        <v>15</v>
      </c>
      <c r="Q79" s="739" t="s">
        <v>88</v>
      </c>
      <c r="R79" s="705">
        <v>14.7</v>
      </c>
      <c r="S79" s="704">
        <v>11</v>
      </c>
      <c r="T79" s="704">
        <v>10.1</v>
      </c>
      <c r="U79" s="699" t="s">
        <v>88</v>
      </c>
      <c r="V79" s="704">
        <v>13.8</v>
      </c>
    </row>
    <row r="80" spans="1:22" hidden="1">
      <c r="A80" s="113" t="s">
        <v>46</v>
      </c>
      <c r="B80" s="704">
        <v>10.199999999999999</v>
      </c>
      <c r="C80" s="704">
        <v>8.4</v>
      </c>
      <c r="D80" s="705">
        <v>15.2</v>
      </c>
      <c r="E80" s="704">
        <v>15.1</v>
      </c>
      <c r="F80" s="705">
        <v>15.3</v>
      </c>
      <c r="G80" s="703">
        <v>8.4</v>
      </c>
      <c r="H80" s="704">
        <v>15</v>
      </c>
      <c r="I80" s="740" t="s">
        <v>88</v>
      </c>
      <c r="J80" s="741" t="s">
        <v>88</v>
      </c>
      <c r="K80" s="738" t="s">
        <v>88</v>
      </c>
      <c r="L80" s="739"/>
      <c r="M80" s="741" t="s">
        <v>88</v>
      </c>
      <c r="N80" s="739" t="s">
        <v>88</v>
      </c>
      <c r="O80" s="700">
        <v>14</v>
      </c>
      <c r="P80" s="704">
        <v>13.5</v>
      </c>
      <c r="Q80" s="739" t="s">
        <v>88</v>
      </c>
      <c r="R80" s="705">
        <v>13.7</v>
      </c>
      <c r="S80" s="704">
        <v>10.3</v>
      </c>
      <c r="T80" s="704">
        <v>12</v>
      </c>
      <c r="U80" s="699" t="s">
        <v>88</v>
      </c>
      <c r="V80" s="704">
        <v>13.7</v>
      </c>
    </row>
    <row r="81" spans="1:22" hidden="1">
      <c r="A81" s="113" t="s">
        <v>47</v>
      </c>
      <c r="B81" s="704">
        <v>10.9</v>
      </c>
      <c r="C81" s="704">
        <v>8.4</v>
      </c>
      <c r="D81" s="705">
        <v>15.3</v>
      </c>
      <c r="E81" s="704">
        <v>15.1</v>
      </c>
      <c r="F81" s="705">
        <v>15.5</v>
      </c>
      <c r="G81" s="703">
        <v>8.5</v>
      </c>
      <c r="H81" s="704">
        <v>14.5</v>
      </c>
      <c r="I81" s="740" t="s">
        <v>88</v>
      </c>
      <c r="J81" s="741" t="s">
        <v>88</v>
      </c>
      <c r="K81" s="738" t="s">
        <v>88</v>
      </c>
      <c r="L81" s="739"/>
      <c r="M81" s="741" t="s">
        <v>88</v>
      </c>
      <c r="N81" s="739" t="s">
        <v>88</v>
      </c>
      <c r="O81" s="700">
        <v>14.8</v>
      </c>
      <c r="P81" s="704">
        <v>13.7</v>
      </c>
      <c r="Q81" s="739" t="s">
        <v>88</v>
      </c>
      <c r="R81" s="705">
        <v>14.4</v>
      </c>
      <c r="S81" s="704">
        <v>11</v>
      </c>
      <c r="T81" s="704">
        <v>9.9</v>
      </c>
      <c r="U81" s="699" t="s">
        <v>88</v>
      </c>
      <c r="V81" s="704">
        <v>13.8</v>
      </c>
    </row>
    <row r="82" spans="1:22" hidden="1">
      <c r="A82" s="113" t="s">
        <v>48</v>
      </c>
      <c r="B82" s="704">
        <v>11.7</v>
      </c>
      <c r="C82" s="704">
        <v>8.4</v>
      </c>
      <c r="D82" s="705">
        <v>15.4</v>
      </c>
      <c r="E82" s="704">
        <v>15.2</v>
      </c>
      <c r="F82" s="705">
        <v>15.6</v>
      </c>
      <c r="G82" s="703">
        <v>8.5</v>
      </c>
      <c r="H82" s="704">
        <v>15.2</v>
      </c>
      <c r="I82" s="740" t="s">
        <v>88</v>
      </c>
      <c r="J82" s="741" t="s">
        <v>88</v>
      </c>
      <c r="K82" s="738" t="s">
        <v>88</v>
      </c>
      <c r="L82" s="739"/>
      <c r="M82" s="741" t="s">
        <v>88</v>
      </c>
      <c r="N82" s="739" t="s">
        <v>88</v>
      </c>
      <c r="O82" s="700">
        <v>15.6</v>
      </c>
      <c r="P82" s="704">
        <v>14.2</v>
      </c>
      <c r="Q82" s="739" t="s">
        <v>88</v>
      </c>
      <c r="R82" s="705">
        <v>14.7</v>
      </c>
      <c r="S82" s="704">
        <v>11</v>
      </c>
      <c r="T82" s="704">
        <v>8.8000000000000007</v>
      </c>
      <c r="U82" s="699" t="s">
        <v>88</v>
      </c>
      <c r="V82" s="704">
        <v>14</v>
      </c>
    </row>
    <row r="83" spans="1:22" hidden="1">
      <c r="A83" s="113" t="s">
        <v>49</v>
      </c>
      <c r="B83" s="704">
        <v>11.4</v>
      </c>
      <c r="C83" s="704">
        <v>8.4</v>
      </c>
      <c r="D83" s="705">
        <v>15.4</v>
      </c>
      <c r="E83" s="704">
        <v>15.2</v>
      </c>
      <c r="F83" s="705">
        <v>15.5</v>
      </c>
      <c r="G83" s="703">
        <v>8.5</v>
      </c>
      <c r="H83" s="704">
        <v>15.1</v>
      </c>
      <c r="I83" s="740" t="s">
        <v>88</v>
      </c>
      <c r="J83" s="741" t="s">
        <v>88</v>
      </c>
      <c r="K83" s="738" t="s">
        <v>88</v>
      </c>
      <c r="L83" s="739"/>
      <c r="M83" s="741" t="s">
        <v>88</v>
      </c>
      <c r="N83" s="739" t="s">
        <v>88</v>
      </c>
      <c r="O83" s="700">
        <v>14.7</v>
      </c>
      <c r="P83" s="704">
        <v>13.4</v>
      </c>
      <c r="Q83" s="739" t="s">
        <v>88</v>
      </c>
      <c r="R83" s="705">
        <v>13.9</v>
      </c>
      <c r="S83" s="704">
        <v>11</v>
      </c>
      <c r="T83" s="704">
        <v>8.4</v>
      </c>
      <c r="U83" s="699" t="s">
        <v>88</v>
      </c>
      <c r="V83" s="704">
        <v>14.1</v>
      </c>
    </row>
    <row r="84" spans="1:22" hidden="1">
      <c r="A84" s="113" t="s">
        <v>50</v>
      </c>
      <c r="B84" s="704">
        <v>10.1</v>
      </c>
      <c r="C84" s="704">
        <v>8.4</v>
      </c>
      <c r="D84" s="705">
        <v>15.3</v>
      </c>
      <c r="E84" s="704">
        <v>15.1</v>
      </c>
      <c r="F84" s="705">
        <v>15.5</v>
      </c>
      <c r="G84" s="703">
        <v>9.3000000000000007</v>
      </c>
      <c r="H84" s="704">
        <v>15.1</v>
      </c>
      <c r="I84" s="740" t="s">
        <v>88</v>
      </c>
      <c r="J84" s="741" t="s">
        <v>88</v>
      </c>
      <c r="K84" s="738" t="s">
        <v>88</v>
      </c>
      <c r="L84" s="739"/>
      <c r="M84" s="741" t="s">
        <v>88</v>
      </c>
      <c r="N84" s="739" t="s">
        <v>88</v>
      </c>
      <c r="O84" s="700">
        <v>14.6</v>
      </c>
      <c r="P84" s="704">
        <v>13.3</v>
      </c>
      <c r="Q84" s="739" t="s">
        <v>88</v>
      </c>
      <c r="R84" s="705">
        <v>13.8</v>
      </c>
      <c r="S84" s="704">
        <v>11</v>
      </c>
      <c r="T84" s="704">
        <v>8.5</v>
      </c>
      <c r="U84" s="699" t="s">
        <v>88</v>
      </c>
      <c r="V84" s="704">
        <v>13.7</v>
      </c>
    </row>
    <row r="85" spans="1:22" hidden="1">
      <c r="A85" s="113"/>
      <c r="B85" s="704"/>
      <c r="C85" s="704"/>
      <c r="D85" s="705"/>
      <c r="E85" s="704"/>
      <c r="F85" s="705"/>
      <c r="G85" s="703"/>
      <c r="H85" s="704"/>
      <c r="I85" s="740"/>
      <c r="J85" s="741" t="s">
        <v>88</v>
      </c>
      <c r="K85" s="742"/>
      <c r="L85" s="741"/>
      <c r="M85" s="741" t="s">
        <v>88</v>
      </c>
      <c r="N85" s="741"/>
      <c r="O85" s="700"/>
      <c r="P85" s="704"/>
      <c r="Q85" s="739"/>
      <c r="R85" s="705"/>
      <c r="S85" s="704"/>
      <c r="T85" s="704"/>
      <c r="U85" s="699"/>
      <c r="V85" s="704"/>
    </row>
    <row r="86" spans="1:22" hidden="1">
      <c r="A86" s="113" t="s">
        <v>333</v>
      </c>
      <c r="B86" s="704">
        <v>9.1999999999999993</v>
      </c>
      <c r="C86" s="704">
        <v>8.5</v>
      </c>
      <c r="D86" s="705">
        <v>14.7</v>
      </c>
      <c r="E86" s="704">
        <v>15.1</v>
      </c>
      <c r="F86" s="705">
        <v>15.4</v>
      </c>
      <c r="G86" s="703">
        <v>9.6999999999999993</v>
      </c>
      <c r="H86" s="704">
        <v>14.9</v>
      </c>
      <c r="I86" s="740" t="s">
        <v>88</v>
      </c>
      <c r="J86" s="741" t="s">
        <v>88</v>
      </c>
      <c r="K86" s="738" t="s">
        <v>88</v>
      </c>
      <c r="L86" s="739"/>
      <c r="M86" s="741" t="s">
        <v>88</v>
      </c>
      <c r="N86" s="739" t="s">
        <v>88</v>
      </c>
      <c r="O86" s="700">
        <v>14.5</v>
      </c>
      <c r="P86" s="704">
        <v>12.7</v>
      </c>
      <c r="Q86" s="739" t="s">
        <v>88</v>
      </c>
      <c r="R86" s="705">
        <v>13.6</v>
      </c>
      <c r="S86" s="704">
        <v>11</v>
      </c>
      <c r="T86" s="704">
        <v>8.1999999999999993</v>
      </c>
      <c r="U86" s="699" t="s">
        <v>88</v>
      </c>
      <c r="V86" s="704">
        <v>13.6</v>
      </c>
    </row>
    <row r="87" spans="1:22" hidden="1">
      <c r="A87" s="113" t="s">
        <v>40</v>
      </c>
      <c r="B87" s="704">
        <v>11.6</v>
      </c>
      <c r="C87" s="704">
        <v>8.3000000000000007</v>
      </c>
      <c r="D87" s="705">
        <v>14.8</v>
      </c>
      <c r="E87" s="704">
        <v>15.2</v>
      </c>
      <c r="F87" s="705">
        <v>15.5</v>
      </c>
      <c r="G87" s="703">
        <v>9.8000000000000007</v>
      </c>
      <c r="H87" s="704">
        <v>14.9</v>
      </c>
      <c r="I87" s="740" t="s">
        <v>88</v>
      </c>
      <c r="J87" s="741" t="s">
        <v>88</v>
      </c>
      <c r="K87" s="738" t="s">
        <v>88</v>
      </c>
      <c r="L87" s="739"/>
      <c r="M87" s="741" t="s">
        <v>88</v>
      </c>
      <c r="N87" s="739" t="s">
        <v>88</v>
      </c>
      <c r="O87" s="700">
        <v>13.6</v>
      </c>
      <c r="P87" s="704">
        <v>13</v>
      </c>
      <c r="Q87" s="739" t="s">
        <v>88</v>
      </c>
      <c r="R87" s="705">
        <v>13.2</v>
      </c>
      <c r="S87" s="704">
        <v>11</v>
      </c>
      <c r="T87" s="704">
        <v>8.1</v>
      </c>
      <c r="U87" s="699" t="s">
        <v>88</v>
      </c>
      <c r="V87" s="704">
        <v>14</v>
      </c>
    </row>
    <row r="88" spans="1:22" hidden="1">
      <c r="A88" s="113" t="s">
        <v>41</v>
      </c>
      <c r="B88" s="704">
        <v>11.8</v>
      </c>
      <c r="C88" s="704">
        <v>8.4</v>
      </c>
      <c r="D88" s="705">
        <v>15.8</v>
      </c>
      <c r="E88" s="704">
        <v>17.899999999999999</v>
      </c>
      <c r="F88" s="705">
        <v>15.8</v>
      </c>
      <c r="G88" s="703">
        <v>9.6</v>
      </c>
      <c r="H88" s="704">
        <v>16.8</v>
      </c>
      <c r="I88" s="740" t="s">
        <v>88</v>
      </c>
      <c r="J88" s="741" t="s">
        <v>88</v>
      </c>
      <c r="K88" s="738" t="s">
        <v>88</v>
      </c>
      <c r="L88" s="739"/>
      <c r="M88" s="741" t="s">
        <v>88</v>
      </c>
      <c r="N88" s="739" t="s">
        <v>88</v>
      </c>
      <c r="O88" s="700">
        <v>13.6</v>
      </c>
      <c r="P88" s="704">
        <v>12.5</v>
      </c>
      <c r="Q88" s="739" t="s">
        <v>88</v>
      </c>
      <c r="R88" s="705">
        <v>12.8</v>
      </c>
      <c r="S88" s="704">
        <v>11</v>
      </c>
      <c r="T88" s="704">
        <v>8.1</v>
      </c>
      <c r="U88" s="699" t="s">
        <v>88</v>
      </c>
      <c r="V88" s="704">
        <v>15.4</v>
      </c>
    </row>
    <row r="89" spans="1:22" hidden="1">
      <c r="A89" s="113" t="s">
        <v>42</v>
      </c>
      <c r="B89" s="704">
        <v>11</v>
      </c>
      <c r="C89" s="704">
        <v>8.4</v>
      </c>
      <c r="D89" s="705">
        <v>14.9</v>
      </c>
      <c r="E89" s="704">
        <v>14.8</v>
      </c>
      <c r="F89" s="705">
        <v>16</v>
      </c>
      <c r="G89" s="703">
        <v>9.6999999999999993</v>
      </c>
      <c r="H89" s="704">
        <v>14.7</v>
      </c>
      <c r="I89" s="740" t="s">
        <v>88</v>
      </c>
      <c r="J89" s="741" t="s">
        <v>88</v>
      </c>
      <c r="K89" s="738" t="s">
        <v>88</v>
      </c>
      <c r="L89" s="739"/>
      <c r="M89" s="741" t="s">
        <v>88</v>
      </c>
      <c r="N89" s="739" t="s">
        <v>88</v>
      </c>
      <c r="O89" s="700">
        <v>13.8</v>
      </c>
      <c r="P89" s="704">
        <v>12.5</v>
      </c>
      <c r="Q89" s="739" t="s">
        <v>88</v>
      </c>
      <c r="R89" s="705">
        <v>12.9</v>
      </c>
      <c r="S89" s="704">
        <v>11</v>
      </c>
      <c r="T89" s="704">
        <v>8.1</v>
      </c>
      <c r="U89" s="699" t="s">
        <v>88</v>
      </c>
      <c r="V89" s="704">
        <v>13.7</v>
      </c>
    </row>
    <row r="90" spans="1:22" hidden="1">
      <c r="A90" s="113" t="s">
        <v>43</v>
      </c>
      <c r="B90" s="704">
        <v>11</v>
      </c>
      <c r="C90" s="704">
        <v>8.4</v>
      </c>
      <c r="D90" s="705">
        <v>15</v>
      </c>
      <c r="E90" s="704">
        <v>14.9</v>
      </c>
      <c r="F90" s="705">
        <v>15.6</v>
      </c>
      <c r="G90" s="703">
        <v>12.2</v>
      </c>
      <c r="H90" s="704">
        <v>14.8</v>
      </c>
      <c r="I90" s="740" t="s">
        <v>88</v>
      </c>
      <c r="J90" s="741" t="s">
        <v>88</v>
      </c>
      <c r="K90" s="738" t="s">
        <v>88</v>
      </c>
      <c r="L90" s="739"/>
      <c r="M90" s="741" t="s">
        <v>88</v>
      </c>
      <c r="N90" s="739" t="s">
        <v>88</v>
      </c>
      <c r="O90" s="700">
        <v>13.5</v>
      </c>
      <c r="P90" s="704">
        <v>12.8</v>
      </c>
      <c r="Q90" s="739" t="s">
        <v>88</v>
      </c>
      <c r="R90" s="705">
        <v>12.9</v>
      </c>
      <c r="S90" s="704">
        <v>11</v>
      </c>
      <c r="T90" s="704">
        <v>8.1</v>
      </c>
      <c r="U90" s="699" t="s">
        <v>88</v>
      </c>
      <c r="V90" s="704">
        <v>13.8</v>
      </c>
    </row>
    <row r="91" spans="1:22" hidden="1">
      <c r="A91" s="113" t="s">
        <v>44</v>
      </c>
      <c r="B91" s="704">
        <v>10.7</v>
      </c>
      <c r="C91" s="704">
        <v>8.4</v>
      </c>
      <c r="D91" s="705">
        <v>14.9</v>
      </c>
      <c r="E91" s="704">
        <v>14.8</v>
      </c>
      <c r="F91" s="705">
        <v>15.9</v>
      </c>
      <c r="G91" s="703">
        <v>12.3</v>
      </c>
      <c r="H91" s="704">
        <v>14.8</v>
      </c>
      <c r="I91" s="740" t="s">
        <v>88</v>
      </c>
      <c r="J91" s="741" t="s">
        <v>88</v>
      </c>
      <c r="K91" s="738" t="s">
        <v>88</v>
      </c>
      <c r="L91" s="739"/>
      <c r="M91" s="741" t="s">
        <v>88</v>
      </c>
      <c r="N91" s="739" t="s">
        <v>88</v>
      </c>
      <c r="O91" s="700">
        <v>13.4</v>
      </c>
      <c r="P91" s="704">
        <v>12.6</v>
      </c>
      <c r="Q91" s="739" t="s">
        <v>88</v>
      </c>
      <c r="R91" s="705">
        <v>12.8</v>
      </c>
      <c r="S91" s="704">
        <v>11</v>
      </c>
      <c r="T91" s="704">
        <v>8.1</v>
      </c>
      <c r="U91" s="699" t="s">
        <v>88</v>
      </c>
      <c r="V91" s="704">
        <v>13.6</v>
      </c>
    </row>
    <row r="92" spans="1:22" hidden="1">
      <c r="A92" s="113" t="s">
        <v>45</v>
      </c>
      <c r="B92" s="704">
        <v>9.0399999999999991</v>
      </c>
      <c r="C92" s="704">
        <v>8.39</v>
      </c>
      <c r="D92" s="705">
        <v>14.85</v>
      </c>
      <c r="E92" s="704">
        <v>14.78</v>
      </c>
      <c r="F92" s="705">
        <v>13.07</v>
      </c>
      <c r="G92" s="703">
        <v>12.24</v>
      </c>
      <c r="H92" s="704">
        <v>14.69</v>
      </c>
      <c r="I92" s="740" t="s">
        <v>88</v>
      </c>
      <c r="J92" s="741" t="s">
        <v>88</v>
      </c>
      <c r="K92" s="738" t="s">
        <v>88</v>
      </c>
      <c r="L92" s="739"/>
      <c r="M92" s="741" t="s">
        <v>88</v>
      </c>
      <c r="N92" s="739" t="s">
        <v>88</v>
      </c>
      <c r="O92" s="700">
        <v>13.58</v>
      </c>
      <c r="P92" s="704">
        <v>12.47</v>
      </c>
      <c r="Q92" s="739" t="s">
        <v>88</v>
      </c>
      <c r="R92" s="705">
        <v>12.72</v>
      </c>
      <c r="S92" s="704">
        <v>11</v>
      </c>
      <c r="T92" s="704">
        <v>8.1</v>
      </c>
      <c r="U92" s="699" t="s">
        <v>88</v>
      </c>
      <c r="V92" s="704">
        <v>13.42</v>
      </c>
    </row>
    <row r="93" spans="1:22" hidden="1">
      <c r="A93" s="113" t="s">
        <v>46</v>
      </c>
      <c r="B93" s="704">
        <v>10.96</v>
      </c>
      <c r="C93" s="704">
        <v>8.4</v>
      </c>
      <c r="D93" s="705">
        <v>14.85</v>
      </c>
      <c r="E93" s="704">
        <v>14.79</v>
      </c>
      <c r="F93" s="705">
        <v>12.83</v>
      </c>
      <c r="G93" s="703">
        <v>12.22</v>
      </c>
      <c r="H93" s="704">
        <v>14.7</v>
      </c>
      <c r="I93" s="740" t="s">
        <v>88</v>
      </c>
      <c r="J93" s="741" t="s">
        <v>88</v>
      </c>
      <c r="K93" s="738" t="s">
        <v>88</v>
      </c>
      <c r="L93" s="739"/>
      <c r="M93" s="741" t="s">
        <v>88</v>
      </c>
      <c r="N93" s="739" t="s">
        <v>88</v>
      </c>
      <c r="O93" s="700">
        <v>13.63</v>
      </c>
      <c r="P93" s="704">
        <v>12.47</v>
      </c>
      <c r="Q93" s="739" t="s">
        <v>88</v>
      </c>
      <c r="R93" s="705">
        <v>12.73</v>
      </c>
      <c r="S93" s="704">
        <v>11</v>
      </c>
      <c r="T93" s="704">
        <v>8.07</v>
      </c>
      <c r="U93" s="699" t="s">
        <v>88</v>
      </c>
      <c r="V93" s="704">
        <v>13.61</v>
      </c>
    </row>
    <row r="94" spans="1:22" hidden="1">
      <c r="A94" s="113" t="s">
        <v>47</v>
      </c>
      <c r="B94" s="704">
        <v>10.6</v>
      </c>
      <c r="C94" s="704">
        <v>8.4</v>
      </c>
      <c r="D94" s="705">
        <v>15</v>
      </c>
      <c r="E94" s="704">
        <v>14.79</v>
      </c>
      <c r="F94" s="705">
        <v>12.83</v>
      </c>
      <c r="G94" s="703">
        <v>12.22</v>
      </c>
      <c r="H94" s="704">
        <v>14.8</v>
      </c>
      <c r="I94" s="740" t="s">
        <v>88</v>
      </c>
      <c r="J94" s="741" t="s">
        <v>88</v>
      </c>
      <c r="K94" s="738">
        <v>18.2</v>
      </c>
      <c r="L94" s="739"/>
      <c r="M94" s="741" t="s">
        <v>88</v>
      </c>
      <c r="N94" s="739">
        <v>18.2</v>
      </c>
      <c r="O94" s="700">
        <v>13.7</v>
      </c>
      <c r="P94" s="704">
        <v>12.6</v>
      </c>
      <c r="Q94" s="739" t="s">
        <v>88</v>
      </c>
      <c r="R94" s="705">
        <v>12.8</v>
      </c>
      <c r="S94" s="704">
        <v>11</v>
      </c>
      <c r="T94" s="704">
        <v>8.07</v>
      </c>
      <c r="U94" s="699" t="s">
        <v>88</v>
      </c>
      <c r="V94" s="704">
        <v>13.61</v>
      </c>
    </row>
    <row r="95" spans="1:22" hidden="1">
      <c r="A95" s="113" t="s">
        <v>48</v>
      </c>
      <c r="B95" s="704">
        <v>10.74</v>
      </c>
      <c r="C95" s="704">
        <v>8.3699999999999992</v>
      </c>
      <c r="D95" s="705">
        <v>14.52</v>
      </c>
      <c r="E95" s="704">
        <v>14.86</v>
      </c>
      <c r="F95" s="705">
        <v>12.4</v>
      </c>
      <c r="G95" s="703">
        <v>12.25</v>
      </c>
      <c r="H95" s="704">
        <v>14.8</v>
      </c>
      <c r="I95" s="740" t="s">
        <v>88</v>
      </c>
      <c r="J95" s="741" t="s">
        <v>88</v>
      </c>
      <c r="K95" s="738">
        <v>18.239999999999998</v>
      </c>
      <c r="L95" s="739"/>
      <c r="M95" s="741" t="s">
        <v>88</v>
      </c>
      <c r="N95" s="739">
        <v>18.2</v>
      </c>
      <c r="O95" s="700">
        <v>13.6</v>
      </c>
      <c r="P95" s="704">
        <v>12.6</v>
      </c>
      <c r="Q95" s="739" t="s">
        <v>88</v>
      </c>
      <c r="R95" s="705">
        <v>12.8</v>
      </c>
      <c r="S95" s="704">
        <v>11</v>
      </c>
      <c r="T95" s="704">
        <v>8.1999999999999993</v>
      </c>
      <c r="U95" s="699" t="s">
        <v>88</v>
      </c>
      <c r="V95" s="704">
        <v>13.61</v>
      </c>
    </row>
    <row r="96" spans="1:22" hidden="1">
      <c r="A96" s="113" t="s">
        <v>49</v>
      </c>
      <c r="B96" s="704">
        <v>10.44</v>
      </c>
      <c r="C96" s="704">
        <v>8.39</v>
      </c>
      <c r="D96" s="705">
        <v>14.62</v>
      </c>
      <c r="E96" s="704">
        <v>14.74</v>
      </c>
      <c r="F96" s="705">
        <v>12.4</v>
      </c>
      <c r="G96" s="703">
        <v>12.26</v>
      </c>
      <c r="H96" s="704">
        <v>14.59</v>
      </c>
      <c r="I96" s="740" t="s">
        <v>88</v>
      </c>
      <c r="J96" s="741" t="s">
        <v>88</v>
      </c>
      <c r="K96" s="738">
        <v>18.239999999999998</v>
      </c>
      <c r="L96" s="739"/>
      <c r="M96" s="741" t="s">
        <v>88</v>
      </c>
      <c r="N96" s="739">
        <v>18.239999999999998</v>
      </c>
      <c r="O96" s="700">
        <v>13.46</v>
      </c>
      <c r="P96" s="704">
        <v>12.49</v>
      </c>
      <c r="Q96" s="739" t="s">
        <v>88</v>
      </c>
      <c r="R96" s="705">
        <v>12.74</v>
      </c>
      <c r="S96" s="704">
        <v>11</v>
      </c>
      <c r="T96" s="704">
        <v>8.19</v>
      </c>
      <c r="U96" s="699" t="s">
        <v>88</v>
      </c>
      <c r="V96" s="704">
        <v>13.41</v>
      </c>
    </row>
    <row r="97" spans="1:22" hidden="1">
      <c r="A97" s="113" t="s">
        <v>50</v>
      </c>
      <c r="B97" s="704">
        <v>9.34</v>
      </c>
      <c r="C97" s="704">
        <v>8.1</v>
      </c>
      <c r="D97" s="705">
        <v>13.64</v>
      </c>
      <c r="E97" s="704">
        <v>14.51</v>
      </c>
      <c r="F97" s="705">
        <v>12.43</v>
      </c>
      <c r="G97" s="703">
        <v>12.17</v>
      </c>
      <c r="H97" s="704">
        <v>14.09</v>
      </c>
      <c r="I97" s="740" t="s">
        <v>88</v>
      </c>
      <c r="J97" s="741" t="s">
        <v>88</v>
      </c>
      <c r="K97" s="738">
        <v>18.239999999999998</v>
      </c>
      <c r="L97" s="739"/>
      <c r="M97" s="741" t="s">
        <v>88</v>
      </c>
      <c r="N97" s="739">
        <v>18.239999999999998</v>
      </c>
      <c r="O97" s="700">
        <v>13.17</v>
      </c>
      <c r="P97" s="704">
        <v>12.5</v>
      </c>
      <c r="Q97" s="739" t="s">
        <v>88</v>
      </c>
      <c r="R97" s="705">
        <v>12.67</v>
      </c>
      <c r="S97" s="704">
        <v>11</v>
      </c>
      <c r="T97" s="704">
        <v>8.0399999999999991</v>
      </c>
      <c r="U97" s="699" t="s">
        <v>88</v>
      </c>
      <c r="V97" s="704">
        <v>12.79</v>
      </c>
    </row>
    <row r="98" spans="1:22" hidden="1">
      <c r="A98" s="113"/>
      <c r="B98" s="704"/>
      <c r="C98" s="704"/>
      <c r="D98" s="705"/>
      <c r="E98" s="704"/>
      <c r="F98" s="705"/>
      <c r="G98" s="703"/>
      <c r="H98" s="704"/>
      <c r="I98" s="740"/>
      <c r="J98" s="741" t="s">
        <v>88</v>
      </c>
      <c r="K98" s="738"/>
      <c r="L98" s="739"/>
      <c r="M98" s="741" t="s">
        <v>88</v>
      </c>
      <c r="N98" s="739"/>
      <c r="O98" s="700"/>
      <c r="P98" s="704"/>
      <c r="Q98" s="739"/>
      <c r="R98" s="705"/>
      <c r="S98" s="704"/>
      <c r="T98" s="704"/>
      <c r="U98" s="699"/>
      <c r="V98" s="704"/>
    </row>
    <row r="99" spans="1:22" hidden="1">
      <c r="A99" s="113" t="s">
        <v>332</v>
      </c>
      <c r="B99" s="704">
        <v>10.9</v>
      </c>
      <c r="C99" s="704">
        <v>8.09</v>
      </c>
      <c r="D99" s="705">
        <v>13.72</v>
      </c>
      <c r="E99" s="704">
        <v>14.27</v>
      </c>
      <c r="F99" s="705">
        <v>12.6</v>
      </c>
      <c r="G99" s="703">
        <v>12.17</v>
      </c>
      <c r="H99" s="704">
        <v>13.96</v>
      </c>
      <c r="I99" s="740" t="s">
        <v>88</v>
      </c>
      <c r="J99" s="741" t="s">
        <v>88</v>
      </c>
      <c r="K99" s="738">
        <v>18.239999999999998</v>
      </c>
      <c r="L99" s="739"/>
      <c r="M99" s="741" t="s">
        <v>88</v>
      </c>
      <c r="N99" s="739">
        <v>18.239999999999998</v>
      </c>
      <c r="O99" s="700">
        <v>13.16</v>
      </c>
      <c r="P99" s="704">
        <v>12.4</v>
      </c>
      <c r="Q99" s="739" t="s">
        <v>88</v>
      </c>
      <c r="R99" s="705">
        <v>12.58</v>
      </c>
      <c r="S99" s="704">
        <v>11</v>
      </c>
      <c r="T99" s="704">
        <v>8.0299999999999994</v>
      </c>
      <c r="U99" s="699" t="s">
        <v>88</v>
      </c>
      <c r="V99" s="704">
        <v>13.01</v>
      </c>
    </row>
    <row r="100" spans="1:22" hidden="1">
      <c r="A100" s="113" t="s">
        <v>40</v>
      </c>
      <c r="B100" s="704">
        <v>8.6</v>
      </c>
      <c r="C100" s="704">
        <v>7.9</v>
      </c>
      <c r="D100" s="705">
        <v>13.6</v>
      </c>
      <c r="E100" s="704">
        <v>14.6</v>
      </c>
      <c r="F100" s="705">
        <v>12.2</v>
      </c>
      <c r="G100" s="703">
        <v>12.6</v>
      </c>
      <c r="H100" s="704">
        <v>14.1</v>
      </c>
      <c r="I100" s="740" t="s">
        <v>88</v>
      </c>
      <c r="J100" s="741" t="s">
        <v>88</v>
      </c>
      <c r="K100" s="738">
        <v>18.239999999999998</v>
      </c>
      <c r="L100" s="739"/>
      <c r="M100" s="741" t="s">
        <v>88</v>
      </c>
      <c r="N100" s="739">
        <v>18.239999999999998</v>
      </c>
      <c r="O100" s="700">
        <v>13</v>
      </c>
      <c r="P100" s="704">
        <v>12</v>
      </c>
      <c r="Q100" s="739" t="s">
        <v>88</v>
      </c>
      <c r="R100" s="705">
        <v>12.2</v>
      </c>
      <c r="S100" s="704">
        <v>11</v>
      </c>
      <c r="T100" s="704">
        <v>8.0299999999999994</v>
      </c>
      <c r="U100" s="699" t="s">
        <v>88</v>
      </c>
      <c r="V100" s="704">
        <v>12.7</v>
      </c>
    </row>
    <row r="101" spans="1:22" hidden="1">
      <c r="A101" s="113" t="s">
        <v>41</v>
      </c>
      <c r="B101" s="704">
        <v>5.6</v>
      </c>
      <c r="C101" s="704">
        <v>8.1999999999999993</v>
      </c>
      <c r="D101" s="705">
        <v>12.9</v>
      </c>
      <c r="E101" s="704">
        <v>14.1</v>
      </c>
      <c r="F101" s="705">
        <v>12.5</v>
      </c>
      <c r="G101" s="703">
        <v>12.1</v>
      </c>
      <c r="H101" s="704">
        <v>13.5</v>
      </c>
      <c r="I101" s="740" t="s">
        <v>88</v>
      </c>
      <c r="J101" s="741" t="s">
        <v>88</v>
      </c>
      <c r="K101" s="738">
        <v>18.239999999999998</v>
      </c>
      <c r="L101" s="739"/>
      <c r="M101" s="741" t="s">
        <v>88</v>
      </c>
      <c r="N101" s="739">
        <v>18.239999999999998</v>
      </c>
      <c r="O101" s="700">
        <v>13</v>
      </c>
      <c r="P101" s="704">
        <v>12.9</v>
      </c>
      <c r="Q101" s="739" t="s">
        <v>88</v>
      </c>
      <c r="R101" s="705">
        <v>12.9</v>
      </c>
      <c r="S101" s="704">
        <v>11</v>
      </c>
      <c r="T101" s="704">
        <v>8.0299999999999994</v>
      </c>
      <c r="U101" s="699" t="s">
        <v>88</v>
      </c>
      <c r="V101" s="704">
        <v>11.8</v>
      </c>
    </row>
    <row r="102" spans="1:22" hidden="1">
      <c r="A102" s="113" t="s">
        <v>42</v>
      </c>
      <c r="B102" s="704">
        <v>6.5</v>
      </c>
      <c r="C102" s="704">
        <v>8.1999999999999993</v>
      </c>
      <c r="D102" s="705">
        <v>12.9</v>
      </c>
      <c r="E102" s="704">
        <v>13.9</v>
      </c>
      <c r="F102" s="705">
        <v>12.5</v>
      </c>
      <c r="G102" s="703">
        <v>12.1</v>
      </c>
      <c r="H102" s="704">
        <v>13.4</v>
      </c>
      <c r="I102" s="740" t="s">
        <v>88</v>
      </c>
      <c r="J102" s="741" t="s">
        <v>88</v>
      </c>
      <c r="K102" s="738">
        <v>18.239999999999998</v>
      </c>
      <c r="L102" s="739"/>
      <c r="M102" s="741" t="s">
        <v>88</v>
      </c>
      <c r="N102" s="739">
        <v>18.239999999999998</v>
      </c>
      <c r="O102" s="700">
        <v>12.9</v>
      </c>
      <c r="P102" s="704">
        <v>12.8</v>
      </c>
      <c r="Q102" s="739" t="s">
        <v>88</v>
      </c>
      <c r="R102" s="705">
        <v>12.8</v>
      </c>
      <c r="S102" s="704">
        <v>11</v>
      </c>
      <c r="T102" s="704">
        <v>8.1</v>
      </c>
      <c r="U102" s="699" t="s">
        <v>88</v>
      </c>
      <c r="V102" s="704">
        <v>12</v>
      </c>
    </row>
    <row r="103" spans="1:22" hidden="1">
      <c r="A103" s="113" t="s">
        <v>43</v>
      </c>
      <c r="B103" s="704">
        <v>6.43</v>
      </c>
      <c r="C103" s="704">
        <v>8.18</v>
      </c>
      <c r="D103" s="705">
        <v>11.6</v>
      </c>
      <c r="E103" s="704">
        <v>13.27</v>
      </c>
      <c r="F103" s="705">
        <v>12.47</v>
      </c>
      <c r="G103" s="703">
        <v>11.41</v>
      </c>
      <c r="H103" s="704">
        <v>12.54</v>
      </c>
      <c r="I103" s="740" t="s">
        <v>88</v>
      </c>
      <c r="J103" s="741" t="s">
        <v>88</v>
      </c>
      <c r="K103" s="738">
        <v>18.239999999999998</v>
      </c>
      <c r="L103" s="739"/>
      <c r="M103" s="741" t="s">
        <v>88</v>
      </c>
      <c r="N103" s="739">
        <v>18.239999999999998</v>
      </c>
      <c r="O103" s="700">
        <v>12.51</v>
      </c>
      <c r="P103" s="704">
        <v>12.69</v>
      </c>
      <c r="Q103" s="739" t="s">
        <v>88</v>
      </c>
      <c r="R103" s="705">
        <v>12.64</v>
      </c>
      <c r="S103" s="704">
        <v>11</v>
      </c>
      <c r="T103" s="704">
        <v>8</v>
      </c>
      <c r="U103" s="699" t="s">
        <v>88</v>
      </c>
      <c r="V103" s="704">
        <v>11.26</v>
      </c>
    </row>
    <row r="104" spans="1:22" hidden="1">
      <c r="A104" s="113" t="s">
        <v>44</v>
      </c>
      <c r="B104" s="704">
        <v>6.42</v>
      </c>
      <c r="C104" s="704">
        <v>8.18</v>
      </c>
      <c r="D104" s="705">
        <v>11.29</v>
      </c>
      <c r="E104" s="704">
        <v>12.78</v>
      </c>
      <c r="F104" s="705">
        <v>12.47</v>
      </c>
      <c r="G104" s="703">
        <v>11.39</v>
      </c>
      <c r="H104" s="704">
        <v>12.08</v>
      </c>
      <c r="I104" s="740" t="s">
        <v>88</v>
      </c>
      <c r="J104" s="741" t="s">
        <v>88</v>
      </c>
      <c r="K104" s="738">
        <v>18.239999999999998</v>
      </c>
      <c r="L104" s="739"/>
      <c r="M104" s="741" t="s">
        <v>88</v>
      </c>
      <c r="N104" s="739">
        <v>18.239999999999998</v>
      </c>
      <c r="O104" s="700">
        <v>11.66</v>
      </c>
      <c r="P104" s="704">
        <v>11.59</v>
      </c>
      <c r="Q104" s="739" t="s">
        <v>88</v>
      </c>
      <c r="R104" s="705">
        <v>11.61</v>
      </c>
      <c r="S104" s="704">
        <v>11</v>
      </c>
      <c r="T104" s="704">
        <v>8</v>
      </c>
      <c r="U104" s="699" t="s">
        <v>88</v>
      </c>
      <c r="V104" s="704">
        <v>10.9</v>
      </c>
    </row>
    <row r="105" spans="1:22" hidden="1">
      <c r="A105" s="113" t="s">
        <v>45</v>
      </c>
      <c r="B105" s="704">
        <v>6.67</v>
      </c>
      <c r="C105" s="704">
        <v>8.1999999999999993</v>
      </c>
      <c r="D105" s="705">
        <v>10.79</v>
      </c>
      <c r="E105" s="704">
        <v>12.38</v>
      </c>
      <c r="F105" s="705">
        <v>12.41</v>
      </c>
      <c r="G105" s="703">
        <v>11.34</v>
      </c>
      <c r="H105" s="704">
        <v>11.64</v>
      </c>
      <c r="I105" s="740" t="s">
        <v>88</v>
      </c>
      <c r="J105" s="741" t="s">
        <v>88</v>
      </c>
      <c r="K105" s="738">
        <v>18.239999999999998</v>
      </c>
      <c r="L105" s="739"/>
      <c r="M105" s="741" t="s">
        <v>88</v>
      </c>
      <c r="N105" s="739">
        <v>18.239999999999998</v>
      </c>
      <c r="O105" s="700">
        <v>10.81</v>
      </c>
      <c r="P105" s="704">
        <v>11.23</v>
      </c>
      <c r="Q105" s="739" t="s">
        <v>88</v>
      </c>
      <c r="R105" s="705">
        <v>11.1</v>
      </c>
      <c r="S105" s="704">
        <v>11</v>
      </c>
      <c r="T105" s="704">
        <v>8</v>
      </c>
      <c r="U105" s="699" t="s">
        <v>88</v>
      </c>
      <c r="V105" s="704">
        <v>10.61</v>
      </c>
    </row>
    <row r="106" spans="1:22" hidden="1">
      <c r="A106" s="113" t="s">
        <v>46</v>
      </c>
      <c r="B106" s="704">
        <v>6.05</v>
      </c>
      <c r="C106" s="704">
        <v>8.06</v>
      </c>
      <c r="D106" s="705">
        <v>10.45</v>
      </c>
      <c r="E106" s="704">
        <v>12.04</v>
      </c>
      <c r="F106" s="705">
        <v>12.11</v>
      </c>
      <c r="G106" s="703">
        <v>11.35</v>
      </c>
      <c r="H106" s="704">
        <v>11.31</v>
      </c>
      <c r="I106" s="740" t="s">
        <v>88</v>
      </c>
      <c r="J106" s="741" t="s">
        <v>88</v>
      </c>
      <c r="K106" s="738">
        <v>18.239999999999998</v>
      </c>
      <c r="L106" s="739"/>
      <c r="M106" s="741" t="s">
        <v>88</v>
      </c>
      <c r="N106" s="739">
        <v>18.239999999999998</v>
      </c>
      <c r="O106" s="700">
        <v>9.66</v>
      </c>
      <c r="P106" s="704">
        <v>11.1</v>
      </c>
      <c r="Q106" s="739" t="s">
        <v>88</v>
      </c>
      <c r="R106" s="705">
        <v>10.67</v>
      </c>
      <c r="S106" s="704">
        <v>9</v>
      </c>
      <c r="T106" s="704">
        <v>8.01</v>
      </c>
      <c r="U106" s="699" t="s">
        <v>88</v>
      </c>
      <c r="V106" s="704">
        <v>10.26</v>
      </c>
    </row>
    <row r="107" spans="1:22" hidden="1">
      <c r="A107" s="113" t="s">
        <v>47</v>
      </c>
      <c r="B107" s="704">
        <v>6.22</v>
      </c>
      <c r="C107" s="704">
        <v>8.0500000000000007</v>
      </c>
      <c r="D107" s="705">
        <v>10.17</v>
      </c>
      <c r="E107" s="704">
        <v>11.71</v>
      </c>
      <c r="F107" s="705">
        <v>12.2</v>
      </c>
      <c r="G107" s="703">
        <v>11.19</v>
      </c>
      <c r="H107" s="704">
        <v>10.98</v>
      </c>
      <c r="I107" s="740" t="s">
        <v>88</v>
      </c>
      <c r="J107" s="741" t="s">
        <v>88</v>
      </c>
      <c r="K107" s="738">
        <v>18.239999999999998</v>
      </c>
      <c r="L107" s="739"/>
      <c r="M107" s="741" t="s">
        <v>88</v>
      </c>
      <c r="N107" s="739">
        <v>18.239999999999998</v>
      </c>
      <c r="O107" s="700">
        <v>9.0299999999999994</v>
      </c>
      <c r="P107" s="704">
        <v>11.21</v>
      </c>
      <c r="Q107" s="739" t="s">
        <v>88</v>
      </c>
      <c r="R107" s="705">
        <v>10.48</v>
      </c>
      <c r="S107" s="704">
        <v>9</v>
      </c>
      <c r="T107" s="704">
        <v>8.01</v>
      </c>
      <c r="U107" s="699" t="s">
        <v>88</v>
      </c>
      <c r="V107" s="704">
        <v>10.08</v>
      </c>
    </row>
    <row r="108" spans="1:22" hidden="1">
      <c r="A108" s="113" t="s">
        <v>48</v>
      </c>
      <c r="B108" s="704">
        <v>6.81</v>
      </c>
      <c r="C108" s="704">
        <v>8.1199999999999992</v>
      </c>
      <c r="D108" s="705">
        <v>10.33</v>
      </c>
      <c r="E108" s="704">
        <v>11.25</v>
      </c>
      <c r="F108" s="705">
        <v>11.96</v>
      </c>
      <c r="G108" s="703">
        <v>11.06</v>
      </c>
      <c r="H108" s="704">
        <v>10.81</v>
      </c>
      <c r="I108" s="740" t="s">
        <v>88</v>
      </c>
      <c r="J108" s="741" t="s">
        <v>88</v>
      </c>
      <c r="K108" s="738">
        <v>18.239999999999998</v>
      </c>
      <c r="L108" s="739"/>
      <c r="M108" s="741" t="s">
        <v>88</v>
      </c>
      <c r="N108" s="739">
        <v>18.239999999999998</v>
      </c>
      <c r="O108" s="700">
        <v>8.5399999999999991</v>
      </c>
      <c r="P108" s="704">
        <v>10.73</v>
      </c>
      <c r="Q108" s="739" t="s">
        <v>88</v>
      </c>
      <c r="R108" s="705">
        <v>9.7799999999999994</v>
      </c>
      <c r="S108" s="704">
        <v>9</v>
      </c>
      <c r="T108" s="704">
        <v>8.01</v>
      </c>
      <c r="U108" s="699" t="s">
        <v>88</v>
      </c>
      <c r="V108" s="704">
        <v>9.98</v>
      </c>
    </row>
    <row r="109" spans="1:22" hidden="1">
      <c r="A109" s="113" t="s">
        <v>49</v>
      </c>
      <c r="B109" s="704">
        <v>7.06</v>
      </c>
      <c r="C109" s="704">
        <v>8.11</v>
      </c>
      <c r="D109" s="705">
        <v>10.15</v>
      </c>
      <c r="E109" s="704">
        <v>11.01</v>
      </c>
      <c r="F109" s="705">
        <v>10.85</v>
      </c>
      <c r="G109" s="703">
        <v>10.039999999999999</v>
      </c>
      <c r="H109" s="704">
        <v>10.57</v>
      </c>
      <c r="I109" s="740" t="s">
        <v>88</v>
      </c>
      <c r="J109" s="741" t="s">
        <v>88</v>
      </c>
      <c r="K109" s="742" t="s">
        <v>88</v>
      </c>
      <c r="L109" s="741"/>
      <c r="M109" s="741" t="s">
        <v>88</v>
      </c>
      <c r="N109" s="741" t="s">
        <v>88</v>
      </c>
      <c r="O109" s="700">
        <v>8.6</v>
      </c>
      <c r="P109" s="704">
        <v>10.7</v>
      </c>
      <c r="Q109" s="739" t="s">
        <v>88</v>
      </c>
      <c r="R109" s="705">
        <v>9.65</v>
      </c>
      <c r="S109" s="704">
        <v>9</v>
      </c>
      <c r="T109" s="704">
        <v>8.01</v>
      </c>
      <c r="U109" s="699" t="s">
        <v>88</v>
      </c>
      <c r="V109" s="704">
        <v>9.8000000000000007</v>
      </c>
    </row>
    <row r="110" spans="1:22" hidden="1">
      <c r="A110" s="113" t="s">
        <v>50</v>
      </c>
      <c r="B110" s="704">
        <v>7.47</v>
      </c>
      <c r="C110" s="704">
        <v>7.4</v>
      </c>
      <c r="D110" s="705">
        <v>9.9</v>
      </c>
      <c r="E110" s="704">
        <v>10.7</v>
      </c>
      <c r="F110" s="705">
        <v>11.95</v>
      </c>
      <c r="G110" s="703">
        <v>10.8</v>
      </c>
      <c r="H110" s="704">
        <v>10.3</v>
      </c>
      <c r="I110" s="740" t="s">
        <v>88</v>
      </c>
      <c r="J110" s="741" t="s">
        <v>88</v>
      </c>
      <c r="K110" s="742" t="s">
        <v>88</v>
      </c>
      <c r="L110" s="741"/>
      <c r="M110" s="741" t="s">
        <v>88</v>
      </c>
      <c r="N110" s="741" t="s">
        <v>88</v>
      </c>
      <c r="O110" s="700">
        <v>9.1300000000000008</v>
      </c>
      <c r="P110" s="704">
        <v>9.7799999999999994</v>
      </c>
      <c r="Q110" s="739" t="s">
        <v>88</v>
      </c>
      <c r="R110" s="705">
        <v>9.6</v>
      </c>
      <c r="S110" s="704">
        <v>9</v>
      </c>
      <c r="T110" s="704">
        <v>8.1</v>
      </c>
      <c r="U110" s="699" t="s">
        <v>88</v>
      </c>
      <c r="V110" s="704">
        <v>9.6</v>
      </c>
    </row>
    <row r="111" spans="1:22" hidden="1">
      <c r="A111" s="113"/>
      <c r="B111" s="704"/>
      <c r="C111" s="704"/>
      <c r="D111" s="705"/>
      <c r="E111" s="704"/>
      <c r="F111" s="705"/>
      <c r="G111" s="703"/>
      <c r="H111" s="704"/>
      <c r="I111" s="740"/>
      <c r="J111" s="741" t="s">
        <v>88</v>
      </c>
      <c r="K111" s="742"/>
      <c r="L111" s="741"/>
      <c r="M111" s="741" t="s">
        <v>88</v>
      </c>
      <c r="N111" s="741"/>
      <c r="O111" s="700"/>
      <c r="P111" s="704"/>
      <c r="Q111" s="739"/>
      <c r="R111" s="705"/>
      <c r="S111" s="704"/>
      <c r="T111" s="704"/>
      <c r="U111" s="699"/>
      <c r="V111" s="704"/>
    </row>
    <row r="112" spans="1:22" hidden="1">
      <c r="A112" s="113" t="s">
        <v>331</v>
      </c>
      <c r="B112" s="704">
        <v>6.91</v>
      </c>
      <c r="C112" s="704">
        <v>7.17</v>
      </c>
      <c r="D112" s="705">
        <v>9.83</v>
      </c>
      <c r="E112" s="704">
        <v>10.55</v>
      </c>
      <c r="F112" s="705">
        <v>11.95</v>
      </c>
      <c r="G112" s="703">
        <v>10.88</v>
      </c>
      <c r="H112" s="704">
        <v>10.199999999999999</v>
      </c>
      <c r="I112" s="740" t="s">
        <v>88</v>
      </c>
      <c r="J112" s="741" t="s">
        <v>88</v>
      </c>
      <c r="K112" s="742" t="s">
        <v>88</v>
      </c>
      <c r="L112" s="741"/>
      <c r="M112" s="741" t="s">
        <v>88</v>
      </c>
      <c r="N112" s="741" t="s">
        <v>88</v>
      </c>
      <c r="O112" s="700">
        <v>8.3000000000000007</v>
      </c>
      <c r="P112" s="704">
        <v>10.199999999999999</v>
      </c>
      <c r="Q112" s="739" t="s">
        <v>88</v>
      </c>
      <c r="R112" s="705">
        <v>9.3000000000000007</v>
      </c>
      <c r="S112" s="704">
        <v>9</v>
      </c>
      <c r="T112" s="704">
        <v>8</v>
      </c>
      <c r="U112" s="699" t="s">
        <v>88</v>
      </c>
      <c r="V112" s="704">
        <v>9.2799999999999994</v>
      </c>
    </row>
    <row r="113" spans="1:22" hidden="1">
      <c r="A113" s="113" t="s">
        <v>40</v>
      </c>
      <c r="B113" s="704">
        <v>7.1</v>
      </c>
      <c r="C113" s="704">
        <v>7.19</v>
      </c>
      <c r="D113" s="705">
        <v>9.61</v>
      </c>
      <c r="E113" s="704">
        <v>9.9499999999999993</v>
      </c>
      <c r="F113" s="705">
        <v>12.06</v>
      </c>
      <c r="G113" s="703">
        <v>10.59</v>
      </c>
      <c r="H113" s="704">
        <v>9.8000000000000007</v>
      </c>
      <c r="I113" s="740" t="s">
        <v>88</v>
      </c>
      <c r="J113" s="741" t="s">
        <v>88</v>
      </c>
      <c r="K113" s="742" t="s">
        <v>88</v>
      </c>
      <c r="L113" s="741"/>
      <c r="M113" s="741" t="s">
        <v>88</v>
      </c>
      <c r="N113" s="741" t="s">
        <v>88</v>
      </c>
      <c r="O113" s="700">
        <v>7.66</v>
      </c>
      <c r="P113" s="704">
        <v>10.11</v>
      </c>
      <c r="Q113" s="739">
        <v>10.1</v>
      </c>
      <c r="R113" s="705">
        <v>9.41</v>
      </c>
      <c r="S113" s="704">
        <v>9</v>
      </c>
      <c r="T113" s="704">
        <v>9</v>
      </c>
      <c r="U113" s="699" t="s">
        <v>88</v>
      </c>
      <c r="V113" s="704">
        <v>9.09</v>
      </c>
    </row>
    <row r="114" spans="1:22" hidden="1">
      <c r="A114" s="113" t="s">
        <v>41</v>
      </c>
      <c r="B114" s="704">
        <v>7.1</v>
      </c>
      <c r="C114" s="704">
        <v>7.1</v>
      </c>
      <c r="D114" s="705">
        <v>9.4</v>
      </c>
      <c r="E114" s="704">
        <v>9.6</v>
      </c>
      <c r="F114" s="705">
        <v>12</v>
      </c>
      <c r="G114" s="703">
        <v>10.5</v>
      </c>
      <c r="H114" s="704">
        <v>9.5</v>
      </c>
      <c r="I114" s="740" t="s">
        <v>88</v>
      </c>
      <c r="J114" s="741" t="s">
        <v>88</v>
      </c>
      <c r="K114" s="742" t="s">
        <v>88</v>
      </c>
      <c r="L114" s="741"/>
      <c r="M114" s="741" t="s">
        <v>88</v>
      </c>
      <c r="N114" s="741" t="s">
        <v>88</v>
      </c>
      <c r="O114" s="700">
        <v>8.1</v>
      </c>
      <c r="P114" s="704">
        <v>9</v>
      </c>
      <c r="Q114" s="739">
        <v>9.8000000000000007</v>
      </c>
      <c r="R114" s="705">
        <v>9.41</v>
      </c>
      <c r="S114" s="704">
        <v>9</v>
      </c>
      <c r="T114" s="704">
        <v>8</v>
      </c>
      <c r="U114" s="699" t="s">
        <v>88</v>
      </c>
      <c r="V114" s="704">
        <v>8.9</v>
      </c>
    </row>
    <row r="115" spans="1:22" hidden="1">
      <c r="A115" s="113" t="s">
        <v>42</v>
      </c>
      <c r="B115" s="704">
        <v>7.5</v>
      </c>
      <c r="C115" s="704">
        <v>7.1</v>
      </c>
      <c r="D115" s="705">
        <v>9.3000000000000007</v>
      </c>
      <c r="E115" s="704">
        <v>9.4</v>
      </c>
      <c r="F115" s="705">
        <v>12</v>
      </c>
      <c r="G115" s="703">
        <v>10.4</v>
      </c>
      <c r="H115" s="704">
        <v>9.4</v>
      </c>
      <c r="I115" s="740" t="s">
        <v>88</v>
      </c>
      <c r="J115" s="741" t="s">
        <v>88</v>
      </c>
      <c r="K115" s="742" t="s">
        <v>88</v>
      </c>
      <c r="L115" s="741"/>
      <c r="M115" s="741" t="s">
        <v>88</v>
      </c>
      <c r="N115" s="741" t="s">
        <v>88</v>
      </c>
      <c r="O115" s="700">
        <v>8.1</v>
      </c>
      <c r="P115" s="704">
        <v>9.8000000000000007</v>
      </c>
      <c r="Q115" s="739">
        <v>9</v>
      </c>
      <c r="R115" s="705">
        <v>9.41</v>
      </c>
      <c r="S115" s="704">
        <v>9</v>
      </c>
      <c r="T115" s="704">
        <v>8</v>
      </c>
      <c r="U115" s="699" t="s">
        <v>88</v>
      </c>
      <c r="V115" s="704">
        <v>8.9</v>
      </c>
    </row>
    <row r="116" spans="1:22" hidden="1">
      <c r="A116" s="113" t="s">
        <v>43</v>
      </c>
      <c r="B116" s="704">
        <v>7.65</v>
      </c>
      <c r="C116" s="704">
        <v>7.21</v>
      </c>
      <c r="D116" s="705">
        <v>9.25</v>
      </c>
      <c r="E116" s="704">
        <v>9.34</v>
      </c>
      <c r="F116" s="705">
        <v>11.17</v>
      </c>
      <c r="G116" s="703">
        <v>10.45</v>
      </c>
      <c r="H116" s="704">
        <v>9.34</v>
      </c>
      <c r="I116" s="740" t="s">
        <v>88</v>
      </c>
      <c r="J116" s="741" t="s">
        <v>88</v>
      </c>
      <c r="K116" s="742" t="s">
        <v>88</v>
      </c>
      <c r="L116" s="741"/>
      <c r="M116" s="741" t="s">
        <v>88</v>
      </c>
      <c r="N116" s="741" t="s">
        <v>88</v>
      </c>
      <c r="O116" s="700">
        <v>9.82</v>
      </c>
      <c r="P116" s="704">
        <v>9.6300000000000008</v>
      </c>
      <c r="Q116" s="739">
        <v>9</v>
      </c>
      <c r="R116" s="705">
        <v>9.51</v>
      </c>
      <c r="S116" s="704">
        <v>8</v>
      </c>
      <c r="T116" s="704">
        <v>8</v>
      </c>
      <c r="U116" s="699" t="s">
        <v>88</v>
      </c>
      <c r="V116" s="704">
        <v>8.8699999999999992</v>
      </c>
    </row>
    <row r="117" spans="1:22" hidden="1">
      <c r="A117" s="113" t="s">
        <v>44</v>
      </c>
      <c r="B117" s="704">
        <v>8.26</v>
      </c>
      <c r="C117" s="704">
        <v>6.97</v>
      </c>
      <c r="D117" s="705">
        <v>9.59</v>
      </c>
      <c r="E117" s="704">
        <v>9.5299999999999994</v>
      </c>
      <c r="F117" s="705">
        <v>12.15</v>
      </c>
      <c r="G117" s="703">
        <v>8.83</v>
      </c>
      <c r="H117" s="704">
        <v>9.56</v>
      </c>
      <c r="I117" s="740" t="s">
        <v>88</v>
      </c>
      <c r="J117" s="741" t="s">
        <v>88</v>
      </c>
      <c r="K117" s="742" t="s">
        <v>88</v>
      </c>
      <c r="L117" s="741"/>
      <c r="M117" s="741" t="s">
        <v>88</v>
      </c>
      <c r="N117" s="741" t="s">
        <v>88</v>
      </c>
      <c r="O117" s="700">
        <v>10.23</v>
      </c>
      <c r="P117" s="704">
        <v>9.58</v>
      </c>
      <c r="Q117" s="739">
        <v>9</v>
      </c>
      <c r="R117" s="705">
        <v>9.5500000000000007</v>
      </c>
      <c r="S117" s="704">
        <v>8.5</v>
      </c>
      <c r="T117" s="704">
        <v>8</v>
      </c>
      <c r="U117" s="699" t="s">
        <v>88</v>
      </c>
      <c r="V117" s="704">
        <v>9.07</v>
      </c>
    </row>
    <row r="118" spans="1:22" hidden="1">
      <c r="A118" s="113" t="s">
        <v>45</v>
      </c>
      <c r="B118" s="704">
        <v>7.72</v>
      </c>
      <c r="C118" s="704">
        <v>6.97</v>
      </c>
      <c r="D118" s="705">
        <v>9.09</v>
      </c>
      <c r="E118" s="704">
        <v>9.5</v>
      </c>
      <c r="F118" s="705">
        <v>8.06</v>
      </c>
      <c r="G118" s="703">
        <v>8.83</v>
      </c>
      <c r="H118" s="704">
        <v>9.2100000000000009</v>
      </c>
      <c r="I118" s="740" t="s">
        <v>88</v>
      </c>
      <c r="J118" s="741" t="s">
        <v>88</v>
      </c>
      <c r="K118" s="742" t="s">
        <v>88</v>
      </c>
      <c r="L118" s="741"/>
      <c r="M118" s="741" t="s">
        <v>88</v>
      </c>
      <c r="N118" s="741" t="s">
        <v>88</v>
      </c>
      <c r="O118" s="700">
        <v>10.4</v>
      </c>
      <c r="P118" s="704">
        <v>9.67</v>
      </c>
      <c r="Q118" s="739">
        <v>9</v>
      </c>
      <c r="R118" s="705">
        <v>9.67</v>
      </c>
      <c r="S118" s="704">
        <v>7.9</v>
      </c>
      <c r="T118" s="704">
        <v>7.99</v>
      </c>
      <c r="U118" s="699" t="s">
        <v>88</v>
      </c>
      <c r="V118" s="704">
        <v>8.7899999999999991</v>
      </c>
    </row>
    <row r="119" spans="1:22" hidden="1">
      <c r="A119" s="113" t="s">
        <v>46</v>
      </c>
      <c r="B119" s="704">
        <v>6.88</v>
      </c>
      <c r="C119" s="704">
        <v>6.99</v>
      </c>
      <c r="D119" s="705">
        <v>8.93</v>
      </c>
      <c r="E119" s="704">
        <v>9.8000000000000007</v>
      </c>
      <c r="F119" s="705">
        <v>8.07</v>
      </c>
      <c r="G119" s="703">
        <v>8.8000000000000007</v>
      </c>
      <c r="H119" s="704">
        <v>9.25</v>
      </c>
      <c r="I119" s="740" t="s">
        <v>88</v>
      </c>
      <c r="J119" s="741" t="s">
        <v>88</v>
      </c>
      <c r="K119" s="742" t="s">
        <v>88</v>
      </c>
      <c r="L119" s="741"/>
      <c r="M119" s="741" t="s">
        <v>88</v>
      </c>
      <c r="N119" s="741" t="s">
        <v>88</v>
      </c>
      <c r="O119" s="700">
        <v>11.06</v>
      </c>
      <c r="P119" s="704">
        <v>9.5399999999999991</v>
      </c>
      <c r="Q119" s="739">
        <v>9</v>
      </c>
      <c r="R119" s="705">
        <v>9.83</v>
      </c>
      <c r="S119" s="704">
        <v>7</v>
      </c>
      <c r="T119" s="704">
        <v>7.99</v>
      </c>
      <c r="U119" s="699" t="s">
        <v>88</v>
      </c>
      <c r="V119" s="704">
        <v>8.73</v>
      </c>
    </row>
    <row r="120" spans="1:22" hidden="1">
      <c r="A120" s="113" t="s">
        <v>47</v>
      </c>
      <c r="B120" s="704">
        <v>7.56</v>
      </c>
      <c r="C120" s="704">
        <v>6.91</v>
      </c>
      <c r="D120" s="705">
        <v>9.49</v>
      </c>
      <c r="E120" s="704">
        <v>9.6300000000000008</v>
      </c>
      <c r="F120" s="705">
        <v>11.85</v>
      </c>
      <c r="G120" s="703">
        <v>8.86</v>
      </c>
      <c r="H120" s="704">
        <v>9.5500000000000007</v>
      </c>
      <c r="I120" s="740" t="s">
        <v>88</v>
      </c>
      <c r="J120" s="741" t="s">
        <v>88</v>
      </c>
      <c r="K120" s="742" t="s">
        <v>88</v>
      </c>
      <c r="L120" s="741"/>
      <c r="M120" s="741" t="s">
        <v>88</v>
      </c>
      <c r="N120" s="741" t="s">
        <v>88</v>
      </c>
      <c r="O120" s="700">
        <v>10.34</v>
      </c>
      <c r="P120" s="704">
        <v>8.66</v>
      </c>
      <c r="Q120" s="739">
        <v>9</v>
      </c>
      <c r="R120" s="705">
        <v>9.5500000000000007</v>
      </c>
      <c r="S120" s="704">
        <v>7</v>
      </c>
      <c r="T120" s="704">
        <v>7.99</v>
      </c>
      <c r="U120" s="699" t="s">
        <v>88</v>
      </c>
      <c r="V120" s="704">
        <v>9.11</v>
      </c>
    </row>
    <row r="121" spans="1:22" hidden="1">
      <c r="A121" s="113" t="s">
        <v>48</v>
      </c>
      <c r="B121" s="704">
        <v>7.95</v>
      </c>
      <c r="C121" s="704">
        <v>6.97</v>
      </c>
      <c r="D121" s="705">
        <v>9.49</v>
      </c>
      <c r="E121" s="704">
        <v>9.68</v>
      </c>
      <c r="F121" s="705">
        <v>8.06</v>
      </c>
      <c r="G121" s="703">
        <v>8.86</v>
      </c>
      <c r="H121" s="704">
        <v>9.51</v>
      </c>
      <c r="I121" s="740" t="s">
        <v>88</v>
      </c>
      <c r="J121" s="741" t="s">
        <v>88</v>
      </c>
      <c r="K121" s="742" t="s">
        <v>88</v>
      </c>
      <c r="L121" s="741"/>
      <c r="M121" s="741" t="s">
        <v>88</v>
      </c>
      <c r="N121" s="741" t="s">
        <v>88</v>
      </c>
      <c r="O121" s="700">
        <v>10.5</v>
      </c>
      <c r="P121" s="704">
        <v>9.25</v>
      </c>
      <c r="Q121" s="739">
        <v>9</v>
      </c>
      <c r="R121" s="705">
        <v>9.59</v>
      </c>
      <c r="S121" s="704">
        <v>7</v>
      </c>
      <c r="T121" s="704">
        <v>7.99</v>
      </c>
      <c r="U121" s="699" t="s">
        <v>88</v>
      </c>
      <c r="V121" s="704">
        <v>9.06</v>
      </c>
    </row>
    <row r="122" spans="1:22" hidden="1">
      <c r="A122" s="113" t="s">
        <v>49</v>
      </c>
      <c r="B122" s="704">
        <v>6.87</v>
      </c>
      <c r="C122" s="704">
        <v>6.92</v>
      </c>
      <c r="D122" s="705">
        <v>9.26</v>
      </c>
      <c r="E122" s="704">
        <v>9.74</v>
      </c>
      <c r="F122" s="705">
        <v>8.06</v>
      </c>
      <c r="G122" s="703">
        <v>8.86</v>
      </c>
      <c r="H122" s="704">
        <v>9.42</v>
      </c>
      <c r="I122" s="740" t="s">
        <v>88</v>
      </c>
      <c r="J122" s="741" t="s">
        <v>88</v>
      </c>
      <c r="K122" s="742" t="s">
        <v>88</v>
      </c>
      <c r="L122" s="741"/>
      <c r="M122" s="741" t="s">
        <v>88</v>
      </c>
      <c r="N122" s="741" t="s">
        <v>88</v>
      </c>
      <c r="O122" s="700">
        <v>10.5</v>
      </c>
      <c r="P122" s="704">
        <v>9.39</v>
      </c>
      <c r="Q122" s="739">
        <v>9</v>
      </c>
      <c r="R122" s="705">
        <v>9.58</v>
      </c>
      <c r="S122" s="704">
        <v>7</v>
      </c>
      <c r="T122" s="704">
        <v>7.99</v>
      </c>
      <c r="U122" s="699" t="s">
        <v>88</v>
      </c>
      <c r="V122" s="704">
        <v>8.86</v>
      </c>
    </row>
    <row r="123" spans="1:22" hidden="1">
      <c r="A123" s="113" t="s">
        <v>50</v>
      </c>
      <c r="B123" s="704">
        <v>6.28</v>
      </c>
      <c r="C123" s="704">
        <v>5.0199999999999996</v>
      </c>
      <c r="D123" s="705">
        <v>9.6</v>
      </c>
      <c r="E123" s="704">
        <v>8.9</v>
      </c>
      <c r="F123" s="705">
        <v>8</v>
      </c>
      <c r="G123" s="703" t="s">
        <v>88</v>
      </c>
      <c r="H123" s="704">
        <v>9.35</v>
      </c>
      <c r="I123" s="740" t="s">
        <v>88</v>
      </c>
      <c r="J123" s="741" t="s">
        <v>88</v>
      </c>
      <c r="K123" s="742" t="s">
        <v>88</v>
      </c>
      <c r="L123" s="741"/>
      <c r="M123" s="741" t="s">
        <v>88</v>
      </c>
      <c r="N123" s="741" t="s">
        <v>88</v>
      </c>
      <c r="O123" s="700">
        <v>10.67</v>
      </c>
      <c r="P123" s="704">
        <v>9.49</v>
      </c>
      <c r="Q123" s="739">
        <v>9</v>
      </c>
      <c r="R123" s="705">
        <v>9.6</v>
      </c>
      <c r="S123" s="704" t="s">
        <v>88</v>
      </c>
      <c r="T123" s="704">
        <v>7.99</v>
      </c>
      <c r="U123" s="699" t="s">
        <v>88</v>
      </c>
      <c r="V123" s="704">
        <v>8.86</v>
      </c>
    </row>
    <row r="124" spans="1:22" hidden="1">
      <c r="A124" s="113"/>
      <c r="B124" s="704"/>
      <c r="C124" s="704"/>
      <c r="D124" s="705"/>
      <c r="E124" s="704"/>
      <c r="F124" s="705"/>
      <c r="G124" s="703"/>
      <c r="H124" s="704"/>
      <c r="I124" s="740"/>
      <c r="J124" s="741"/>
      <c r="K124" s="742"/>
      <c r="L124" s="741"/>
      <c r="M124" s="741"/>
      <c r="N124" s="741"/>
      <c r="O124" s="700"/>
      <c r="P124" s="704"/>
      <c r="Q124" s="739"/>
      <c r="R124" s="705"/>
      <c r="S124" s="704"/>
      <c r="T124" s="704"/>
      <c r="U124" s="699"/>
      <c r="V124" s="704"/>
    </row>
    <row r="125" spans="1:22" hidden="1">
      <c r="A125" s="113" t="s">
        <v>330</v>
      </c>
      <c r="B125" s="704">
        <v>6.78</v>
      </c>
      <c r="C125" s="704">
        <v>6.52</v>
      </c>
      <c r="D125" s="705">
        <v>9.24</v>
      </c>
      <c r="E125" s="704">
        <v>9.69</v>
      </c>
      <c r="F125" s="705">
        <v>8.75</v>
      </c>
      <c r="G125" s="703" t="s">
        <v>88</v>
      </c>
      <c r="H125" s="704">
        <v>9.39</v>
      </c>
      <c r="I125" s="740" t="s">
        <v>88</v>
      </c>
      <c r="J125" s="741" t="s">
        <v>88</v>
      </c>
      <c r="K125" s="742" t="s">
        <v>88</v>
      </c>
      <c r="L125" s="741"/>
      <c r="M125" s="741" t="s">
        <v>88</v>
      </c>
      <c r="N125" s="741" t="s">
        <v>88</v>
      </c>
      <c r="O125" s="700">
        <v>10.07</v>
      </c>
      <c r="P125" s="704">
        <v>10.24</v>
      </c>
      <c r="Q125" s="739">
        <v>9</v>
      </c>
      <c r="R125" s="705">
        <v>9.94</v>
      </c>
      <c r="S125" s="704" t="s">
        <v>88</v>
      </c>
      <c r="T125" s="704">
        <v>7.99</v>
      </c>
      <c r="U125" s="699" t="s">
        <v>88</v>
      </c>
      <c r="V125" s="704">
        <v>8.89</v>
      </c>
    </row>
    <row r="126" spans="1:22" hidden="1">
      <c r="A126" s="113" t="s">
        <v>40</v>
      </c>
      <c r="B126" s="704">
        <v>6.8</v>
      </c>
      <c r="C126" s="704">
        <v>7.13</v>
      </c>
      <c r="D126" s="705">
        <v>9</v>
      </c>
      <c r="E126" s="704">
        <v>9.1999999999999993</v>
      </c>
      <c r="F126" s="705">
        <v>8.01</v>
      </c>
      <c r="G126" s="703" t="s">
        <v>88</v>
      </c>
      <c r="H126" s="704">
        <v>9</v>
      </c>
      <c r="I126" s="740" t="s">
        <v>88</v>
      </c>
      <c r="J126" s="741" t="s">
        <v>88</v>
      </c>
      <c r="K126" s="742" t="s">
        <v>88</v>
      </c>
      <c r="L126" s="741"/>
      <c r="M126" s="741" t="s">
        <v>88</v>
      </c>
      <c r="N126" s="741" t="s">
        <v>88</v>
      </c>
      <c r="O126" s="700">
        <v>10.68</v>
      </c>
      <c r="P126" s="704">
        <v>10.24</v>
      </c>
      <c r="Q126" s="739">
        <v>9</v>
      </c>
      <c r="R126" s="705">
        <v>10.050000000000001</v>
      </c>
      <c r="S126" s="704" t="s">
        <v>88</v>
      </c>
      <c r="T126" s="704">
        <v>7.99</v>
      </c>
      <c r="U126" s="699" t="s">
        <v>88</v>
      </c>
      <c r="V126" s="704">
        <v>8.64</v>
      </c>
    </row>
    <row r="127" spans="1:22" hidden="1">
      <c r="A127" s="113" t="s">
        <v>41</v>
      </c>
      <c r="B127" s="704">
        <v>6.08</v>
      </c>
      <c r="C127" s="704">
        <v>7.13</v>
      </c>
      <c r="D127" s="705">
        <v>8.83</v>
      </c>
      <c r="E127" s="704">
        <v>9.15</v>
      </c>
      <c r="F127" s="705">
        <v>8.01</v>
      </c>
      <c r="G127" s="703" t="s">
        <v>88</v>
      </c>
      <c r="H127" s="704">
        <v>8.8800000000000008</v>
      </c>
      <c r="I127" s="740" t="s">
        <v>88</v>
      </c>
      <c r="J127" s="741" t="s">
        <v>88</v>
      </c>
      <c r="K127" s="742" t="s">
        <v>88</v>
      </c>
      <c r="L127" s="741"/>
      <c r="M127" s="741" t="s">
        <v>88</v>
      </c>
      <c r="N127" s="741" t="s">
        <v>88</v>
      </c>
      <c r="O127" s="700">
        <v>10.52</v>
      </c>
      <c r="P127" s="704">
        <v>9.4600000000000009</v>
      </c>
      <c r="Q127" s="739">
        <v>9</v>
      </c>
      <c r="R127" s="705">
        <v>9.8000000000000007</v>
      </c>
      <c r="S127" s="704" t="s">
        <v>88</v>
      </c>
      <c r="T127" s="704">
        <v>7.99</v>
      </c>
      <c r="U127" s="699" t="s">
        <v>88</v>
      </c>
      <c r="V127" s="704">
        <v>8.43</v>
      </c>
    </row>
    <row r="128" spans="1:22" hidden="1">
      <c r="A128" s="113" t="s">
        <v>42</v>
      </c>
      <c r="B128" s="704">
        <v>6.52</v>
      </c>
      <c r="C128" s="704">
        <v>7.09</v>
      </c>
      <c r="D128" s="705">
        <v>8.93</v>
      </c>
      <c r="E128" s="704">
        <v>8.98</v>
      </c>
      <c r="F128" s="705">
        <v>8.01</v>
      </c>
      <c r="G128" s="703" t="s">
        <v>88</v>
      </c>
      <c r="H128" s="704">
        <v>8.8699999999999992</v>
      </c>
      <c r="I128" s="740" t="s">
        <v>88</v>
      </c>
      <c r="J128" s="741" t="s">
        <v>88</v>
      </c>
      <c r="K128" s="742" t="s">
        <v>88</v>
      </c>
      <c r="L128" s="741"/>
      <c r="M128" s="741" t="s">
        <v>88</v>
      </c>
      <c r="N128" s="741" t="s">
        <v>88</v>
      </c>
      <c r="O128" s="700">
        <v>10.52</v>
      </c>
      <c r="P128" s="704">
        <v>8.92</v>
      </c>
      <c r="Q128" s="739">
        <v>9</v>
      </c>
      <c r="R128" s="705">
        <v>9.69</v>
      </c>
      <c r="S128" s="704" t="s">
        <v>88</v>
      </c>
      <c r="T128" s="704">
        <v>7.99</v>
      </c>
      <c r="U128" s="699" t="s">
        <v>88</v>
      </c>
      <c r="V128" s="704">
        <v>8.52</v>
      </c>
    </row>
    <row r="129" spans="1:22" hidden="1">
      <c r="A129" s="113" t="s">
        <v>43</v>
      </c>
      <c r="B129" s="704">
        <v>6.93</v>
      </c>
      <c r="C129" s="704">
        <v>7.65</v>
      </c>
      <c r="D129" s="705">
        <v>9.1300000000000008</v>
      </c>
      <c r="E129" s="704">
        <v>9.1199999999999992</v>
      </c>
      <c r="F129" s="705">
        <v>8.01</v>
      </c>
      <c r="G129" s="703" t="s">
        <v>88</v>
      </c>
      <c r="H129" s="704">
        <v>9.08</v>
      </c>
      <c r="I129" s="740" t="s">
        <v>88</v>
      </c>
      <c r="J129" s="741" t="s">
        <v>88</v>
      </c>
      <c r="K129" s="742" t="s">
        <v>88</v>
      </c>
      <c r="L129" s="741"/>
      <c r="M129" s="741" t="s">
        <v>88</v>
      </c>
      <c r="N129" s="741" t="s">
        <v>88</v>
      </c>
      <c r="O129" s="700">
        <v>8.84</v>
      </c>
      <c r="P129" s="704">
        <v>9.39</v>
      </c>
      <c r="Q129" s="739">
        <v>9</v>
      </c>
      <c r="R129" s="705">
        <v>8.98</v>
      </c>
      <c r="S129" s="704" t="s">
        <v>88</v>
      </c>
      <c r="T129" s="704">
        <v>7.99</v>
      </c>
      <c r="U129" s="699" t="s">
        <v>88</v>
      </c>
      <c r="V129" s="704">
        <v>8.7200000000000006</v>
      </c>
    </row>
    <row r="130" spans="1:22" hidden="1">
      <c r="A130" s="113" t="s">
        <v>44</v>
      </c>
      <c r="B130" s="704">
        <v>6.32</v>
      </c>
      <c r="C130" s="704">
        <v>7.14</v>
      </c>
      <c r="D130" s="705">
        <v>8.7100000000000009</v>
      </c>
      <c r="E130" s="704">
        <v>8.99</v>
      </c>
      <c r="F130" s="705">
        <v>8.01</v>
      </c>
      <c r="G130" s="703" t="s">
        <v>88</v>
      </c>
      <c r="H130" s="704">
        <v>8.74</v>
      </c>
      <c r="I130" s="740" t="s">
        <v>88</v>
      </c>
      <c r="J130" s="741" t="s">
        <v>88</v>
      </c>
      <c r="K130" s="742" t="s">
        <v>88</v>
      </c>
      <c r="L130" s="741"/>
      <c r="M130" s="741" t="s">
        <v>88</v>
      </c>
      <c r="N130" s="741" t="s">
        <v>88</v>
      </c>
      <c r="O130" s="700">
        <v>8.65</v>
      </c>
      <c r="P130" s="704">
        <v>9.19</v>
      </c>
      <c r="Q130" s="739">
        <v>8.8800000000000008</v>
      </c>
      <c r="R130" s="705">
        <v>8.8000000000000007</v>
      </c>
      <c r="S130" s="704" t="s">
        <v>88</v>
      </c>
      <c r="T130" s="704">
        <v>7.99</v>
      </c>
      <c r="U130" s="699" t="s">
        <v>88</v>
      </c>
      <c r="V130" s="704">
        <v>8.35</v>
      </c>
    </row>
    <row r="131" spans="1:22" hidden="1">
      <c r="A131" s="113" t="s">
        <v>45</v>
      </c>
      <c r="B131" s="704">
        <v>6.42</v>
      </c>
      <c r="C131" s="704">
        <v>7.15</v>
      </c>
      <c r="D131" s="705">
        <v>8.7200000000000006</v>
      </c>
      <c r="E131" s="704">
        <v>8.99</v>
      </c>
      <c r="F131" s="705">
        <v>8</v>
      </c>
      <c r="G131" s="703">
        <v>6.25</v>
      </c>
      <c r="H131" s="704">
        <v>8.76</v>
      </c>
      <c r="I131" s="740" t="s">
        <v>88</v>
      </c>
      <c r="J131" s="741" t="s">
        <v>88</v>
      </c>
      <c r="K131" s="742" t="s">
        <v>88</v>
      </c>
      <c r="L131" s="741"/>
      <c r="M131" s="741" t="s">
        <v>88</v>
      </c>
      <c r="N131" s="741" t="s">
        <v>88</v>
      </c>
      <c r="O131" s="700">
        <v>11.15</v>
      </c>
      <c r="P131" s="704">
        <v>9.3800000000000008</v>
      </c>
      <c r="Q131" s="739">
        <v>9</v>
      </c>
      <c r="R131" s="705">
        <v>9.89</v>
      </c>
      <c r="S131" s="704" t="s">
        <v>88</v>
      </c>
      <c r="T131" s="704">
        <v>8</v>
      </c>
      <c r="U131" s="699" t="s">
        <v>88</v>
      </c>
      <c r="V131" s="704">
        <v>8.39</v>
      </c>
    </row>
    <row r="132" spans="1:22" hidden="1">
      <c r="A132" s="113" t="s">
        <v>46</v>
      </c>
      <c r="B132" s="704">
        <v>6.1</v>
      </c>
      <c r="C132" s="704">
        <v>7</v>
      </c>
      <c r="D132" s="705">
        <v>8.59</v>
      </c>
      <c r="E132" s="704">
        <v>8.9700000000000006</v>
      </c>
      <c r="F132" s="705">
        <v>8.75</v>
      </c>
      <c r="G132" s="703">
        <v>5.2</v>
      </c>
      <c r="H132" s="704">
        <v>8.6999999999999993</v>
      </c>
      <c r="I132" s="740" t="s">
        <v>88</v>
      </c>
      <c r="J132" s="741" t="s">
        <v>88</v>
      </c>
      <c r="K132" s="742" t="s">
        <v>88</v>
      </c>
      <c r="L132" s="741"/>
      <c r="M132" s="741" t="s">
        <v>88</v>
      </c>
      <c r="N132" s="741" t="s">
        <v>88</v>
      </c>
      <c r="O132" s="700">
        <v>9.9</v>
      </c>
      <c r="P132" s="704">
        <v>9.2200000000000006</v>
      </c>
      <c r="Q132" s="739">
        <v>9</v>
      </c>
      <c r="R132" s="705">
        <v>9.5399999999999991</v>
      </c>
      <c r="S132" s="704" t="s">
        <v>88</v>
      </c>
      <c r="T132" s="704">
        <v>8</v>
      </c>
      <c r="U132" s="699" t="s">
        <v>88</v>
      </c>
      <c r="V132" s="704">
        <v>8.23</v>
      </c>
    </row>
    <row r="133" spans="1:22" hidden="1">
      <c r="A133" s="113" t="s">
        <v>47</v>
      </c>
      <c r="B133" s="704">
        <v>6.65</v>
      </c>
      <c r="C133" s="704">
        <v>7.88</v>
      </c>
      <c r="D133" s="705">
        <v>8.7100000000000009</v>
      </c>
      <c r="E133" s="704">
        <v>8.92</v>
      </c>
      <c r="F133" s="705">
        <v>7.99</v>
      </c>
      <c r="G133" s="703">
        <v>5.2</v>
      </c>
      <c r="H133" s="704">
        <v>8.75</v>
      </c>
      <c r="I133" s="740" t="s">
        <v>88</v>
      </c>
      <c r="J133" s="741" t="s">
        <v>88</v>
      </c>
      <c r="K133" s="742" t="s">
        <v>88</v>
      </c>
      <c r="L133" s="741"/>
      <c r="M133" s="741" t="s">
        <v>88</v>
      </c>
      <c r="N133" s="741" t="s">
        <v>88</v>
      </c>
      <c r="O133" s="700">
        <v>9.66</v>
      </c>
      <c r="P133" s="704">
        <v>9.42</v>
      </c>
      <c r="Q133" s="739">
        <v>9</v>
      </c>
      <c r="R133" s="705">
        <v>9.4499999999999993</v>
      </c>
      <c r="S133" s="704" t="s">
        <v>88</v>
      </c>
      <c r="T133" s="704">
        <v>8</v>
      </c>
      <c r="U133" s="699" t="s">
        <v>88</v>
      </c>
      <c r="V133" s="704">
        <v>8.44</v>
      </c>
    </row>
    <row r="134" spans="1:22" hidden="1">
      <c r="A134" s="113" t="s">
        <v>48</v>
      </c>
      <c r="B134" s="704">
        <v>6.63</v>
      </c>
      <c r="C134" s="704">
        <v>7.15</v>
      </c>
      <c r="D134" s="705">
        <v>8.7799999999999994</v>
      </c>
      <c r="E134" s="704">
        <v>9.02</v>
      </c>
      <c r="F134" s="705">
        <v>7.99</v>
      </c>
      <c r="G134" s="703">
        <v>5</v>
      </c>
      <c r="H134" s="704">
        <v>8.7899999999999991</v>
      </c>
      <c r="I134" s="740" t="s">
        <v>88</v>
      </c>
      <c r="J134" s="741" t="s">
        <v>88</v>
      </c>
      <c r="K134" s="742" t="s">
        <v>88</v>
      </c>
      <c r="L134" s="741"/>
      <c r="M134" s="741" t="s">
        <v>88</v>
      </c>
      <c r="N134" s="741" t="s">
        <v>88</v>
      </c>
      <c r="O134" s="700">
        <v>9.42</v>
      </c>
      <c r="P134" s="704">
        <v>8.83</v>
      </c>
      <c r="Q134" s="739">
        <v>9</v>
      </c>
      <c r="R134" s="705">
        <v>9.1999999999999993</v>
      </c>
      <c r="S134" s="704" t="s">
        <v>88</v>
      </c>
      <c r="T134" s="704">
        <v>8</v>
      </c>
      <c r="U134" s="699" t="s">
        <v>88</v>
      </c>
      <c r="V134" s="704">
        <v>8.3800000000000008</v>
      </c>
    </row>
    <row r="135" spans="1:22" hidden="1">
      <c r="A135" s="113" t="s">
        <v>49</v>
      </c>
      <c r="B135" s="704">
        <v>6.47</v>
      </c>
      <c r="C135" s="704">
        <v>7.13</v>
      </c>
      <c r="D135" s="705">
        <v>8.7200000000000006</v>
      </c>
      <c r="E135" s="704">
        <v>8.9700000000000006</v>
      </c>
      <c r="F135" s="705">
        <v>8</v>
      </c>
      <c r="G135" s="703">
        <v>5.19</v>
      </c>
      <c r="H135" s="704">
        <v>8.73</v>
      </c>
      <c r="I135" s="740" t="s">
        <v>88</v>
      </c>
      <c r="J135" s="741" t="s">
        <v>88</v>
      </c>
      <c r="K135" s="742">
        <v>9.3000000000000007</v>
      </c>
      <c r="L135" s="741"/>
      <c r="M135" s="741" t="s">
        <v>88</v>
      </c>
      <c r="N135" s="741">
        <v>9.3000000000000007</v>
      </c>
      <c r="O135" s="700">
        <v>9.6300000000000008</v>
      </c>
      <c r="P135" s="704">
        <v>9.1</v>
      </c>
      <c r="Q135" s="739">
        <v>9</v>
      </c>
      <c r="R135" s="705">
        <v>9.33</v>
      </c>
      <c r="S135" s="704" t="s">
        <v>88</v>
      </c>
      <c r="T135" s="704">
        <v>8</v>
      </c>
      <c r="U135" s="699" t="s">
        <v>88</v>
      </c>
      <c r="V135" s="704">
        <v>8.33</v>
      </c>
    </row>
    <row r="136" spans="1:22" hidden="1">
      <c r="A136" s="113" t="s">
        <v>50</v>
      </c>
      <c r="B136" s="704">
        <v>6.34</v>
      </c>
      <c r="C136" s="704">
        <v>7.16</v>
      </c>
      <c r="D136" s="705">
        <v>8.73</v>
      </c>
      <c r="E136" s="704">
        <v>9</v>
      </c>
      <c r="F136" s="705">
        <v>8</v>
      </c>
      <c r="G136" s="703">
        <v>5.19</v>
      </c>
      <c r="H136" s="704">
        <v>8.73</v>
      </c>
      <c r="I136" s="740" t="s">
        <v>88</v>
      </c>
      <c r="J136" s="741" t="s">
        <v>88</v>
      </c>
      <c r="K136" s="742" t="s">
        <v>88</v>
      </c>
      <c r="L136" s="741"/>
      <c r="M136" s="741" t="s">
        <v>88</v>
      </c>
      <c r="N136" s="741" t="s">
        <v>88</v>
      </c>
      <c r="O136" s="700">
        <v>9.3800000000000008</v>
      </c>
      <c r="P136" s="704">
        <v>9.1</v>
      </c>
      <c r="Q136" s="739">
        <v>9</v>
      </c>
      <c r="R136" s="705">
        <v>9.2200000000000006</v>
      </c>
      <c r="S136" s="704" t="s">
        <v>88</v>
      </c>
      <c r="T136" s="704">
        <v>8</v>
      </c>
      <c r="U136" s="699" t="s">
        <v>88</v>
      </c>
      <c r="V136" s="704">
        <v>8.33</v>
      </c>
    </row>
    <row r="137" spans="1:22" hidden="1">
      <c r="A137" s="113"/>
      <c r="B137" s="704"/>
      <c r="C137" s="704"/>
      <c r="D137" s="705"/>
      <c r="E137" s="704"/>
      <c r="F137" s="705"/>
      <c r="G137" s="703"/>
      <c r="H137" s="704"/>
      <c r="I137" s="740"/>
      <c r="J137" s="741" t="s">
        <v>88</v>
      </c>
      <c r="K137" s="742"/>
      <c r="L137" s="741"/>
      <c r="M137" s="741" t="s">
        <v>88</v>
      </c>
      <c r="N137" s="741"/>
      <c r="O137" s="700"/>
      <c r="P137" s="704"/>
      <c r="Q137" s="739"/>
      <c r="R137" s="705"/>
      <c r="S137" s="704"/>
      <c r="T137" s="704"/>
      <c r="U137" s="699"/>
      <c r="V137" s="704"/>
    </row>
    <row r="138" spans="1:22" hidden="1">
      <c r="A138" s="113" t="s">
        <v>60</v>
      </c>
      <c r="B138" s="704">
        <v>7.09</v>
      </c>
      <c r="C138" s="704">
        <v>7.33</v>
      </c>
      <c r="D138" s="705">
        <v>9.0399999999999991</v>
      </c>
      <c r="E138" s="704">
        <v>8.8800000000000008</v>
      </c>
      <c r="F138" s="705">
        <v>8</v>
      </c>
      <c r="G138" s="703">
        <v>5.19</v>
      </c>
      <c r="H138" s="704">
        <v>8.8800000000000008</v>
      </c>
      <c r="I138" s="740" t="s">
        <v>88</v>
      </c>
      <c r="J138" s="741" t="s">
        <v>88</v>
      </c>
      <c r="K138" s="742" t="s">
        <v>88</v>
      </c>
      <c r="L138" s="741"/>
      <c r="M138" s="741" t="s">
        <v>88</v>
      </c>
      <c r="N138" s="741" t="s">
        <v>88</v>
      </c>
      <c r="O138" s="700">
        <v>10.49</v>
      </c>
      <c r="P138" s="704">
        <v>9.11</v>
      </c>
      <c r="Q138" s="739">
        <v>9</v>
      </c>
      <c r="R138" s="705">
        <v>9.61</v>
      </c>
      <c r="S138" s="704" t="s">
        <v>88</v>
      </c>
      <c r="T138" s="704">
        <v>8</v>
      </c>
      <c r="U138" s="699" t="s">
        <v>88</v>
      </c>
      <c r="V138" s="704">
        <v>8.51</v>
      </c>
    </row>
    <row r="139" spans="1:22" hidden="1">
      <c r="A139" s="113" t="s">
        <v>40</v>
      </c>
      <c r="B139" s="704">
        <v>7.5</v>
      </c>
      <c r="C139" s="704">
        <v>7.46</v>
      </c>
      <c r="D139" s="705">
        <v>9.0399999999999991</v>
      </c>
      <c r="E139" s="704">
        <v>8.8800000000000008</v>
      </c>
      <c r="F139" s="705">
        <v>8</v>
      </c>
      <c r="G139" s="703">
        <v>5.19</v>
      </c>
      <c r="H139" s="704">
        <v>8.8800000000000008</v>
      </c>
      <c r="I139" s="740" t="s">
        <v>88</v>
      </c>
      <c r="J139" s="741" t="s">
        <v>88</v>
      </c>
      <c r="K139" s="742" t="s">
        <v>88</v>
      </c>
      <c r="L139" s="741"/>
      <c r="M139" s="741" t="s">
        <v>88</v>
      </c>
      <c r="N139" s="741" t="s">
        <v>88</v>
      </c>
      <c r="O139" s="700">
        <v>9.69</v>
      </c>
      <c r="P139" s="704">
        <v>8.58</v>
      </c>
      <c r="Q139" s="704" t="s">
        <v>88</v>
      </c>
      <c r="R139" s="704">
        <v>9.1999999999999993</v>
      </c>
      <c r="S139" s="704" t="s">
        <v>88</v>
      </c>
      <c r="T139" s="704">
        <v>8</v>
      </c>
      <c r="U139" s="699" t="s">
        <v>88</v>
      </c>
      <c r="V139" s="704">
        <v>8.5500000000000007</v>
      </c>
    </row>
    <row r="140" spans="1:22" hidden="1">
      <c r="A140" s="113" t="s">
        <v>41</v>
      </c>
      <c r="B140" s="704">
        <v>6.71</v>
      </c>
      <c r="C140" s="704">
        <v>7.49</v>
      </c>
      <c r="D140" s="705">
        <v>8.89</v>
      </c>
      <c r="E140" s="704">
        <v>8.82</v>
      </c>
      <c r="F140" s="705">
        <v>8</v>
      </c>
      <c r="G140" s="703">
        <v>5.19</v>
      </c>
      <c r="H140" s="704">
        <v>8.76</v>
      </c>
      <c r="I140" s="740" t="s">
        <v>88</v>
      </c>
      <c r="J140" s="741" t="s">
        <v>88</v>
      </c>
      <c r="K140" s="742" t="s">
        <v>88</v>
      </c>
      <c r="L140" s="741"/>
      <c r="M140" s="741" t="s">
        <v>88</v>
      </c>
      <c r="N140" s="741" t="s">
        <v>88</v>
      </c>
      <c r="O140" s="700">
        <v>9.64</v>
      </c>
      <c r="P140" s="704">
        <v>8.83</v>
      </c>
      <c r="Q140" s="704" t="s">
        <v>88</v>
      </c>
      <c r="R140" s="704">
        <v>9.1999999999999993</v>
      </c>
      <c r="S140" s="704" t="s">
        <v>88</v>
      </c>
      <c r="T140" s="704">
        <v>8</v>
      </c>
      <c r="U140" s="699" t="s">
        <v>88</v>
      </c>
      <c r="V140" s="704">
        <v>8.39</v>
      </c>
    </row>
    <row r="141" spans="1:22" hidden="1">
      <c r="A141" s="113" t="s">
        <v>42</v>
      </c>
      <c r="B141" s="704">
        <v>6.83</v>
      </c>
      <c r="C141" s="704">
        <v>7.44</v>
      </c>
      <c r="D141" s="705">
        <v>8.81</v>
      </c>
      <c r="E141" s="704">
        <v>8.8800000000000008</v>
      </c>
      <c r="F141" s="705">
        <v>7.93</v>
      </c>
      <c r="G141" s="703">
        <v>4.96</v>
      </c>
      <c r="H141" s="704">
        <v>8.73</v>
      </c>
      <c r="I141" s="740" t="s">
        <v>88</v>
      </c>
      <c r="J141" s="741" t="s">
        <v>88</v>
      </c>
      <c r="K141" s="742" t="s">
        <v>88</v>
      </c>
      <c r="L141" s="741"/>
      <c r="M141" s="741" t="s">
        <v>88</v>
      </c>
      <c r="N141" s="741" t="s">
        <v>88</v>
      </c>
      <c r="O141" s="700">
        <v>10.3</v>
      </c>
      <c r="P141" s="704">
        <v>8.6</v>
      </c>
      <c r="Q141" s="704" t="s">
        <v>88</v>
      </c>
      <c r="R141" s="704">
        <v>9.4499999999999993</v>
      </c>
      <c r="S141" s="704" t="s">
        <v>88</v>
      </c>
      <c r="T141" s="704">
        <v>8</v>
      </c>
      <c r="U141" s="699" t="s">
        <v>88</v>
      </c>
      <c r="V141" s="704">
        <v>8.3800000000000008</v>
      </c>
    </row>
    <row r="142" spans="1:22" hidden="1">
      <c r="A142" s="113" t="s">
        <v>43</v>
      </c>
      <c r="B142" s="704">
        <v>6.56</v>
      </c>
      <c r="C142" s="704">
        <v>7.46</v>
      </c>
      <c r="D142" s="705">
        <v>8.6300000000000008</v>
      </c>
      <c r="E142" s="704">
        <v>8.7899999999999991</v>
      </c>
      <c r="F142" s="705">
        <v>8</v>
      </c>
      <c r="G142" s="703">
        <v>5.28</v>
      </c>
      <c r="H142" s="704">
        <v>8.6</v>
      </c>
      <c r="I142" s="740" t="s">
        <v>88</v>
      </c>
      <c r="J142" s="741" t="s">
        <v>88</v>
      </c>
      <c r="K142" s="742" t="s">
        <v>88</v>
      </c>
      <c r="L142" s="741"/>
      <c r="M142" s="741" t="s">
        <v>88</v>
      </c>
      <c r="N142" s="741" t="s">
        <v>88</v>
      </c>
      <c r="O142" s="700">
        <v>9.15</v>
      </c>
      <c r="P142" s="704">
        <v>8.74</v>
      </c>
      <c r="Q142" s="704" t="s">
        <v>88</v>
      </c>
      <c r="R142" s="704">
        <v>9.1300000000000008</v>
      </c>
      <c r="S142" s="704" t="s">
        <v>88</v>
      </c>
      <c r="T142" s="704">
        <v>8</v>
      </c>
      <c r="U142" s="699" t="s">
        <v>88</v>
      </c>
      <c r="V142" s="704">
        <v>8.24</v>
      </c>
    </row>
    <row r="143" spans="1:22" hidden="1">
      <c r="A143" s="113" t="s">
        <v>44</v>
      </c>
      <c r="B143" s="704">
        <v>6.2</v>
      </c>
      <c r="C143" s="704">
        <v>7.5</v>
      </c>
      <c r="D143" s="705">
        <v>9.1</v>
      </c>
      <c r="E143" s="704">
        <v>8.6999999999999993</v>
      </c>
      <c r="F143" s="705">
        <v>6.9</v>
      </c>
      <c r="G143" s="703">
        <v>6.5</v>
      </c>
      <c r="H143" s="704">
        <v>8.9</v>
      </c>
      <c r="I143" s="740" t="s">
        <v>88</v>
      </c>
      <c r="J143" s="741" t="s">
        <v>88</v>
      </c>
      <c r="K143" s="742" t="s">
        <v>88</v>
      </c>
      <c r="L143" s="741"/>
      <c r="M143" s="741" t="s">
        <v>88</v>
      </c>
      <c r="N143" s="741" t="s">
        <v>88</v>
      </c>
      <c r="O143" s="700">
        <v>9.6999999999999993</v>
      </c>
      <c r="P143" s="704">
        <v>8.74</v>
      </c>
      <c r="Q143" s="704" t="s">
        <v>88</v>
      </c>
      <c r="R143" s="704">
        <v>9.1999999999999993</v>
      </c>
      <c r="S143" s="704" t="s">
        <v>88</v>
      </c>
      <c r="T143" s="704">
        <v>8</v>
      </c>
      <c r="U143" s="699" t="s">
        <v>88</v>
      </c>
      <c r="V143" s="704">
        <v>8.24</v>
      </c>
    </row>
    <row r="144" spans="1:22" hidden="1">
      <c r="A144" s="113" t="s">
        <v>45</v>
      </c>
      <c r="B144" s="704">
        <v>6.34</v>
      </c>
      <c r="C144" s="704">
        <v>7.49</v>
      </c>
      <c r="D144" s="705">
        <v>8.42</v>
      </c>
      <c r="E144" s="704">
        <v>8.9499999999999993</v>
      </c>
      <c r="F144" s="705">
        <v>6.88</v>
      </c>
      <c r="G144" s="703">
        <v>5.63</v>
      </c>
      <c r="H144" s="704">
        <v>8.61</v>
      </c>
      <c r="I144" s="740" t="s">
        <v>88</v>
      </c>
      <c r="J144" s="741" t="s">
        <v>88</v>
      </c>
      <c r="K144" s="742" t="s">
        <v>88</v>
      </c>
      <c r="L144" s="741"/>
      <c r="M144" s="741" t="s">
        <v>88</v>
      </c>
      <c r="N144" s="741" t="s">
        <v>88</v>
      </c>
      <c r="O144" s="700">
        <v>9.25</v>
      </c>
      <c r="P144" s="704">
        <v>8.6999999999999993</v>
      </c>
      <c r="Q144" s="704" t="s">
        <v>88</v>
      </c>
      <c r="R144" s="704">
        <v>8.9600000000000009</v>
      </c>
      <c r="S144" s="704" t="s">
        <v>88</v>
      </c>
      <c r="T144" s="704">
        <v>8</v>
      </c>
      <c r="U144" s="699" t="s">
        <v>88</v>
      </c>
      <c r="V144" s="704">
        <v>8.16</v>
      </c>
    </row>
    <row r="145" spans="1:22" hidden="1">
      <c r="A145" s="113" t="s">
        <v>46</v>
      </c>
      <c r="B145" s="704">
        <v>6.09</v>
      </c>
      <c r="C145" s="704">
        <v>7.47</v>
      </c>
      <c r="D145" s="705">
        <v>8.42</v>
      </c>
      <c r="E145" s="704">
        <v>8.92</v>
      </c>
      <c r="F145" s="705">
        <v>6.88</v>
      </c>
      <c r="G145" s="703">
        <v>5.63</v>
      </c>
      <c r="H145" s="704">
        <v>8.59</v>
      </c>
      <c r="I145" s="740" t="s">
        <v>88</v>
      </c>
      <c r="J145" s="741" t="s">
        <v>88</v>
      </c>
      <c r="K145" s="742">
        <v>7.87</v>
      </c>
      <c r="L145" s="741"/>
      <c r="M145" s="741" t="s">
        <v>88</v>
      </c>
      <c r="N145" s="741">
        <v>7.87</v>
      </c>
      <c r="O145" s="700">
        <v>9.23</v>
      </c>
      <c r="P145" s="704">
        <v>8.7100000000000009</v>
      </c>
      <c r="Q145" s="704" t="s">
        <v>88</v>
      </c>
      <c r="R145" s="704">
        <v>8.98</v>
      </c>
      <c r="S145" s="704" t="s">
        <v>88</v>
      </c>
      <c r="T145" s="704">
        <v>8</v>
      </c>
      <c r="U145" s="699" t="s">
        <v>88</v>
      </c>
      <c r="V145" s="704">
        <v>8.1</v>
      </c>
    </row>
    <row r="146" spans="1:22" hidden="1">
      <c r="A146" s="113" t="s">
        <v>47</v>
      </c>
      <c r="B146" s="704">
        <v>6.5</v>
      </c>
      <c r="C146" s="704">
        <v>7.35</v>
      </c>
      <c r="D146" s="705">
        <v>8.59</v>
      </c>
      <c r="E146" s="704">
        <v>8.9</v>
      </c>
      <c r="F146" s="705">
        <v>6.86</v>
      </c>
      <c r="G146" s="703">
        <v>5.66</v>
      </c>
      <c r="H146" s="704">
        <v>8.69</v>
      </c>
      <c r="I146" s="740" t="s">
        <v>88</v>
      </c>
      <c r="J146" s="741" t="s">
        <v>88</v>
      </c>
      <c r="K146" s="742" t="s">
        <v>88</v>
      </c>
      <c r="L146" s="741"/>
      <c r="M146" s="741" t="s">
        <v>88</v>
      </c>
      <c r="N146" s="741" t="s">
        <v>88</v>
      </c>
      <c r="O146" s="700">
        <v>9.34</v>
      </c>
      <c r="P146" s="704">
        <v>8.42</v>
      </c>
      <c r="Q146" s="704" t="s">
        <v>88</v>
      </c>
      <c r="R146" s="704">
        <v>8.9600000000000009</v>
      </c>
      <c r="S146" s="704" t="s">
        <v>88</v>
      </c>
      <c r="T146" s="704">
        <v>8</v>
      </c>
      <c r="U146" s="699" t="s">
        <v>88</v>
      </c>
      <c r="V146" s="704">
        <v>8.1999999999999993</v>
      </c>
    </row>
    <row r="147" spans="1:22" hidden="1">
      <c r="A147" s="113" t="s">
        <v>48</v>
      </c>
      <c r="B147" s="704">
        <v>6.33</v>
      </c>
      <c r="C147" s="704">
        <v>7.37</v>
      </c>
      <c r="D147" s="705">
        <v>8.52</v>
      </c>
      <c r="E147" s="704">
        <v>8.9</v>
      </c>
      <c r="F147" s="705">
        <v>6.86</v>
      </c>
      <c r="G147" s="703">
        <v>5.65</v>
      </c>
      <c r="H147" s="704">
        <v>8.65</v>
      </c>
      <c r="I147" s="740" t="s">
        <v>88</v>
      </c>
      <c r="J147" s="741" t="s">
        <v>88</v>
      </c>
      <c r="K147" s="742" t="s">
        <v>88</v>
      </c>
      <c r="L147" s="741"/>
      <c r="M147" s="741" t="s">
        <v>88</v>
      </c>
      <c r="N147" s="741" t="s">
        <v>88</v>
      </c>
      <c r="O147" s="700">
        <v>9.34</v>
      </c>
      <c r="P147" s="704">
        <v>8.52</v>
      </c>
      <c r="Q147" s="704" t="s">
        <v>88</v>
      </c>
      <c r="R147" s="704">
        <v>8.99</v>
      </c>
      <c r="S147" s="704" t="s">
        <v>88</v>
      </c>
      <c r="T147" s="704">
        <v>8</v>
      </c>
      <c r="U147" s="699" t="s">
        <v>88</v>
      </c>
      <c r="V147" s="704">
        <v>8.18</v>
      </c>
    </row>
    <row r="148" spans="1:22" hidden="1">
      <c r="A148" s="113" t="s">
        <v>49</v>
      </c>
      <c r="B148" s="704">
        <v>6.33</v>
      </c>
      <c r="C148" s="704">
        <v>7.37</v>
      </c>
      <c r="D148" s="705">
        <v>8.1999999999999993</v>
      </c>
      <c r="E148" s="704">
        <v>8.59</v>
      </c>
      <c r="F148" s="705">
        <v>6.86</v>
      </c>
      <c r="G148" s="703">
        <v>5.5</v>
      </c>
      <c r="H148" s="704">
        <v>8.32</v>
      </c>
      <c r="I148" s="740" t="s">
        <v>88</v>
      </c>
      <c r="J148" s="741" t="s">
        <v>88</v>
      </c>
      <c r="K148" s="742" t="s">
        <v>88</v>
      </c>
      <c r="L148" s="741"/>
      <c r="M148" s="741" t="s">
        <v>88</v>
      </c>
      <c r="N148" s="741" t="s">
        <v>88</v>
      </c>
      <c r="O148" s="700">
        <v>9.3000000000000007</v>
      </c>
      <c r="P148" s="704">
        <v>8.75</v>
      </c>
      <c r="Q148" s="704" t="s">
        <v>88</v>
      </c>
      <c r="R148" s="704">
        <v>8.99</v>
      </c>
      <c r="S148" s="704" t="s">
        <v>88</v>
      </c>
      <c r="T148" s="704">
        <v>8</v>
      </c>
      <c r="U148" s="699" t="s">
        <v>88</v>
      </c>
      <c r="V148" s="704">
        <v>8.08</v>
      </c>
    </row>
    <row r="149" spans="1:22" hidden="1">
      <c r="A149" s="113" t="s">
        <v>50</v>
      </c>
      <c r="B149" s="704">
        <v>6.33</v>
      </c>
      <c r="C149" s="704">
        <v>7.32</v>
      </c>
      <c r="D149" s="705">
        <v>8.41</v>
      </c>
      <c r="E149" s="704">
        <v>8.89</v>
      </c>
      <c r="F149" s="705">
        <v>6.86</v>
      </c>
      <c r="G149" s="703">
        <v>5.27</v>
      </c>
      <c r="H149" s="704">
        <v>8.59</v>
      </c>
      <c r="I149" s="740" t="s">
        <v>88</v>
      </c>
      <c r="J149" s="741" t="s">
        <v>88</v>
      </c>
      <c r="K149" s="742" t="s">
        <v>88</v>
      </c>
      <c r="L149" s="741"/>
      <c r="M149" s="741" t="s">
        <v>88</v>
      </c>
      <c r="N149" s="741" t="s">
        <v>88</v>
      </c>
      <c r="O149" s="700">
        <v>9.34</v>
      </c>
      <c r="P149" s="704">
        <v>8.52</v>
      </c>
      <c r="Q149" s="704" t="s">
        <v>88</v>
      </c>
      <c r="R149" s="704">
        <v>8.99</v>
      </c>
      <c r="S149" s="704" t="s">
        <v>88</v>
      </c>
      <c r="T149" s="704">
        <v>8</v>
      </c>
      <c r="U149" s="699" t="s">
        <v>88</v>
      </c>
      <c r="V149" s="704">
        <v>8.1</v>
      </c>
    </row>
    <row r="150" spans="1:22" hidden="1">
      <c r="A150" s="142"/>
      <c r="B150" s="704"/>
      <c r="C150" s="704"/>
      <c r="D150" s="705"/>
      <c r="E150" s="704"/>
      <c r="F150" s="705"/>
      <c r="G150" s="703"/>
      <c r="H150" s="704"/>
      <c r="I150" s="740"/>
      <c r="J150" s="741"/>
      <c r="K150" s="742"/>
      <c r="L150" s="741"/>
      <c r="M150" s="741"/>
      <c r="N150" s="741"/>
      <c r="O150" s="700"/>
      <c r="P150" s="704"/>
      <c r="Q150" s="704"/>
      <c r="R150" s="705"/>
      <c r="S150" s="704"/>
      <c r="T150" s="704"/>
      <c r="U150" s="699"/>
      <c r="V150" s="704"/>
    </row>
    <row r="151" spans="1:22" hidden="1">
      <c r="A151" s="113" t="s">
        <v>59</v>
      </c>
      <c r="B151" s="704">
        <v>6.22</v>
      </c>
      <c r="C151" s="704">
        <v>7.33</v>
      </c>
      <c r="D151" s="705">
        <v>8.2100000000000009</v>
      </c>
      <c r="E151" s="704">
        <v>8.77</v>
      </c>
      <c r="F151" s="705">
        <v>6.86</v>
      </c>
      <c r="G151" s="703">
        <v>5.27</v>
      </c>
      <c r="H151" s="704">
        <v>8.42</v>
      </c>
      <c r="I151" s="740" t="s">
        <v>88</v>
      </c>
      <c r="J151" s="741" t="s">
        <v>88</v>
      </c>
      <c r="K151" s="742" t="s">
        <v>88</v>
      </c>
      <c r="L151" s="741"/>
      <c r="M151" s="741" t="s">
        <v>88</v>
      </c>
      <c r="N151" s="741" t="s">
        <v>88</v>
      </c>
      <c r="O151" s="700">
        <v>9.24</v>
      </c>
      <c r="P151" s="704">
        <v>8.7200000000000006</v>
      </c>
      <c r="Q151" s="704" t="s">
        <v>88</v>
      </c>
      <c r="R151" s="704">
        <v>8.98</v>
      </c>
      <c r="S151" s="704" t="s">
        <v>88</v>
      </c>
      <c r="T151" s="704">
        <v>8</v>
      </c>
      <c r="U151" s="699" t="s">
        <v>88</v>
      </c>
      <c r="V151" s="704">
        <v>8</v>
      </c>
    </row>
    <row r="152" spans="1:22" hidden="1">
      <c r="A152" s="113" t="s">
        <v>40</v>
      </c>
      <c r="B152" s="704">
        <v>6.46</v>
      </c>
      <c r="C152" s="704">
        <v>7.2</v>
      </c>
      <c r="D152" s="705">
        <v>8.27</v>
      </c>
      <c r="E152" s="704">
        <v>8.51</v>
      </c>
      <c r="F152" s="705">
        <v>6.86</v>
      </c>
      <c r="G152" s="703">
        <v>8.6</v>
      </c>
      <c r="H152" s="704">
        <v>8.3800000000000008</v>
      </c>
      <c r="I152" s="740" t="s">
        <v>88</v>
      </c>
      <c r="J152" s="741" t="s">
        <v>88</v>
      </c>
      <c r="K152" s="742" t="s">
        <v>88</v>
      </c>
      <c r="L152" s="741"/>
      <c r="M152" s="741" t="s">
        <v>88</v>
      </c>
      <c r="N152" s="741" t="s">
        <v>88</v>
      </c>
      <c r="O152" s="700">
        <v>9.23</v>
      </c>
      <c r="P152" s="704">
        <v>8.84</v>
      </c>
      <c r="Q152" s="704" t="s">
        <v>88</v>
      </c>
      <c r="R152" s="704">
        <v>9.08</v>
      </c>
      <c r="S152" s="704" t="s">
        <v>88</v>
      </c>
      <c r="T152" s="704">
        <v>8</v>
      </c>
      <c r="U152" s="699" t="s">
        <v>88</v>
      </c>
      <c r="V152" s="704">
        <v>8</v>
      </c>
    </row>
    <row r="153" spans="1:22" hidden="1">
      <c r="A153" s="113" t="s">
        <v>41</v>
      </c>
      <c r="B153" s="704">
        <v>5.81</v>
      </c>
      <c r="C153" s="704">
        <v>7.19</v>
      </c>
      <c r="D153" s="705">
        <v>7.77</v>
      </c>
      <c r="E153" s="704">
        <v>8.1999999999999993</v>
      </c>
      <c r="F153" s="705">
        <v>6.86</v>
      </c>
      <c r="G153" s="703">
        <v>6.67</v>
      </c>
      <c r="H153" s="704">
        <v>7.97</v>
      </c>
      <c r="I153" s="740" t="s">
        <v>88</v>
      </c>
      <c r="J153" s="741" t="s">
        <v>88</v>
      </c>
      <c r="K153" s="742" t="s">
        <v>88</v>
      </c>
      <c r="L153" s="741"/>
      <c r="M153" s="741" t="s">
        <v>88</v>
      </c>
      <c r="N153" s="741" t="s">
        <v>88</v>
      </c>
      <c r="O153" s="700">
        <v>10.119999999999999</v>
      </c>
      <c r="P153" s="704">
        <v>8.77</v>
      </c>
      <c r="Q153" s="704" t="s">
        <v>88</v>
      </c>
      <c r="R153" s="704">
        <v>9.4499999999999993</v>
      </c>
      <c r="S153" s="704" t="s">
        <v>88</v>
      </c>
      <c r="T153" s="704">
        <v>8</v>
      </c>
      <c r="U153" s="699" t="s">
        <v>88</v>
      </c>
      <c r="V153" s="704">
        <v>7.62</v>
      </c>
    </row>
    <row r="154" spans="1:22" hidden="1">
      <c r="A154" s="113" t="s">
        <v>42</v>
      </c>
      <c r="B154" s="704">
        <v>6.04</v>
      </c>
      <c r="C154" s="704">
        <v>7.19</v>
      </c>
      <c r="D154" s="705">
        <v>7.6</v>
      </c>
      <c r="E154" s="704">
        <v>8.0299999999999994</v>
      </c>
      <c r="F154" s="705">
        <v>6.86</v>
      </c>
      <c r="G154" s="703">
        <v>7.07</v>
      </c>
      <c r="H154" s="704">
        <v>7.8</v>
      </c>
      <c r="I154" s="740" t="s">
        <v>88</v>
      </c>
      <c r="J154" s="741" t="s">
        <v>88</v>
      </c>
      <c r="K154" s="742" t="s">
        <v>88</v>
      </c>
      <c r="L154" s="741"/>
      <c r="M154" s="741" t="s">
        <v>88</v>
      </c>
      <c r="N154" s="741" t="s">
        <v>88</v>
      </c>
      <c r="O154" s="700">
        <v>9.82</v>
      </c>
      <c r="P154" s="704">
        <v>8.82</v>
      </c>
      <c r="Q154" s="704" t="s">
        <v>88</v>
      </c>
      <c r="R154" s="704">
        <v>9.39</v>
      </c>
      <c r="S154" s="704" t="s">
        <v>88</v>
      </c>
      <c r="T154" s="704">
        <v>8</v>
      </c>
      <c r="U154" s="699" t="s">
        <v>88</v>
      </c>
      <c r="V154" s="704">
        <v>7.54</v>
      </c>
    </row>
    <row r="155" spans="1:22" hidden="1">
      <c r="A155" s="113" t="s">
        <v>43</v>
      </c>
      <c r="B155" s="704">
        <v>5.86</v>
      </c>
      <c r="C155" s="704">
        <v>7.21</v>
      </c>
      <c r="D155" s="705">
        <v>7.4</v>
      </c>
      <c r="E155" s="704">
        <v>7.95</v>
      </c>
      <c r="F155" s="705">
        <v>6.86</v>
      </c>
      <c r="G155" s="703">
        <v>6.76</v>
      </c>
      <c r="H155" s="704">
        <v>7.65</v>
      </c>
      <c r="I155" s="740" t="s">
        <v>88</v>
      </c>
      <c r="J155" s="741" t="s">
        <v>88</v>
      </c>
      <c r="K155" s="742" t="s">
        <v>88</v>
      </c>
      <c r="L155" s="741"/>
      <c r="M155" s="741" t="s">
        <v>88</v>
      </c>
      <c r="N155" s="741" t="s">
        <v>88</v>
      </c>
      <c r="O155" s="700">
        <v>9.58</v>
      </c>
      <c r="P155" s="704">
        <v>8.66</v>
      </c>
      <c r="Q155" s="704" t="s">
        <v>88</v>
      </c>
      <c r="R155" s="704">
        <v>9.2100000000000009</v>
      </c>
      <c r="S155" s="704" t="s">
        <v>88</v>
      </c>
      <c r="T155" s="704">
        <v>8</v>
      </c>
      <c r="U155" s="704" t="s">
        <v>88</v>
      </c>
      <c r="V155" s="704">
        <v>7.41</v>
      </c>
    </row>
    <row r="156" spans="1:22" hidden="1">
      <c r="A156" s="113" t="s">
        <v>44</v>
      </c>
      <c r="B156" s="704">
        <v>5.98</v>
      </c>
      <c r="C156" s="704">
        <v>7.23</v>
      </c>
      <c r="D156" s="705">
        <v>7.62</v>
      </c>
      <c r="E156" s="704">
        <v>7.82</v>
      </c>
      <c r="F156" s="705">
        <v>6.86</v>
      </c>
      <c r="G156" s="703">
        <v>6.83</v>
      </c>
      <c r="H156" s="704">
        <v>7.71</v>
      </c>
      <c r="I156" s="740" t="s">
        <v>88</v>
      </c>
      <c r="J156" s="741" t="s">
        <v>88</v>
      </c>
      <c r="K156" s="742" t="s">
        <v>88</v>
      </c>
      <c r="L156" s="741"/>
      <c r="M156" s="741" t="s">
        <v>88</v>
      </c>
      <c r="N156" s="741" t="s">
        <v>88</v>
      </c>
      <c r="O156" s="700">
        <v>9.3800000000000008</v>
      </c>
      <c r="P156" s="704">
        <v>8.17</v>
      </c>
      <c r="Q156" s="704" t="s">
        <v>88</v>
      </c>
      <c r="R156" s="704">
        <v>9.02</v>
      </c>
      <c r="S156" s="704" t="s">
        <v>88</v>
      </c>
      <c r="T156" s="704">
        <v>8</v>
      </c>
      <c r="U156" s="704" t="s">
        <v>88</v>
      </c>
      <c r="V156" s="704">
        <v>7.47</v>
      </c>
    </row>
    <row r="157" spans="1:22" hidden="1">
      <c r="A157" s="113" t="s">
        <v>45</v>
      </c>
      <c r="B157" s="704">
        <v>5.69</v>
      </c>
      <c r="C157" s="704">
        <v>6.91</v>
      </c>
      <c r="D157" s="705">
        <v>7.61</v>
      </c>
      <c r="E157" s="704">
        <v>7.87</v>
      </c>
      <c r="F157" s="705">
        <v>6.86</v>
      </c>
      <c r="G157" s="703">
        <v>6.79</v>
      </c>
      <c r="H157" s="704">
        <v>7.73</v>
      </c>
      <c r="I157" s="740" t="s">
        <v>88</v>
      </c>
      <c r="J157" s="741" t="s">
        <v>88</v>
      </c>
      <c r="K157" s="742">
        <v>7</v>
      </c>
      <c r="L157" s="741"/>
      <c r="M157" s="741" t="s">
        <v>88</v>
      </c>
      <c r="N157" s="741" t="s">
        <v>88</v>
      </c>
      <c r="O157" s="700">
        <v>9.36</v>
      </c>
      <c r="P157" s="704">
        <v>8.19</v>
      </c>
      <c r="Q157" s="704" t="s">
        <v>88</v>
      </c>
      <c r="R157" s="704">
        <v>9.02</v>
      </c>
      <c r="S157" s="704" t="s">
        <v>88</v>
      </c>
      <c r="T157" s="704">
        <v>8</v>
      </c>
      <c r="U157" s="704" t="s">
        <v>88</v>
      </c>
      <c r="V157" s="704">
        <v>7.37</v>
      </c>
    </row>
    <row r="158" spans="1:22" hidden="1">
      <c r="A158" s="113" t="s">
        <v>46</v>
      </c>
      <c r="B158" s="704">
        <v>6.01</v>
      </c>
      <c r="C158" s="704">
        <v>6.94</v>
      </c>
      <c r="D158" s="705">
        <v>8</v>
      </c>
      <c r="E158" s="704">
        <v>7.75</v>
      </c>
      <c r="F158" s="705">
        <v>6.86</v>
      </c>
      <c r="G158" s="703">
        <v>6.78</v>
      </c>
      <c r="H158" s="704">
        <v>7.87</v>
      </c>
      <c r="I158" s="740" t="s">
        <v>88</v>
      </c>
      <c r="J158" s="741">
        <v>7</v>
      </c>
      <c r="K158" s="742">
        <v>6.46</v>
      </c>
      <c r="L158" s="741"/>
      <c r="M158" s="741" t="s">
        <v>88</v>
      </c>
      <c r="N158" s="741" t="s">
        <v>88</v>
      </c>
      <c r="O158" s="700">
        <v>9.27</v>
      </c>
      <c r="P158" s="704">
        <v>8.19</v>
      </c>
      <c r="Q158" s="704" t="s">
        <v>88</v>
      </c>
      <c r="R158" s="704">
        <v>8.99</v>
      </c>
      <c r="S158" s="704" t="s">
        <v>88</v>
      </c>
      <c r="T158" s="704">
        <v>8</v>
      </c>
      <c r="U158" s="704" t="s">
        <v>88</v>
      </c>
      <c r="V158" s="704">
        <v>7.46</v>
      </c>
    </row>
    <row r="159" spans="1:22" hidden="1">
      <c r="A159" s="113" t="s">
        <v>47</v>
      </c>
      <c r="B159" s="704">
        <v>6.04</v>
      </c>
      <c r="C159" s="704">
        <v>6.97</v>
      </c>
      <c r="D159" s="705">
        <v>7.96</v>
      </c>
      <c r="E159" s="704">
        <v>7.7</v>
      </c>
      <c r="F159" s="705">
        <v>6.86</v>
      </c>
      <c r="G159" s="703">
        <v>6.76</v>
      </c>
      <c r="H159" s="704">
        <v>7.83</v>
      </c>
      <c r="I159" s="740" t="s">
        <v>88</v>
      </c>
      <c r="J159" s="741">
        <v>7.82</v>
      </c>
      <c r="K159" s="742">
        <v>8.1</v>
      </c>
      <c r="L159" s="741"/>
      <c r="M159" s="741" t="s">
        <v>88</v>
      </c>
      <c r="N159" s="741">
        <v>7.95</v>
      </c>
      <c r="O159" s="700">
        <v>9.4</v>
      </c>
      <c r="P159" s="704">
        <v>7.96</v>
      </c>
      <c r="Q159" s="704" t="s">
        <v>88</v>
      </c>
      <c r="R159" s="704">
        <v>8.91</v>
      </c>
      <c r="S159" s="704" t="s">
        <v>88</v>
      </c>
      <c r="T159" s="704">
        <v>8</v>
      </c>
      <c r="U159" s="704" t="s">
        <v>88</v>
      </c>
      <c r="V159" s="704">
        <v>7.42</v>
      </c>
    </row>
    <row r="160" spans="1:22" hidden="1">
      <c r="A160" s="113" t="s">
        <v>48</v>
      </c>
      <c r="B160" s="704">
        <v>5.8</v>
      </c>
      <c r="C160" s="704">
        <v>7</v>
      </c>
      <c r="D160" s="705">
        <v>7.6</v>
      </c>
      <c r="E160" s="704">
        <v>7.8</v>
      </c>
      <c r="F160" s="705">
        <v>6.9</v>
      </c>
      <c r="G160" s="703">
        <v>6.8</v>
      </c>
      <c r="H160" s="704">
        <v>7.8</v>
      </c>
      <c r="I160" s="740">
        <v>7.8</v>
      </c>
      <c r="J160" s="741">
        <v>7.8</v>
      </c>
      <c r="K160" s="742">
        <v>7.6</v>
      </c>
      <c r="L160" s="741"/>
      <c r="M160" s="741" t="s">
        <v>88</v>
      </c>
      <c r="N160" s="741">
        <v>8</v>
      </c>
      <c r="O160" s="700">
        <v>9.1</v>
      </c>
      <c r="P160" s="704">
        <v>8.4</v>
      </c>
      <c r="Q160" s="704" t="s">
        <v>88</v>
      </c>
      <c r="R160" s="704">
        <v>8.9</v>
      </c>
      <c r="S160" s="704">
        <v>7.3</v>
      </c>
      <c r="T160" s="704">
        <v>8.3000000000000007</v>
      </c>
      <c r="U160" s="704"/>
      <c r="V160" s="704">
        <v>7.3</v>
      </c>
    </row>
    <row r="161" spans="1:22" hidden="1">
      <c r="A161" s="113" t="s">
        <v>49</v>
      </c>
      <c r="B161" s="704">
        <v>6.88</v>
      </c>
      <c r="C161" s="704">
        <v>6.97</v>
      </c>
      <c r="D161" s="705">
        <v>7.86</v>
      </c>
      <c r="E161" s="704">
        <v>7.89</v>
      </c>
      <c r="F161" s="705">
        <v>6.86</v>
      </c>
      <c r="G161" s="703">
        <v>8.3000000000000007</v>
      </c>
      <c r="H161" s="704">
        <v>7.87</v>
      </c>
      <c r="I161" s="740" t="s">
        <v>88</v>
      </c>
      <c r="J161" s="741">
        <v>8.14</v>
      </c>
      <c r="K161" s="742">
        <v>7.33</v>
      </c>
      <c r="L161" s="741"/>
      <c r="M161" s="741" t="s">
        <v>88</v>
      </c>
      <c r="N161" s="741">
        <v>7.85</v>
      </c>
      <c r="O161" s="700">
        <v>9.85</v>
      </c>
      <c r="P161" s="704">
        <v>8.7100000000000009</v>
      </c>
      <c r="Q161" s="704" t="s">
        <v>88</v>
      </c>
      <c r="R161" s="704">
        <v>9.4</v>
      </c>
      <c r="S161" s="704" t="s">
        <v>88</v>
      </c>
      <c r="T161" s="704">
        <v>8.32</v>
      </c>
      <c r="U161" s="704" t="s">
        <v>88</v>
      </c>
      <c r="V161" s="704">
        <v>7.67</v>
      </c>
    </row>
    <row r="162" spans="1:22" hidden="1">
      <c r="A162" s="113" t="s">
        <v>50</v>
      </c>
      <c r="B162" s="704">
        <v>6.55</v>
      </c>
      <c r="C162" s="704">
        <v>6.99</v>
      </c>
      <c r="D162" s="705">
        <v>7.91</v>
      </c>
      <c r="E162" s="704">
        <v>7.9</v>
      </c>
      <c r="F162" s="705">
        <v>6.86</v>
      </c>
      <c r="G162" s="703">
        <v>11</v>
      </c>
      <c r="H162" s="704">
        <v>7.9</v>
      </c>
      <c r="I162" s="740" t="s">
        <v>88</v>
      </c>
      <c r="J162" s="741">
        <v>7.98</v>
      </c>
      <c r="K162" s="742">
        <v>7.58</v>
      </c>
      <c r="L162" s="741"/>
      <c r="M162" s="741" t="s">
        <v>88</v>
      </c>
      <c r="N162" s="741">
        <v>7.7</v>
      </c>
      <c r="O162" s="700">
        <v>9.73</v>
      </c>
      <c r="P162" s="704">
        <v>8.6199999999999992</v>
      </c>
      <c r="Q162" s="704" t="s">
        <v>88</v>
      </c>
      <c r="R162" s="704">
        <v>9.4</v>
      </c>
      <c r="S162" s="704" t="s">
        <v>88</v>
      </c>
      <c r="T162" s="704">
        <v>8.2799999999999994</v>
      </c>
      <c r="U162" s="704" t="s">
        <v>88</v>
      </c>
      <c r="V162" s="704">
        <v>7.61</v>
      </c>
    </row>
    <row r="163" spans="1:22" hidden="1">
      <c r="A163" s="113"/>
      <c r="B163" s="704"/>
      <c r="C163" s="704"/>
      <c r="D163" s="705"/>
      <c r="E163" s="704"/>
      <c r="F163" s="705"/>
      <c r="G163" s="703"/>
      <c r="H163" s="704"/>
      <c r="I163" s="740"/>
      <c r="J163" s="741"/>
      <c r="K163" s="742"/>
      <c r="L163" s="741"/>
      <c r="M163" s="741"/>
      <c r="N163" s="741"/>
      <c r="O163" s="700"/>
      <c r="P163" s="704"/>
      <c r="Q163" s="704"/>
      <c r="R163" s="705"/>
      <c r="S163" s="704"/>
      <c r="T163" s="704"/>
      <c r="U163" s="704"/>
      <c r="V163" s="704"/>
    </row>
    <row r="164" spans="1:22" hidden="1">
      <c r="A164" s="113" t="s">
        <v>58</v>
      </c>
      <c r="B164" s="704">
        <v>4.8</v>
      </c>
      <c r="C164" s="704">
        <v>6.97</v>
      </c>
      <c r="D164" s="705">
        <v>7.84</v>
      </c>
      <c r="E164" s="704">
        <v>7.93</v>
      </c>
      <c r="F164" s="705">
        <v>6.4</v>
      </c>
      <c r="G164" s="703">
        <v>11</v>
      </c>
      <c r="H164" s="704">
        <v>7.89</v>
      </c>
      <c r="I164" s="740" t="s">
        <v>88</v>
      </c>
      <c r="J164" s="741">
        <v>7.66</v>
      </c>
      <c r="K164" s="742">
        <v>7.32</v>
      </c>
      <c r="L164" s="741"/>
      <c r="M164" s="741" t="s">
        <v>88</v>
      </c>
      <c r="N164" s="741">
        <v>7.45</v>
      </c>
      <c r="O164" s="700">
        <v>9.67</v>
      </c>
      <c r="P164" s="704">
        <v>8.48</v>
      </c>
      <c r="Q164" s="704" t="s">
        <v>88</v>
      </c>
      <c r="R164" s="704">
        <v>9.27</v>
      </c>
      <c r="S164" s="704" t="s">
        <v>88</v>
      </c>
      <c r="T164" s="704">
        <v>8.26</v>
      </c>
      <c r="U164" s="704" t="s">
        <v>88</v>
      </c>
      <c r="V164" s="704">
        <v>7.4</v>
      </c>
    </row>
    <row r="165" spans="1:22" hidden="1">
      <c r="A165" s="113" t="s">
        <v>40</v>
      </c>
      <c r="B165" s="704">
        <v>5.22</v>
      </c>
      <c r="C165" s="704">
        <v>6.97</v>
      </c>
      <c r="D165" s="705">
        <v>7.97</v>
      </c>
      <c r="E165" s="704">
        <v>7.82</v>
      </c>
      <c r="F165" s="705">
        <v>6.14</v>
      </c>
      <c r="G165" s="703">
        <v>11</v>
      </c>
      <c r="H165" s="704">
        <v>7.89</v>
      </c>
      <c r="I165" s="740" t="s">
        <v>88</v>
      </c>
      <c r="J165" s="741">
        <v>7.51</v>
      </c>
      <c r="K165" s="742" t="s">
        <v>88</v>
      </c>
      <c r="L165" s="741"/>
      <c r="M165" s="741" t="s">
        <v>88</v>
      </c>
      <c r="N165" s="741">
        <v>7.51</v>
      </c>
      <c r="O165" s="700">
        <v>9.6300000000000008</v>
      </c>
      <c r="P165" s="704">
        <v>8.34</v>
      </c>
      <c r="Q165" s="704" t="s">
        <v>88</v>
      </c>
      <c r="R165" s="704">
        <v>9.2200000000000006</v>
      </c>
      <c r="S165" s="704" t="s">
        <v>88</v>
      </c>
      <c r="T165" s="704">
        <v>8.26</v>
      </c>
      <c r="U165" s="704" t="s">
        <v>88</v>
      </c>
      <c r="V165" s="704">
        <v>7.49</v>
      </c>
    </row>
    <row r="166" spans="1:22" hidden="1">
      <c r="A166" s="113" t="s">
        <v>41</v>
      </c>
      <c r="B166" s="704">
        <v>6.32</v>
      </c>
      <c r="C166" s="704">
        <v>5.98</v>
      </c>
      <c r="D166" s="705">
        <v>7.52</v>
      </c>
      <c r="E166" s="704">
        <v>7.66</v>
      </c>
      <c r="F166" s="705">
        <v>6.14</v>
      </c>
      <c r="G166" s="703">
        <v>11</v>
      </c>
      <c r="H166" s="704">
        <v>7.6</v>
      </c>
      <c r="I166" s="740" t="s">
        <v>88</v>
      </c>
      <c r="J166" s="741">
        <v>7.61</v>
      </c>
      <c r="K166" s="742">
        <v>7.26</v>
      </c>
      <c r="L166" s="741"/>
      <c r="M166" s="741" t="s">
        <v>88</v>
      </c>
      <c r="N166" s="741">
        <v>7.3</v>
      </c>
      <c r="O166" s="700">
        <v>9.14</v>
      </c>
      <c r="P166" s="704">
        <v>8.39</v>
      </c>
      <c r="Q166" s="704" t="s">
        <v>88</v>
      </c>
      <c r="R166" s="704">
        <v>9.11</v>
      </c>
      <c r="S166" s="704" t="s">
        <v>88</v>
      </c>
      <c r="T166" s="704">
        <v>4.72</v>
      </c>
      <c r="U166" s="704" t="s">
        <v>88</v>
      </c>
      <c r="V166" s="704">
        <v>7.2</v>
      </c>
    </row>
    <row r="167" spans="1:22" hidden="1">
      <c r="A167" s="113" t="s">
        <v>42</v>
      </c>
      <c r="B167" s="704">
        <v>4.6900000000000004</v>
      </c>
      <c r="C167" s="704">
        <v>6.96</v>
      </c>
      <c r="D167" s="705">
        <v>7.13</v>
      </c>
      <c r="E167" s="704">
        <v>7.49</v>
      </c>
      <c r="F167" s="705">
        <v>6.14</v>
      </c>
      <c r="G167" s="703">
        <v>8</v>
      </c>
      <c r="H167" s="704">
        <v>7.33</v>
      </c>
      <c r="I167" s="740" t="s">
        <v>88</v>
      </c>
      <c r="J167" s="741">
        <v>7.74</v>
      </c>
      <c r="K167" s="742">
        <v>7.45</v>
      </c>
      <c r="L167" s="741"/>
      <c r="M167" s="741" t="s">
        <v>88</v>
      </c>
      <c r="N167" s="741">
        <v>7.67</v>
      </c>
      <c r="O167" s="700">
        <v>8.83</v>
      </c>
      <c r="P167" s="704">
        <v>7.97</v>
      </c>
      <c r="Q167" s="704" t="s">
        <v>88</v>
      </c>
      <c r="R167" s="704">
        <v>9.11</v>
      </c>
      <c r="S167" s="704" t="s">
        <v>88</v>
      </c>
      <c r="T167" s="704">
        <v>4.71</v>
      </c>
      <c r="U167" s="704" t="s">
        <v>88</v>
      </c>
      <c r="V167" s="704">
        <v>6.99</v>
      </c>
    </row>
    <row r="168" spans="1:22" hidden="1">
      <c r="A168" s="113" t="s">
        <v>43</v>
      </c>
      <c r="B168" s="704">
        <v>5.28</v>
      </c>
      <c r="C168" s="704">
        <v>7.01</v>
      </c>
      <c r="D168" s="705">
        <v>7.2</v>
      </c>
      <c r="E168" s="704">
        <v>7.39</v>
      </c>
      <c r="F168" s="705">
        <v>7.14</v>
      </c>
      <c r="G168" s="703">
        <v>5.26</v>
      </c>
      <c r="H168" s="704">
        <v>7.29</v>
      </c>
      <c r="I168" s="740" t="s">
        <v>88</v>
      </c>
      <c r="J168" s="741">
        <v>7.95</v>
      </c>
      <c r="K168" s="742">
        <v>7.55</v>
      </c>
      <c r="L168" s="741"/>
      <c r="M168" s="741" t="s">
        <v>88</v>
      </c>
      <c r="N168" s="741">
        <v>7.77</v>
      </c>
      <c r="O168" s="700">
        <v>8.86</v>
      </c>
      <c r="P168" s="704">
        <v>7.74</v>
      </c>
      <c r="Q168" s="704" t="s">
        <v>88</v>
      </c>
      <c r="R168" s="704">
        <v>8.57</v>
      </c>
      <c r="S168" s="704" t="s">
        <v>88</v>
      </c>
      <c r="T168" s="704">
        <v>4.0999999999999996</v>
      </c>
      <c r="U168" s="704" t="s">
        <v>88</v>
      </c>
      <c r="V168" s="704">
        <v>7.08</v>
      </c>
    </row>
    <row r="169" spans="1:22" hidden="1">
      <c r="A169" s="113" t="s">
        <v>44</v>
      </c>
      <c r="B169" s="704">
        <v>5.0599999999999996</v>
      </c>
      <c r="C169" s="704">
        <v>7.02</v>
      </c>
      <c r="D169" s="705">
        <v>7.51</v>
      </c>
      <c r="E169" s="704">
        <v>7.35</v>
      </c>
      <c r="F169" s="705">
        <v>7.1</v>
      </c>
      <c r="G169" s="703">
        <v>6.21</v>
      </c>
      <c r="H169" s="704">
        <v>7.39</v>
      </c>
      <c r="I169" s="740" t="s">
        <v>88</v>
      </c>
      <c r="J169" s="741" t="s">
        <v>88</v>
      </c>
      <c r="K169" s="742" t="s">
        <v>88</v>
      </c>
      <c r="L169" s="741"/>
      <c r="M169" s="741" t="s">
        <v>88</v>
      </c>
      <c r="N169" s="741" t="s">
        <v>88</v>
      </c>
      <c r="O169" s="700">
        <v>8.93</v>
      </c>
      <c r="P169" s="704">
        <v>7.93</v>
      </c>
      <c r="Q169" s="704" t="s">
        <v>88</v>
      </c>
      <c r="R169" s="704">
        <v>8.6199999999999992</v>
      </c>
      <c r="S169" s="704" t="s">
        <v>88</v>
      </c>
      <c r="T169" s="704">
        <v>4.68</v>
      </c>
      <c r="U169" s="704" t="s">
        <v>88</v>
      </c>
      <c r="V169" s="704">
        <v>7.12</v>
      </c>
    </row>
    <row r="170" spans="1:22" hidden="1">
      <c r="A170" s="113" t="s">
        <v>45</v>
      </c>
      <c r="B170" s="704">
        <v>5.1100000000000003</v>
      </c>
      <c r="C170" s="704">
        <v>7.01</v>
      </c>
      <c r="D170" s="705">
        <v>7.92</v>
      </c>
      <c r="E170" s="704">
        <v>7.37</v>
      </c>
      <c r="F170" s="705">
        <v>9.44</v>
      </c>
      <c r="G170" s="703">
        <v>6.13</v>
      </c>
      <c r="H170" s="704">
        <v>7.63</v>
      </c>
      <c r="I170" s="740" t="s">
        <v>88</v>
      </c>
      <c r="J170" s="741">
        <v>7.71</v>
      </c>
      <c r="K170" s="742">
        <v>8.1199999999999992</v>
      </c>
      <c r="L170" s="741"/>
      <c r="M170" s="741" t="s">
        <v>88</v>
      </c>
      <c r="N170" s="741">
        <v>7.84</v>
      </c>
      <c r="O170" s="700">
        <v>9.4499999999999993</v>
      </c>
      <c r="P170" s="704">
        <v>8.0299999999999994</v>
      </c>
      <c r="Q170" s="704" t="s">
        <v>88</v>
      </c>
      <c r="R170" s="704">
        <v>9.01</v>
      </c>
      <c r="S170" s="704" t="s">
        <v>88</v>
      </c>
      <c r="T170" s="704">
        <v>4.72</v>
      </c>
      <c r="U170" s="704" t="s">
        <v>88</v>
      </c>
      <c r="V170" s="704">
        <v>7.28</v>
      </c>
    </row>
    <row r="171" spans="1:22" hidden="1">
      <c r="A171" s="113" t="s">
        <v>46</v>
      </c>
      <c r="B171" s="704">
        <v>4.67</v>
      </c>
      <c r="C171" s="704">
        <v>7.02</v>
      </c>
      <c r="D171" s="705">
        <v>7.87</v>
      </c>
      <c r="E171" s="704">
        <v>7.38</v>
      </c>
      <c r="F171" s="705">
        <v>8.61</v>
      </c>
      <c r="G171" s="703">
        <v>7.42</v>
      </c>
      <c r="H171" s="704">
        <v>7.65</v>
      </c>
      <c r="I171" s="740" t="s">
        <v>88</v>
      </c>
      <c r="J171" s="741">
        <v>7.1</v>
      </c>
      <c r="K171" s="742">
        <v>7.58</v>
      </c>
      <c r="L171" s="741"/>
      <c r="M171" s="741" t="s">
        <v>88</v>
      </c>
      <c r="N171" s="741">
        <v>7.86</v>
      </c>
      <c r="O171" s="700">
        <v>9.4</v>
      </c>
      <c r="P171" s="704">
        <v>7.93</v>
      </c>
      <c r="Q171" s="704" t="s">
        <v>88</v>
      </c>
      <c r="R171" s="704">
        <v>8.89</v>
      </c>
      <c r="S171" s="704" t="s">
        <v>88</v>
      </c>
      <c r="T171" s="704">
        <v>4.72</v>
      </c>
      <c r="U171" s="704" t="s">
        <v>88</v>
      </c>
      <c r="V171" s="704">
        <v>7.2</v>
      </c>
    </row>
    <row r="172" spans="1:22" hidden="1">
      <c r="A172" s="113" t="s">
        <v>47</v>
      </c>
      <c r="B172" s="704">
        <v>5.39</v>
      </c>
      <c r="C172" s="704">
        <v>7.02</v>
      </c>
      <c r="D172" s="705">
        <v>7.91</v>
      </c>
      <c r="E172" s="704">
        <v>7.45</v>
      </c>
      <c r="F172" s="705">
        <v>8.94</v>
      </c>
      <c r="G172" s="703">
        <v>7.43</v>
      </c>
      <c r="H172" s="704">
        <v>7.75</v>
      </c>
      <c r="I172" s="740" t="s">
        <v>88</v>
      </c>
      <c r="J172" s="741">
        <v>7.83</v>
      </c>
      <c r="K172" s="742">
        <v>7.91</v>
      </c>
      <c r="L172" s="741"/>
      <c r="M172" s="741" t="s">
        <v>88</v>
      </c>
      <c r="N172" s="741">
        <v>7.87</v>
      </c>
      <c r="O172" s="700">
        <v>9.06</v>
      </c>
      <c r="P172" s="704">
        <v>7.78</v>
      </c>
      <c r="Q172" s="704" t="s">
        <v>88</v>
      </c>
      <c r="R172" s="704">
        <v>8.69</v>
      </c>
      <c r="S172" s="704" t="s">
        <v>88</v>
      </c>
      <c r="T172" s="704">
        <v>4.7300000000000004</v>
      </c>
      <c r="U172" s="704" t="s">
        <v>88</v>
      </c>
      <c r="V172" s="704">
        <v>7.33</v>
      </c>
    </row>
    <row r="173" spans="1:22" hidden="1">
      <c r="A173" s="113" t="s">
        <v>48</v>
      </c>
      <c r="B173" s="704">
        <v>5.68</v>
      </c>
      <c r="C173" s="704">
        <v>7.04</v>
      </c>
      <c r="D173" s="705">
        <v>8</v>
      </c>
      <c r="E173" s="704">
        <v>7.46</v>
      </c>
      <c r="F173" s="705">
        <v>8.44</v>
      </c>
      <c r="G173" s="703">
        <v>9.07</v>
      </c>
      <c r="H173" s="704">
        <v>7.78</v>
      </c>
      <c r="I173" s="740" t="s">
        <v>88</v>
      </c>
      <c r="J173" s="741">
        <v>7.7</v>
      </c>
      <c r="K173" s="742">
        <v>8.27</v>
      </c>
      <c r="L173" s="741"/>
      <c r="M173" s="741" t="s">
        <v>88</v>
      </c>
      <c r="N173" s="741">
        <v>7.86</v>
      </c>
      <c r="O173" s="700">
        <v>8.89</v>
      </c>
      <c r="P173" s="704">
        <v>7.42</v>
      </c>
      <c r="Q173" s="704" t="s">
        <v>88</v>
      </c>
      <c r="R173" s="704">
        <v>8.36</v>
      </c>
      <c r="S173" s="704" t="s">
        <v>88</v>
      </c>
      <c r="T173" s="704">
        <v>4.87</v>
      </c>
      <c r="U173" s="704" t="s">
        <v>88</v>
      </c>
      <c r="V173" s="704">
        <v>7.41</v>
      </c>
    </row>
    <row r="174" spans="1:22" hidden="1">
      <c r="A174" s="113" t="s">
        <v>49</v>
      </c>
      <c r="B174" s="704">
        <v>5.3</v>
      </c>
      <c r="C174" s="704">
        <v>7.04</v>
      </c>
      <c r="D174" s="705">
        <v>7.9</v>
      </c>
      <c r="E174" s="704">
        <v>8.9</v>
      </c>
      <c r="F174" s="741" t="s">
        <v>88</v>
      </c>
      <c r="G174" s="703">
        <v>7.3</v>
      </c>
      <c r="H174" s="704">
        <v>7.78</v>
      </c>
      <c r="I174" s="740" t="s">
        <v>88</v>
      </c>
      <c r="J174" s="741">
        <v>8.1</v>
      </c>
      <c r="K174" s="742" t="s">
        <v>88</v>
      </c>
      <c r="L174" s="741"/>
      <c r="M174" s="741" t="s">
        <v>88</v>
      </c>
      <c r="N174" s="741">
        <v>8</v>
      </c>
      <c r="O174" s="700">
        <v>8.89</v>
      </c>
      <c r="P174" s="704" t="s">
        <v>88</v>
      </c>
      <c r="Q174" s="704" t="s">
        <v>88</v>
      </c>
      <c r="R174" s="704">
        <v>8.36</v>
      </c>
      <c r="S174" s="704" t="s">
        <v>88</v>
      </c>
      <c r="T174" s="704">
        <v>4.8</v>
      </c>
      <c r="U174" s="704" t="s">
        <v>88</v>
      </c>
      <c r="V174" s="704">
        <v>7.3</v>
      </c>
    </row>
    <row r="175" spans="1:22" hidden="1">
      <c r="A175" s="113" t="s">
        <v>50</v>
      </c>
      <c r="B175" s="704">
        <v>5.2</v>
      </c>
      <c r="C175" s="704">
        <v>7.03</v>
      </c>
      <c r="D175" s="705">
        <v>8.06</v>
      </c>
      <c r="E175" s="704">
        <v>7.49</v>
      </c>
      <c r="F175" s="741">
        <v>8.99</v>
      </c>
      <c r="G175" s="703">
        <v>7.26</v>
      </c>
      <c r="H175" s="704">
        <v>7.83</v>
      </c>
      <c r="I175" s="740" t="s">
        <v>88</v>
      </c>
      <c r="J175" s="741">
        <v>6.94</v>
      </c>
      <c r="K175" s="742" t="s">
        <v>88</v>
      </c>
      <c r="L175" s="741"/>
      <c r="M175" s="741" t="s">
        <v>88</v>
      </c>
      <c r="N175" s="741">
        <v>6.94</v>
      </c>
      <c r="O175" s="700">
        <v>9.69</v>
      </c>
      <c r="P175" s="704">
        <v>7.44</v>
      </c>
      <c r="Q175" s="704" t="s">
        <v>88</v>
      </c>
      <c r="R175" s="704">
        <v>8.68</v>
      </c>
      <c r="S175" s="704" t="s">
        <v>88</v>
      </c>
      <c r="T175" s="704">
        <v>4.68</v>
      </c>
      <c r="U175" s="704" t="s">
        <v>88</v>
      </c>
      <c r="V175" s="704">
        <v>7.31</v>
      </c>
    </row>
    <row r="176" spans="1:22" hidden="1">
      <c r="A176" s="113"/>
      <c r="B176" s="704"/>
      <c r="C176" s="704"/>
      <c r="D176" s="705"/>
      <c r="E176" s="704"/>
      <c r="F176" s="741"/>
      <c r="G176" s="703"/>
      <c r="H176" s="704"/>
      <c r="I176" s="740"/>
      <c r="J176" s="741"/>
      <c r="K176" s="742"/>
      <c r="L176" s="741"/>
      <c r="M176" s="741"/>
      <c r="N176" s="741"/>
      <c r="O176" s="700"/>
      <c r="P176" s="704"/>
      <c r="Q176" s="704"/>
      <c r="R176" s="704"/>
      <c r="S176" s="704"/>
      <c r="T176" s="704"/>
      <c r="U176" s="704"/>
      <c r="V176" s="704"/>
    </row>
    <row r="177" spans="1:25" hidden="1">
      <c r="A177" s="113" t="s">
        <v>57</v>
      </c>
      <c r="B177" s="704">
        <v>5.55</v>
      </c>
      <c r="C177" s="704">
        <v>7.04</v>
      </c>
      <c r="D177" s="705">
        <v>7.64</v>
      </c>
      <c r="E177" s="704">
        <v>7.44</v>
      </c>
      <c r="F177" s="741">
        <v>8.99</v>
      </c>
      <c r="G177" s="703">
        <v>7</v>
      </c>
      <c r="H177" s="704">
        <v>7.66</v>
      </c>
      <c r="I177" s="740" t="s">
        <v>88</v>
      </c>
      <c r="J177" s="741">
        <v>8.2200000000000006</v>
      </c>
      <c r="K177" s="742">
        <v>8.09</v>
      </c>
      <c r="L177" s="741" t="s">
        <v>88</v>
      </c>
      <c r="M177" s="741" t="s">
        <v>88</v>
      </c>
      <c r="N177" s="741">
        <v>8.17</v>
      </c>
      <c r="O177" s="700">
        <v>8.92</v>
      </c>
      <c r="P177" s="704">
        <v>7.49</v>
      </c>
      <c r="Q177" s="704" t="s">
        <v>88</v>
      </c>
      <c r="R177" s="704">
        <v>8.82</v>
      </c>
      <c r="S177" s="704" t="s">
        <v>88</v>
      </c>
      <c r="T177" s="704">
        <v>4</v>
      </c>
      <c r="U177" s="704" t="s">
        <v>88</v>
      </c>
      <c r="V177" s="704">
        <v>7.29</v>
      </c>
    </row>
    <row r="178" spans="1:25" hidden="1">
      <c r="A178" s="113" t="s">
        <v>40</v>
      </c>
      <c r="B178" s="704">
        <v>5.44</v>
      </c>
      <c r="C178" s="704">
        <v>7.05</v>
      </c>
      <c r="D178" s="705">
        <v>7.63</v>
      </c>
      <c r="E178" s="704">
        <v>7.23</v>
      </c>
      <c r="F178" s="741">
        <v>8.94</v>
      </c>
      <c r="G178" s="703">
        <v>6.61</v>
      </c>
      <c r="H178" s="704">
        <v>7.59</v>
      </c>
      <c r="I178" s="740" t="s">
        <v>88</v>
      </c>
      <c r="J178" s="741">
        <v>8.49</v>
      </c>
      <c r="K178" s="742">
        <v>7.83</v>
      </c>
      <c r="L178" s="741" t="s">
        <v>88</v>
      </c>
      <c r="M178" s="741" t="s">
        <v>88</v>
      </c>
      <c r="N178" s="741" t="s">
        <v>88</v>
      </c>
      <c r="O178" s="700">
        <v>8.94</v>
      </c>
      <c r="P178" s="704">
        <v>7.59</v>
      </c>
      <c r="Q178" s="704" t="s">
        <v>88</v>
      </c>
      <c r="R178" s="704">
        <v>8.84</v>
      </c>
      <c r="S178" s="704" t="s">
        <v>88</v>
      </c>
      <c r="T178" s="704">
        <v>4</v>
      </c>
      <c r="U178" s="704" t="s">
        <v>88</v>
      </c>
      <c r="V178" s="704">
        <v>7.23</v>
      </c>
      <c r="Y178" s="689" t="s">
        <v>0</v>
      </c>
    </row>
    <row r="179" spans="1:25" hidden="1">
      <c r="A179" s="113" t="s">
        <v>41</v>
      </c>
      <c r="B179" s="704">
        <v>5.7</v>
      </c>
      <c r="C179" s="704">
        <v>7.03</v>
      </c>
      <c r="D179" s="705">
        <v>7.43</v>
      </c>
      <c r="E179" s="704">
        <v>7.31</v>
      </c>
      <c r="F179" s="741">
        <v>9.0399999999999991</v>
      </c>
      <c r="G179" s="703">
        <v>6.79</v>
      </c>
      <c r="H179" s="704">
        <v>7.54</v>
      </c>
      <c r="I179" s="740" t="s">
        <v>88</v>
      </c>
      <c r="J179" s="741">
        <v>8.2899999999999991</v>
      </c>
      <c r="K179" s="742">
        <v>8.06</v>
      </c>
      <c r="L179" s="741" t="s">
        <v>88</v>
      </c>
      <c r="M179" s="741" t="s">
        <v>88</v>
      </c>
      <c r="N179" s="741">
        <v>8.15</v>
      </c>
      <c r="O179" s="700">
        <v>8.99</v>
      </c>
      <c r="P179" s="704">
        <v>7.82</v>
      </c>
      <c r="Q179" s="704" t="s">
        <v>88</v>
      </c>
      <c r="R179" s="704">
        <v>8.91</v>
      </c>
      <c r="S179" s="704" t="s">
        <v>88</v>
      </c>
      <c r="T179" s="704">
        <v>4</v>
      </c>
      <c r="U179" s="704" t="s">
        <v>88</v>
      </c>
      <c r="V179" s="704">
        <v>7.25</v>
      </c>
    </row>
    <row r="180" spans="1:25" hidden="1">
      <c r="A180" s="113" t="s">
        <v>42</v>
      </c>
      <c r="B180" s="704">
        <v>5.77</v>
      </c>
      <c r="C180" s="704">
        <v>7.1</v>
      </c>
      <c r="D180" s="705">
        <v>7.34</v>
      </c>
      <c r="E180" s="704">
        <v>7.33</v>
      </c>
      <c r="F180" s="741">
        <v>9.26</v>
      </c>
      <c r="G180" s="703">
        <v>6.78</v>
      </c>
      <c r="H180" s="704">
        <v>7.54</v>
      </c>
      <c r="I180" s="740" t="s">
        <v>88</v>
      </c>
      <c r="J180" s="741">
        <v>8.18</v>
      </c>
      <c r="K180" s="742">
        <v>8.1</v>
      </c>
      <c r="L180" s="741" t="s">
        <v>88</v>
      </c>
      <c r="M180" s="741">
        <v>6.76</v>
      </c>
      <c r="N180" s="741">
        <v>7.92</v>
      </c>
      <c r="O180" s="700">
        <v>9.7899999999999991</v>
      </c>
      <c r="P180" s="704">
        <v>8.1199999999999992</v>
      </c>
      <c r="Q180" s="704" t="s">
        <v>88</v>
      </c>
      <c r="R180" s="704">
        <v>9.66</v>
      </c>
      <c r="S180" s="704" t="s">
        <v>88</v>
      </c>
      <c r="T180" s="704">
        <v>3</v>
      </c>
      <c r="U180" s="704" t="s">
        <v>88</v>
      </c>
      <c r="V180" s="704">
        <v>7.26</v>
      </c>
    </row>
    <row r="181" spans="1:25" hidden="1">
      <c r="A181" s="113" t="s">
        <v>43</v>
      </c>
      <c r="B181" s="704">
        <v>5.63</v>
      </c>
      <c r="C181" s="704">
        <v>7.07</v>
      </c>
      <c r="D181" s="705">
        <v>7.34</v>
      </c>
      <c r="E181" s="704">
        <v>7.42</v>
      </c>
      <c r="F181" s="741">
        <v>9.27</v>
      </c>
      <c r="G181" s="703">
        <v>6.77</v>
      </c>
      <c r="H181" s="704">
        <v>7.58</v>
      </c>
      <c r="I181" s="740" t="s">
        <v>88</v>
      </c>
      <c r="J181" s="741">
        <v>8.3800000000000008</v>
      </c>
      <c r="K181" s="742">
        <v>7.89</v>
      </c>
      <c r="L181" s="741" t="s">
        <v>88</v>
      </c>
      <c r="M181" s="741">
        <v>6.78</v>
      </c>
      <c r="N181" s="741">
        <v>7.91</v>
      </c>
      <c r="O181" s="700">
        <v>10.19</v>
      </c>
      <c r="P181" s="704">
        <v>8.1</v>
      </c>
      <c r="Q181" s="704" t="s">
        <v>88</v>
      </c>
      <c r="R181" s="704">
        <v>9.99</v>
      </c>
      <c r="S181" s="704" t="s">
        <v>88</v>
      </c>
      <c r="T181" s="704">
        <v>4</v>
      </c>
      <c r="U181" s="704" t="s">
        <v>88</v>
      </c>
      <c r="V181" s="704">
        <v>7.26</v>
      </c>
    </row>
    <row r="182" spans="1:25" hidden="1">
      <c r="A182" s="113" t="s">
        <v>44</v>
      </c>
      <c r="B182" s="704">
        <v>5.79</v>
      </c>
      <c r="C182" s="704">
        <v>7.09</v>
      </c>
      <c r="D182" s="705">
        <v>7.53</v>
      </c>
      <c r="E182" s="704">
        <v>7.42</v>
      </c>
      <c r="F182" s="741">
        <v>9.3699999999999992</v>
      </c>
      <c r="G182" s="703">
        <v>6.85</v>
      </c>
      <c r="H182" s="704">
        <v>7.71</v>
      </c>
      <c r="I182" s="740" t="s">
        <v>88</v>
      </c>
      <c r="J182" s="741">
        <v>8.26</v>
      </c>
      <c r="K182" s="742">
        <v>8.1199999999999992</v>
      </c>
      <c r="L182" s="741" t="s">
        <v>88</v>
      </c>
      <c r="M182" s="741">
        <v>6.79</v>
      </c>
      <c r="N182" s="741">
        <v>7.91</v>
      </c>
      <c r="O182" s="700">
        <v>10.220000000000001</v>
      </c>
      <c r="P182" s="704">
        <v>8.25</v>
      </c>
      <c r="Q182" s="704" t="s">
        <v>88</v>
      </c>
      <c r="R182" s="704">
        <v>10.039999999999999</v>
      </c>
      <c r="S182" s="704" t="s">
        <v>88</v>
      </c>
      <c r="T182" s="704">
        <v>4</v>
      </c>
      <c r="U182" s="704" t="s">
        <v>88</v>
      </c>
      <c r="V182" s="704">
        <v>7.39</v>
      </c>
    </row>
    <row r="183" spans="1:25" hidden="1">
      <c r="A183" s="113" t="s">
        <v>45</v>
      </c>
      <c r="B183" s="704">
        <v>5.59</v>
      </c>
      <c r="C183" s="704">
        <v>7.02</v>
      </c>
      <c r="D183" s="705">
        <v>7.46</v>
      </c>
      <c r="E183" s="704">
        <v>7.56</v>
      </c>
      <c r="F183" s="741">
        <v>9.3699999999999992</v>
      </c>
      <c r="G183" s="703">
        <v>6.77</v>
      </c>
      <c r="H183" s="704">
        <v>7.74</v>
      </c>
      <c r="I183" s="740" t="s">
        <v>88</v>
      </c>
      <c r="J183" s="741">
        <v>8.1999999999999993</v>
      </c>
      <c r="K183" s="742">
        <v>7.9</v>
      </c>
      <c r="L183" s="741" t="s">
        <v>88</v>
      </c>
      <c r="M183" s="741">
        <v>6.79</v>
      </c>
      <c r="N183" s="741">
        <v>7.83</v>
      </c>
      <c r="O183" s="700">
        <v>10.24</v>
      </c>
      <c r="P183" s="704">
        <v>8.4499999999999993</v>
      </c>
      <c r="Q183" s="704" t="s">
        <v>88</v>
      </c>
      <c r="R183" s="704">
        <v>10.08</v>
      </c>
      <c r="S183" s="704" t="s">
        <v>88</v>
      </c>
      <c r="T183" s="704">
        <v>4</v>
      </c>
      <c r="U183" s="704" t="s">
        <v>88</v>
      </c>
      <c r="V183" s="704">
        <v>7.35</v>
      </c>
    </row>
    <row r="184" spans="1:25" hidden="1">
      <c r="A184" s="113" t="s">
        <v>46</v>
      </c>
      <c r="B184" s="704">
        <v>5.4</v>
      </c>
      <c r="C184" s="704">
        <v>7.08</v>
      </c>
      <c r="D184" s="705">
        <v>7.16</v>
      </c>
      <c r="E184" s="704">
        <v>7.63</v>
      </c>
      <c r="F184" s="741">
        <v>9.39</v>
      </c>
      <c r="G184" s="703">
        <v>6.83</v>
      </c>
      <c r="H184" s="704">
        <v>7.64</v>
      </c>
      <c r="I184" s="740" t="s">
        <v>88</v>
      </c>
      <c r="J184" s="741">
        <v>8.41</v>
      </c>
      <c r="K184" s="742">
        <v>7.91</v>
      </c>
      <c r="L184" s="741">
        <v>4</v>
      </c>
      <c r="M184" s="741">
        <v>6.6</v>
      </c>
      <c r="N184" s="741">
        <v>7.84</v>
      </c>
      <c r="O184" s="700">
        <v>10.4</v>
      </c>
      <c r="P184" s="704">
        <v>8.4499999999999993</v>
      </c>
      <c r="Q184" s="704" t="s">
        <v>88</v>
      </c>
      <c r="R184" s="704">
        <v>10.23</v>
      </c>
      <c r="S184" s="704" t="s">
        <v>88</v>
      </c>
      <c r="T184" s="704">
        <v>4</v>
      </c>
      <c r="U184" s="704" t="s">
        <v>88</v>
      </c>
      <c r="V184" s="704">
        <v>7.27</v>
      </c>
    </row>
    <row r="185" spans="1:25" hidden="1">
      <c r="A185" s="113" t="s">
        <v>47</v>
      </c>
      <c r="B185" s="704">
        <v>5.67</v>
      </c>
      <c r="C185" s="704">
        <v>7.06</v>
      </c>
      <c r="D185" s="705">
        <v>7.25</v>
      </c>
      <c r="E185" s="704">
        <v>7.57</v>
      </c>
      <c r="F185" s="741">
        <v>8.59</v>
      </c>
      <c r="G185" s="703">
        <v>6.93</v>
      </c>
      <c r="H185" s="704">
        <v>7.68</v>
      </c>
      <c r="I185" s="740" t="s">
        <v>88</v>
      </c>
      <c r="J185" s="741">
        <v>8.25</v>
      </c>
      <c r="K185" s="742">
        <v>8.3800000000000008</v>
      </c>
      <c r="L185" s="741">
        <v>4</v>
      </c>
      <c r="M185" s="741">
        <v>7.37</v>
      </c>
      <c r="N185" s="741">
        <v>7.37</v>
      </c>
      <c r="O185" s="700">
        <v>10.33</v>
      </c>
      <c r="P185" s="704">
        <v>8.33</v>
      </c>
      <c r="Q185" s="704" t="s">
        <v>88</v>
      </c>
      <c r="R185" s="704">
        <v>10.15</v>
      </c>
      <c r="S185" s="704" t="s">
        <v>88</v>
      </c>
      <c r="T185" s="704">
        <v>4</v>
      </c>
      <c r="U185" s="704" t="s">
        <v>88</v>
      </c>
      <c r="V185" s="704">
        <v>7.37</v>
      </c>
    </row>
    <row r="186" spans="1:25" hidden="1">
      <c r="A186" s="113" t="s">
        <v>48</v>
      </c>
      <c r="B186" s="704">
        <v>5.97</v>
      </c>
      <c r="C186" s="704">
        <v>7.06</v>
      </c>
      <c r="D186" s="705">
        <v>7.21</v>
      </c>
      <c r="E186" s="704">
        <v>7.86</v>
      </c>
      <c r="F186" s="743">
        <v>9.58</v>
      </c>
      <c r="G186" s="703">
        <v>6.98</v>
      </c>
      <c r="H186" s="704">
        <v>7.82</v>
      </c>
      <c r="I186" s="740"/>
      <c r="J186" s="741">
        <v>8.1</v>
      </c>
      <c r="K186" s="742">
        <v>8.68</v>
      </c>
      <c r="L186" s="741">
        <v>4</v>
      </c>
      <c r="M186" s="741">
        <v>7.5</v>
      </c>
      <c r="N186" s="741">
        <v>8.27</v>
      </c>
      <c r="O186" s="700">
        <v>10.4</v>
      </c>
      <c r="P186" s="704">
        <v>7.71</v>
      </c>
      <c r="Q186" s="704" t="s">
        <v>88</v>
      </c>
      <c r="R186" s="705">
        <v>10.15</v>
      </c>
      <c r="S186" s="704"/>
      <c r="T186" s="704">
        <v>4</v>
      </c>
      <c r="U186" s="704"/>
      <c r="V186" s="704">
        <v>7.51</v>
      </c>
    </row>
    <row r="187" spans="1:25" hidden="1">
      <c r="A187" s="113" t="s">
        <v>49</v>
      </c>
      <c r="B187" s="704">
        <v>5.75</v>
      </c>
      <c r="C187" s="704">
        <v>7.09</v>
      </c>
      <c r="D187" s="705">
        <v>7.3</v>
      </c>
      <c r="E187" s="704">
        <v>7.92</v>
      </c>
      <c r="F187" s="743">
        <v>9.59</v>
      </c>
      <c r="G187" s="703">
        <v>6.99</v>
      </c>
      <c r="H187" s="704">
        <v>7.88</v>
      </c>
      <c r="I187" s="740"/>
      <c r="J187" s="741">
        <v>8.74</v>
      </c>
      <c r="K187" s="742">
        <v>8.4499999999999993</v>
      </c>
      <c r="L187" s="741" t="s">
        <v>88</v>
      </c>
      <c r="M187" s="741">
        <v>7.51</v>
      </c>
      <c r="N187" s="741">
        <v>8.39</v>
      </c>
      <c r="O187" s="700">
        <v>10.33</v>
      </c>
      <c r="P187" s="704">
        <v>8.19</v>
      </c>
      <c r="Q187" s="704" t="s">
        <v>88</v>
      </c>
      <c r="R187" s="705">
        <v>10.130000000000001</v>
      </c>
      <c r="S187" s="704"/>
      <c r="T187" s="704">
        <v>4</v>
      </c>
      <c r="U187" s="704"/>
      <c r="V187" s="704">
        <v>7.55</v>
      </c>
    </row>
    <row r="188" spans="1:25" hidden="1">
      <c r="A188" s="113" t="s">
        <v>50</v>
      </c>
      <c r="B188" s="704">
        <v>5.99</v>
      </c>
      <c r="C188" s="704">
        <v>7.06</v>
      </c>
      <c r="D188" s="705">
        <v>7.44</v>
      </c>
      <c r="E188" s="704">
        <v>7.88</v>
      </c>
      <c r="F188" s="743">
        <v>9.6300000000000008</v>
      </c>
      <c r="G188" s="703">
        <v>7.01</v>
      </c>
      <c r="H188" s="704">
        <v>7.92</v>
      </c>
      <c r="I188" s="740"/>
      <c r="J188" s="741">
        <v>8.41</v>
      </c>
      <c r="K188" s="742">
        <v>8.36</v>
      </c>
      <c r="L188" s="741" t="s">
        <v>88</v>
      </c>
      <c r="M188" s="741">
        <v>8.17</v>
      </c>
      <c r="N188" s="741">
        <v>8.34</v>
      </c>
      <c r="O188" s="700">
        <v>10.4</v>
      </c>
      <c r="P188" s="704">
        <v>8.2200000000000006</v>
      </c>
      <c r="Q188" s="704" t="s">
        <v>88</v>
      </c>
      <c r="R188" s="705">
        <v>10.199999999999999</v>
      </c>
      <c r="S188" s="704"/>
      <c r="T188" s="704">
        <v>4</v>
      </c>
      <c r="U188" s="704"/>
      <c r="V188" s="704">
        <v>7.59</v>
      </c>
    </row>
    <row r="189" spans="1:25" hidden="1">
      <c r="A189" s="113"/>
      <c r="B189" s="704"/>
      <c r="C189" s="704"/>
      <c r="D189" s="705"/>
      <c r="E189" s="704"/>
      <c r="F189" s="743"/>
      <c r="G189" s="703"/>
      <c r="H189" s="704"/>
      <c r="I189" s="740"/>
      <c r="J189" s="741"/>
      <c r="K189" s="742"/>
      <c r="L189" s="741"/>
      <c r="M189" s="741"/>
      <c r="N189" s="741"/>
      <c r="O189" s="700"/>
      <c r="P189" s="704"/>
      <c r="Q189" s="704"/>
      <c r="R189" s="705"/>
      <c r="S189" s="704"/>
      <c r="T189" s="704"/>
      <c r="U189" s="704"/>
      <c r="V189" s="704"/>
    </row>
    <row r="190" spans="1:25" hidden="1">
      <c r="A190" s="113" t="s">
        <v>56</v>
      </c>
      <c r="B190" s="704">
        <v>6.24</v>
      </c>
      <c r="C190" s="704">
        <v>6.94</v>
      </c>
      <c r="D190" s="705">
        <v>7.93</v>
      </c>
      <c r="E190" s="704">
        <v>8.07</v>
      </c>
      <c r="F190" s="743">
        <v>9.58</v>
      </c>
      <c r="G190" s="703">
        <v>7.21</v>
      </c>
      <c r="H190" s="704">
        <v>8.1999999999999993</v>
      </c>
      <c r="I190" s="740"/>
      <c r="J190" s="741">
        <v>8.11</v>
      </c>
      <c r="K190" s="742">
        <v>8.6999999999999993</v>
      </c>
      <c r="L190" s="741" t="s">
        <v>88</v>
      </c>
      <c r="M190" s="741">
        <v>7.29</v>
      </c>
      <c r="N190" s="741">
        <v>8.11</v>
      </c>
      <c r="O190" s="700">
        <v>9.1999999999999993</v>
      </c>
      <c r="P190" s="704">
        <v>8.4600000000000009</v>
      </c>
      <c r="Q190" s="704" t="s">
        <v>88</v>
      </c>
      <c r="R190" s="705">
        <v>8.84</v>
      </c>
      <c r="S190" s="704"/>
      <c r="T190" s="704" t="s">
        <v>88</v>
      </c>
      <c r="U190" s="704"/>
      <c r="V190" s="704">
        <v>7.7</v>
      </c>
    </row>
    <row r="191" spans="1:25" hidden="1">
      <c r="A191" s="113" t="s">
        <v>40</v>
      </c>
      <c r="B191" s="704">
        <v>6.34</v>
      </c>
      <c r="C191" s="704">
        <v>6.91</v>
      </c>
      <c r="D191" s="705">
        <v>8.0500000000000007</v>
      </c>
      <c r="E191" s="704">
        <v>8.1199999999999992</v>
      </c>
      <c r="F191" s="743">
        <v>8.93</v>
      </c>
      <c r="G191" s="703">
        <v>7.34</v>
      </c>
      <c r="H191" s="704">
        <v>8.24</v>
      </c>
      <c r="I191" s="740"/>
      <c r="J191" s="741">
        <v>8.6300000000000008</v>
      </c>
      <c r="K191" s="742">
        <v>8.48</v>
      </c>
      <c r="L191" s="741" t="s">
        <v>88</v>
      </c>
      <c r="M191" s="741">
        <v>8.0500000000000007</v>
      </c>
      <c r="N191" s="741">
        <v>8.44</v>
      </c>
      <c r="O191" s="700">
        <v>9.49</v>
      </c>
      <c r="P191" s="704">
        <v>8.68</v>
      </c>
      <c r="Q191" s="704" t="s">
        <v>88</v>
      </c>
      <c r="R191" s="705">
        <v>8.94</v>
      </c>
      <c r="S191" s="704"/>
      <c r="T191" s="704" t="s">
        <v>88</v>
      </c>
      <c r="U191" s="704"/>
      <c r="V191" s="704">
        <v>7.78</v>
      </c>
    </row>
    <row r="192" spans="1:25" hidden="1">
      <c r="A192" s="113" t="s">
        <v>41</v>
      </c>
      <c r="B192" s="704">
        <v>6.13</v>
      </c>
      <c r="C192" s="704">
        <v>7</v>
      </c>
      <c r="D192" s="705">
        <v>8.32</v>
      </c>
      <c r="E192" s="704">
        <v>8.1</v>
      </c>
      <c r="F192" s="743">
        <v>9.5500000000000007</v>
      </c>
      <c r="G192" s="703">
        <v>7.35</v>
      </c>
      <c r="H192" s="704">
        <v>8.36</v>
      </c>
      <c r="I192" s="740"/>
      <c r="J192" s="741">
        <v>8.48</v>
      </c>
      <c r="K192" s="742">
        <v>9.19</v>
      </c>
      <c r="L192" s="741" t="s">
        <v>88</v>
      </c>
      <c r="M192" s="741">
        <v>7.99</v>
      </c>
      <c r="N192" s="741">
        <v>8.82</v>
      </c>
      <c r="O192" s="700">
        <v>9.49</v>
      </c>
      <c r="P192" s="704">
        <v>9.1999999999999993</v>
      </c>
      <c r="Q192" s="704" t="s">
        <v>88</v>
      </c>
      <c r="R192" s="705">
        <v>9.3000000000000007</v>
      </c>
      <c r="S192" s="704"/>
      <c r="T192" s="704" t="s">
        <v>88</v>
      </c>
      <c r="U192" s="704"/>
      <c r="V192" s="704">
        <v>7.91</v>
      </c>
    </row>
    <row r="193" spans="1:22" hidden="1">
      <c r="A193" s="113" t="s">
        <v>42</v>
      </c>
      <c r="B193" s="704">
        <v>5.4</v>
      </c>
      <c r="C193" s="704">
        <v>5.04</v>
      </c>
      <c r="D193" s="705">
        <v>8.58</v>
      </c>
      <c r="E193" s="704">
        <v>8.68</v>
      </c>
      <c r="F193" s="743">
        <v>9.48</v>
      </c>
      <c r="G193" s="703">
        <v>8.73</v>
      </c>
      <c r="H193" s="704">
        <v>8.6199999999999992</v>
      </c>
      <c r="I193" s="740"/>
      <c r="J193" s="741" t="s">
        <v>88</v>
      </c>
      <c r="K193" s="742" t="s">
        <v>88</v>
      </c>
      <c r="L193" s="741" t="s">
        <v>88</v>
      </c>
      <c r="M193" s="741" t="s">
        <v>88</v>
      </c>
      <c r="N193" s="741" t="s">
        <v>88</v>
      </c>
      <c r="O193" s="700">
        <v>9.49</v>
      </c>
      <c r="P193" s="704">
        <v>9.48</v>
      </c>
      <c r="Q193" s="704" t="s">
        <v>88</v>
      </c>
      <c r="R193" s="705">
        <v>9.49</v>
      </c>
      <c r="S193" s="704"/>
      <c r="T193" s="704" t="s">
        <v>88</v>
      </c>
      <c r="U193" s="704"/>
      <c r="V193" s="704">
        <v>8.06</v>
      </c>
    </row>
    <row r="194" spans="1:22" hidden="1">
      <c r="A194" s="113" t="s">
        <v>43</v>
      </c>
      <c r="B194" s="704">
        <v>5.1100000000000003</v>
      </c>
      <c r="C194" s="704">
        <v>7.09</v>
      </c>
      <c r="D194" s="705">
        <v>8.68</v>
      </c>
      <c r="E194" s="704">
        <v>8.57</v>
      </c>
      <c r="F194" s="743">
        <v>9.5299999999999994</v>
      </c>
      <c r="G194" s="703">
        <v>8.0399999999999991</v>
      </c>
      <c r="H194" s="704">
        <v>8.73</v>
      </c>
      <c r="I194" s="740"/>
      <c r="J194" s="741" t="s">
        <v>88</v>
      </c>
      <c r="K194" s="742" t="s">
        <v>88</v>
      </c>
      <c r="L194" s="741" t="s">
        <v>88</v>
      </c>
      <c r="M194" s="741" t="s">
        <v>88</v>
      </c>
      <c r="N194" s="741" t="s">
        <v>88</v>
      </c>
      <c r="O194" s="700">
        <v>9.49</v>
      </c>
      <c r="P194" s="704">
        <v>9.48</v>
      </c>
      <c r="Q194" s="704" t="s">
        <v>88</v>
      </c>
      <c r="R194" s="705">
        <v>9.49</v>
      </c>
      <c r="S194" s="704"/>
      <c r="T194" s="704" t="s">
        <v>88</v>
      </c>
      <c r="U194" s="704"/>
      <c r="V194" s="704">
        <v>7.91</v>
      </c>
    </row>
    <row r="195" spans="1:22" hidden="1">
      <c r="A195" s="113" t="s">
        <v>44</v>
      </c>
      <c r="B195" s="704">
        <v>5.04</v>
      </c>
      <c r="C195" s="704">
        <v>7.33</v>
      </c>
      <c r="D195" s="705">
        <v>8.81</v>
      </c>
      <c r="E195" s="704">
        <v>8.9600000000000009</v>
      </c>
      <c r="F195" s="743">
        <v>9.68</v>
      </c>
      <c r="G195" s="703">
        <v>8.09</v>
      </c>
      <c r="H195" s="704">
        <v>8.9700000000000006</v>
      </c>
      <c r="I195" s="740"/>
      <c r="J195" s="741" t="s">
        <v>88</v>
      </c>
      <c r="K195" s="742" t="s">
        <v>88</v>
      </c>
      <c r="L195" s="741" t="s">
        <v>88</v>
      </c>
      <c r="M195" s="741" t="s">
        <v>88</v>
      </c>
      <c r="N195" s="741" t="s">
        <v>88</v>
      </c>
      <c r="O195" s="700">
        <v>11.5</v>
      </c>
      <c r="P195" s="704">
        <v>10.95</v>
      </c>
      <c r="Q195" s="704" t="s">
        <v>88</v>
      </c>
      <c r="R195" s="705">
        <v>11.1</v>
      </c>
      <c r="S195" s="704"/>
      <c r="T195" s="704" t="s">
        <v>88</v>
      </c>
      <c r="U195" s="704"/>
      <c r="V195" s="704">
        <v>8.09</v>
      </c>
    </row>
    <row r="196" spans="1:22" hidden="1">
      <c r="A196" s="113" t="s">
        <v>45</v>
      </c>
      <c r="B196" s="704">
        <v>4.97</v>
      </c>
      <c r="C196" s="704">
        <v>7.28</v>
      </c>
      <c r="D196" s="705">
        <v>8.91</v>
      </c>
      <c r="E196" s="704">
        <v>9.1199999999999992</v>
      </c>
      <c r="F196" s="743">
        <v>9.59</v>
      </c>
      <c r="G196" s="703">
        <v>7.79</v>
      </c>
      <c r="H196" s="704">
        <v>9.08</v>
      </c>
      <c r="I196" s="740"/>
      <c r="J196" s="741" t="s">
        <v>88</v>
      </c>
      <c r="K196" s="742" t="s">
        <v>88</v>
      </c>
      <c r="L196" s="741" t="s">
        <v>88</v>
      </c>
      <c r="M196" s="741" t="s">
        <v>88</v>
      </c>
      <c r="N196" s="741" t="s">
        <v>88</v>
      </c>
      <c r="O196" s="700">
        <v>11.5</v>
      </c>
      <c r="P196" s="704">
        <v>10.95</v>
      </c>
      <c r="Q196" s="704" t="s">
        <v>88</v>
      </c>
      <c r="R196" s="705">
        <v>11.1</v>
      </c>
      <c r="S196" s="704"/>
      <c r="T196" s="704" t="s">
        <v>88</v>
      </c>
      <c r="U196" s="704"/>
      <c r="V196" s="704">
        <v>8.1</v>
      </c>
    </row>
    <row r="197" spans="1:22" hidden="1">
      <c r="A197" s="113" t="s">
        <v>46</v>
      </c>
      <c r="B197" s="704">
        <v>4.7699999999999996</v>
      </c>
      <c r="C197" s="704">
        <v>7.26</v>
      </c>
      <c r="D197" s="705">
        <v>9.08</v>
      </c>
      <c r="E197" s="704">
        <v>9.27</v>
      </c>
      <c r="F197" s="743">
        <v>9.76</v>
      </c>
      <c r="G197" s="703">
        <v>7.31</v>
      </c>
      <c r="H197" s="704">
        <v>9.24</v>
      </c>
      <c r="I197" s="740"/>
      <c r="J197" s="741" t="s">
        <v>88</v>
      </c>
      <c r="K197" s="742" t="s">
        <v>88</v>
      </c>
      <c r="L197" s="741" t="s">
        <v>88</v>
      </c>
      <c r="M197" s="741" t="s">
        <v>88</v>
      </c>
      <c r="N197" s="741" t="s">
        <v>88</v>
      </c>
      <c r="O197" s="700">
        <v>11.5</v>
      </c>
      <c r="P197" s="704">
        <v>10.95</v>
      </c>
      <c r="Q197" s="704" t="s">
        <v>88</v>
      </c>
      <c r="R197" s="705">
        <v>11.1</v>
      </c>
      <c r="S197" s="704"/>
      <c r="T197" s="704" t="s">
        <v>88</v>
      </c>
      <c r="U197" s="704"/>
      <c r="V197" s="704">
        <v>8.08</v>
      </c>
    </row>
    <row r="198" spans="1:22" hidden="1">
      <c r="A198" s="113" t="s">
        <v>47</v>
      </c>
      <c r="B198" s="704">
        <v>4.78</v>
      </c>
      <c r="C198" s="704">
        <v>7.27</v>
      </c>
      <c r="D198" s="705">
        <v>9.27</v>
      </c>
      <c r="E198" s="704">
        <v>9.33</v>
      </c>
      <c r="F198" s="743">
        <v>9.77</v>
      </c>
      <c r="G198" s="703">
        <v>7.31</v>
      </c>
      <c r="H198" s="704">
        <v>9.33</v>
      </c>
      <c r="I198" s="740"/>
      <c r="J198" s="741" t="s">
        <v>88</v>
      </c>
      <c r="K198" s="742" t="s">
        <v>88</v>
      </c>
      <c r="L198" s="741" t="s">
        <v>88</v>
      </c>
      <c r="M198" s="741" t="s">
        <v>88</v>
      </c>
      <c r="N198" s="741" t="s">
        <v>88</v>
      </c>
      <c r="O198" s="700">
        <v>10.119999999999999</v>
      </c>
      <c r="P198" s="704">
        <v>10.98</v>
      </c>
      <c r="Q198" s="704" t="s">
        <v>88</v>
      </c>
      <c r="R198" s="705">
        <v>10.85</v>
      </c>
      <c r="S198" s="704"/>
      <c r="T198" s="704" t="s">
        <v>88</v>
      </c>
      <c r="U198" s="704"/>
      <c r="V198" s="704">
        <v>8.08</v>
      </c>
    </row>
    <row r="199" spans="1:22" hidden="1">
      <c r="A199" s="113" t="s">
        <v>48</v>
      </c>
      <c r="B199" s="704">
        <v>4.9400000000000004</v>
      </c>
      <c r="C199" s="704">
        <v>7.29</v>
      </c>
      <c r="D199" s="705">
        <v>9.41</v>
      </c>
      <c r="E199" s="704">
        <v>9.51</v>
      </c>
      <c r="F199" s="743">
        <v>9.8800000000000008</v>
      </c>
      <c r="G199" s="703">
        <v>7.45</v>
      </c>
      <c r="H199" s="704">
        <v>9.48</v>
      </c>
      <c r="I199" s="740"/>
      <c r="J199" s="741" t="s">
        <v>88</v>
      </c>
      <c r="K199" s="742" t="s">
        <v>88</v>
      </c>
      <c r="L199" s="741" t="s">
        <v>88</v>
      </c>
      <c r="M199" s="741" t="s">
        <v>88</v>
      </c>
      <c r="N199" s="741" t="s">
        <v>88</v>
      </c>
      <c r="O199" s="700">
        <v>10.119999999999999</v>
      </c>
      <c r="P199" s="704">
        <v>11.07</v>
      </c>
      <c r="Q199" s="704" t="s">
        <v>88</v>
      </c>
      <c r="R199" s="705">
        <v>10.92</v>
      </c>
      <c r="S199" s="704"/>
      <c r="T199" s="704" t="s">
        <v>88</v>
      </c>
      <c r="U199" s="704"/>
      <c r="V199" s="704">
        <v>8.2899999999999991</v>
      </c>
    </row>
    <row r="200" spans="1:22" hidden="1">
      <c r="A200" s="113" t="s">
        <v>49</v>
      </c>
      <c r="B200" s="704">
        <v>5.08</v>
      </c>
      <c r="C200" s="704">
        <v>7.28</v>
      </c>
      <c r="D200" s="705">
        <v>9.4600000000000009</v>
      </c>
      <c r="E200" s="704">
        <v>9.84</v>
      </c>
      <c r="F200" s="743">
        <v>10.039999999999999</v>
      </c>
      <c r="G200" s="703">
        <v>7.69</v>
      </c>
      <c r="H200" s="704">
        <v>9.69</v>
      </c>
      <c r="I200" s="740"/>
      <c r="J200" s="741" t="s">
        <v>88</v>
      </c>
      <c r="K200" s="742" t="s">
        <v>88</v>
      </c>
      <c r="L200" s="741" t="s">
        <v>88</v>
      </c>
      <c r="M200" s="741" t="s">
        <v>88</v>
      </c>
      <c r="N200" s="741" t="s">
        <v>88</v>
      </c>
      <c r="O200" s="700">
        <v>10.119999999999999</v>
      </c>
      <c r="P200" s="704">
        <v>11.08</v>
      </c>
      <c r="Q200" s="704" t="s">
        <v>88</v>
      </c>
      <c r="R200" s="705">
        <v>10.93</v>
      </c>
      <c r="S200" s="704"/>
      <c r="T200" s="704" t="s">
        <v>88</v>
      </c>
      <c r="U200" s="704"/>
      <c r="V200" s="704">
        <v>8.51</v>
      </c>
    </row>
    <row r="201" spans="1:22" hidden="1">
      <c r="A201" s="113" t="s">
        <v>50</v>
      </c>
      <c r="B201" s="704">
        <v>5.95</v>
      </c>
      <c r="C201" s="704">
        <v>7.24</v>
      </c>
      <c r="D201" s="705">
        <v>9.64</v>
      </c>
      <c r="E201" s="704">
        <v>9.83</v>
      </c>
      <c r="F201" s="743">
        <v>10.210000000000001</v>
      </c>
      <c r="G201" s="703">
        <v>7.7</v>
      </c>
      <c r="H201" s="704">
        <v>9.77</v>
      </c>
      <c r="I201" s="740"/>
      <c r="J201" s="741" t="s">
        <v>88</v>
      </c>
      <c r="K201" s="742" t="s">
        <v>88</v>
      </c>
      <c r="L201" s="741" t="s">
        <v>88</v>
      </c>
      <c r="M201" s="741" t="s">
        <v>88</v>
      </c>
      <c r="N201" s="741" t="s">
        <v>88</v>
      </c>
      <c r="O201" s="700">
        <v>11.5</v>
      </c>
      <c r="P201" s="704">
        <v>11.12</v>
      </c>
      <c r="Q201" s="704" t="s">
        <v>88</v>
      </c>
      <c r="R201" s="705">
        <v>11.17</v>
      </c>
      <c r="S201" s="704"/>
      <c r="T201" s="704" t="s">
        <v>88</v>
      </c>
      <c r="U201" s="704"/>
      <c r="V201" s="704">
        <v>8.75</v>
      </c>
    </row>
    <row r="202" spans="1:22" hidden="1">
      <c r="A202" s="113"/>
      <c r="B202" s="704"/>
      <c r="C202" s="704"/>
      <c r="D202" s="705"/>
      <c r="E202" s="704"/>
      <c r="F202" s="743"/>
      <c r="G202" s="703"/>
      <c r="H202" s="704"/>
      <c r="I202" s="740"/>
      <c r="J202" s="741"/>
      <c r="K202" s="742"/>
      <c r="L202" s="741"/>
      <c r="M202" s="741"/>
      <c r="N202" s="741"/>
      <c r="O202" s="700"/>
      <c r="P202" s="704"/>
      <c r="Q202" s="704"/>
      <c r="R202" s="705"/>
      <c r="S202" s="704"/>
      <c r="T202" s="704"/>
      <c r="U202" s="704"/>
      <c r="V202" s="704"/>
    </row>
    <row r="203" spans="1:22" hidden="1">
      <c r="A203" s="113" t="s">
        <v>55</v>
      </c>
      <c r="B203" s="704">
        <v>4.9800000000000004</v>
      </c>
      <c r="C203" s="704">
        <v>7.24</v>
      </c>
      <c r="D203" s="705">
        <v>9.73</v>
      </c>
      <c r="E203" s="704">
        <v>9.77</v>
      </c>
      <c r="F203" s="743">
        <v>10.11</v>
      </c>
      <c r="G203" s="703">
        <v>7.6</v>
      </c>
      <c r="H203" s="704">
        <v>9.7799999999999994</v>
      </c>
      <c r="I203" s="740"/>
      <c r="J203" s="741" t="s">
        <v>88</v>
      </c>
      <c r="K203" s="742" t="s">
        <v>88</v>
      </c>
      <c r="L203" s="741" t="s">
        <v>88</v>
      </c>
      <c r="M203" s="741" t="s">
        <v>88</v>
      </c>
      <c r="N203" s="741" t="s">
        <v>88</v>
      </c>
      <c r="O203" s="700">
        <v>11.5</v>
      </c>
      <c r="P203" s="704">
        <v>11.12</v>
      </c>
      <c r="Q203" s="704" t="s">
        <v>88</v>
      </c>
      <c r="R203" s="705">
        <v>11.17</v>
      </c>
      <c r="S203" s="704"/>
      <c r="T203" s="704" t="s">
        <v>88</v>
      </c>
      <c r="U203" s="704"/>
      <c r="V203" s="704">
        <v>8.6300000000000008</v>
      </c>
    </row>
    <row r="204" spans="1:22" hidden="1">
      <c r="A204" s="113" t="s">
        <v>40</v>
      </c>
      <c r="B204" s="704">
        <v>5.07</v>
      </c>
      <c r="C204" s="704">
        <v>7.21</v>
      </c>
      <c r="D204" s="705">
        <v>9.7100000000000009</v>
      </c>
      <c r="E204" s="704">
        <v>9.84</v>
      </c>
      <c r="F204" s="743">
        <v>10.06</v>
      </c>
      <c r="G204" s="703">
        <v>6.72</v>
      </c>
      <c r="H204" s="704">
        <v>9.7899999999999991</v>
      </c>
      <c r="I204" s="740"/>
      <c r="J204" s="741" t="s">
        <v>88</v>
      </c>
      <c r="K204" s="742" t="s">
        <v>88</v>
      </c>
      <c r="L204" s="741" t="s">
        <v>88</v>
      </c>
      <c r="M204" s="741" t="s">
        <v>88</v>
      </c>
      <c r="N204" s="741" t="s">
        <v>88</v>
      </c>
      <c r="O204" s="700">
        <v>11.5</v>
      </c>
      <c r="P204" s="704">
        <v>11.03</v>
      </c>
      <c r="Q204" s="704" t="s">
        <v>88</v>
      </c>
      <c r="R204" s="705">
        <v>11.08</v>
      </c>
      <c r="S204" s="704"/>
      <c r="T204" s="704" t="s">
        <v>88</v>
      </c>
      <c r="U204" s="704"/>
      <c r="V204" s="704">
        <v>8.66</v>
      </c>
    </row>
    <row r="205" spans="1:22" hidden="1">
      <c r="A205" s="113" t="s">
        <v>41</v>
      </c>
      <c r="B205" s="704">
        <v>5.36</v>
      </c>
      <c r="C205" s="704">
        <v>7.2</v>
      </c>
      <c r="D205" s="705">
        <v>9.73</v>
      </c>
      <c r="E205" s="704">
        <v>10.08</v>
      </c>
      <c r="F205" s="743">
        <v>10.58</v>
      </c>
      <c r="G205" s="703">
        <v>6.48</v>
      </c>
      <c r="H205" s="704">
        <v>9.99</v>
      </c>
      <c r="I205" s="740"/>
      <c r="J205" s="741" t="s">
        <v>88</v>
      </c>
      <c r="K205" s="742" t="s">
        <v>88</v>
      </c>
      <c r="L205" s="741" t="s">
        <v>88</v>
      </c>
      <c r="M205" s="741" t="s">
        <v>88</v>
      </c>
      <c r="N205" s="741" t="s">
        <v>88</v>
      </c>
      <c r="O205" s="700">
        <v>11.5</v>
      </c>
      <c r="P205" s="704">
        <v>10.98</v>
      </c>
      <c r="Q205" s="704" t="s">
        <v>88</v>
      </c>
      <c r="R205" s="705">
        <v>11.07</v>
      </c>
      <c r="S205" s="704"/>
      <c r="T205" s="704" t="s">
        <v>88</v>
      </c>
      <c r="U205" s="704"/>
      <c r="V205" s="704">
        <v>8.86</v>
      </c>
    </row>
    <row r="206" spans="1:22" hidden="1">
      <c r="A206" s="113" t="s">
        <v>42</v>
      </c>
      <c r="B206" s="704">
        <v>5</v>
      </c>
      <c r="C206" s="704">
        <v>7.25</v>
      </c>
      <c r="D206" s="705">
        <v>9.6</v>
      </c>
      <c r="E206" s="704">
        <v>10.29</v>
      </c>
      <c r="F206" s="743">
        <v>10.8</v>
      </c>
      <c r="G206" s="703">
        <v>9.16</v>
      </c>
      <c r="H206" s="704">
        <v>10.08</v>
      </c>
      <c r="I206" s="740"/>
      <c r="J206" s="741" t="s">
        <v>88</v>
      </c>
      <c r="K206" s="742" t="s">
        <v>88</v>
      </c>
      <c r="L206" s="741" t="s">
        <v>88</v>
      </c>
      <c r="M206" s="741" t="s">
        <v>88</v>
      </c>
      <c r="N206" s="741" t="s">
        <v>88</v>
      </c>
      <c r="O206" s="700">
        <v>11.5</v>
      </c>
      <c r="P206" s="704">
        <v>9.66</v>
      </c>
      <c r="Q206" s="704" t="s">
        <v>88</v>
      </c>
      <c r="R206" s="705">
        <v>9.94</v>
      </c>
      <c r="S206" s="704"/>
      <c r="T206" s="704" t="s">
        <v>88</v>
      </c>
      <c r="U206" s="704"/>
      <c r="V206" s="704">
        <v>8.92</v>
      </c>
    </row>
    <row r="207" spans="1:22" hidden="1">
      <c r="A207" s="113" t="s">
        <v>43</v>
      </c>
      <c r="B207" s="704">
        <v>4.92</v>
      </c>
      <c r="C207" s="704">
        <v>7.21</v>
      </c>
      <c r="D207" s="705">
        <v>9.89</v>
      </c>
      <c r="E207" s="704">
        <v>10</v>
      </c>
      <c r="F207" s="743">
        <v>10.76</v>
      </c>
      <c r="G207" s="703">
        <v>9.9600000000000009</v>
      </c>
      <c r="H207" s="704">
        <v>10.039999999999999</v>
      </c>
      <c r="I207" s="740"/>
      <c r="J207" s="741" t="s">
        <v>88</v>
      </c>
      <c r="K207" s="742" t="s">
        <v>88</v>
      </c>
      <c r="L207" s="741" t="s">
        <v>88</v>
      </c>
      <c r="M207" s="741" t="s">
        <v>88</v>
      </c>
      <c r="N207" s="741" t="s">
        <v>88</v>
      </c>
      <c r="O207" s="700">
        <v>11.32</v>
      </c>
      <c r="P207" s="704">
        <v>9.6999999999999993</v>
      </c>
      <c r="Q207" s="704" t="s">
        <v>88</v>
      </c>
      <c r="R207" s="705">
        <v>10</v>
      </c>
      <c r="S207" s="704"/>
      <c r="T207" s="704" t="s">
        <v>88</v>
      </c>
      <c r="U207" s="704"/>
      <c r="V207" s="704">
        <v>8.8699999999999992</v>
      </c>
    </row>
    <row r="208" spans="1:22" hidden="1">
      <c r="A208" s="113" t="s">
        <v>44</v>
      </c>
      <c r="B208" s="704">
        <v>4.8600000000000003</v>
      </c>
      <c r="C208" s="704">
        <v>7.23</v>
      </c>
      <c r="D208" s="705">
        <v>9.6999999999999993</v>
      </c>
      <c r="E208" s="704">
        <v>10.1</v>
      </c>
      <c r="F208" s="743">
        <v>11.07</v>
      </c>
      <c r="G208" s="703">
        <v>10.83</v>
      </c>
      <c r="H208" s="704">
        <v>10.07</v>
      </c>
      <c r="I208" s="740"/>
      <c r="J208" s="741" t="s">
        <v>88</v>
      </c>
      <c r="K208" s="742" t="s">
        <v>88</v>
      </c>
      <c r="L208" s="741" t="s">
        <v>88</v>
      </c>
      <c r="M208" s="741" t="s">
        <v>88</v>
      </c>
      <c r="N208" s="741" t="s">
        <v>88</v>
      </c>
      <c r="O208" s="700">
        <v>11.5</v>
      </c>
      <c r="P208" s="704">
        <v>10.02</v>
      </c>
      <c r="Q208" s="704" t="s">
        <v>88</v>
      </c>
      <c r="R208" s="705">
        <v>10.25</v>
      </c>
      <c r="S208" s="704"/>
      <c r="T208" s="704" t="s">
        <v>88</v>
      </c>
      <c r="U208" s="704"/>
      <c r="V208" s="704">
        <v>8.9499999999999993</v>
      </c>
    </row>
    <row r="209" spans="1:22" hidden="1">
      <c r="A209" s="113" t="s">
        <v>45</v>
      </c>
      <c r="B209" s="704">
        <v>4.09</v>
      </c>
      <c r="C209" s="704">
        <v>7.23</v>
      </c>
      <c r="D209" s="705">
        <v>9.74</v>
      </c>
      <c r="E209" s="704">
        <v>10.27</v>
      </c>
      <c r="F209" s="743">
        <v>10.82</v>
      </c>
      <c r="G209" s="703">
        <v>8.0299999999999994</v>
      </c>
      <c r="H209" s="704">
        <v>10.11</v>
      </c>
      <c r="I209" s="740"/>
      <c r="J209" s="741" t="s">
        <v>88</v>
      </c>
      <c r="K209" s="742" t="s">
        <v>88</v>
      </c>
      <c r="L209" s="741" t="s">
        <v>88</v>
      </c>
      <c r="M209" s="741" t="s">
        <v>88</v>
      </c>
      <c r="N209" s="741" t="s">
        <v>88</v>
      </c>
      <c r="O209" s="700">
        <v>11.5</v>
      </c>
      <c r="P209" s="704">
        <v>10.52</v>
      </c>
      <c r="Q209" s="704" t="s">
        <v>88</v>
      </c>
      <c r="R209" s="705">
        <v>10.7</v>
      </c>
      <c r="S209" s="704"/>
      <c r="T209" s="704" t="s">
        <v>88</v>
      </c>
      <c r="U209" s="704"/>
      <c r="V209" s="704">
        <v>8.6999999999999993</v>
      </c>
    </row>
    <row r="210" spans="1:22" hidden="1">
      <c r="A210" s="113" t="s">
        <v>46</v>
      </c>
      <c r="B210" s="704">
        <v>4.4400000000000004</v>
      </c>
      <c r="C210" s="704">
        <v>7.44</v>
      </c>
      <c r="D210" s="705">
        <v>9.58</v>
      </c>
      <c r="E210" s="704">
        <v>10.33</v>
      </c>
      <c r="F210" s="743">
        <v>11.17</v>
      </c>
      <c r="G210" s="703">
        <v>10.15</v>
      </c>
      <c r="H210" s="704">
        <v>10.15</v>
      </c>
      <c r="I210" s="740"/>
      <c r="J210" s="741" t="s">
        <v>88</v>
      </c>
      <c r="K210" s="742" t="s">
        <v>88</v>
      </c>
      <c r="L210" s="741" t="s">
        <v>88</v>
      </c>
      <c r="M210" s="741" t="s">
        <v>88</v>
      </c>
      <c r="N210" s="741" t="s">
        <v>88</v>
      </c>
      <c r="O210" s="700">
        <v>11.5</v>
      </c>
      <c r="P210" s="704">
        <v>10.52</v>
      </c>
      <c r="Q210" s="704" t="s">
        <v>88</v>
      </c>
      <c r="R210" s="705">
        <v>10.7</v>
      </c>
      <c r="S210" s="704"/>
      <c r="T210" s="704" t="s">
        <v>88</v>
      </c>
      <c r="U210" s="704"/>
      <c r="V210" s="704">
        <v>8.9499999999999993</v>
      </c>
    </row>
    <row r="211" spans="1:22" hidden="1">
      <c r="A211" s="113" t="s">
        <v>47</v>
      </c>
      <c r="B211" s="704">
        <v>4.47</v>
      </c>
      <c r="C211" s="704">
        <v>7.21</v>
      </c>
      <c r="D211" s="705">
        <v>10.01</v>
      </c>
      <c r="E211" s="704">
        <v>10.18</v>
      </c>
      <c r="F211" s="743">
        <v>10.71</v>
      </c>
      <c r="G211" s="703">
        <v>8.6</v>
      </c>
      <c r="H211" s="704">
        <v>10.119999999999999</v>
      </c>
      <c r="I211" s="740"/>
      <c r="J211" s="741" t="s">
        <v>88</v>
      </c>
      <c r="K211" s="742" t="s">
        <v>88</v>
      </c>
      <c r="L211" s="741" t="s">
        <v>88</v>
      </c>
      <c r="M211" s="741" t="s">
        <v>88</v>
      </c>
      <c r="N211" s="741" t="s">
        <v>88</v>
      </c>
      <c r="O211" s="700">
        <v>11.5</v>
      </c>
      <c r="P211" s="704">
        <v>10.77</v>
      </c>
      <c r="Q211" s="704" t="s">
        <v>88</v>
      </c>
      <c r="R211" s="705">
        <v>10.84</v>
      </c>
      <c r="S211" s="704"/>
      <c r="T211" s="704" t="s">
        <v>88</v>
      </c>
      <c r="U211" s="704"/>
      <c r="V211" s="704">
        <v>8.94</v>
      </c>
    </row>
    <row r="212" spans="1:22" hidden="1">
      <c r="A212" s="113" t="s">
        <v>48</v>
      </c>
      <c r="B212" s="704">
        <v>4.4400000000000004</v>
      </c>
      <c r="C212" s="704">
        <v>7.43</v>
      </c>
      <c r="D212" s="705">
        <v>10.039999999999999</v>
      </c>
      <c r="E212" s="704">
        <v>10.31</v>
      </c>
      <c r="F212" s="743">
        <v>10.71</v>
      </c>
      <c r="G212" s="703">
        <v>5.37</v>
      </c>
      <c r="H212" s="704">
        <v>10.23</v>
      </c>
      <c r="I212" s="740"/>
      <c r="J212" s="741" t="s">
        <v>88</v>
      </c>
      <c r="K212" s="742" t="s">
        <v>88</v>
      </c>
      <c r="L212" s="741" t="s">
        <v>88</v>
      </c>
      <c r="M212" s="741" t="s">
        <v>88</v>
      </c>
      <c r="N212" s="741" t="s">
        <v>88</v>
      </c>
      <c r="O212" s="700">
        <v>11.5</v>
      </c>
      <c r="P212" s="704">
        <v>10.73</v>
      </c>
      <c r="Q212" s="704" t="s">
        <v>88</v>
      </c>
      <c r="R212" s="705">
        <v>10.8</v>
      </c>
      <c r="S212" s="704"/>
      <c r="T212" s="704" t="s">
        <v>88</v>
      </c>
      <c r="U212" s="704"/>
      <c r="V212" s="704">
        <v>8.94</v>
      </c>
    </row>
    <row r="213" spans="1:22" hidden="1">
      <c r="A213" s="113" t="s">
        <v>49</v>
      </c>
      <c r="B213" s="704">
        <v>5.41</v>
      </c>
      <c r="C213" s="704">
        <v>7.18</v>
      </c>
      <c r="D213" s="705">
        <v>10.039999999999999</v>
      </c>
      <c r="E213" s="704">
        <v>10.18</v>
      </c>
      <c r="F213" s="743">
        <v>10.85</v>
      </c>
      <c r="G213" s="703">
        <v>5.38</v>
      </c>
      <c r="H213" s="704">
        <v>10.16</v>
      </c>
      <c r="I213" s="740"/>
      <c r="J213" s="741" t="s">
        <v>88</v>
      </c>
      <c r="K213" s="742" t="s">
        <v>88</v>
      </c>
      <c r="L213" s="741" t="s">
        <v>88</v>
      </c>
      <c r="M213" s="741" t="s">
        <v>88</v>
      </c>
      <c r="N213" s="741" t="s">
        <v>88</v>
      </c>
      <c r="O213" s="700">
        <v>9.42</v>
      </c>
      <c r="P213" s="704">
        <v>10.74</v>
      </c>
      <c r="Q213" s="704" t="s">
        <v>88</v>
      </c>
      <c r="R213" s="705">
        <v>10.62</v>
      </c>
      <c r="S213" s="704"/>
      <c r="T213" s="704" t="s">
        <v>88</v>
      </c>
      <c r="U213" s="704"/>
      <c r="V213" s="704">
        <v>8.99</v>
      </c>
    </row>
    <row r="214" spans="1:22" hidden="1">
      <c r="A214" s="113" t="s">
        <v>50</v>
      </c>
      <c r="B214" s="704">
        <v>5.32</v>
      </c>
      <c r="C214" s="704">
        <v>7.18</v>
      </c>
      <c r="D214" s="705">
        <v>9.8699999999999992</v>
      </c>
      <c r="E214" s="704">
        <v>10.37</v>
      </c>
      <c r="F214" s="743">
        <v>10.92</v>
      </c>
      <c r="G214" s="703">
        <v>5.44</v>
      </c>
      <c r="H214" s="704">
        <v>10.199999999999999</v>
      </c>
      <c r="I214" s="740"/>
      <c r="J214" s="741" t="s">
        <v>88</v>
      </c>
      <c r="K214" s="742" t="s">
        <v>88</v>
      </c>
      <c r="L214" s="741" t="s">
        <v>88</v>
      </c>
      <c r="M214" s="741" t="s">
        <v>88</v>
      </c>
      <c r="N214" s="741" t="s">
        <v>88</v>
      </c>
      <c r="O214" s="700">
        <v>11.5</v>
      </c>
      <c r="P214" s="704">
        <v>10.56</v>
      </c>
      <c r="Q214" s="704" t="s">
        <v>88</v>
      </c>
      <c r="R214" s="705">
        <v>10.62</v>
      </c>
      <c r="S214" s="704"/>
      <c r="T214" s="704" t="s">
        <v>88</v>
      </c>
      <c r="U214" s="704"/>
      <c r="V214" s="704">
        <v>8.9700000000000006</v>
      </c>
    </row>
    <row r="215" spans="1:22" hidden="1">
      <c r="A215" s="142"/>
      <c r="B215" s="704"/>
      <c r="C215" s="704"/>
      <c r="D215" s="705"/>
      <c r="E215" s="704"/>
      <c r="F215" s="743"/>
      <c r="G215" s="703"/>
      <c r="H215" s="704"/>
      <c r="I215" s="740"/>
      <c r="J215" s="741"/>
      <c r="K215" s="742"/>
      <c r="L215" s="741"/>
      <c r="M215" s="741"/>
      <c r="N215" s="741"/>
      <c r="O215" s="700"/>
      <c r="P215" s="704"/>
      <c r="Q215" s="704"/>
      <c r="R215" s="705"/>
      <c r="S215" s="704"/>
      <c r="T215" s="704"/>
      <c r="U215" s="704"/>
      <c r="V215" s="704"/>
    </row>
    <row r="216" spans="1:22" hidden="1">
      <c r="A216" s="113" t="s">
        <v>54</v>
      </c>
      <c r="B216" s="704">
        <v>5.35</v>
      </c>
      <c r="C216" s="704">
        <v>7.31</v>
      </c>
      <c r="D216" s="705">
        <v>10.06</v>
      </c>
      <c r="E216" s="704">
        <v>10.33</v>
      </c>
      <c r="F216" s="743">
        <v>10.96</v>
      </c>
      <c r="G216" s="703">
        <v>5.41</v>
      </c>
      <c r="H216" s="704">
        <v>10.24</v>
      </c>
      <c r="I216" s="740"/>
      <c r="J216" s="741" t="s">
        <v>88</v>
      </c>
      <c r="K216" s="742" t="s">
        <v>88</v>
      </c>
      <c r="L216" s="741" t="s">
        <v>88</v>
      </c>
      <c r="M216" s="741" t="s">
        <v>88</v>
      </c>
      <c r="N216" s="741" t="s">
        <v>88</v>
      </c>
      <c r="O216" s="700">
        <v>11.5</v>
      </c>
      <c r="P216" s="704">
        <v>10.51</v>
      </c>
      <c r="Q216" s="704" t="s">
        <v>88</v>
      </c>
      <c r="R216" s="705">
        <v>10.56</v>
      </c>
      <c r="S216" s="704"/>
      <c r="T216" s="704" t="s">
        <v>88</v>
      </c>
      <c r="U216" s="704"/>
      <c r="V216" s="704">
        <v>9.08</v>
      </c>
    </row>
    <row r="217" spans="1:22" hidden="1">
      <c r="A217" s="113" t="s">
        <v>40</v>
      </c>
      <c r="B217" s="704">
        <v>5.19</v>
      </c>
      <c r="C217" s="704">
        <v>7.43</v>
      </c>
      <c r="D217" s="705">
        <v>9.9499999999999993</v>
      </c>
      <c r="E217" s="704">
        <v>10.39</v>
      </c>
      <c r="F217" s="743">
        <v>11.14</v>
      </c>
      <c r="G217" s="703">
        <v>5.55</v>
      </c>
      <c r="H217" s="704">
        <v>10.24</v>
      </c>
      <c r="I217" s="740"/>
      <c r="J217" s="741" t="s">
        <v>88</v>
      </c>
      <c r="K217" s="742" t="s">
        <v>88</v>
      </c>
      <c r="L217" s="741" t="s">
        <v>88</v>
      </c>
      <c r="M217" s="741" t="s">
        <v>88</v>
      </c>
      <c r="N217" s="741" t="s">
        <v>88</v>
      </c>
      <c r="O217" s="700">
        <v>11.5</v>
      </c>
      <c r="P217" s="704">
        <v>10.7</v>
      </c>
      <c r="Q217" s="704" t="s">
        <v>88</v>
      </c>
      <c r="R217" s="705">
        <v>10.74</v>
      </c>
      <c r="S217" s="704"/>
      <c r="T217" s="704" t="s">
        <v>88</v>
      </c>
      <c r="U217" s="704"/>
      <c r="V217" s="704">
        <v>9.1199999999999992</v>
      </c>
    </row>
    <row r="218" spans="1:22" hidden="1">
      <c r="A218" s="113" t="s">
        <v>41</v>
      </c>
      <c r="B218" s="704">
        <v>5.0999999999999996</v>
      </c>
      <c r="C218" s="704">
        <v>7.29</v>
      </c>
      <c r="D218" s="705">
        <v>9.89</v>
      </c>
      <c r="E218" s="704">
        <v>10.15</v>
      </c>
      <c r="F218" s="743">
        <v>11.01</v>
      </c>
      <c r="G218" s="703">
        <v>5.51</v>
      </c>
      <c r="H218" s="704">
        <v>10.09</v>
      </c>
      <c r="I218" s="740"/>
      <c r="J218" s="741" t="s">
        <v>88</v>
      </c>
      <c r="K218" s="742" t="s">
        <v>88</v>
      </c>
      <c r="L218" s="741" t="s">
        <v>88</v>
      </c>
      <c r="M218" s="741" t="s">
        <v>88</v>
      </c>
      <c r="N218" s="741" t="s">
        <v>88</v>
      </c>
      <c r="O218" s="700">
        <v>11.5</v>
      </c>
      <c r="P218" s="704">
        <v>10.54</v>
      </c>
      <c r="Q218" s="704" t="s">
        <v>88</v>
      </c>
      <c r="R218" s="705">
        <v>10.6</v>
      </c>
      <c r="S218" s="704"/>
      <c r="T218" s="704" t="s">
        <v>88</v>
      </c>
      <c r="U218" s="704"/>
      <c r="V218" s="704">
        <v>8.9499999999999993</v>
      </c>
    </row>
    <row r="219" spans="1:22" hidden="1">
      <c r="A219" s="113" t="s">
        <v>42</v>
      </c>
      <c r="B219" s="704">
        <v>5.17</v>
      </c>
      <c r="C219" s="704">
        <v>7.37</v>
      </c>
      <c r="D219" s="705">
        <v>10.029999999999999</v>
      </c>
      <c r="E219" s="704">
        <v>10.31</v>
      </c>
      <c r="F219" s="743">
        <v>11.08</v>
      </c>
      <c r="G219" s="703">
        <v>5.53</v>
      </c>
      <c r="H219" s="704">
        <v>10.25</v>
      </c>
      <c r="I219" s="740"/>
      <c r="J219" s="741" t="s">
        <v>88</v>
      </c>
      <c r="K219" s="742" t="s">
        <v>88</v>
      </c>
      <c r="L219" s="741" t="s">
        <v>88</v>
      </c>
      <c r="M219" s="741" t="s">
        <v>88</v>
      </c>
      <c r="N219" s="741" t="s">
        <v>88</v>
      </c>
      <c r="O219" s="700">
        <v>11.5</v>
      </c>
      <c r="P219" s="704">
        <v>10.66</v>
      </c>
      <c r="Q219" s="704" t="s">
        <v>88</v>
      </c>
      <c r="R219" s="705">
        <v>10.7</v>
      </c>
      <c r="S219" s="704"/>
      <c r="T219" s="704" t="s">
        <v>88</v>
      </c>
      <c r="U219" s="704"/>
      <c r="V219" s="704">
        <v>9.06</v>
      </c>
    </row>
    <row r="220" spans="1:22" hidden="1">
      <c r="A220" s="113" t="s">
        <v>43</v>
      </c>
      <c r="B220" s="704">
        <v>5.34</v>
      </c>
      <c r="C220" s="704">
        <v>7.36</v>
      </c>
      <c r="D220" s="705">
        <v>9.6300000000000008</v>
      </c>
      <c r="E220" s="704">
        <v>10.23</v>
      </c>
      <c r="F220" s="743">
        <v>11.37</v>
      </c>
      <c r="G220" s="703">
        <v>5.6</v>
      </c>
      <c r="H220" s="704">
        <v>10.06</v>
      </c>
      <c r="I220" s="740"/>
      <c r="J220" s="741" t="s">
        <v>88</v>
      </c>
      <c r="K220" s="742" t="s">
        <v>88</v>
      </c>
      <c r="L220" s="741" t="s">
        <v>88</v>
      </c>
      <c r="M220" s="741" t="s">
        <v>88</v>
      </c>
      <c r="N220" s="741" t="s">
        <v>88</v>
      </c>
      <c r="O220" s="700">
        <v>11.5</v>
      </c>
      <c r="P220" s="704">
        <v>10.77</v>
      </c>
      <c r="Q220" s="704" t="s">
        <v>88</v>
      </c>
      <c r="R220" s="705">
        <v>10.81</v>
      </c>
      <c r="S220" s="704"/>
      <c r="T220" s="704" t="s">
        <v>88</v>
      </c>
      <c r="U220" s="704"/>
      <c r="V220" s="704">
        <v>8.9499999999999993</v>
      </c>
    </row>
    <row r="221" spans="1:22" hidden="1">
      <c r="A221" s="113" t="s">
        <v>44</v>
      </c>
      <c r="B221" s="704">
        <v>5.55</v>
      </c>
      <c r="C221" s="704">
        <v>7.37</v>
      </c>
      <c r="D221" s="705">
        <v>9.64</v>
      </c>
      <c r="E221" s="704">
        <v>10.28</v>
      </c>
      <c r="F221" s="743">
        <v>11.29</v>
      </c>
      <c r="G221" s="703">
        <v>5.9</v>
      </c>
      <c r="H221" s="704">
        <v>10.08</v>
      </c>
      <c r="I221" s="740"/>
      <c r="J221" s="741" t="s">
        <v>88</v>
      </c>
      <c r="K221" s="742" t="s">
        <v>88</v>
      </c>
      <c r="L221" s="741" t="s">
        <v>88</v>
      </c>
      <c r="M221" s="741" t="s">
        <v>88</v>
      </c>
      <c r="N221" s="741" t="s">
        <v>88</v>
      </c>
      <c r="O221" s="700">
        <v>11.5</v>
      </c>
      <c r="P221" s="704">
        <v>10.45</v>
      </c>
      <c r="Q221" s="704" t="s">
        <v>88</v>
      </c>
      <c r="R221" s="705">
        <v>10.5</v>
      </c>
      <c r="S221" s="704"/>
      <c r="T221" s="704" t="s">
        <v>88</v>
      </c>
      <c r="U221" s="704"/>
      <c r="V221" s="704">
        <v>9.0399999999999991</v>
      </c>
    </row>
    <row r="222" spans="1:22" hidden="1">
      <c r="A222" s="113" t="s">
        <v>45</v>
      </c>
      <c r="B222" s="704">
        <v>5.9</v>
      </c>
      <c r="C222" s="704">
        <v>7.29</v>
      </c>
      <c r="D222" s="705">
        <v>9.68</v>
      </c>
      <c r="E222" s="704">
        <v>10.34</v>
      </c>
      <c r="F222" s="743">
        <v>11.34</v>
      </c>
      <c r="G222" s="703">
        <v>6.26</v>
      </c>
      <c r="H222" s="704">
        <v>10.130000000000001</v>
      </c>
      <c r="I222" s="740"/>
      <c r="J222" s="741" t="s">
        <v>88</v>
      </c>
      <c r="K222" s="742" t="s">
        <v>88</v>
      </c>
      <c r="L222" s="741" t="s">
        <v>88</v>
      </c>
      <c r="M222" s="741" t="s">
        <v>88</v>
      </c>
      <c r="N222" s="741" t="s">
        <v>88</v>
      </c>
      <c r="O222" s="700">
        <v>11.5</v>
      </c>
      <c r="P222" s="704">
        <v>10.45</v>
      </c>
      <c r="Q222" s="704" t="s">
        <v>88</v>
      </c>
      <c r="R222" s="705">
        <v>10.5</v>
      </c>
      <c r="S222" s="704"/>
      <c r="T222" s="704" t="s">
        <v>88</v>
      </c>
      <c r="U222" s="704"/>
      <c r="V222" s="704">
        <v>9.0500000000000007</v>
      </c>
    </row>
    <row r="223" spans="1:22" hidden="1">
      <c r="A223" s="113" t="s">
        <v>46</v>
      </c>
      <c r="B223" s="704">
        <v>5.56</v>
      </c>
      <c r="C223" s="704">
        <v>7.37</v>
      </c>
      <c r="D223" s="705">
        <v>9.75</v>
      </c>
      <c r="E223" s="704">
        <v>10.35</v>
      </c>
      <c r="F223" s="743">
        <v>11.47</v>
      </c>
      <c r="G223" s="703">
        <v>7.41</v>
      </c>
      <c r="H223" s="704">
        <v>10.16</v>
      </c>
      <c r="I223" s="740"/>
      <c r="J223" s="741" t="s">
        <v>88</v>
      </c>
      <c r="K223" s="742" t="s">
        <v>88</v>
      </c>
      <c r="L223" s="741" t="s">
        <v>88</v>
      </c>
      <c r="M223" s="741" t="s">
        <v>88</v>
      </c>
      <c r="N223" s="741" t="s">
        <v>88</v>
      </c>
      <c r="O223" s="700">
        <v>11.5</v>
      </c>
      <c r="P223" s="704">
        <v>10.42</v>
      </c>
      <c r="Q223" s="704" t="s">
        <v>88</v>
      </c>
      <c r="R223" s="705">
        <v>10.47</v>
      </c>
      <c r="S223" s="704"/>
      <c r="T223" s="704" t="s">
        <v>88</v>
      </c>
      <c r="U223" s="704"/>
      <c r="V223" s="704">
        <v>9.09</v>
      </c>
    </row>
    <row r="224" spans="1:22" hidden="1">
      <c r="A224" s="113" t="s">
        <v>47</v>
      </c>
      <c r="B224" s="704">
        <v>5.66</v>
      </c>
      <c r="C224" s="704">
        <v>7.38</v>
      </c>
      <c r="D224" s="705">
        <v>9.2799999999999994</v>
      </c>
      <c r="E224" s="704">
        <v>10.26</v>
      </c>
      <c r="F224" s="743">
        <v>11.33</v>
      </c>
      <c r="G224" s="703">
        <v>8.4499999999999993</v>
      </c>
      <c r="H224" s="704">
        <v>9.9700000000000006</v>
      </c>
      <c r="I224" s="740"/>
      <c r="J224" s="741" t="s">
        <v>88</v>
      </c>
      <c r="K224" s="742" t="s">
        <v>88</v>
      </c>
      <c r="L224" s="741" t="s">
        <v>88</v>
      </c>
      <c r="M224" s="741" t="s">
        <v>88</v>
      </c>
      <c r="N224" s="741" t="s">
        <v>88</v>
      </c>
      <c r="O224" s="700">
        <v>11.5</v>
      </c>
      <c r="P224" s="704">
        <v>10.3</v>
      </c>
      <c r="Q224" s="704" t="s">
        <v>88</v>
      </c>
      <c r="R224" s="705">
        <v>10.38</v>
      </c>
      <c r="S224" s="704"/>
      <c r="T224" s="704" t="s">
        <v>88</v>
      </c>
      <c r="U224" s="704"/>
      <c r="V224" s="704">
        <v>9.0500000000000007</v>
      </c>
    </row>
    <row r="225" spans="1:22" hidden="1">
      <c r="A225" s="113" t="s">
        <v>48</v>
      </c>
      <c r="B225" s="704">
        <v>6.02</v>
      </c>
      <c r="C225" s="704">
        <v>7.32</v>
      </c>
      <c r="D225" s="705">
        <v>9.56</v>
      </c>
      <c r="E225" s="704">
        <v>10.14</v>
      </c>
      <c r="F225" s="743">
        <v>11.21</v>
      </c>
      <c r="G225" s="703">
        <v>8.59</v>
      </c>
      <c r="H225" s="704">
        <v>10</v>
      </c>
      <c r="I225" s="740"/>
      <c r="J225" s="741" t="s">
        <v>88</v>
      </c>
      <c r="K225" s="742" t="s">
        <v>88</v>
      </c>
      <c r="L225" s="741" t="s">
        <v>88</v>
      </c>
      <c r="M225" s="741" t="s">
        <v>88</v>
      </c>
      <c r="N225" s="741" t="s">
        <v>88</v>
      </c>
      <c r="O225" s="700">
        <v>11.5</v>
      </c>
      <c r="P225" s="704">
        <v>10.48</v>
      </c>
      <c r="Q225" s="704" t="s">
        <v>88</v>
      </c>
      <c r="R225" s="705">
        <v>10.53</v>
      </c>
      <c r="S225" s="704"/>
      <c r="T225" s="704" t="s">
        <v>88</v>
      </c>
      <c r="U225" s="704"/>
      <c r="V225" s="704">
        <v>8.89</v>
      </c>
    </row>
    <row r="226" spans="1:22" hidden="1">
      <c r="A226" s="113" t="s">
        <v>49</v>
      </c>
      <c r="B226" s="704">
        <v>5.57</v>
      </c>
      <c r="C226" s="704">
        <v>7.35</v>
      </c>
      <c r="D226" s="705">
        <v>9.58</v>
      </c>
      <c r="E226" s="704">
        <v>10.15</v>
      </c>
      <c r="F226" s="743">
        <v>11.32</v>
      </c>
      <c r="G226" s="703">
        <v>8.51</v>
      </c>
      <c r="H226" s="704">
        <v>10.01</v>
      </c>
      <c r="I226" s="740"/>
      <c r="J226" s="741" t="s">
        <v>88</v>
      </c>
      <c r="K226" s="742" t="s">
        <v>88</v>
      </c>
      <c r="L226" s="741" t="s">
        <v>88</v>
      </c>
      <c r="M226" s="741" t="s">
        <v>88</v>
      </c>
      <c r="N226" s="741" t="s">
        <v>88</v>
      </c>
      <c r="O226" s="700">
        <v>11.5</v>
      </c>
      <c r="P226" s="704">
        <v>10.43</v>
      </c>
      <c r="Q226" s="704" t="s">
        <v>88</v>
      </c>
      <c r="R226" s="705">
        <v>10.48</v>
      </c>
      <c r="S226" s="704"/>
      <c r="T226" s="704" t="s">
        <v>88</v>
      </c>
      <c r="U226" s="704"/>
      <c r="V226" s="704">
        <v>9.02</v>
      </c>
    </row>
    <row r="227" spans="1:22" hidden="1">
      <c r="A227" s="113" t="s">
        <v>50</v>
      </c>
      <c r="B227" s="704">
        <v>5.23</v>
      </c>
      <c r="C227" s="704">
        <v>7.34</v>
      </c>
      <c r="D227" s="705">
        <v>9.33</v>
      </c>
      <c r="E227" s="704">
        <v>10.11</v>
      </c>
      <c r="F227" s="743">
        <v>11.32</v>
      </c>
      <c r="G227" s="703">
        <v>8.5399999999999991</v>
      </c>
      <c r="H227" s="704">
        <v>9.91</v>
      </c>
      <c r="I227" s="740"/>
      <c r="J227" s="741" t="s">
        <v>88</v>
      </c>
      <c r="K227" s="742" t="s">
        <v>88</v>
      </c>
      <c r="L227" s="741" t="s">
        <v>88</v>
      </c>
      <c r="M227" s="741" t="s">
        <v>88</v>
      </c>
      <c r="N227" s="741" t="s">
        <v>88</v>
      </c>
      <c r="O227" s="700">
        <v>11.5</v>
      </c>
      <c r="P227" s="704">
        <v>10.44</v>
      </c>
      <c r="Q227" s="704" t="s">
        <v>88</v>
      </c>
      <c r="R227" s="705">
        <v>10.49</v>
      </c>
      <c r="S227" s="704"/>
      <c r="T227" s="704" t="s">
        <v>88</v>
      </c>
      <c r="U227" s="704"/>
      <c r="V227" s="704">
        <v>8.8000000000000007</v>
      </c>
    </row>
    <row r="228" spans="1:22" hidden="1">
      <c r="A228" s="113"/>
      <c r="B228" s="704"/>
      <c r="C228" s="704"/>
      <c r="D228" s="705"/>
      <c r="E228" s="704"/>
      <c r="F228" s="743"/>
      <c r="G228" s="703"/>
      <c r="H228" s="704"/>
      <c r="I228" s="740"/>
      <c r="J228" s="741"/>
      <c r="K228" s="742"/>
      <c r="L228" s="741"/>
      <c r="M228" s="741"/>
      <c r="N228" s="741"/>
      <c r="O228" s="700"/>
      <c r="P228" s="704"/>
      <c r="Q228" s="704"/>
      <c r="R228" s="705"/>
      <c r="S228" s="704"/>
      <c r="T228" s="704"/>
      <c r="U228" s="704"/>
      <c r="V228" s="704"/>
    </row>
    <row r="229" spans="1:22" hidden="1">
      <c r="A229" s="113" t="s">
        <v>51</v>
      </c>
      <c r="B229" s="704">
        <v>4.04</v>
      </c>
      <c r="C229" s="704">
        <v>6.66</v>
      </c>
      <c r="D229" s="705">
        <v>8.85</v>
      </c>
      <c r="E229" s="704">
        <v>10.14</v>
      </c>
      <c r="F229" s="743">
        <v>11.18</v>
      </c>
      <c r="G229" s="703">
        <v>8.56</v>
      </c>
      <c r="H229" s="704">
        <v>9.81</v>
      </c>
      <c r="I229" s="740"/>
      <c r="J229" s="741" t="s">
        <v>88</v>
      </c>
      <c r="K229" s="742" t="s">
        <v>88</v>
      </c>
      <c r="L229" s="741" t="s">
        <v>88</v>
      </c>
      <c r="M229" s="741" t="s">
        <v>88</v>
      </c>
      <c r="N229" s="741" t="s">
        <v>88</v>
      </c>
      <c r="O229" s="700">
        <v>11.5</v>
      </c>
      <c r="P229" s="704">
        <v>10.39</v>
      </c>
      <c r="Q229" s="704" t="s">
        <v>88</v>
      </c>
      <c r="R229" s="705">
        <v>10.45</v>
      </c>
      <c r="S229" s="704"/>
      <c r="T229" s="704" t="s">
        <v>88</v>
      </c>
      <c r="U229" s="704"/>
      <c r="V229" s="704">
        <v>8.58</v>
      </c>
    </row>
    <row r="230" spans="1:22" hidden="1">
      <c r="A230" s="113" t="s">
        <v>52</v>
      </c>
      <c r="B230" s="704">
        <v>3.96</v>
      </c>
      <c r="C230" s="704">
        <v>6.69</v>
      </c>
      <c r="D230" s="705">
        <v>8.67</v>
      </c>
      <c r="E230" s="704">
        <v>10.210000000000001</v>
      </c>
      <c r="F230" s="743">
        <v>11.18</v>
      </c>
      <c r="G230" s="703">
        <v>8.4700000000000006</v>
      </c>
      <c r="H230" s="704">
        <v>9.77</v>
      </c>
      <c r="I230" s="740"/>
      <c r="J230" s="741" t="s">
        <v>88</v>
      </c>
      <c r="K230" s="742" t="s">
        <v>88</v>
      </c>
      <c r="L230" s="741" t="s">
        <v>88</v>
      </c>
      <c r="M230" s="741" t="s">
        <v>88</v>
      </c>
      <c r="N230" s="741" t="s">
        <v>88</v>
      </c>
      <c r="O230" s="700">
        <v>11.5</v>
      </c>
      <c r="P230" s="704">
        <v>10.53</v>
      </c>
      <c r="Q230" s="704" t="s">
        <v>88</v>
      </c>
      <c r="R230" s="705">
        <v>10.57</v>
      </c>
      <c r="S230" s="704"/>
      <c r="T230" s="704" t="s">
        <v>88</v>
      </c>
      <c r="U230" s="704"/>
      <c r="V230" s="704">
        <v>8.5399999999999991</v>
      </c>
    </row>
    <row r="231" spans="1:22" hidden="1">
      <c r="A231" s="113" t="s">
        <v>53</v>
      </c>
      <c r="B231" s="704">
        <v>4.16</v>
      </c>
      <c r="C231" s="704">
        <v>6.7</v>
      </c>
      <c r="D231" s="705">
        <v>8.6300000000000008</v>
      </c>
      <c r="E231" s="704">
        <v>9.9</v>
      </c>
      <c r="F231" s="743">
        <v>11.17</v>
      </c>
      <c r="G231" s="703">
        <v>8.25</v>
      </c>
      <c r="H231" s="704">
        <v>9.67</v>
      </c>
      <c r="I231" s="740"/>
      <c r="J231" s="741" t="s">
        <v>88</v>
      </c>
      <c r="K231" s="742" t="s">
        <v>88</v>
      </c>
      <c r="L231" s="741" t="s">
        <v>88</v>
      </c>
      <c r="M231" s="741" t="s">
        <v>88</v>
      </c>
      <c r="N231" s="741" t="s">
        <v>88</v>
      </c>
      <c r="O231" s="700">
        <v>11.5</v>
      </c>
      <c r="P231" s="704">
        <v>9.58</v>
      </c>
      <c r="Q231" s="704" t="s">
        <v>88</v>
      </c>
      <c r="R231" s="705">
        <v>9.6300000000000008</v>
      </c>
      <c r="S231" s="704"/>
      <c r="T231" s="704" t="s">
        <v>88</v>
      </c>
      <c r="U231" s="704"/>
      <c r="V231" s="704">
        <v>8.6</v>
      </c>
    </row>
    <row r="232" spans="1:22" hidden="1">
      <c r="A232" s="113" t="s">
        <v>604</v>
      </c>
      <c r="B232" s="704">
        <v>4.16</v>
      </c>
      <c r="C232" s="704">
        <v>6.82</v>
      </c>
      <c r="D232" s="705">
        <v>8.86</v>
      </c>
      <c r="E232" s="704">
        <v>9.83</v>
      </c>
      <c r="F232" s="743">
        <v>11.2</v>
      </c>
      <c r="G232" s="703">
        <v>8.5</v>
      </c>
      <c r="H232" s="704">
        <v>9.6999999999999993</v>
      </c>
      <c r="I232" s="740"/>
      <c r="J232" s="741" t="s">
        <v>88</v>
      </c>
      <c r="K232" s="742" t="s">
        <v>88</v>
      </c>
      <c r="L232" s="741" t="s">
        <v>88</v>
      </c>
      <c r="M232" s="741" t="s">
        <v>88</v>
      </c>
      <c r="N232" s="741" t="s">
        <v>88</v>
      </c>
      <c r="O232" s="700">
        <v>11.5</v>
      </c>
      <c r="P232" s="704">
        <v>9.58</v>
      </c>
      <c r="Q232" s="704" t="s">
        <v>88</v>
      </c>
      <c r="R232" s="705">
        <v>9.6300000000000008</v>
      </c>
      <c r="S232" s="704"/>
      <c r="T232" s="704" t="s">
        <v>88</v>
      </c>
      <c r="U232" s="704"/>
      <c r="V232" s="704">
        <v>8.67</v>
      </c>
    </row>
    <row r="233" spans="1:22" hidden="1">
      <c r="A233" s="113" t="s">
        <v>611</v>
      </c>
      <c r="B233" s="704">
        <v>4.25</v>
      </c>
      <c r="C233" s="704">
        <v>6.84</v>
      </c>
      <c r="D233" s="705">
        <v>8.86</v>
      </c>
      <c r="E233" s="704">
        <v>9.8000000000000007</v>
      </c>
      <c r="F233" s="743">
        <v>11.17</v>
      </c>
      <c r="G233" s="703">
        <v>8.49</v>
      </c>
      <c r="H233" s="704">
        <v>9.68</v>
      </c>
      <c r="I233" s="740"/>
      <c r="J233" s="741" t="s">
        <v>88</v>
      </c>
      <c r="K233" s="742" t="s">
        <v>88</v>
      </c>
      <c r="L233" s="741" t="s">
        <v>88</v>
      </c>
      <c r="M233" s="741" t="s">
        <v>88</v>
      </c>
      <c r="N233" s="741" t="s">
        <v>88</v>
      </c>
      <c r="O233" s="700">
        <v>11.5</v>
      </c>
      <c r="P233" s="704">
        <v>9.58</v>
      </c>
      <c r="Q233" s="704" t="s">
        <v>88</v>
      </c>
      <c r="R233" s="705">
        <v>9.64</v>
      </c>
      <c r="S233" s="704"/>
      <c r="T233" s="704" t="s">
        <v>88</v>
      </c>
      <c r="U233" s="704"/>
      <c r="V233" s="704">
        <v>8.64</v>
      </c>
    </row>
    <row r="234" spans="1:22" hidden="1">
      <c r="A234" s="113" t="s">
        <v>44</v>
      </c>
      <c r="B234" s="704">
        <v>4.29</v>
      </c>
      <c r="C234" s="704">
        <v>6.81</v>
      </c>
      <c r="D234" s="705">
        <v>8.91</v>
      </c>
      <c r="E234" s="704">
        <v>9.9600000000000009</v>
      </c>
      <c r="F234" s="743">
        <v>10.07</v>
      </c>
      <c r="G234" s="703">
        <v>8.6300000000000008</v>
      </c>
      <c r="H234" s="704">
        <v>9.68</v>
      </c>
      <c r="I234" s="740"/>
      <c r="J234" s="741" t="s">
        <v>88</v>
      </c>
      <c r="K234" s="742" t="s">
        <v>88</v>
      </c>
      <c r="L234" s="741" t="s">
        <v>88</v>
      </c>
      <c r="M234" s="741" t="s">
        <v>88</v>
      </c>
      <c r="N234" s="741" t="s">
        <v>88</v>
      </c>
      <c r="O234" s="700">
        <v>11.5</v>
      </c>
      <c r="P234" s="704">
        <v>9.56</v>
      </c>
      <c r="Q234" s="704" t="s">
        <v>88</v>
      </c>
      <c r="R234" s="705">
        <v>9.6199999999999992</v>
      </c>
      <c r="S234" s="704"/>
      <c r="T234" s="704" t="s">
        <v>88</v>
      </c>
      <c r="U234" s="704"/>
      <c r="V234" s="704">
        <v>8.68</v>
      </c>
    </row>
    <row r="235" spans="1:22" hidden="1">
      <c r="A235" s="113" t="s">
        <v>618</v>
      </c>
      <c r="B235" s="704">
        <v>4.4400000000000004</v>
      </c>
      <c r="C235" s="704">
        <v>6.82</v>
      </c>
      <c r="D235" s="705">
        <v>8.9700000000000006</v>
      </c>
      <c r="E235" s="704">
        <v>9.85</v>
      </c>
      <c r="F235" s="743">
        <v>10.039999999999999</v>
      </c>
      <c r="G235" s="703">
        <v>9.36</v>
      </c>
      <c r="H235" s="704">
        <v>9.64</v>
      </c>
      <c r="I235" s="740"/>
      <c r="J235" s="741" t="s">
        <v>88</v>
      </c>
      <c r="K235" s="742" t="s">
        <v>88</v>
      </c>
      <c r="L235" s="741" t="s">
        <v>88</v>
      </c>
      <c r="M235" s="741" t="s">
        <v>88</v>
      </c>
      <c r="N235" s="741" t="s">
        <v>88</v>
      </c>
      <c r="O235" s="700">
        <v>11.5</v>
      </c>
      <c r="P235" s="704">
        <v>9.43</v>
      </c>
      <c r="Q235" s="704" t="s">
        <v>88</v>
      </c>
      <c r="R235" s="705">
        <v>9.49</v>
      </c>
      <c r="S235" s="704"/>
      <c r="T235" s="704" t="s">
        <v>88</v>
      </c>
      <c r="U235" s="704"/>
      <c r="V235" s="704">
        <v>8.56</v>
      </c>
    </row>
    <row r="236" spans="1:22" hidden="1">
      <c r="A236" s="113" t="s">
        <v>621</v>
      </c>
      <c r="B236" s="704">
        <v>4.32</v>
      </c>
      <c r="C236" s="704">
        <v>6.9</v>
      </c>
      <c r="D236" s="705">
        <v>8.86</v>
      </c>
      <c r="E236" s="704">
        <v>9.6999999999999993</v>
      </c>
      <c r="F236" s="743">
        <v>11.1</v>
      </c>
      <c r="G236" s="703">
        <v>9.33</v>
      </c>
      <c r="H236" s="704">
        <v>9.6199999999999992</v>
      </c>
      <c r="I236" s="740"/>
      <c r="J236" s="741" t="s">
        <v>88</v>
      </c>
      <c r="K236" s="742" t="s">
        <v>88</v>
      </c>
      <c r="L236" s="741" t="s">
        <v>88</v>
      </c>
      <c r="M236" s="741" t="s">
        <v>88</v>
      </c>
      <c r="N236" s="741" t="s">
        <v>88</v>
      </c>
      <c r="O236" s="700">
        <v>10.86</v>
      </c>
      <c r="P236" s="704">
        <v>9.25</v>
      </c>
      <c r="Q236" s="704" t="s">
        <v>88</v>
      </c>
      <c r="R236" s="705">
        <v>9.31</v>
      </c>
      <c r="S236" s="704"/>
      <c r="T236" s="704" t="s">
        <v>88</v>
      </c>
      <c r="U236" s="704"/>
      <c r="V236" s="704">
        <v>8.51</v>
      </c>
    </row>
    <row r="237" spans="1:22" hidden="1">
      <c r="A237" s="113" t="s">
        <v>47</v>
      </c>
      <c r="B237" s="704">
        <v>4.49</v>
      </c>
      <c r="C237" s="704">
        <v>6.92</v>
      </c>
      <c r="D237" s="705">
        <v>8.99</v>
      </c>
      <c r="E237" s="704">
        <v>9.82</v>
      </c>
      <c r="F237" s="743">
        <v>10.08</v>
      </c>
      <c r="G237" s="703">
        <v>9.32</v>
      </c>
      <c r="H237" s="704">
        <v>9.6199999999999992</v>
      </c>
      <c r="I237" s="740"/>
      <c r="J237" s="741" t="s">
        <v>88</v>
      </c>
      <c r="K237" s="742" t="s">
        <v>88</v>
      </c>
      <c r="L237" s="741" t="s">
        <v>88</v>
      </c>
      <c r="M237" s="741" t="s">
        <v>88</v>
      </c>
      <c r="N237" s="741" t="s">
        <v>88</v>
      </c>
      <c r="O237" s="700">
        <v>11.5</v>
      </c>
      <c r="P237" s="704">
        <v>9.24</v>
      </c>
      <c r="Q237" s="704" t="s">
        <v>88</v>
      </c>
      <c r="R237" s="705">
        <v>9.32</v>
      </c>
      <c r="S237" s="704"/>
      <c r="T237" s="704" t="s">
        <v>88</v>
      </c>
      <c r="U237" s="704"/>
      <c r="V237" s="704">
        <v>8.6</v>
      </c>
    </row>
    <row r="238" spans="1:22" hidden="1">
      <c r="A238" s="113" t="s">
        <v>631</v>
      </c>
      <c r="B238" s="704">
        <v>4.54</v>
      </c>
      <c r="C238" s="704">
        <v>6.85</v>
      </c>
      <c r="D238" s="705">
        <v>8.5</v>
      </c>
      <c r="E238" s="704">
        <v>9.9600000000000009</v>
      </c>
      <c r="F238" s="743">
        <v>11.37</v>
      </c>
      <c r="G238" s="703">
        <v>9.68</v>
      </c>
      <c r="H238" s="704">
        <v>9.69</v>
      </c>
      <c r="I238" s="740"/>
      <c r="J238" s="741" t="s">
        <v>88</v>
      </c>
      <c r="K238" s="742" t="s">
        <v>88</v>
      </c>
      <c r="L238" s="741" t="s">
        <v>88</v>
      </c>
      <c r="M238" s="741" t="s">
        <v>88</v>
      </c>
      <c r="N238" s="741" t="s">
        <v>88</v>
      </c>
      <c r="O238" s="700">
        <v>11.5</v>
      </c>
      <c r="P238" s="704">
        <v>9.32</v>
      </c>
      <c r="Q238" s="704" t="s">
        <v>88</v>
      </c>
      <c r="R238" s="705">
        <v>9.39</v>
      </c>
      <c r="S238" s="704"/>
      <c r="T238" s="704" t="s">
        <v>88</v>
      </c>
      <c r="U238" s="704"/>
      <c r="V238" s="704">
        <v>8.6199999999999992</v>
      </c>
    </row>
    <row r="239" spans="1:22" hidden="1">
      <c r="A239" s="113" t="s">
        <v>654</v>
      </c>
      <c r="B239" s="704">
        <v>4.33</v>
      </c>
      <c r="C239" s="704">
        <v>7.64</v>
      </c>
      <c r="D239" s="705">
        <v>8.2899999999999991</v>
      </c>
      <c r="E239" s="704">
        <v>9.34</v>
      </c>
      <c r="F239" s="743">
        <v>11.12</v>
      </c>
      <c r="G239" s="703">
        <v>10.65</v>
      </c>
      <c r="H239" s="704">
        <v>9.07</v>
      </c>
      <c r="I239" s="740"/>
      <c r="J239" s="741" t="s">
        <v>88</v>
      </c>
      <c r="K239" s="742" t="s">
        <v>88</v>
      </c>
      <c r="L239" s="741" t="s">
        <v>88</v>
      </c>
      <c r="M239" s="741" t="s">
        <v>88</v>
      </c>
      <c r="N239" s="741" t="s">
        <v>88</v>
      </c>
      <c r="O239" s="700">
        <v>11.5</v>
      </c>
      <c r="P239" s="704">
        <v>8.57</v>
      </c>
      <c r="Q239" s="704" t="s">
        <v>88</v>
      </c>
      <c r="R239" s="705">
        <v>8.7100000000000009</v>
      </c>
      <c r="S239" s="704"/>
      <c r="T239" s="704" t="s">
        <v>88</v>
      </c>
      <c r="U239" s="704"/>
      <c r="V239" s="704">
        <v>8.52</v>
      </c>
    </row>
    <row r="240" spans="1:22" hidden="1">
      <c r="A240" s="113" t="s">
        <v>665</v>
      </c>
      <c r="B240" s="704">
        <v>5.28</v>
      </c>
      <c r="C240" s="704">
        <v>7.75</v>
      </c>
      <c r="D240" s="705">
        <v>8.06</v>
      </c>
      <c r="E240" s="704">
        <v>9.39</v>
      </c>
      <c r="F240" s="743">
        <v>10.9</v>
      </c>
      <c r="G240" s="703">
        <v>10.68</v>
      </c>
      <c r="H240" s="704">
        <v>9.0299999999999994</v>
      </c>
      <c r="I240" s="740"/>
      <c r="J240" s="741" t="s">
        <v>88</v>
      </c>
      <c r="K240" s="742" t="s">
        <v>88</v>
      </c>
      <c r="L240" s="741" t="s">
        <v>88</v>
      </c>
      <c r="M240" s="741" t="s">
        <v>88</v>
      </c>
      <c r="N240" s="741" t="s">
        <v>88</v>
      </c>
      <c r="O240" s="741" t="s">
        <v>88</v>
      </c>
      <c r="P240" s="704">
        <v>8.57</v>
      </c>
      <c r="Q240" s="704" t="s">
        <v>88</v>
      </c>
      <c r="R240" s="705">
        <v>8.57</v>
      </c>
      <c r="S240" s="704"/>
      <c r="T240" s="704" t="s">
        <v>88</v>
      </c>
      <c r="U240" s="704"/>
      <c r="V240" s="704">
        <v>8.6999999999999993</v>
      </c>
    </row>
    <row r="241" spans="1:247" hidden="1">
      <c r="A241" s="113"/>
      <c r="B241" s="704"/>
      <c r="C241" s="704"/>
      <c r="D241" s="705"/>
      <c r="E241" s="704"/>
      <c r="F241" s="743"/>
      <c r="G241" s="703"/>
      <c r="H241" s="704"/>
      <c r="I241" s="740"/>
      <c r="J241" s="741"/>
      <c r="K241" s="742"/>
      <c r="L241" s="741"/>
      <c r="M241" s="741"/>
      <c r="N241" s="741"/>
      <c r="O241" s="743"/>
      <c r="P241" s="704"/>
      <c r="Q241" s="704"/>
      <c r="R241" s="705"/>
      <c r="S241" s="704"/>
      <c r="T241" s="704"/>
      <c r="U241" s="704"/>
      <c r="V241" s="704"/>
    </row>
    <row r="242" spans="1:247" hidden="1">
      <c r="A242" s="113" t="s">
        <v>39</v>
      </c>
      <c r="B242" s="704">
        <v>5.48</v>
      </c>
      <c r="C242" s="704">
        <v>7.63</v>
      </c>
      <c r="D242" s="705">
        <v>8.1199999999999992</v>
      </c>
      <c r="E242" s="704">
        <v>8.86</v>
      </c>
      <c r="F242" s="743">
        <v>11.14</v>
      </c>
      <c r="G242" s="703">
        <v>9.9600000000000009</v>
      </c>
      <c r="H242" s="704">
        <v>8.76</v>
      </c>
      <c r="I242" s="740"/>
      <c r="J242" s="741" t="s">
        <v>88</v>
      </c>
      <c r="K242" s="742" t="s">
        <v>88</v>
      </c>
      <c r="L242" s="741" t="s">
        <v>88</v>
      </c>
      <c r="M242" s="741" t="s">
        <v>88</v>
      </c>
      <c r="N242" s="741" t="s">
        <v>88</v>
      </c>
      <c r="O242" s="741" t="s">
        <v>88</v>
      </c>
      <c r="P242" s="704">
        <v>8.5500000000000007</v>
      </c>
      <c r="Q242" s="704" t="s">
        <v>88</v>
      </c>
      <c r="R242" s="705">
        <v>8.5500000000000007</v>
      </c>
      <c r="S242" s="704"/>
      <c r="T242" s="704" t="s">
        <v>88</v>
      </c>
      <c r="U242" s="704"/>
      <c r="V242" s="704">
        <v>8.52</v>
      </c>
    </row>
    <row r="243" spans="1:247" hidden="1">
      <c r="A243" s="113" t="s">
        <v>677</v>
      </c>
      <c r="B243" s="704">
        <v>3.93</v>
      </c>
      <c r="C243" s="704">
        <v>7.64</v>
      </c>
      <c r="D243" s="705">
        <v>7.95</v>
      </c>
      <c r="E243" s="704">
        <v>8.6999999999999993</v>
      </c>
      <c r="F243" s="743">
        <v>11.06</v>
      </c>
      <c r="G243" s="703">
        <v>8.91</v>
      </c>
      <c r="H243" s="704">
        <v>8.5399999999999991</v>
      </c>
      <c r="I243" s="740"/>
      <c r="J243" s="741" t="s">
        <v>88</v>
      </c>
      <c r="K243" s="742" t="s">
        <v>88</v>
      </c>
      <c r="L243" s="741" t="s">
        <v>88</v>
      </c>
      <c r="M243" s="741" t="s">
        <v>88</v>
      </c>
      <c r="N243" s="741" t="s">
        <v>88</v>
      </c>
      <c r="O243" s="741" t="s">
        <v>88</v>
      </c>
      <c r="P243" s="704">
        <v>8.92</v>
      </c>
      <c r="Q243" s="704" t="s">
        <v>88</v>
      </c>
      <c r="R243" s="705">
        <v>8.92</v>
      </c>
      <c r="S243" s="704"/>
      <c r="T243" s="704" t="s">
        <v>88</v>
      </c>
      <c r="U243" s="704"/>
      <c r="V243" s="704">
        <v>8.18</v>
      </c>
    </row>
    <row r="244" spans="1:247" hidden="1">
      <c r="A244" s="113" t="s">
        <v>65</v>
      </c>
      <c r="B244" s="704">
        <v>3.69</v>
      </c>
      <c r="C244" s="704">
        <v>8.33</v>
      </c>
      <c r="D244" s="705">
        <v>7.9</v>
      </c>
      <c r="E244" s="704">
        <v>8.24</v>
      </c>
      <c r="F244" s="743">
        <v>11.15</v>
      </c>
      <c r="G244" s="703">
        <v>9.7200000000000006</v>
      </c>
      <c r="H244" s="704">
        <v>8.36</v>
      </c>
      <c r="I244" s="740"/>
      <c r="J244" s="741" t="s">
        <v>88</v>
      </c>
      <c r="K244" s="742" t="s">
        <v>88</v>
      </c>
      <c r="L244" s="741" t="s">
        <v>88</v>
      </c>
      <c r="M244" s="741" t="s">
        <v>88</v>
      </c>
      <c r="N244" s="741" t="s">
        <v>88</v>
      </c>
      <c r="O244" s="741" t="s">
        <v>88</v>
      </c>
      <c r="P244" s="704">
        <v>8.1199999999999992</v>
      </c>
      <c r="Q244" s="704" t="s">
        <v>88</v>
      </c>
      <c r="R244" s="705">
        <v>8.1199999999999992</v>
      </c>
      <c r="S244" s="704"/>
      <c r="T244" s="704" t="s">
        <v>88</v>
      </c>
      <c r="U244" s="704"/>
      <c r="V244" s="704">
        <v>7.98</v>
      </c>
    </row>
    <row r="245" spans="1:247" hidden="1">
      <c r="A245" s="113" t="s">
        <v>692</v>
      </c>
      <c r="B245" s="704">
        <v>4.71</v>
      </c>
      <c r="C245" s="704">
        <v>7.39</v>
      </c>
      <c r="D245" s="705">
        <v>7.56</v>
      </c>
      <c r="E245" s="704">
        <v>8.19</v>
      </c>
      <c r="F245" s="743">
        <v>11.11</v>
      </c>
      <c r="G245" s="703">
        <v>9.64</v>
      </c>
      <c r="H245" s="704">
        <v>8.2100000000000009</v>
      </c>
      <c r="I245" s="740"/>
      <c r="J245" s="741" t="s">
        <v>88</v>
      </c>
      <c r="K245" s="742" t="s">
        <v>88</v>
      </c>
      <c r="L245" s="741" t="s">
        <v>88</v>
      </c>
      <c r="M245" s="741" t="s">
        <v>88</v>
      </c>
      <c r="N245" s="741" t="s">
        <v>88</v>
      </c>
      <c r="O245" s="741" t="s">
        <v>88</v>
      </c>
      <c r="P245" s="704">
        <v>8.15</v>
      </c>
      <c r="Q245" s="704" t="s">
        <v>88</v>
      </c>
      <c r="R245" s="705">
        <v>8.15</v>
      </c>
      <c r="S245" s="704"/>
      <c r="T245" s="704" t="s">
        <v>88</v>
      </c>
      <c r="U245" s="704"/>
      <c r="V245" s="704">
        <v>7.77</v>
      </c>
    </row>
    <row r="246" spans="1:247" hidden="1">
      <c r="A246" s="113" t="s">
        <v>700</v>
      </c>
      <c r="B246" s="704">
        <v>4.74</v>
      </c>
      <c r="C246" s="704">
        <v>6.41</v>
      </c>
      <c r="D246" s="705">
        <v>7.48</v>
      </c>
      <c r="E246" s="704">
        <v>8.19</v>
      </c>
      <c r="F246" s="743">
        <v>11.13</v>
      </c>
      <c r="G246" s="703">
        <v>9.6999999999999993</v>
      </c>
      <c r="H246" s="704">
        <v>8.17</v>
      </c>
      <c r="I246" s="740"/>
      <c r="J246" s="741" t="s">
        <v>88</v>
      </c>
      <c r="K246" s="742" t="s">
        <v>88</v>
      </c>
      <c r="L246" s="741" t="s">
        <v>88</v>
      </c>
      <c r="M246" s="741" t="s">
        <v>88</v>
      </c>
      <c r="N246" s="741" t="s">
        <v>88</v>
      </c>
      <c r="O246" s="741" t="s">
        <v>88</v>
      </c>
      <c r="P246" s="704">
        <v>8.14</v>
      </c>
      <c r="Q246" s="704" t="s">
        <v>88</v>
      </c>
      <c r="R246" s="705">
        <v>8.14</v>
      </c>
      <c r="S246" s="704"/>
      <c r="T246" s="704" t="s">
        <v>88</v>
      </c>
      <c r="U246" s="704"/>
      <c r="V246" s="704">
        <v>7.71</v>
      </c>
    </row>
    <row r="247" spans="1:247" hidden="1">
      <c r="A247" s="113" t="s">
        <v>711</v>
      </c>
      <c r="B247" s="704">
        <v>4.8</v>
      </c>
      <c r="C247" s="704">
        <v>6.86</v>
      </c>
      <c r="D247" s="704">
        <v>7.49</v>
      </c>
      <c r="E247" s="704">
        <v>8.06</v>
      </c>
      <c r="F247" s="704">
        <v>11.12</v>
      </c>
      <c r="G247" s="704">
        <v>9.77</v>
      </c>
      <c r="H247" s="704">
        <v>8.1</v>
      </c>
      <c r="I247" s="704"/>
      <c r="J247" s="741" t="s">
        <v>88</v>
      </c>
      <c r="K247" s="742" t="s">
        <v>88</v>
      </c>
      <c r="L247" s="741" t="s">
        <v>88</v>
      </c>
      <c r="M247" s="741" t="s">
        <v>88</v>
      </c>
      <c r="N247" s="741" t="s">
        <v>88</v>
      </c>
      <c r="O247" s="741" t="s">
        <v>88</v>
      </c>
      <c r="P247" s="704">
        <v>8.3000000000000007</v>
      </c>
      <c r="Q247" s="704"/>
      <c r="R247" s="705">
        <v>8.3000000000000007</v>
      </c>
      <c r="S247" s="704"/>
      <c r="T247" s="704" t="s">
        <v>88</v>
      </c>
      <c r="U247" s="704"/>
      <c r="V247" s="704">
        <v>7.65</v>
      </c>
    </row>
    <row r="248" spans="1:247">
      <c r="A248" s="113" t="s">
        <v>730</v>
      </c>
      <c r="B248" s="704">
        <v>5.62</v>
      </c>
      <c r="C248" s="704">
        <v>6.85</v>
      </c>
      <c r="D248" s="704">
        <v>7.37</v>
      </c>
      <c r="E248" s="704">
        <v>8.08</v>
      </c>
      <c r="F248" s="704">
        <v>11.09</v>
      </c>
      <c r="G248" s="704">
        <v>9.52</v>
      </c>
      <c r="H248" s="704">
        <v>8.06</v>
      </c>
      <c r="I248" s="704"/>
      <c r="J248" s="741" t="s">
        <v>88</v>
      </c>
      <c r="K248" s="742" t="s">
        <v>88</v>
      </c>
      <c r="L248" s="741" t="s">
        <v>88</v>
      </c>
      <c r="M248" s="741" t="s">
        <v>88</v>
      </c>
      <c r="N248" s="741" t="s">
        <v>88</v>
      </c>
      <c r="O248" s="741" t="s">
        <v>88</v>
      </c>
      <c r="P248" s="704">
        <v>8.31</v>
      </c>
      <c r="Q248" s="704"/>
      <c r="R248" s="704">
        <v>8.31</v>
      </c>
      <c r="S248" s="704"/>
      <c r="T248" s="704" t="s">
        <v>88</v>
      </c>
      <c r="U248" s="704"/>
      <c r="V248" s="704">
        <v>7.72</v>
      </c>
    </row>
    <row r="249" spans="1:247">
      <c r="A249" s="113" t="s">
        <v>46</v>
      </c>
      <c r="B249" s="704">
        <v>5.53</v>
      </c>
      <c r="C249" s="704">
        <v>7.07</v>
      </c>
      <c r="D249" s="704">
        <v>7.47</v>
      </c>
      <c r="E249" s="704">
        <v>7.89</v>
      </c>
      <c r="F249" s="704">
        <v>10.88</v>
      </c>
      <c r="G249" s="704">
        <v>9.43</v>
      </c>
      <c r="H249" s="704">
        <v>7.95</v>
      </c>
      <c r="I249" s="704"/>
      <c r="J249" s="741" t="s">
        <v>88</v>
      </c>
      <c r="K249" s="742" t="s">
        <v>88</v>
      </c>
      <c r="L249" s="741" t="s">
        <v>88</v>
      </c>
      <c r="M249" s="741" t="s">
        <v>88</v>
      </c>
      <c r="N249" s="741" t="s">
        <v>88</v>
      </c>
      <c r="O249" s="741" t="s">
        <v>88</v>
      </c>
      <c r="P249" s="704">
        <v>8.31</v>
      </c>
      <c r="Q249" s="704"/>
      <c r="R249" s="704">
        <v>8.31</v>
      </c>
      <c r="S249" s="704"/>
      <c r="T249" s="704" t="s">
        <v>88</v>
      </c>
      <c r="U249" s="704"/>
      <c r="V249" s="704">
        <v>7.61</v>
      </c>
      <c r="IM249" s="714"/>
    </row>
    <row r="250" spans="1:247">
      <c r="A250" s="113" t="s">
        <v>47</v>
      </c>
      <c r="B250" s="704">
        <v>4.43</v>
      </c>
      <c r="C250" s="704">
        <v>8.3800000000000008</v>
      </c>
      <c r="D250" s="704">
        <v>7.14</v>
      </c>
      <c r="E250" s="704">
        <v>7.86</v>
      </c>
      <c r="F250" s="704">
        <v>10.74</v>
      </c>
      <c r="G250" s="704">
        <v>9.84</v>
      </c>
      <c r="H250" s="704">
        <v>7.9</v>
      </c>
      <c r="I250" s="704"/>
      <c r="J250" s="741" t="s">
        <v>88</v>
      </c>
      <c r="K250" s="742" t="s">
        <v>88</v>
      </c>
      <c r="L250" s="741" t="s">
        <v>88</v>
      </c>
      <c r="M250" s="741" t="s">
        <v>88</v>
      </c>
      <c r="N250" s="741" t="s">
        <v>88</v>
      </c>
      <c r="O250" s="741" t="s">
        <v>88</v>
      </c>
      <c r="P250" s="704">
        <v>11.09</v>
      </c>
      <c r="Q250" s="704"/>
      <c r="R250" s="704">
        <v>11.09</v>
      </c>
      <c r="S250" s="704"/>
      <c r="T250" s="704" t="s">
        <v>88</v>
      </c>
      <c r="U250" s="704"/>
      <c r="V250" s="704">
        <v>7.34</v>
      </c>
      <c r="IM250" s="714"/>
    </row>
    <row r="251" spans="1:247">
      <c r="A251" s="113" t="s">
        <v>48</v>
      </c>
      <c r="B251" s="704">
        <v>4.58</v>
      </c>
      <c r="C251" s="704">
        <v>7.1</v>
      </c>
      <c r="D251" s="704">
        <v>7.49</v>
      </c>
      <c r="E251" s="704">
        <v>7.63</v>
      </c>
      <c r="F251" s="704">
        <v>10.68</v>
      </c>
      <c r="G251" s="704">
        <v>9.64</v>
      </c>
      <c r="H251" s="704">
        <v>7.87</v>
      </c>
      <c r="I251" s="704"/>
      <c r="J251" s="741" t="s">
        <v>88</v>
      </c>
      <c r="K251" s="742" t="s">
        <v>88</v>
      </c>
      <c r="L251" s="741" t="s">
        <v>88</v>
      </c>
      <c r="M251" s="741" t="s">
        <v>88</v>
      </c>
      <c r="N251" s="741" t="s">
        <v>88</v>
      </c>
      <c r="O251" s="741" t="s">
        <v>88</v>
      </c>
      <c r="P251" s="704">
        <v>8.31</v>
      </c>
      <c r="Q251" s="704"/>
      <c r="R251" s="704">
        <v>8.31</v>
      </c>
      <c r="S251" s="704"/>
      <c r="T251" s="704" t="s">
        <v>88</v>
      </c>
      <c r="U251" s="704"/>
      <c r="V251" s="704">
        <v>7.39</v>
      </c>
      <c r="IM251" s="714"/>
    </row>
    <row r="252" spans="1:247">
      <c r="A252" s="113" t="s">
        <v>49</v>
      </c>
      <c r="B252" s="704">
        <v>5.31</v>
      </c>
      <c r="C252" s="704">
        <v>7.13</v>
      </c>
      <c r="D252" s="704">
        <v>7.61</v>
      </c>
      <c r="E252" s="704">
        <v>7.71</v>
      </c>
      <c r="F252" s="704">
        <v>10.27</v>
      </c>
      <c r="G252" s="704">
        <v>9.5</v>
      </c>
      <c r="H252" s="704">
        <v>7.88</v>
      </c>
      <c r="I252" s="704"/>
      <c r="J252" s="741" t="s">
        <v>88</v>
      </c>
      <c r="K252" s="742" t="s">
        <v>88</v>
      </c>
      <c r="L252" s="741" t="s">
        <v>88</v>
      </c>
      <c r="M252" s="741" t="s">
        <v>88</v>
      </c>
      <c r="N252" s="741" t="s">
        <v>88</v>
      </c>
      <c r="O252" s="741" t="s">
        <v>88</v>
      </c>
      <c r="P252" s="704">
        <v>8.31</v>
      </c>
      <c r="Q252" s="704"/>
      <c r="R252" s="704">
        <v>8.31</v>
      </c>
      <c r="S252" s="704"/>
      <c r="T252" s="704" t="s">
        <v>88</v>
      </c>
      <c r="U252" s="704"/>
      <c r="V252" s="704">
        <v>7.49</v>
      </c>
      <c r="IM252" s="714"/>
    </row>
    <row r="253" spans="1:247">
      <c r="A253" s="113" t="s">
        <v>50</v>
      </c>
      <c r="B253" s="704">
        <v>4.55</v>
      </c>
      <c r="C253" s="704">
        <v>6.84</v>
      </c>
      <c r="D253" s="704">
        <v>7.47</v>
      </c>
      <c r="E253" s="704">
        <v>7.21</v>
      </c>
      <c r="F253" s="704">
        <v>10.69</v>
      </c>
      <c r="G253" s="704">
        <v>9.58</v>
      </c>
      <c r="H253" s="704">
        <v>7.6</v>
      </c>
      <c r="I253" s="704"/>
      <c r="J253" s="741" t="s">
        <v>88</v>
      </c>
      <c r="K253" s="742" t="s">
        <v>88</v>
      </c>
      <c r="L253" s="741" t="s">
        <v>88</v>
      </c>
      <c r="M253" s="741" t="s">
        <v>88</v>
      </c>
      <c r="N253" s="741" t="s">
        <v>88</v>
      </c>
      <c r="O253" s="741" t="s">
        <v>88</v>
      </c>
      <c r="P253" s="704">
        <v>8.0299999999999994</v>
      </c>
      <c r="Q253" s="704"/>
      <c r="R253" s="704">
        <v>8.3000000000000007</v>
      </c>
      <c r="S253" s="704"/>
      <c r="T253" s="704" t="s">
        <v>88</v>
      </c>
      <c r="U253" s="704"/>
      <c r="V253" s="704">
        <v>7.21</v>
      </c>
      <c r="IM253" s="714"/>
    </row>
    <row r="254" spans="1:247">
      <c r="A254" s="724"/>
      <c r="B254" s="704"/>
      <c r="C254" s="704"/>
      <c r="D254" s="704"/>
      <c r="E254" s="704"/>
      <c r="F254" s="704"/>
      <c r="G254" s="704"/>
      <c r="H254" s="704"/>
      <c r="I254" s="704"/>
      <c r="J254" s="741"/>
      <c r="K254" s="742"/>
      <c r="L254" s="741"/>
      <c r="M254" s="741"/>
      <c r="N254" s="741"/>
      <c r="O254" s="741"/>
      <c r="P254" s="704"/>
      <c r="Q254" s="704"/>
      <c r="R254" s="704"/>
      <c r="S254" s="704"/>
      <c r="T254" s="704"/>
      <c r="U254" s="704"/>
      <c r="V254" s="704"/>
      <c r="IM254" s="714"/>
    </row>
    <row r="255" spans="1:247">
      <c r="A255" s="113" t="s">
        <v>36</v>
      </c>
      <c r="B255" s="704">
        <v>4.38</v>
      </c>
      <c r="C255" s="704">
        <v>5</v>
      </c>
      <c r="D255" s="704">
        <v>8.7799999999999994</v>
      </c>
      <c r="E255" s="704">
        <v>6.64</v>
      </c>
      <c r="F255" s="704">
        <v>10.63</v>
      </c>
      <c r="G255" s="704">
        <v>9.09</v>
      </c>
      <c r="H255" s="704">
        <v>7.73</v>
      </c>
      <c r="I255" s="704"/>
      <c r="J255" s="741" t="s">
        <v>88</v>
      </c>
      <c r="K255" s="742" t="s">
        <v>88</v>
      </c>
      <c r="L255" s="741" t="s">
        <v>88</v>
      </c>
      <c r="M255" s="741" t="s">
        <v>88</v>
      </c>
      <c r="N255" s="741" t="s">
        <v>88</v>
      </c>
      <c r="O255" s="741" t="s">
        <v>88</v>
      </c>
      <c r="P255" s="704">
        <v>7.81</v>
      </c>
      <c r="Q255" s="704"/>
      <c r="R255" s="704">
        <v>7.81</v>
      </c>
      <c r="S255" s="704"/>
      <c r="T255" s="704" t="s">
        <v>88</v>
      </c>
      <c r="U255" s="704"/>
      <c r="V255" s="704">
        <v>7.09</v>
      </c>
      <c r="IM255" s="714"/>
    </row>
    <row r="256" spans="1:247">
      <c r="A256" s="113" t="s">
        <v>37</v>
      </c>
      <c r="B256" s="704">
        <v>4.58</v>
      </c>
      <c r="C256" s="704">
        <v>5.45</v>
      </c>
      <c r="D256" s="704">
        <v>7.1</v>
      </c>
      <c r="E256" s="704">
        <v>7</v>
      </c>
      <c r="F256" s="704">
        <v>10.07</v>
      </c>
      <c r="G256" s="704">
        <v>9.23</v>
      </c>
      <c r="H256" s="704">
        <v>7.34</v>
      </c>
      <c r="I256" s="704"/>
      <c r="J256" s="741"/>
      <c r="K256" s="742" t="s">
        <v>88</v>
      </c>
      <c r="L256" s="741" t="s">
        <v>88</v>
      </c>
      <c r="M256" s="741" t="s">
        <v>88</v>
      </c>
      <c r="N256" s="741" t="s">
        <v>88</v>
      </c>
      <c r="O256" s="741" t="s">
        <v>88</v>
      </c>
      <c r="P256" s="704">
        <v>7.81</v>
      </c>
      <c r="Q256" s="704"/>
      <c r="R256" s="704">
        <v>7.81</v>
      </c>
      <c r="S256" s="704"/>
      <c r="T256" s="704" t="s">
        <v>88</v>
      </c>
      <c r="U256" s="704"/>
      <c r="V256" s="704">
        <v>6.77</v>
      </c>
      <c r="IM256" s="714"/>
    </row>
    <row r="257" spans="1:247">
      <c r="A257" s="113" t="s">
        <v>38</v>
      </c>
      <c r="B257" s="704">
        <v>4.08</v>
      </c>
      <c r="C257" s="704">
        <v>5.49</v>
      </c>
      <c r="D257" s="704">
        <v>6.81</v>
      </c>
      <c r="E257" s="704">
        <v>6.92</v>
      </c>
      <c r="F257" s="704">
        <v>10.56</v>
      </c>
      <c r="G257" s="704">
        <v>8.7799999999999994</v>
      </c>
      <c r="H257" s="704">
        <v>7.12</v>
      </c>
      <c r="I257" s="704"/>
      <c r="J257" s="741"/>
      <c r="K257" s="742"/>
      <c r="L257" s="741"/>
      <c r="M257" s="741"/>
      <c r="N257" s="741"/>
      <c r="O257" s="741" t="s">
        <v>88</v>
      </c>
      <c r="P257" s="704">
        <v>7.81</v>
      </c>
      <c r="Q257" s="704"/>
      <c r="R257" s="704">
        <v>7.81</v>
      </c>
      <c r="S257" s="704"/>
      <c r="T257" s="704"/>
      <c r="U257" s="704"/>
      <c r="V257" s="704">
        <v>6.56</v>
      </c>
      <c r="IM257" s="714"/>
    </row>
    <row r="258" spans="1:247">
      <c r="A258" s="113" t="s">
        <v>42</v>
      </c>
      <c r="B258" s="704">
        <v>3.94</v>
      </c>
      <c r="C258" s="704">
        <v>5.7</v>
      </c>
      <c r="D258" s="704">
        <v>6.56</v>
      </c>
      <c r="E258" s="704">
        <v>6.81</v>
      </c>
      <c r="F258" s="704">
        <v>10.3</v>
      </c>
      <c r="G258" s="704">
        <v>8.93</v>
      </c>
      <c r="H258" s="704">
        <v>6.95</v>
      </c>
      <c r="I258" s="704"/>
      <c r="J258" s="704"/>
      <c r="K258" s="704"/>
      <c r="L258" s="704"/>
      <c r="M258" s="704"/>
      <c r="N258" s="704"/>
      <c r="O258" s="704" t="s">
        <v>88</v>
      </c>
      <c r="P258" s="704">
        <v>5.89</v>
      </c>
      <c r="Q258" s="704"/>
      <c r="R258" s="704">
        <v>5.89</v>
      </c>
      <c r="S258" s="704"/>
      <c r="T258" s="704"/>
      <c r="U258" s="704"/>
      <c r="V258" s="704">
        <v>6.34</v>
      </c>
      <c r="IM258" s="714"/>
    </row>
    <row r="259" spans="1:247">
      <c r="A259" s="113" t="s">
        <v>43</v>
      </c>
      <c r="B259" s="704">
        <v>3.7</v>
      </c>
      <c r="C259" s="704">
        <v>5.7</v>
      </c>
      <c r="D259" s="704">
        <v>6.66</v>
      </c>
      <c r="E259" s="704">
        <v>6.74</v>
      </c>
      <c r="F259" s="704">
        <v>10.25</v>
      </c>
      <c r="G259" s="704">
        <v>9.07</v>
      </c>
      <c r="H259" s="704">
        <v>6.97</v>
      </c>
      <c r="I259" s="704"/>
      <c r="J259" s="741"/>
      <c r="K259" s="742"/>
      <c r="L259" s="741"/>
      <c r="M259" s="741"/>
      <c r="N259" s="741"/>
      <c r="O259" s="741" t="s">
        <v>88</v>
      </c>
      <c r="P259" s="704">
        <v>4.8</v>
      </c>
      <c r="Q259" s="704"/>
      <c r="R259" s="704">
        <v>4.8</v>
      </c>
      <c r="S259" s="704"/>
      <c r="T259" s="704"/>
      <c r="U259" s="704"/>
      <c r="V259" s="704">
        <v>6.29</v>
      </c>
      <c r="IM259" s="714"/>
    </row>
    <row r="260" spans="1:247">
      <c r="A260" s="113" t="s">
        <v>62</v>
      </c>
      <c r="B260" s="704">
        <v>3.54</v>
      </c>
      <c r="C260" s="704">
        <v>5.46</v>
      </c>
      <c r="D260" s="704">
        <v>6.62</v>
      </c>
      <c r="E260" s="704">
        <v>6.72</v>
      </c>
      <c r="F260" s="704">
        <v>10.26</v>
      </c>
      <c r="G260" s="704">
        <v>9.09</v>
      </c>
      <c r="H260" s="704">
        <v>6.94</v>
      </c>
      <c r="I260" s="704"/>
      <c r="J260" s="741"/>
      <c r="K260" s="742"/>
      <c r="L260" s="741"/>
      <c r="M260" s="741"/>
      <c r="N260" s="741"/>
      <c r="O260" s="741" t="s">
        <v>88</v>
      </c>
      <c r="P260" s="704">
        <v>4.8</v>
      </c>
      <c r="Q260" s="704"/>
      <c r="R260" s="704">
        <v>4.8</v>
      </c>
      <c r="S260" s="704"/>
      <c r="T260" s="704"/>
      <c r="U260" s="704"/>
      <c r="V260" s="704">
        <v>6.17</v>
      </c>
      <c r="IM260" s="714"/>
    </row>
    <row r="261" spans="1:247">
      <c r="A261" s="113" t="s">
        <v>614</v>
      </c>
      <c r="B261" s="704">
        <v>3.4</v>
      </c>
      <c r="C261" s="704">
        <v>5.47</v>
      </c>
      <c r="D261" s="704">
        <v>6.53</v>
      </c>
      <c r="E261" s="704">
        <v>6.5</v>
      </c>
      <c r="F261" s="704">
        <v>10.25</v>
      </c>
      <c r="G261" s="704">
        <v>8.9499999999999993</v>
      </c>
      <c r="H261" s="704">
        <v>6.78</v>
      </c>
      <c r="I261" s="704"/>
      <c r="J261" s="741"/>
      <c r="K261" s="742"/>
      <c r="L261" s="741"/>
      <c r="M261" s="741"/>
      <c r="N261" s="741"/>
      <c r="O261" s="741" t="s">
        <v>88</v>
      </c>
      <c r="P261" s="704">
        <v>4.8</v>
      </c>
      <c r="Q261" s="704"/>
      <c r="R261" s="704">
        <v>4.8</v>
      </c>
      <c r="S261" s="704"/>
      <c r="T261" s="704"/>
      <c r="U261" s="704"/>
      <c r="V261" s="704">
        <v>6.01</v>
      </c>
      <c r="IM261" s="714"/>
    </row>
    <row r="262" spans="1:247">
      <c r="A262" s="113" t="s">
        <v>620</v>
      </c>
      <c r="B262" s="704">
        <v>3.17</v>
      </c>
      <c r="C262" s="704">
        <v>5.46</v>
      </c>
      <c r="D262" s="704">
        <v>6.55</v>
      </c>
      <c r="E262" s="704">
        <v>6.57</v>
      </c>
      <c r="F262" s="704">
        <v>10.24</v>
      </c>
      <c r="G262" s="704">
        <v>8.84</v>
      </c>
      <c r="H262" s="704">
        <v>6.8</v>
      </c>
      <c r="I262" s="704"/>
      <c r="J262" s="741"/>
      <c r="K262" s="742"/>
      <c r="L262" s="741"/>
      <c r="M262" s="741"/>
      <c r="N262" s="741"/>
      <c r="O262" s="741" t="s">
        <v>88</v>
      </c>
      <c r="P262" s="704">
        <v>4.8</v>
      </c>
      <c r="Q262" s="704"/>
      <c r="R262" s="704">
        <v>4.8</v>
      </c>
      <c r="S262" s="704"/>
      <c r="T262" s="704"/>
      <c r="U262" s="704"/>
      <c r="V262" s="704">
        <v>5.85</v>
      </c>
      <c r="IM262" s="714"/>
    </row>
    <row r="263" spans="1:247">
      <c r="A263" s="113" t="s">
        <v>63</v>
      </c>
      <c r="B263" s="704">
        <v>3.09</v>
      </c>
      <c r="C263" s="704">
        <v>5.45</v>
      </c>
      <c r="D263" s="704">
        <v>6.67</v>
      </c>
      <c r="E263" s="704">
        <v>6.62</v>
      </c>
      <c r="F263" s="704">
        <v>10.1</v>
      </c>
      <c r="G263" s="704">
        <v>7.91</v>
      </c>
      <c r="H263" s="704">
        <v>6.85</v>
      </c>
      <c r="I263" s="704"/>
      <c r="J263" s="741"/>
      <c r="K263" s="742"/>
      <c r="L263" s="741"/>
      <c r="M263" s="741"/>
      <c r="N263" s="741"/>
      <c r="O263" s="741" t="s">
        <v>88</v>
      </c>
      <c r="P263" s="704">
        <v>4.8</v>
      </c>
      <c r="Q263" s="704"/>
      <c r="R263" s="704">
        <v>4.8</v>
      </c>
      <c r="S263" s="704"/>
      <c r="T263" s="704"/>
      <c r="U263" s="704"/>
      <c r="V263" s="704">
        <v>5.92</v>
      </c>
      <c r="IM263" s="714"/>
    </row>
    <row r="264" spans="1:247">
      <c r="A264" s="113" t="s">
        <v>632</v>
      </c>
      <c r="B264" s="704">
        <v>2.59</v>
      </c>
      <c r="C264" s="704">
        <v>5.47</v>
      </c>
      <c r="D264" s="704">
        <v>6.61</v>
      </c>
      <c r="E264" s="704">
        <v>6.61</v>
      </c>
      <c r="F264" s="704">
        <v>10.19</v>
      </c>
      <c r="G264" s="704">
        <v>8.82</v>
      </c>
      <c r="H264" s="704">
        <v>6.84</v>
      </c>
      <c r="I264" s="704"/>
      <c r="J264" s="741"/>
      <c r="K264" s="742"/>
      <c r="L264" s="741"/>
      <c r="M264" s="741"/>
      <c r="N264" s="741"/>
      <c r="O264" s="741" t="s">
        <v>88</v>
      </c>
      <c r="P264" s="704">
        <v>4.8</v>
      </c>
      <c r="Q264" s="704"/>
      <c r="R264" s="704">
        <v>4.8</v>
      </c>
      <c r="S264" s="704"/>
      <c r="T264" s="704"/>
      <c r="U264" s="704"/>
      <c r="V264" s="704">
        <v>5.55</v>
      </c>
      <c r="IM264" s="714"/>
    </row>
    <row r="265" spans="1:247">
      <c r="A265" s="113" t="s">
        <v>653</v>
      </c>
      <c r="B265" s="704">
        <v>3.03</v>
      </c>
      <c r="C265" s="704">
        <v>5.46</v>
      </c>
      <c r="D265" s="704">
        <v>6.5</v>
      </c>
      <c r="E265" s="704">
        <v>6.75</v>
      </c>
      <c r="F265" s="704">
        <v>10.4</v>
      </c>
      <c r="G265" s="704">
        <v>8.82</v>
      </c>
      <c r="H265" s="704">
        <v>6.89</v>
      </c>
      <c r="I265" s="704"/>
      <c r="J265" s="741"/>
      <c r="K265" s="742"/>
      <c r="L265" s="741"/>
      <c r="M265" s="741"/>
      <c r="N265" s="741"/>
      <c r="O265" s="741" t="s">
        <v>88</v>
      </c>
      <c r="P265" s="704">
        <v>4.8</v>
      </c>
      <c r="Q265" s="704"/>
      <c r="R265" s="704">
        <v>4.8</v>
      </c>
      <c r="S265" s="704"/>
      <c r="T265" s="704"/>
      <c r="U265" s="704"/>
      <c r="V265" s="704">
        <v>5.92</v>
      </c>
      <c r="IM265" s="714"/>
    </row>
    <row r="266" spans="1:247">
      <c r="A266" s="113" t="s">
        <v>64</v>
      </c>
      <c r="B266" s="704">
        <v>3.18</v>
      </c>
      <c r="C266" s="704">
        <v>5.48</v>
      </c>
      <c r="D266" s="704">
        <v>6.53</v>
      </c>
      <c r="E266" s="704">
        <v>6.86</v>
      </c>
      <c r="F266" s="704">
        <v>10.34</v>
      </c>
      <c r="G266" s="704">
        <v>8.81</v>
      </c>
      <c r="H266" s="704">
        <v>6.94</v>
      </c>
      <c r="I266" s="704"/>
      <c r="J266" s="741"/>
      <c r="K266" s="742"/>
      <c r="L266" s="741"/>
      <c r="M266" s="741"/>
      <c r="N266" s="741"/>
      <c r="O266" s="741" t="s">
        <v>88</v>
      </c>
      <c r="P266" s="704">
        <v>4.8</v>
      </c>
      <c r="Q266" s="704"/>
      <c r="R266" s="704">
        <v>4.34</v>
      </c>
      <c r="S266" s="704"/>
      <c r="T266" s="704"/>
      <c r="U266" s="704"/>
      <c r="V266" s="704">
        <v>5.96</v>
      </c>
      <c r="IM266" s="714"/>
    </row>
    <row r="267" spans="1:247">
      <c r="A267" s="113"/>
      <c r="B267" s="704"/>
      <c r="C267" s="704"/>
      <c r="D267" s="704"/>
      <c r="E267" s="704"/>
      <c r="F267" s="704"/>
      <c r="G267" s="704"/>
      <c r="H267" s="704"/>
      <c r="I267" s="704"/>
      <c r="J267" s="741"/>
      <c r="K267" s="742"/>
      <c r="L267" s="741"/>
      <c r="M267" s="741"/>
      <c r="N267" s="741"/>
      <c r="O267" s="741"/>
      <c r="P267" s="704"/>
      <c r="Q267" s="704"/>
      <c r="R267" s="704"/>
      <c r="S267" s="704"/>
      <c r="T267" s="704"/>
      <c r="U267" s="704"/>
      <c r="V267" s="704"/>
      <c r="IM267" s="714"/>
    </row>
    <row r="268" spans="1:247">
      <c r="A268" s="113" t="s">
        <v>671</v>
      </c>
      <c r="B268" s="704">
        <v>3.14</v>
      </c>
      <c r="C268" s="704">
        <v>5.51</v>
      </c>
      <c r="D268" s="704">
        <v>6.52</v>
      </c>
      <c r="E268" s="704">
        <v>6.71</v>
      </c>
      <c r="F268" s="704">
        <v>10.47</v>
      </c>
      <c r="G268" s="704">
        <v>8.82</v>
      </c>
      <c r="H268" s="704">
        <v>6.87</v>
      </c>
      <c r="I268" s="704"/>
      <c r="J268" s="741"/>
      <c r="K268" s="742"/>
      <c r="L268" s="741"/>
      <c r="M268" s="741"/>
      <c r="N268" s="741"/>
      <c r="O268" s="741" t="s">
        <v>88</v>
      </c>
      <c r="P268" s="704">
        <v>4.25</v>
      </c>
      <c r="Q268" s="704"/>
      <c r="R268" s="704">
        <v>4.25</v>
      </c>
      <c r="S268" s="704"/>
      <c r="T268" s="704"/>
      <c r="U268" s="704"/>
      <c r="V268" s="704">
        <v>5.9</v>
      </c>
      <c r="IM268" s="714"/>
    </row>
    <row r="269" spans="1:247">
      <c r="A269" s="113" t="s">
        <v>676</v>
      </c>
      <c r="B269" s="704">
        <v>3.08</v>
      </c>
      <c r="C269" s="704">
        <v>4.6100000000000003</v>
      </c>
      <c r="D269" s="704">
        <v>5.98</v>
      </c>
      <c r="E269" s="704">
        <v>7.21</v>
      </c>
      <c r="F269" s="704">
        <v>10.71</v>
      </c>
      <c r="G269" s="704">
        <v>8.36</v>
      </c>
      <c r="H269" s="704">
        <v>6.87</v>
      </c>
      <c r="I269" s="704"/>
      <c r="J269" s="741"/>
      <c r="K269" s="742"/>
      <c r="L269" s="741"/>
      <c r="M269" s="741"/>
      <c r="N269" s="741"/>
      <c r="O269" s="741" t="s">
        <v>88</v>
      </c>
      <c r="P269" s="704">
        <v>4.25</v>
      </c>
      <c r="Q269" s="704"/>
      <c r="R269" s="704">
        <v>4.25</v>
      </c>
      <c r="S269" s="704"/>
      <c r="T269" s="704"/>
      <c r="U269" s="704"/>
      <c r="V269" s="704">
        <v>5.81</v>
      </c>
      <c r="IM269" s="714"/>
    </row>
    <row r="270" spans="1:247">
      <c r="A270" s="113" t="s">
        <v>683</v>
      </c>
      <c r="B270" s="704">
        <v>3.11</v>
      </c>
      <c r="C270" s="704">
        <v>4.62</v>
      </c>
      <c r="D270" s="704">
        <v>6.31</v>
      </c>
      <c r="E270" s="704">
        <v>6.77</v>
      </c>
      <c r="F270" s="704">
        <v>5.4</v>
      </c>
      <c r="G270" s="704">
        <v>8.07</v>
      </c>
      <c r="H270" s="704">
        <v>6.51</v>
      </c>
      <c r="I270" s="704"/>
      <c r="J270" s="741"/>
      <c r="K270" s="742"/>
      <c r="L270" s="741"/>
      <c r="M270" s="741"/>
      <c r="N270" s="741"/>
      <c r="O270" s="741" t="s">
        <v>88</v>
      </c>
      <c r="P270" s="704">
        <v>4.34</v>
      </c>
      <c r="Q270" s="704"/>
      <c r="R270" s="704">
        <v>4.34</v>
      </c>
      <c r="S270" s="704"/>
      <c r="T270" s="704"/>
      <c r="U270" s="704"/>
      <c r="V270" s="704">
        <v>5.59</v>
      </c>
      <c r="IM270" s="714"/>
    </row>
    <row r="271" spans="1:247">
      <c r="A271" s="113" t="s">
        <v>42</v>
      </c>
      <c r="B271" s="704">
        <v>2.98</v>
      </c>
      <c r="C271" s="704">
        <v>4.6900000000000004</v>
      </c>
      <c r="D271" s="704">
        <v>6.39</v>
      </c>
      <c r="E271" s="704">
        <v>6.69</v>
      </c>
      <c r="F271" s="704">
        <v>5.63</v>
      </c>
      <c r="G271" s="704">
        <v>7.62</v>
      </c>
      <c r="H271" s="704">
        <v>6.51</v>
      </c>
      <c r="I271" s="704"/>
      <c r="J271" s="741"/>
      <c r="K271" s="742"/>
      <c r="L271" s="741"/>
      <c r="M271" s="741"/>
      <c r="N271" s="741"/>
      <c r="O271" s="741" t="s">
        <v>88</v>
      </c>
      <c r="P271" s="704">
        <v>5</v>
      </c>
      <c r="Q271" s="704"/>
      <c r="R271" s="704">
        <v>5</v>
      </c>
      <c r="S271" s="704"/>
      <c r="T271" s="704"/>
      <c r="U271" s="704"/>
      <c r="V271" s="704">
        <v>5.42</v>
      </c>
      <c r="IM271" s="714"/>
    </row>
    <row r="272" spans="1:247">
      <c r="A272" s="113" t="s">
        <v>43</v>
      </c>
      <c r="B272" s="704">
        <v>2.65</v>
      </c>
      <c r="C272" s="704">
        <v>4.66</v>
      </c>
      <c r="D272" s="704">
        <v>6.14</v>
      </c>
      <c r="E272" s="704">
        <v>6.8</v>
      </c>
      <c r="F272" s="704">
        <v>6.16</v>
      </c>
      <c r="G272" s="704">
        <v>7.63</v>
      </c>
      <c r="H272" s="704">
        <v>6.53</v>
      </c>
      <c r="I272" s="704"/>
      <c r="J272" s="741"/>
      <c r="K272" s="742"/>
      <c r="L272" s="741"/>
      <c r="M272" s="741"/>
      <c r="N272" s="741"/>
      <c r="O272" s="741" t="s">
        <v>88</v>
      </c>
      <c r="P272" s="704">
        <v>3.9</v>
      </c>
      <c r="Q272" s="704"/>
      <c r="R272" s="704">
        <v>3.9</v>
      </c>
      <c r="S272" s="704"/>
      <c r="T272" s="704"/>
      <c r="U272" s="704"/>
      <c r="V272" s="704">
        <v>5.42</v>
      </c>
      <c r="IM272" s="714"/>
    </row>
    <row r="273" spans="1:247">
      <c r="A273" s="1059" t="s">
        <v>44</v>
      </c>
      <c r="B273" s="704">
        <v>3.54</v>
      </c>
      <c r="C273" s="704">
        <v>5.46</v>
      </c>
      <c r="D273" s="704">
        <v>6.62</v>
      </c>
      <c r="E273" s="704">
        <v>6.72</v>
      </c>
      <c r="F273" s="704">
        <v>10.26</v>
      </c>
      <c r="G273" s="704">
        <v>9.09</v>
      </c>
      <c r="H273" s="704">
        <v>6.94</v>
      </c>
      <c r="I273" s="704"/>
      <c r="J273" s="741"/>
      <c r="K273" s="742"/>
      <c r="L273" s="741"/>
      <c r="M273" s="741"/>
      <c r="N273" s="741"/>
      <c r="O273" s="741" t="s">
        <v>88</v>
      </c>
      <c r="P273" s="704">
        <v>4.8</v>
      </c>
      <c r="Q273" s="704"/>
      <c r="R273" s="704">
        <v>4.8</v>
      </c>
      <c r="S273" s="704"/>
      <c r="T273" s="704"/>
      <c r="U273" s="704"/>
      <c r="V273" s="704">
        <v>6.17</v>
      </c>
      <c r="IM273" s="714"/>
    </row>
    <row r="274" spans="1:247">
      <c r="A274" s="1059" t="s">
        <v>619</v>
      </c>
      <c r="B274" s="704">
        <v>2.76</v>
      </c>
      <c r="C274" s="704">
        <v>4.6100000000000003</v>
      </c>
      <c r="D274" s="704">
        <v>6.22</v>
      </c>
      <c r="E274" s="704">
        <v>6.71</v>
      </c>
      <c r="F274" s="704">
        <v>10.43</v>
      </c>
      <c r="G274" s="704">
        <v>7.86</v>
      </c>
      <c r="H274" s="704">
        <v>6.61</v>
      </c>
      <c r="I274" s="704"/>
      <c r="J274" s="741"/>
      <c r="K274" s="742"/>
      <c r="L274" s="741"/>
      <c r="M274" s="741"/>
      <c r="N274" s="741"/>
      <c r="O274" s="741" t="s">
        <v>88</v>
      </c>
      <c r="P274" s="704">
        <v>3.9</v>
      </c>
      <c r="Q274" s="704"/>
      <c r="R274" s="704">
        <v>3.9</v>
      </c>
      <c r="S274" s="704"/>
      <c r="T274" s="704"/>
      <c r="U274" s="704"/>
      <c r="V274" s="704">
        <v>5.47</v>
      </c>
      <c r="IM274" s="714"/>
    </row>
    <row r="275" spans="1:247">
      <c r="A275" s="123"/>
      <c r="B275" s="704"/>
      <c r="C275" s="704"/>
      <c r="D275" s="704"/>
      <c r="E275" s="704"/>
      <c r="F275" s="704"/>
      <c r="G275" s="704"/>
      <c r="H275" s="704"/>
      <c r="I275" s="704"/>
      <c r="J275" s="741"/>
      <c r="K275" s="742"/>
      <c r="L275" s="741"/>
      <c r="M275" s="741"/>
      <c r="N275" s="741"/>
      <c r="O275" s="741"/>
      <c r="P275" s="704"/>
      <c r="Q275" s="704"/>
      <c r="R275" s="704"/>
      <c r="S275" s="704"/>
      <c r="T275" s="704"/>
      <c r="U275" s="704"/>
      <c r="V275" s="704"/>
      <c r="IM275" s="714"/>
    </row>
    <row r="276" spans="1:247">
      <c r="A276" s="709"/>
      <c r="B276" s="710"/>
      <c r="C276" s="710"/>
      <c r="D276" s="710"/>
      <c r="E276" s="710"/>
      <c r="F276" s="710"/>
      <c r="G276" s="710"/>
      <c r="H276" s="710"/>
      <c r="I276" s="710"/>
      <c r="J276" s="710"/>
      <c r="K276" s="710"/>
      <c r="L276" s="710"/>
      <c r="M276" s="710"/>
      <c r="N276" s="710"/>
      <c r="O276" s="710"/>
      <c r="P276" s="710"/>
      <c r="Q276" s="710"/>
      <c r="R276" s="710"/>
      <c r="S276" s="710"/>
      <c r="T276" s="710"/>
      <c r="U276" s="710"/>
      <c r="V276" s="688"/>
    </row>
    <row r="277" spans="1:247">
      <c r="A277" s="791" t="s">
        <v>595</v>
      </c>
      <c r="B277" s="756"/>
      <c r="C277" s="756"/>
      <c r="D277" s="756"/>
      <c r="E277" s="756"/>
      <c r="F277" s="756"/>
      <c r="G277" s="756"/>
      <c r="H277" s="756"/>
      <c r="I277" s="756"/>
      <c r="J277" s="756"/>
      <c r="K277" s="756"/>
      <c r="L277" s="756"/>
      <c r="M277" s="756"/>
      <c r="N277" s="756"/>
      <c r="O277" s="756"/>
      <c r="P277" s="756"/>
      <c r="Q277" s="756"/>
      <c r="R277" s="756"/>
      <c r="S277" s="756"/>
      <c r="T277" s="756"/>
      <c r="U277" s="756"/>
      <c r="V277" s="775"/>
      <c r="IM277" s="714"/>
    </row>
    <row r="278" spans="1:247">
      <c r="A278" s="792" t="s">
        <v>642</v>
      </c>
      <c r="B278" s="718"/>
      <c r="C278" s="718"/>
      <c r="D278" s="718"/>
      <c r="E278" s="718"/>
      <c r="F278" s="718"/>
      <c r="G278" s="718"/>
      <c r="H278" s="718"/>
      <c r="I278" s="718"/>
      <c r="J278" s="718"/>
      <c r="K278" s="718"/>
      <c r="L278" s="718"/>
      <c r="M278" s="718"/>
      <c r="N278" s="718"/>
      <c r="O278" s="718"/>
      <c r="P278" s="718"/>
      <c r="Q278" s="718"/>
      <c r="R278" s="718"/>
      <c r="S278" s="718"/>
      <c r="T278" s="718"/>
      <c r="U278" s="718"/>
      <c r="V278" s="771"/>
    </row>
    <row r="279" spans="1:247">
      <c r="A279" s="776"/>
      <c r="B279" s="745"/>
      <c r="C279" s="745"/>
      <c r="D279" s="745"/>
      <c r="E279" s="745"/>
      <c r="F279" s="745"/>
      <c r="G279" s="745"/>
      <c r="H279" s="745"/>
      <c r="I279" s="745"/>
      <c r="J279" s="745"/>
      <c r="K279" s="745"/>
      <c r="L279" s="745"/>
      <c r="M279" s="745"/>
      <c r="N279" s="745"/>
      <c r="O279" s="745"/>
      <c r="P279" s="745"/>
      <c r="Q279" s="745"/>
      <c r="R279" s="745"/>
      <c r="S279" s="745"/>
      <c r="T279" s="745"/>
      <c r="U279" s="745"/>
      <c r="V279" s="746"/>
      <c r="IM279" s="714"/>
    </row>
  </sheetData>
  <mergeCells count="4">
    <mergeCell ref="D8:H8"/>
    <mergeCell ref="B4:R4"/>
    <mergeCell ref="B5:R5"/>
    <mergeCell ref="O8:R8"/>
  </mergeCells>
  <pageMargins left="1.8897637795275593" right="0.70866141732283472" top="0.74803149606299213" bottom="0.74803149606299213" header="0.31496062992125984" footer="0.31496062992125984"/>
  <pageSetup paperSize="9" scale="55" orientation="landscape" horizontalDpi="4294967295" verticalDpi="4294967295" r:id="rId1"/>
  <rowBreaks count="1" manualBreakCount="1">
    <brk id="279" max="21" man="1"/>
  </rowBreaks>
  <colBreaks count="1" manualBreakCount="1">
    <brk id="22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showGridLines="0" view="pageBreakPreview" topLeftCell="A250" zoomScale="80" zoomScaleNormal="100" zoomScaleSheetLayoutView="80" workbookViewId="0">
      <selection activeCell="B270" sqref="B270:C270"/>
    </sheetView>
  </sheetViews>
  <sheetFormatPr defaultColWidth="16.33203125" defaultRowHeight="12.75"/>
  <cols>
    <col min="1" max="1" width="18" style="69" customWidth="1"/>
    <col min="2" max="2" width="23.6640625" style="34" customWidth="1"/>
    <col min="3" max="3" width="16.77734375" style="13" bestFit="1" customWidth="1"/>
    <col min="4" max="4" width="11.77734375" style="69" customWidth="1"/>
    <col min="5" max="5" width="14.6640625" style="69" customWidth="1"/>
    <col min="6" max="6" width="26.77734375" style="69" customWidth="1"/>
    <col min="7" max="7" width="10.77734375" style="69" customWidth="1"/>
    <col min="8" max="16384" width="16.33203125" style="69"/>
  </cols>
  <sheetData>
    <row r="1" spans="1:3">
      <c r="A1" s="570" t="s">
        <v>0</v>
      </c>
      <c r="B1" s="32"/>
      <c r="C1" s="22"/>
    </row>
    <row r="2" spans="1:3">
      <c r="A2" s="1193" t="s">
        <v>576</v>
      </c>
      <c r="B2" s="1194"/>
      <c r="C2" s="36" t="s">
        <v>537</v>
      </c>
    </row>
    <row r="3" spans="1:3">
      <c r="A3" s="747" t="s">
        <v>0</v>
      </c>
      <c r="B3" s="17"/>
      <c r="C3" s="18"/>
    </row>
    <row r="4" spans="1:3" ht="17.25" customHeight="1">
      <c r="A4" s="555"/>
      <c r="B4" s="19"/>
      <c r="C4" s="20"/>
    </row>
    <row r="5" spans="1:3">
      <c r="A5" s="95"/>
      <c r="B5" s="21"/>
      <c r="C5" s="22"/>
    </row>
    <row r="6" spans="1:3">
      <c r="A6" s="94" t="s">
        <v>165</v>
      </c>
      <c r="B6" s="23" t="s">
        <v>571</v>
      </c>
      <c r="C6" s="24" t="s">
        <v>572</v>
      </c>
    </row>
    <row r="7" spans="1:3">
      <c r="A7" s="94"/>
      <c r="B7" s="23" t="s">
        <v>573</v>
      </c>
      <c r="C7" s="24" t="s">
        <v>574</v>
      </c>
    </row>
    <row r="8" spans="1:3">
      <c r="A8" s="94"/>
      <c r="B8" s="25"/>
      <c r="C8" s="26" t="s">
        <v>575</v>
      </c>
    </row>
    <row r="9" spans="1:3">
      <c r="A9" s="270" t="s">
        <v>34</v>
      </c>
      <c r="B9" s="25"/>
      <c r="C9" s="27"/>
    </row>
    <row r="10" spans="1:3">
      <c r="A10" s="100"/>
      <c r="B10" s="21"/>
      <c r="C10" s="21"/>
    </row>
    <row r="11" spans="1:3" hidden="1">
      <c r="A11" s="308" t="s">
        <v>530</v>
      </c>
      <c r="B11" s="28">
        <v>156354</v>
      </c>
      <c r="C11" s="28">
        <v>245883165</v>
      </c>
    </row>
    <row r="12" spans="1:3" hidden="1">
      <c r="A12" s="308" t="s">
        <v>531</v>
      </c>
      <c r="B12" s="28">
        <v>147932</v>
      </c>
      <c r="C12" s="29">
        <v>454946971</v>
      </c>
    </row>
    <row r="13" spans="1:3" hidden="1">
      <c r="A13" s="308" t="s">
        <v>469</v>
      </c>
      <c r="B13" s="28">
        <v>166157</v>
      </c>
      <c r="C13" s="29">
        <v>607006656</v>
      </c>
    </row>
    <row r="14" spans="1:3" hidden="1">
      <c r="A14" s="308" t="s">
        <v>470</v>
      </c>
      <c r="B14" s="28">
        <v>175657</v>
      </c>
      <c r="C14" s="29">
        <v>742557542</v>
      </c>
    </row>
    <row r="15" spans="1:3" hidden="1">
      <c r="A15" s="543" t="s">
        <v>471</v>
      </c>
      <c r="B15" s="28">
        <v>189218</v>
      </c>
      <c r="C15" s="29">
        <v>501476590</v>
      </c>
    </row>
    <row r="16" spans="1:3" hidden="1">
      <c r="A16" s="543" t="s">
        <v>472</v>
      </c>
      <c r="B16" s="28">
        <v>207050</v>
      </c>
      <c r="C16" s="29">
        <v>464817843</v>
      </c>
    </row>
    <row r="17" spans="1:5" hidden="1">
      <c r="A17" s="543" t="s">
        <v>473</v>
      </c>
      <c r="B17" s="28">
        <v>216648</v>
      </c>
      <c r="C17" s="29">
        <v>549732293</v>
      </c>
    </row>
    <row r="18" spans="1:5" hidden="1">
      <c r="A18" s="748" t="s">
        <v>536</v>
      </c>
      <c r="B18" s="28">
        <v>245328</v>
      </c>
      <c r="C18" s="29">
        <v>734659236</v>
      </c>
    </row>
    <row r="19" spans="1:5" hidden="1">
      <c r="A19" s="748" t="s">
        <v>475</v>
      </c>
      <c r="B19" s="28">
        <v>228064</v>
      </c>
      <c r="C19" s="29">
        <v>923821305</v>
      </c>
    </row>
    <row r="20" spans="1:5" hidden="1">
      <c r="A20" s="748" t="s">
        <v>476</v>
      </c>
      <c r="B20" s="28">
        <v>216374</v>
      </c>
      <c r="C20" s="29">
        <v>856927879</v>
      </c>
    </row>
    <row r="21" spans="1:5" hidden="1">
      <c r="A21" s="748" t="s">
        <v>477</v>
      </c>
      <c r="B21" s="28">
        <v>227531</v>
      </c>
      <c r="C21" s="29">
        <v>987455104</v>
      </c>
    </row>
    <row r="22" spans="1:5" hidden="1">
      <c r="A22" s="748" t="s">
        <v>478</v>
      </c>
      <c r="B22" s="28">
        <v>225117</v>
      </c>
      <c r="C22" s="29">
        <v>915446517</v>
      </c>
    </row>
    <row r="23" spans="1:5" hidden="1">
      <c r="A23" s="748" t="s">
        <v>4</v>
      </c>
      <c r="B23" s="28">
        <v>205650</v>
      </c>
      <c r="C23" s="29">
        <v>1224681324</v>
      </c>
      <c r="E23" s="30"/>
    </row>
    <row r="24" spans="1:5" hidden="1">
      <c r="A24" s="748" t="s">
        <v>5</v>
      </c>
      <c r="B24" s="28">
        <v>275443</v>
      </c>
      <c r="C24" s="29">
        <v>1468973167</v>
      </c>
    </row>
    <row r="25" spans="1:5" hidden="1">
      <c r="A25" s="748" t="s">
        <v>7</v>
      </c>
      <c r="B25" s="28">
        <v>297811</v>
      </c>
      <c r="C25" s="29">
        <v>1871784849</v>
      </c>
    </row>
    <row r="26" spans="1:5" hidden="1">
      <c r="A26" s="748" t="s">
        <v>8</v>
      </c>
      <c r="B26" s="28">
        <v>311195</v>
      </c>
      <c r="C26" s="29">
        <v>2235551604</v>
      </c>
    </row>
    <row r="27" spans="1:5" hidden="1">
      <c r="A27" s="748" t="s">
        <v>10</v>
      </c>
      <c r="B27" s="28">
        <v>301868</v>
      </c>
      <c r="C27" s="29">
        <v>2543460959</v>
      </c>
    </row>
    <row r="28" spans="1:5">
      <c r="A28" s="748" t="s">
        <v>11</v>
      </c>
      <c r="B28" s="28">
        <v>312293</v>
      </c>
      <c r="C28" s="29">
        <v>2887238918</v>
      </c>
    </row>
    <row r="29" spans="1:5">
      <c r="A29" s="748" t="s">
        <v>13</v>
      </c>
      <c r="B29" s="28">
        <v>330173</v>
      </c>
      <c r="C29" s="29">
        <v>3270463423</v>
      </c>
    </row>
    <row r="30" spans="1:5" s="139" customFormat="1">
      <c r="A30" s="748" t="s">
        <v>14</v>
      </c>
      <c r="B30" s="28">
        <v>304312</v>
      </c>
      <c r="C30" s="28">
        <v>3229856368</v>
      </c>
    </row>
    <row r="31" spans="1:5" s="139" customFormat="1">
      <c r="A31" s="748" t="s">
        <v>15</v>
      </c>
      <c r="B31" s="28">
        <v>303106</v>
      </c>
      <c r="C31" s="28">
        <v>3387023890</v>
      </c>
    </row>
    <row r="32" spans="1:5" s="139" customFormat="1">
      <c r="A32" s="748" t="s">
        <v>669</v>
      </c>
      <c r="B32" s="28">
        <v>146739</v>
      </c>
      <c r="C32" s="28">
        <v>1479639525</v>
      </c>
    </row>
    <row r="33" spans="1:3" s="139" customFormat="1" ht="15.75" hidden="1">
      <c r="A33" s="308" t="s">
        <v>644</v>
      </c>
      <c r="B33" s="28">
        <v>77894</v>
      </c>
      <c r="C33" s="29">
        <v>722401900</v>
      </c>
    </row>
    <row r="34" spans="1:3" ht="15.75" hidden="1">
      <c r="A34" s="308" t="s">
        <v>645</v>
      </c>
      <c r="B34" s="28">
        <f>B214+B215+B216</f>
        <v>81988</v>
      </c>
      <c r="C34" s="28">
        <f>C214+C215+C216</f>
        <v>776209265</v>
      </c>
    </row>
    <row r="35" spans="1:3" ht="15.75" hidden="1">
      <c r="A35" s="308" t="s">
        <v>646</v>
      </c>
      <c r="B35" s="28">
        <v>82433</v>
      </c>
      <c r="C35" s="28">
        <v>846045569</v>
      </c>
    </row>
    <row r="36" spans="1:3" ht="15.75" hidden="1">
      <c r="A36" s="308" t="s">
        <v>668</v>
      </c>
      <c r="B36" s="28">
        <v>87858</v>
      </c>
      <c r="C36" s="28">
        <v>925806689</v>
      </c>
    </row>
    <row r="37" spans="1:3">
      <c r="A37" s="308"/>
      <c r="B37" s="28"/>
      <c r="C37" s="28"/>
    </row>
    <row r="38" spans="1:3" s="139" customFormat="1" ht="15.75">
      <c r="A38" s="308" t="s">
        <v>648</v>
      </c>
      <c r="B38" s="28">
        <v>79824</v>
      </c>
      <c r="C38" s="28">
        <v>813316639</v>
      </c>
    </row>
    <row r="39" spans="1:3" s="139" customFormat="1" ht="15.75">
      <c r="A39" s="308" t="s">
        <v>645</v>
      </c>
      <c r="B39" s="28">
        <v>69284</v>
      </c>
      <c r="C39" s="28">
        <v>732464255</v>
      </c>
    </row>
    <row r="40" spans="1:3" s="139" customFormat="1" ht="15.75">
      <c r="A40" s="308" t="s">
        <v>646</v>
      </c>
      <c r="B40" s="28">
        <v>73333</v>
      </c>
      <c r="C40" s="28">
        <v>801380807</v>
      </c>
    </row>
    <row r="41" spans="1:3" s="139" customFormat="1" ht="15.75">
      <c r="A41" s="308" t="s">
        <v>647</v>
      </c>
      <c r="B41" s="28">
        <v>81871</v>
      </c>
      <c r="C41" s="28">
        <v>882694667</v>
      </c>
    </row>
    <row r="42" spans="1:3" s="139" customFormat="1">
      <c r="A42" s="308"/>
      <c r="B42" s="28"/>
      <c r="C42" s="28"/>
    </row>
    <row r="43" spans="1:3" s="139" customFormat="1" ht="15.75">
      <c r="A43" s="308" t="s">
        <v>649</v>
      </c>
      <c r="B43" s="28">
        <v>66901</v>
      </c>
      <c r="C43" s="28">
        <v>705383327</v>
      </c>
    </row>
    <row r="44" spans="1:3" s="139" customFormat="1" ht="15.75">
      <c r="A44" s="308" t="s">
        <v>645</v>
      </c>
      <c r="B44" s="28">
        <v>76558</v>
      </c>
      <c r="C44" s="28">
        <v>823609858</v>
      </c>
    </row>
    <row r="45" spans="1:3" ht="15.75">
      <c r="A45" s="308" t="s">
        <v>646</v>
      </c>
      <c r="B45" s="28">
        <v>75803</v>
      </c>
      <c r="C45" s="28">
        <v>897952315</v>
      </c>
    </row>
    <row r="46" spans="1:3" ht="15.75">
      <c r="A46" s="308" t="s">
        <v>647</v>
      </c>
      <c r="B46" s="28">
        <v>83844</v>
      </c>
      <c r="C46" s="28">
        <v>960078390</v>
      </c>
    </row>
    <row r="47" spans="1:3">
      <c r="A47" s="308"/>
      <c r="B47" s="28"/>
      <c r="C47" s="28"/>
    </row>
    <row r="48" spans="1:3" ht="15.75">
      <c r="A48" s="308" t="s">
        <v>650</v>
      </c>
      <c r="B48" s="28">
        <v>46754</v>
      </c>
      <c r="C48" s="28">
        <v>520617506</v>
      </c>
    </row>
    <row r="49" spans="1:3" ht="15.75">
      <c r="A49" s="308" t="s">
        <v>645</v>
      </c>
      <c r="B49" s="28">
        <v>32106</v>
      </c>
      <c r="C49" s="28">
        <v>309102124</v>
      </c>
    </row>
    <row r="50" spans="1:3" ht="15.75">
      <c r="A50" s="308" t="s">
        <v>646</v>
      </c>
      <c r="B50" s="28">
        <v>34101</v>
      </c>
      <c r="C50" s="28">
        <v>332334805</v>
      </c>
    </row>
    <row r="51" spans="1:3" ht="15.75">
      <c r="A51" s="308" t="s">
        <v>647</v>
      </c>
      <c r="B51" s="28">
        <v>33778</v>
      </c>
      <c r="C51" s="28">
        <v>317585090</v>
      </c>
    </row>
    <row r="52" spans="1:3">
      <c r="A52" s="308"/>
      <c r="B52" s="28"/>
      <c r="C52" s="28"/>
    </row>
    <row r="53" spans="1:3" ht="15.75">
      <c r="A53" s="308" t="s">
        <v>690</v>
      </c>
      <c r="B53" s="28">
        <f>+B264+B265+B266</f>
        <v>32517</v>
      </c>
      <c r="C53" s="28">
        <f>+C264+C265+C266</f>
        <v>320884126</v>
      </c>
    </row>
    <row r="54" spans="1:3" s="1051" customFormat="1" ht="15.75">
      <c r="A54" s="1057" t="s">
        <v>645</v>
      </c>
      <c r="B54" s="28">
        <f>+B267+B268+B269</f>
        <v>31486</v>
      </c>
      <c r="C54" s="28">
        <f>+C267+C268+C269</f>
        <v>294812411</v>
      </c>
    </row>
    <row r="55" spans="1:3">
      <c r="A55" s="308"/>
      <c r="B55" s="28"/>
      <c r="C55" s="28"/>
    </row>
    <row r="56" spans="1:3" hidden="1">
      <c r="A56" s="113" t="s">
        <v>335</v>
      </c>
      <c r="B56" s="28">
        <v>18777</v>
      </c>
      <c r="C56" s="29">
        <v>35213621</v>
      </c>
    </row>
    <row r="57" spans="1:3" hidden="1">
      <c r="A57" s="113" t="s">
        <v>40</v>
      </c>
      <c r="B57" s="28">
        <v>15657</v>
      </c>
      <c r="C57" s="29">
        <v>33680484</v>
      </c>
    </row>
    <row r="58" spans="1:3" hidden="1">
      <c r="A58" s="113" t="s">
        <v>41</v>
      </c>
      <c r="B58" s="28">
        <v>17709</v>
      </c>
      <c r="C58" s="29">
        <v>41349962</v>
      </c>
    </row>
    <row r="59" spans="1:3" hidden="1">
      <c r="A59" s="113" t="s">
        <v>42</v>
      </c>
      <c r="B59" s="28">
        <v>18699</v>
      </c>
      <c r="C59" s="29">
        <v>40966446</v>
      </c>
    </row>
    <row r="60" spans="1:3" hidden="1">
      <c r="A60" s="113" t="s">
        <v>43</v>
      </c>
      <c r="B60" s="28">
        <v>19045</v>
      </c>
      <c r="C60" s="29">
        <v>45646229</v>
      </c>
    </row>
    <row r="61" spans="1:3" hidden="1">
      <c r="A61" s="113" t="s">
        <v>44</v>
      </c>
      <c r="B61" s="28">
        <v>16363</v>
      </c>
      <c r="C61" s="29">
        <v>41149749</v>
      </c>
    </row>
    <row r="62" spans="1:3" hidden="1">
      <c r="A62" s="113" t="s">
        <v>45</v>
      </c>
      <c r="B62" s="28">
        <v>17697</v>
      </c>
      <c r="C62" s="29">
        <v>46622538</v>
      </c>
    </row>
    <row r="63" spans="1:3" hidden="1">
      <c r="A63" s="113" t="s">
        <v>46</v>
      </c>
      <c r="B63" s="28">
        <v>17104</v>
      </c>
      <c r="C63" s="29">
        <v>49964015</v>
      </c>
    </row>
    <row r="64" spans="1:3" hidden="1">
      <c r="A64" s="113" t="s">
        <v>47</v>
      </c>
      <c r="B64" s="28">
        <v>18104</v>
      </c>
      <c r="C64" s="29">
        <v>49964015</v>
      </c>
    </row>
    <row r="65" spans="1:3" hidden="1">
      <c r="A65" s="113" t="s">
        <v>48</v>
      </c>
      <c r="B65" s="28">
        <v>19613</v>
      </c>
      <c r="C65" s="29">
        <v>58370864</v>
      </c>
    </row>
    <row r="66" spans="1:3" hidden="1">
      <c r="A66" s="113" t="s">
        <v>49</v>
      </c>
      <c r="B66" s="28">
        <v>16814</v>
      </c>
      <c r="C66" s="29">
        <v>46414561</v>
      </c>
    </row>
    <row r="67" spans="1:3" hidden="1">
      <c r="A67" s="113" t="s">
        <v>50</v>
      </c>
      <c r="B67" s="28">
        <v>19432</v>
      </c>
      <c r="C67" s="29">
        <v>59354774</v>
      </c>
    </row>
    <row r="68" spans="1:3" hidden="1">
      <c r="A68" s="80"/>
      <c r="B68" s="28"/>
      <c r="C68" s="29"/>
    </row>
    <row r="69" spans="1:3" hidden="1">
      <c r="A69" s="113" t="s">
        <v>334</v>
      </c>
      <c r="B69" s="28">
        <v>19041</v>
      </c>
      <c r="C69" s="29">
        <v>51555248</v>
      </c>
    </row>
    <row r="70" spans="1:3" hidden="1">
      <c r="A70" s="113" t="s">
        <v>40</v>
      </c>
      <c r="B70" s="28">
        <v>17191</v>
      </c>
      <c r="C70" s="29">
        <v>52756038</v>
      </c>
    </row>
    <row r="71" spans="1:3" hidden="1">
      <c r="A71" s="113" t="s">
        <v>41</v>
      </c>
      <c r="B71" s="28">
        <v>19142</v>
      </c>
      <c r="C71" s="29">
        <v>53127664</v>
      </c>
    </row>
    <row r="72" spans="1:3" hidden="1">
      <c r="A72" s="113" t="s">
        <v>42</v>
      </c>
      <c r="B72" s="28">
        <v>20423</v>
      </c>
      <c r="C72" s="29">
        <v>66031685</v>
      </c>
    </row>
    <row r="73" spans="1:3" hidden="1">
      <c r="A73" s="113" t="s">
        <v>43</v>
      </c>
      <c r="B73" s="28">
        <v>18587</v>
      </c>
      <c r="C73" s="29">
        <v>56021424</v>
      </c>
    </row>
    <row r="74" spans="1:3" hidden="1">
      <c r="A74" s="113" t="s">
        <v>44</v>
      </c>
      <c r="B74" s="28">
        <v>20076</v>
      </c>
      <c r="C74" s="29">
        <v>75472989</v>
      </c>
    </row>
    <row r="75" spans="1:3" hidden="1">
      <c r="A75" s="113" t="s">
        <v>45</v>
      </c>
      <c r="B75" s="28">
        <v>19302</v>
      </c>
      <c r="C75" s="29">
        <v>58487150</v>
      </c>
    </row>
    <row r="76" spans="1:3" hidden="1">
      <c r="A76" s="113" t="s">
        <v>46</v>
      </c>
      <c r="B76" s="28">
        <v>18082</v>
      </c>
      <c r="C76" s="29">
        <v>57425533</v>
      </c>
    </row>
    <row r="77" spans="1:3" hidden="1">
      <c r="A77" s="113" t="s">
        <v>47</v>
      </c>
      <c r="B77" s="28">
        <v>19830</v>
      </c>
      <c r="C77" s="29">
        <v>63405124</v>
      </c>
    </row>
    <row r="78" spans="1:3" hidden="1">
      <c r="A78" s="113" t="s">
        <v>48</v>
      </c>
      <c r="B78" s="28">
        <v>20523</v>
      </c>
      <c r="C78" s="29">
        <v>59894976</v>
      </c>
    </row>
    <row r="79" spans="1:3" hidden="1">
      <c r="A79" s="113" t="s">
        <v>49</v>
      </c>
      <c r="B79" s="28">
        <v>17815</v>
      </c>
      <c r="C79" s="29">
        <v>66714304</v>
      </c>
    </row>
    <row r="80" spans="1:3" hidden="1">
      <c r="A80" s="113" t="s">
        <v>50</v>
      </c>
      <c r="B80" s="28">
        <v>19005</v>
      </c>
      <c r="C80" s="29">
        <v>73767101</v>
      </c>
    </row>
    <row r="81" spans="1:3" hidden="1">
      <c r="A81" s="113"/>
      <c r="B81" s="28"/>
      <c r="C81" s="29"/>
    </row>
    <row r="82" spans="1:3" hidden="1">
      <c r="A82" s="113" t="s">
        <v>333</v>
      </c>
      <c r="B82" s="28">
        <v>17602</v>
      </c>
      <c r="C82" s="29">
        <v>57789546</v>
      </c>
    </row>
    <row r="83" spans="1:3" hidden="1">
      <c r="A83" s="113" t="s">
        <v>40</v>
      </c>
      <c r="B83" s="28">
        <v>16594</v>
      </c>
      <c r="C83" s="29">
        <v>63293506</v>
      </c>
    </row>
    <row r="84" spans="1:3" hidden="1">
      <c r="A84" s="113" t="s">
        <v>41</v>
      </c>
      <c r="B84" s="28">
        <v>20464</v>
      </c>
      <c r="C84" s="29">
        <v>59321309</v>
      </c>
    </row>
    <row r="85" spans="1:3" hidden="1">
      <c r="A85" s="113" t="s">
        <v>42</v>
      </c>
      <c r="B85" s="28">
        <v>19927</v>
      </c>
      <c r="C85" s="29">
        <v>65265165</v>
      </c>
    </row>
    <row r="86" spans="1:3" hidden="1">
      <c r="A86" s="113" t="s">
        <v>43</v>
      </c>
      <c r="B86" s="28">
        <v>18651</v>
      </c>
      <c r="C86" s="29">
        <v>66898713</v>
      </c>
    </row>
    <row r="87" spans="1:3" hidden="1">
      <c r="A87" s="113" t="s">
        <v>44</v>
      </c>
      <c r="B87" s="28">
        <v>20308</v>
      </c>
      <c r="C87" s="29">
        <v>95086275</v>
      </c>
    </row>
    <row r="88" spans="1:3" hidden="1">
      <c r="A88" s="113" t="s">
        <v>45</v>
      </c>
      <c r="B88" s="28">
        <v>19385</v>
      </c>
      <c r="C88" s="29">
        <v>78253701</v>
      </c>
    </row>
    <row r="89" spans="1:3" hidden="1">
      <c r="A89" s="113" t="s">
        <v>46</v>
      </c>
      <c r="B89" s="28">
        <v>19748</v>
      </c>
      <c r="C89" s="29">
        <v>95992804</v>
      </c>
    </row>
    <row r="90" spans="1:3" hidden="1">
      <c r="A90" s="113" t="s">
        <v>47</v>
      </c>
      <c r="B90" s="28">
        <v>19917</v>
      </c>
      <c r="C90" s="29">
        <v>94646395</v>
      </c>
    </row>
    <row r="91" spans="1:3" hidden="1">
      <c r="A91" s="113" t="s">
        <v>48</v>
      </c>
      <c r="B91" s="28">
        <v>18218</v>
      </c>
      <c r="C91" s="29">
        <v>86486019</v>
      </c>
    </row>
    <row r="92" spans="1:3" hidden="1">
      <c r="A92" s="113" t="s">
        <v>49</v>
      </c>
      <c r="B92" s="28">
        <v>18778</v>
      </c>
      <c r="C92" s="29">
        <v>76415459</v>
      </c>
    </row>
    <row r="93" spans="1:3" hidden="1">
      <c r="A93" s="113" t="s">
        <v>50</v>
      </c>
      <c r="B93" s="28">
        <v>18472</v>
      </c>
      <c r="C93" s="29">
        <v>84372413</v>
      </c>
    </row>
    <row r="94" spans="1:3" hidden="1">
      <c r="A94" s="113"/>
      <c r="B94" s="28"/>
      <c r="C94" s="29"/>
    </row>
    <row r="95" spans="1:3" hidden="1">
      <c r="A95" s="113" t="s">
        <v>332</v>
      </c>
      <c r="B95" s="28">
        <v>17602</v>
      </c>
      <c r="C95" s="29">
        <v>57786546</v>
      </c>
    </row>
    <row r="96" spans="1:3" hidden="1">
      <c r="A96" s="113" t="s">
        <v>40</v>
      </c>
      <c r="B96" s="28">
        <v>18245</v>
      </c>
      <c r="C96" s="29">
        <v>62824910</v>
      </c>
    </row>
    <row r="97" spans="1:3" hidden="1">
      <c r="A97" s="113" t="s">
        <v>41</v>
      </c>
      <c r="B97" s="28">
        <v>16127</v>
      </c>
      <c r="C97" s="29">
        <v>54321279</v>
      </c>
    </row>
    <row r="98" spans="1:3" hidden="1">
      <c r="A98" s="113" t="s">
        <v>42</v>
      </c>
      <c r="B98" s="28">
        <v>18056</v>
      </c>
      <c r="C98" s="29">
        <v>80646034</v>
      </c>
    </row>
    <row r="99" spans="1:3" hidden="1">
      <c r="A99" s="113" t="s">
        <v>43</v>
      </c>
      <c r="B99" s="28">
        <v>18425</v>
      </c>
      <c r="C99" s="29">
        <v>62427215</v>
      </c>
    </row>
    <row r="100" spans="1:3" hidden="1">
      <c r="A100" s="113" t="s">
        <v>44</v>
      </c>
      <c r="B100" s="28">
        <v>18157</v>
      </c>
      <c r="C100" s="29">
        <v>70342681</v>
      </c>
    </row>
    <row r="101" spans="1:3" hidden="1">
      <c r="A101" s="113" t="s">
        <v>45</v>
      </c>
      <c r="B101" s="28">
        <v>18208</v>
      </c>
      <c r="C101" s="29">
        <v>78725503</v>
      </c>
    </row>
    <row r="102" spans="1:3" hidden="1">
      <c r="A102" s="113" t="s">
        <v>46</v>
      </c>
      <c r="B102" s="28">
        <v>17943</v>
      </c>
      <c r="C102" s="29">
        <v>82142930</v>
      </c>
    </row>
    <row r="103" spans="1:3" hidden="1">
      <c r="A103" s="113" t="s">
        <v>47</v>
      </c>
      <c r="B103" s="28">
        <v>18473</v>
      </c>
      <c r="C103" s="29">
        <v>73428930</v>
      </c>
    </row>
    <row r="104" spans="1:3" hidden="1">
      <c r="A104" s="113" t="s">
        <v>48</v>
      </c>
      <c r="B104" s="28">
        <v>17938</v>
      </c>
      <c r="C104" s="29">
        <v>78778314</v>
      </c>
    </row>
    <row r="105" spans="1:3" hidden="1">
      <c r="A105" s="113" t="s">
        <v>49</v>
      </c>
      <c r="B105" s="28">
        <v>19243</v>
      </c>
      <c r="C105" s="29">
        <v>83234708</v>
      </c>
    </row>
    <row r="106" spans="1:3" hidden="1">
      <c r="A106" s="113" t="s">
        <v>50</v>
      </c>
      <c r="B106" s="28">
        <v>17657</v>
      </c>
      <c r="C106" s="29">
        <v>72268829</v>
      </c>
    </row>
    <row r="107" spans="1:3" hidden="1">
      <c r="A107" s="113"/>
      <c r="B107" s="28"/>
      <c r="C107" s="29"/>
    </row>
    <row r="108" spans="1:3" hidden="1">
      <c r="A108" s="113" t="s">
        <v>331</v>
      </c>
      <c r="B108" s="28">
        <v>18473</v>
      </c>
      <c r="C108" s="29">
        <v>89215410</v>
      </c>
    </row>
    <row r="109" spans="1:3" hidden="1">
      <c r="A109" s="113" t="s">
        <v>40</v>
      </c>
      <c r="B109" s="28">
        <v>18347</v>
      </c>
      <c r="C109" s="29">
        <v>71074301</v>
      </c>
    </row>
    <row r="110" spans="1:3" hidden="1">
      <c r="A110" s="113" t="s">
        <v>41</v>
      </c>
      <c r="B110" s="28">
        <v>19421</v>
      </c>
      <c r="C110" s="29">
        <v>80421742</v>
      </c>
    </row>
    <row r="111" spans="1:3" hidden="1">
      <c r="A111" s="113" t="s">
        <v>42</v>
      </c>
      <c r="B111" s="28">
        <v>17839</v>
      </c>
      <c r="C111" s="29">
        <v>75400490</v>
      </c>
    </row>
    <row r="112" spans="1:3" hidden="1">
      <c r="A112" s="113" t="s">
        <v>43</v>
      </c>
      <c r="B112" s="28">
        <v>20857</v>
      </c>
      <c r="C112" s="29">
        <v>72487897</v>
      </c>
    </row>
    <row r="113" spans="1:3" hidden="1">
      <c r="A113" s="113" t="s">
        <v>44</v>
      </c>
      <c r="B113" s="28">
        <v>19729</v>
      </c>
      <c r="C113" s="29">
        <v>77927099</v>
      </c>
    </row>
    <row r="114" spans="1:3" hidden="1">
      <c r="A114" s="113" t="s">
        <v>45</v>
      </c>
      <c r="B114" s="28">
        <v>18668</v>
      </c>
      <c r="C114" s="29">
        <v>84560205</v>
      </c>
    </row>
    <row r="115" spans="1:3" hidden="1">
      <c r="A115" s="113" t="s">
        <v>46</v>
      </c>
      <c r="B115" s="28">
        <v>19708</v>
      </c>
      <c r="C115" s="29">
        <v>88803777</v>
      </c>
    </row>
    <row r="116" spans="1:3" hidden="1">
      <c r="A116" s="113" t="s">
        <v>47</v>
      </c>
      <c r="B116" s="28">
        <v>18986</v>
      </c>
      <c r="C116" s="29">
        <v>81148268</v>
      </c>
    </row>
    <row r="117" spans="1:3" hidden="1">
      <c r="A117" s="113" t="s">
        <v>48</v>
      </c>
      <c r="B117" s="28">
        <v>19235</v>
      </c>
      <c r="C117" s="29">
        <v>85429440</v>
      </c>
    </row>
    <row r="118" spans="1:3" hidden="1">
      <c r="A118" s="113" t="s">
        <v>49</v>
      </c>
      <c r="B118" s="28">
        <v>18858</v>
      </c>
      <c r="C118" s="29">
        <v>99441641</v>
      </c>
    </row>
    <row r="119" spans="1:3" hidden="1">
      <c r="A119" s="113" t="s">
        <v>50</v>
      </c>
      <c r="B119" s="28">
        <v>17410</v>
      </c>
      <c r="C119" s="29">
        <v>81544834</v>
      </c>
    </row>
    <row r="120" spans="1:3" hidden="1">
      <c r="A120" s="113"/>
      <c r="B120" s="28"/>
      <c r="C120" s="29"/>
    </row>
    <row r="121" spans="1:3" hidden="1">
      <c r="A121" s="113" t="s">
        <v>330</v>
      </c>
      <c r="B121" s="28">
        <v>19866</v>
      </c>
      <c r="C121" s="29">
        <v>83191877</v>
      </c>
    </row>
    <row r="122" spans="1:3" hidden="1">
      <c r="A122" s="113" t="s">
        <v>40</v>
      </c>
      <c r="B122" s="28">
        <v>16625</v>
      </c>
      <c r="C122" s="29">
        <v>66927813</v>
      </c>
    </row>
    <row r="123" spans="1:3" hidden="1">
      <c r="A123" s="113" t="s">
        <v>41</v>
      </c>
      <c r="B123" s="28">
        <v>19404</v>
      </c>
      <c r="C123" s="29">
        <v>60645264</v>
      </c>
    </row>
    <row r="124" spans="1:3" hidden="1">
      <c r="A124" s="113" t="s">
        <v>42</v>
      </c>
      <c r="B124" s="28">
        <v>18879</v>
      </c>
      <c r="C124" s="29">
        <v>100164527</v>
      </c>
    </row>
    <row r="125" spans="1:3" hidden="1">
      <c r="A125" s="113" t="s">
        <v>43</v>
      </c>
      <c r="B125" s="28">
        <v>20606</v>
      </c>
      <c r="C125" s="29">
        <v>84282336</v>
      </c>
    </row>
    <row r="126" spans="1:3" hidden="1">
      <c r="A126" s="113" t="s">
        <v>44</v>
      </c>
      <c r="B126" s="28">
        <v>19102</v>
      </c>
      <c r="C126" s="29">
        <v>80215651</v>
      </c>
    </row>
    <row r="127" spans="1:3" hidden="1">
      <c r="A127" s="113" t="s">
        <v>45</v>
      </c>
      <c r="B127" s="28">
        <v>17550</v>
      </c>
      <c r="C127" s="29">
        <v>60906549</v>
      </c>
    </row>
    <row r="128" spans="1:3" hidden="1">
      <c r="A128" s="113" t="s">
        <v>46</v>
      </c>
      <c r="B128" s="28">
        <v>19246</v>
      </c>
      <c r="C128" s="29">
        <v>77378036</v>
      </c>
    </row>
    <row r="129" spans="1:3" hidden="1">
      <c r="A129" s="113" t="s">
        <v>47</v>
      </c>
      <c r="B129" s="28">
        <v>16563</v>
      </c>
      <c r="C129" s="29">
        <v>81050947</v>
      </c>
    </row>
    <row r="130" spans="1:3" hidden="1">
      <c r="A130" s="113" t="s">
        <v>48</v>
      </c>
      <c r="B130" s="28">
        <v>20502</v>
      </c>
      <c r="C130" s="29">
        <v>86072131</v>
      </c>
    </row>
    <row r="131" spans="1:3" hidden="1">
      <c r="A131" s="113" t="s">
        <v>49</v>
      </c>
      <c r="B131" s="28">
        <v>17307</v>
      </c>
      <c r="C131" s="29">
        <v>74837633</v>
      </c>
    </row>
    <row r="132" spans="1:3" hidden="1">
      <c r="A132" s="113" t="s">
        <v>50</v>
      </c>
      <c r="B132" s="28">
        <v>19467</v>
      </c>
      <c r="C132" s="29">
        <v>59773753</v>
      </c>
    </row>
    <row r="133" spans="1:3" hidden="1">
      <c r="A133" s="113"/>
      <c r="B133" s="28"/>
      <c r="C133" s="29"/>
    </row>
    <row r="134" spans="1:3" hidden="1">
      <c r="A134" s="113" t="s">
        <v>60</v>
      </c>
      <c r="B134" s="28">
        <v>20244</v>
      </c>
      <c r="C134" s="29">
        <v>80018160</v>
      </c>
    </row>
    <row r="135" spans="1:3" hidden="1">
      <c r="A135" s="113" t="s">
        <v>40</v>
      </c>
      <c r="B135" s="28">
        <v>19224</v>
      </c>
      <c r="C135" s="29">
        <v>90556721</v>
      </c>
    </row>
    <row r="136" spans="1:3" hidden="1">
      <c r="A136" s="113" t="s">
        <v>41</v>
      </c>
      <c r="B136" s="28">
        <v>20727</v>
      </c>
      <c r="C136" s="29">
        <v>78495845</v>
      </c>
    </row>
    <row r="137" spans="1:3" hidden="1">
      <c r="A137" s="113" t="s">
        <v>42</v>
      </c>
      <c r="B137" s="28">
        <v>21717</v>
      </c>
      <c r="C137" s="29">
        <v>117510793</v>
      </c>
    </row>
    <row r="138" spans="1:3" hidden="1">
      <c r="A138" s="113" t="s">
        <v>43</v>
      </c>
      <c r="B138" s="28">
        <v>21602</v>
      </c>
      <c r="C138" s="29">
        <v>84857315</v>
      </c>
    </row>
    <row r="139" spans="1:3" hidden="1">
      <c r="A139" s="113" t="s">
        <v>44</v>
      </c>
      <c r="B139" s="28">
        <v>20271</v>
      </c>
      <c r="C139" s="29">
        <v>99106807</v>
      </c>
    </row>
    <row r="140" spans="1:3" hidden="1">
      <c r="A140" s="113" t="s">
        <v>45</v>
      </c>
      <c r="B140" s="28">
        <v>21687</v>
      </c>
      <c r="C140" s="29">
        <v>94978330</v>
      </c>
    </row>
    <row r="141" spans="1:3" hidden="1">
      <c r="A141" s="113" t="s">
        <v>46</v>
      </c>
      <c r="B141" s="28">
        <v>19289</v>
      </c>
      <c r="C141" s="29">
        <v>110071191</v>
      </c>
    </row>
    <row r="142" spans="1:3" hidden="1">
      <c r="A142" s="113" t="s">
        <v>47</v>
      </c>
      <c r="B142" s="28">
        <v>20980</v>
      </c>
      <c r="C142" s="29">
        <v>110084403</v>
      </c>
    </row>
    <row r="143" spans="1:3" hidden="1">
      <c r="A143" s="113" t="s">
        <v>48</v>
      </c>
      <c r="B143" s="28">
        <v>23775</v>
      </c>
      <c r="C143" s="29">
        <v>112953546</v>
      </c>
    </row>
    <row r="144" spans="1:3" hidden="1">
      <c r="A144" s="113" t="s">
        <v>49</v>
      </c>
      <c r="B144" s="28">
        <v>20036</v>
      </c>
      <c r="C144" s="29">
        <v>113754947</v>
      </c>
    </row>
    <row r="145" spans="1:3" hidden="1">
      <c r="A145" s="113" t="s">
        <v>50</v>
      </c>
      <c r="B145" s="28">
        <v>24528</v>
      </c>
      <c r="C145" s="29">
        <v>132293266</v>
      </c>
    </row>
    <row r="146" spans="1:3" hidden="1">
      <c r="A146" s="142"/>
      <c r="B146" s="28"/>
      <c r="C146" s="29"/>
    </row>
    <row r="147" spans="1:3" hidden="1">
      <c r="A147" s="113" t="s">
        <v>59</v>
      </c>
      <c r="B147" s="28">
        <v>20656</v>
      </c>
      <c r="C147" s="29">
        <v>103209447</v>
      </c>
    </row>
    <row r="148" spans="1:3" hidden="1">
      <c r="A148" s="113" t="s">
        <v>40</v>
      </c>
      <c r="B148" s="28">
        <v>19348</v>
      </c>
      <c r="C148" s="29">
        <v>112647607</v>
      </c>
    </row>
    <row r="149" spans="1:3" hidden="1">
      <c r="A149" s="113" t="s">
        <v>41</v>
      </c>
      <c r="B149" s="28">
        <v>23569</v>
      </c>
      <c r="C149" s="29">
        <v>119503864</v>
      </c>
    </row>
    <row r="150" spans="1:3" hidden="1">
      <c r="A150" s="113" t="s">
        <v>42</v>
      </c>
      <c r="B150" s="28">
        <v>22498</v>
      </c>
      <c r="C150" s="29">
        <v>106346737</v>
      </c>
    </row>
    <row r="151" spans="1:3" hidden="1">
      <c r="A151" s="113" t="s">
        <v>43</v>
      </c>
      <c r="B151" s="28">
        <v>20895</v>
      </c>
      <c r="C151" s="29">
        <v>99192855</v>
      </c>
    </row>
    <row r="152" spans="1:3" hidden="1">
      <c r="A152" s="113" t="s">
        <v>44</v>
      </c>
      <c r="B152" s="28">
        <v>24555</v>
      </c>
      <c r="C152" s="29">
        <v>137383153</v>
      </c>
    </row>
    <row r="153" spans="1:3" hidden="1">
      <c r="A153" s="113" t="s">
        <v>45</v>
      </c>
      <c r="B153" s="28">
        <v>23943</v>
      </c>
      <c r="C153" s="29">
        <v>109463594</v>
      </c>
    </row>
    <row r="154" spans="1:3" hidden="1">
      <c r="A154" s="113" t="s">
        <v>46</v>
      </c>
      <c r="B154" s="28">
        <v>22286</v>
      </c>
      <c r="C154" s="29">
        <v>108350887</v>
      </c>
    </row>
    <row r="155" spans="1:3" hidden="1">
      <c r="A155" s="113" t="s">
        <v>47</v>
      </c>
      <c r="B155" s="28">
        <v>22669</v>
      </c>
      <c r="C155" s="29">
        <v>120031908</v>
      </c>
    </row>
    <row r="156" spans="1:3" hidden="1">
      <c r="A156" s="113" t="s">
        <v>48</v>
      </c>
      <c r="B156" s="28">
        <v>23726</v>
      </c>
      <c r="C156" s="29">
        <v>136114337</v>
      </c>
    </row>
    <row r="157" spans="1:3" hidden="1">
      <c r="A157" s="113" t="s">
        <v>49</v>
      </c>
      <c r="B157" s="28">
        <v>22681</v>
      </c>
      <c r="C157" s="29">
        <v>134255155</v>
      </c>
    </row>
    <row r="158" spans="1:3" hidden="1">
      <c r="A158" s="113" t="s">
        <v>50</v>
      </c>
      <c r="B158" s="28">
        <v>28617</v>
      </c>
      <c r="C158" s="29">
        <v>182473623</v>
      </c>
    </row>
    <row r="159" spans="1:3" hidden="1">
      <c r="A159" s="113"/>
      <c r="B159" s="28"/>
      <c r="C159" s="29"/>
    </row>
    <row r="160" spans="1:3" hidden="1">
      <c r="A160" s="113" t="s">
        <v>58</v>
      </c>
      <c r="B160" s="28">
        <v>21479</v>
      </c>
      <c r="C160" s="29">
        <v>125526942</v>
      </c>
    </row>
    <row r="161" spans="1:5" hidden="1">
      <c r="A161" s="113" t="s">
        <v>40</v>
      </c>
      <c r="B161" s="28">
        <v>21676</v>
      </c>
      <c r="C161" s="29">
        <v>131737567</v>
      </c>
    </row>
    <row r="162" spans="1:5" hidden="1">
      <c r="A162" s="113" t="s">
        <v>41</v>
      </c>
      <c r="B162" s="28">
        <v>27286</v>
      </c>
      <c r="C162" s="29">
        <v>153323856</v>
      </c>
    </row>
    <row r="163" spans="1:5" hidden="1">
      <c r="A163" s="113" t="s">
        <v>42</v>
      </c>
      <c r="B163" s="28">
        <v>25851</v>
      </c>
      <c r="C163" s="29">
        <v>156486722</v>
      </c>
    </row>
    <row r="164" spans="1:5" hidden="1">
      <c r="A164" s="113" t="s">
        <v>43</v>
      </c>
      <c r="B164" s="28">
        <v>21148</v>
      </c>
      <c r="C164" s="29">
        <v>126612197</v>
      </c>
    </row>
    <row r="165" spans="1:5" hidden="1">
      <c r="A165" s="113" t="s">
        <v>44</v>
      </c>
      <c r="B165" s="28">
        <v>25089</v>
      </c>
      <c r="C165" s="29">
        <v>162344990</v>
      </c>
    </row>
    <row r="166" spans="1:5" hidden="1">
      <c r="A166" s="113" t="s">
        <v>45</v>
      </c>
      <c r="B166" s="28">
        <v>25225</v>
      </c>
      <c r="C166" s="29">
        <v>173167725</v>
      </c>
    </row>
    <row r="167" spans="1:5" hidden="1">
      <c r="A167" s="113" t="s">
        <v>46</v>
      </c>
      <c r="B167" s="28">
        <v>23096</v>
      </c>
      <c r="C167" s="29">
        <v>147672037</v>
      </c>
    </row>
    <row r="168" spans="1:5" hidden="1">
      <c r="A168" s="113" t="s">
        <v>47</v>
      </c>
      <c r="B168" s="28">
        <v>25296</v>
      </c>
      <c r="C168" s="29">
        <v>159313101</v>
      </c>
    </row>
    <row r="169" spans="1:5" hidden="1">
      <c r="A169" s="113" t="s">
        <v>48</v>
      </c>
      <c r="B169" s="28">
        <v>24252</v>
      </c>
      <c r="C169" s="29">
        <v>152146802</v>
      </c>
      <c r="E169" s="515"/>
    </row>
    <row r="170" spans="1:5" hidden="1">
      <c r="A170" s="113" t="s">
        <v>49</v>
      </c>
      <c r="B170" s="28">
        <v>27295</v>
      </c>
      <c r="C170" s="29">
        <v>176507774</v>
      </c>
    </row>
    <row r="171" spans="1:5" hidden="1">
      <c r="A171" s="113" t="s">
        <v>50</v>
      </c>
      <c r="B171" s="28">
        <v>30118</v>
      </c>
      <c r="C171" s="29">
        <v>206945136</v>
      </c>
    </row>
    <row r="172" spans="1:5" hidden="1">
      <c r="A172" s="113"/>
      <c r="B172" s="28"/>
      <c r="C172" s="29"/>
    </row>
    <row r="173" spans="1:5" hidden="1">
      <c r="A173" s="113" t="s">
        <v>57</v>
      </c>
      <c r="B173" s="28">
        <v>23052</v>
      </c>
      <c r="C173" s="29">
        <v>156871619</v>
      </c>
    </row>
    <row r="174" spans="1:5" hidden="1">
      <c r="A174" s="113" t="s">
        <v>40</v>
      </c>
      <c r="B174" s="28">
        <v>23278</v>
      </c>
      <c r="C174" s="29">
        <v>179505062</v>
      </c>
    </row>
    <row r="175" spans="1:5" hidden="1">
      <c r="A175" s="113" t="s">
        <v>41</v>
      </c>
      <c r="B175" s="28">
        <v>28198</v>
      </c>
      <c r="C175" s="29">
        <v>198164011</v>
      </c>
    </row>
    <row r="176" spans="1:5" hidden="1">
      <c r="A176" s="113" t="s">
        <v>42</v>
      </c>
      <c r="B176" s="28">
        <v>25217</v>
      </c>
      <c r="C176" s="29">
        <v>214600325</v>
      </c>
    </row>
    <row r="177" spans="1:5" hidden="1">
      <c r="A177" s="113" t="s">
        <v>43</v>
      </c>
      <c r="B177" s="28">
        <v>27257</v>
      </c>
      <c r="C177" s="29">
        <v>186672510</v>
      </c>
    </row>
    <row r="178" spans="1:5" hidden="1">
      <c r="A178" s="113" t="s">
        <v>44</v>
      </c>
      <c r="B178" s="28">
        <v>27013</v>
      </c>
      <c r="C178" s="29">
        <v>202241758</v>
      </c>
    </row>
    <row r="179" spans="1:5" hidden="1">
      <c r="A179" s="113" t="s">
        <v>45</v>
      </c>
      <c r="B179" s="28">
        <v>24436</v>
      </c>
      <c r="C179" s="29">
        <v>191172623</v>
      </c>
    </row>
    <row r="180" spans="1:5" hidden="1">
      <c r="A180" s="113" t="s">
        <v>46</v>
      </c>
      <c r="B180" s="28">
        <v>25406</v>
      </c>
      <c r="C180" s="29">
        <v>172859663</v>
      </c>
    </row>
    <row r="181" spans="1:5" hidden="1">
      <c r="A181" s="113" t="s">
        <v>47</v>
      </c>
      <c r="B181" s="28">
        <v>27728</v>
      </c>
      <c r="C181" s="29">
        <v>119792821</v>
      </c>
    </row>
    <row r="182" spans="1:5" hidden="1">
      <c r="A182" s="113" t="s">
        <v>48</v>
      </c>
      <c r="B182" s="28">
        <v>25027</v>
      </c>
      <c r="C182" s="29">
        <v>198848846</v>
      </c>
    </row>
    <row r="183" spans="1:5" hidden="1">
      <c r="A183" s="113" t="s">
        <v>49</v>
      </c>
      <c r="B183" s="28">
        <v>26294</v>
      </c>
      <c r="C183" s="29">
        <v>201799472</v>
      </c>
    </row>
    <row r="184" spans="1:5" hidden="1">
      <c r="A184" s="113" t="s">
        <v>50</v>
      </c>
      <c r="B184" s="28">
        <v>28289</v>
      </c>
      <c r="C184" s="29">
        <v>213022894</v>
      </c>
    </row>
    <row r="185" spans="1:5" hidden="1">
      <c r="A185" s="113"/>
      <c r="B185" s="28"/>
      <c r="C185" s="29"/>
    </row>
    <row r="186" spans="1:5" hidden="1">
      <c r="A186" s="113" t="s">
        <v>56</v>
      </c>
      <c r="B186" s="28">
        <v>25618</v>
      </c>
      <c r="C186" s="29">
        <v>209919697</v>
      </c>
    </row>
    <row r="187" spans="1:5" hidden="1">
      <c r="A187" s="113" t="s">
        <v>40</v>
      </c>
      <c r="B187" s="28">
        <v>24592</v>
      </c>
      <c r="C187" s="29">
        <v>203909159</v>
      </c>
      <c r="E187" s="69" t="s">
        <v>0</v>
      </c>
    </row>
    <row r="188" spans="1:5" hidden="1">
      <c r="A188" s="113" t="s">
        <v>41</v>
      </c>
      <c r="B188" s="28">
        <v>26227</v>
      </c>
      <c r="C188" s="29">
        <v>198445330</v>
      </c>
    </row>
    <row r="189" spans="1:5" hidden="1">
      <c r="A189" s="113" t="s">
        <v>42</v>
      </c>
      <c r="B189" s="28">
        <v>24846</v>
      </c>
      <c r="C189" s="29">
        <v>227993207</v>
      </c>
    </row>
    <row r="190" spans="1:5" hidden="1">
      <c r="A190" s="113" t="s">
        <v>43</v>
      </c>
      <c r="B190" s="28">
        <v>25729</v>
      </c>
      <c r="C190" s="29">
        <v>202815932</v>
      </c>
    </row>
    <row r="191" spans="1:5" hidden="1">
      <c r="A191" s="113" t="s">
        <v>44</v>
      </c>
      <c r="B191" s="28">
        <v>25649</v>
      </c>
      <c r="C191" s="29">
        <v>222425157</v>
      </c>
    </row>
    <row r="192" spans="1:5" hidden="1">
      <c r="A192" s="113" t="s">
        <v>45</v>
      </c>
      <c r="B192" s="28">
        <v>19378</v>
      </c>
      <c r="C192" s="29">
        <v>125212130</v>
      </c>
    </row>
    <row r="193" spans="1:3" hidden="1">
      <c r="A193" s="113" t="s">
        <v>46</v>
      </c>
      <c r="B193" s="28">
        <v>26109</v>
      </c>
      <c r="C193" s="29">
        <v>228092349</v>
      </c>
    </row>
    <row r="194" spans="1:3" hidden="1">
      <c r="A194" s="113" t="s">
        <v>47</v>
      </c>
      <c r="B194" s="28">
        <v>23134</v>
      </c>
      <c r="C194" s="29">
        <v>202478976</v>
      </c>
    </row>
    <row r="195" spans="1:3" hidden="1">
      <c r="A195" s="113" t="s">
        <v>48</v>
      </c>
      <c r="B195" s="28">
        <v>26847</v>
      </c>
      <c r="C195" s="29">
        <v>244483413</v>
      </c>
    </row>
    <row r="196" spans="1:3" hidden="1">
      <c r="A196" s="113" t="s">
        <v>49</v>
      </c>
      <c r="B196" s="28">
        <v>26257</v>
      </c>
      <c r="C196" s="29">
        <v>241799829</v>
      </c>
    </row>
    <row r="197" spans="1:3" hidden="1">
      <c r="A197" s="113" t="s">
        <v>50</v>
      </c>
      <c r="B197" s="28">
        <v>27482</v>
      </c>
      <c r="C197" s="29">
        <v>235885780</v>
      </c>
    </row>
    <row r="198" spans="1:3" hidden="1">
      <c r="A198" s="113"/>
      <c r="B198" s="28"/>
      <c r="C198" s="28"/>
    </row>
    <row r="199" spans="1:3" hidden="1">
      <c r="A199" s="113" t="s">
        <v>55</v>
      </c>
      <c r="B199" s="28">
        <v>25023</v>
      </c>
      <c r="C199" s="29">
        <v>236263114</v>
      </c>
    </row>
    <row r="200" spans="1:3" hidden="1">
      <c r="A200" s="113" t="s">
        <v>40</v>
      </c>
      <c r="B200" s="28">
        <v>22785</v>
      </c>
      <c r="C200" s="29">
        <v>218717290</v>
      </c>
    </row>
    <row r="201" spans="1:3" hidden="1">
      <c r="A201" s="113" t="s">
        <v>41</v>
      </c>
      <c r="B201" s="28">
        <v>25950</v>
      </c>
      <c r="C201" s="29">
        <v>220787902</v>
      </c>
    </row>
    <row r="202" spans="1:3" hidden="1">
      <c r="A202" s="113" t="s">
        <v>42</v>
      </c>
      <c r="B202" s="28">
        <v>26388</v>
      </c>
      <c r="C202" s="29">
        <v>241020051</v>
      </c>
    </row>
    <row r="203" spans="1:3" hidden="1">
      <c r="A203" s="113" t="s">
        <v>43</v>
      </c>
      <c r="B203" s="28">
        <v>25351</v>
      </c>
      <c r="C203" s="29">
        <v>222206743</v>
      </c>
    </row>
    <row r="204" spans="1:3" hidden="1">
      <c r="A204" s="113" t="s">
        <v>44</v>
      </c>
      <c r="B204" s="28">
        <v>24066</v>
      </c>
      <c r="C204" s="29">
        <v>212919222</v>
      </c>
    </row>
    <row r="205" spans="1:3" hidden="1">
      <c r="A205" s="113" t="s">
        <v>45</v>
      </c>
      <c r="B205" s="28">
        <v>27755</v>
      </c>
      <c r="C205" s="29">
        <v>240254564</v>
      </c>
    </row>
    <row r="206" spans="1:3" hidden="1">
      <c r="A206" s="113" t="s">
        <v>46</v>
      </c>
      <c r="B206" s="28">
        <v>25359</v>
      </c>
      <c r="C206" s="29">
        <v>267979305</v>
      </c>
    </row>
    <row r="207" spans="1:3" hidden="1">
      <c r="A207" s="113" t="s">
        <v>47</v>
      </c>
      <c r="B207" s="28">
        <v>25908</v>
      </c>
      <c r="C207" s="29">
        <v>231695287</v>
      </c>
    </row>
    <row r="208" spans="1:3" hidden="1">
      <c r="A208" s="113" t="s">
        <v>48</v>
      </c>
      <c r="B208" s="28">
        <v>27697</v>
      </c>
      <c r="C208" s="29">
        <v>280366907</v>
      </c>
    </row>
    <row r="209" spans="1:3" hidden="1">
      <c r="A209" s="113" t="s">
        <v>49</v>
      </c>
      <c r="B209" s="28">
        <v>25865</v>
      </c>
      <c r="C209" s="29">
        <v>247937815</v>
      </c>
    </row>
    <row r="210" spans="1:3" hidden="1">
      <c r="A210" s="113" t="s">
        <v>50</v>
      </c>
      <c r="B210" s="28">
        <v>30146</v>
      </c>
      <c r="C210" s="29">
        <v>267090718</v>
      </c>
    </row>
    <row r="211" spans="1:3" hidden="1">
      <c r="A211" s="142"/>
      <c r="B211" s="28"/>
      <c r="C211" s="29"/>
    </row>
    <row r="212" spans="1:3" hidden="1">
      <c r="A212" s="113" t="s">
        <v>54</v>
      </c>
      <c r="B212" s="28">
        <v>26403</v>
      </c>
      <c r="C212" s="29">
        <v>251785578</v>
      </c>
    </row>
    <row r="213" spans="1:3" hidden="1">
      <c r="A213" s="113" t="s">
        <v>40</v>
      </c>
      <c r="B213" s="28">
        <v>24209</v>
      </c>
      <c r="C213" s="29">
        <v>216648848</v>
      </c>
    </row>
    <row r="214" spans="1:3" hidden="1">
      <c r="A214" s="113" t="s">
        <v>41</v>
      </c>
      <c r="B214" s="28">
        <v>27282</v>
      </c>
      <c r="C214" s="29">
        <v>253967474</v>
      </c>
    </row>
    <row r="215" spans="1:3" hidden="1">
      <c r="A215" s="113" t="s">
        <v>42</v>
      </c>
      <c r="B215" s="28">
        <v>27521</v>
      </c>
      <c r="C215" s="29">
        <v>292994527</v>
      </c>
    </row>
    <row r="216" spans="1:3" hidden="1">
      <c r="A216" s="113" t="s">
        <v>43</v>
      </c>
      <c r="B216" s="28">
        <v>27185</v>
      </c>
      <c r="C216" s="29">
        <v>229247264</v>
      </c>
    </row>
    <row r="217" spans="1:3" hidden="1">
      <c r="A217" s="113" t="s">
        <v>44</v>
      </c>
      <c r="B217" s="28">
        <v>27582</v>
      </c>
      <c r="C217" s="29">
        <v>270010438</v>
      </c>
    </row>
    <row r="218" spans="1:3" hidden="1">
      <c r="A218" s="113" t="s">
        <v>45</v>
      </c>
      <c r="B218" s="28">
        <v>27884</v>
      </c>
      <c r="C218" s="29">
        <v>303274845</v>
      </c>
    </row>
    <row r="219" spans="1:3" hidden="1">
      <c r="A219" s="113" t="s">
        <v>46</v>
      </c>
      <c r="B219" s="28">
        <v>26267</v>
      </c>
      <c r="C219" s="29">
        <v>259422764</v>
      </c>
    </row>
    <row r="220" spans="1:3" hidden="1">
      <c r="A220" s="113" t="s">
        <v>47</v>
      </c>
      <c r="B220" s="28">
        <v>28282</v>
      </c>
      <c r="C220" s="29">
        <v>283347960</v>
      </c>
    </row>
    <row r="221" spans="1:3" hidden="1">
      <c r="A221" s="113" t="s">
        <v>48</v>
      </c>
      <c r="B221" s="28">
        <v>29211</v>
      </c>
      <c r="C221" s="29">
        <v>329256348</v>
      </c>
    </row>
    <row r="222" spans="1:3" hidden="1">
      <c r="A222" s="113" t="s">
        <v>49</v>
      </c>
      <c r="B222" s="28">
        <v>25738</v>
      </c>
      <c r="C222" s="29">
        <v>269505424</v>
      </c>
    </row>
    <row r="223" spans="1:3" hidden="1">
      <c r="A223" s="113" t="s">
        <v>50</v>
      </c>
      <c r="B223" s="28">
        <v>32909</v>
      </c>
      <c r="C223" s="29">
        <v>327044917</v>
      </c>
    </row>
    <row r="224" spans="1:3" hidden="1">
      <c r="A224" s="113"/>
      <c r="B224" s="28"/>
      <c r="C224" s="29"/>
    </row>
    <row r="225" spans="1:3" hidden="1">
      <c r="A225" s="113" t="s">
        <v>51</v>
      </c>
      <c r="B225" s="28">
        <v>25751</v>
      </c>
      <c r="C225" s="29">
        <v>279713138</v>
      </c>
    </row>
    <row r="226" spans="1:3" hidden="1">
      <c r="A226" s="113" t="s">
        <v>52</v>
      </c>
      <c r="B226" s="28">
        <v>25321</v>
      </c>
      <c r="C226" s="29">
        <v>261880783</v>
      </c>
    </row>
    <row r="227" spans="1:3" hidden="1">
      <c r="A227" s="113" t="s">
        <v>53</v>
      </c>
      <c r="B227" s="28">
        <v>28752</v>
      </c>
      <c r="C227" s="29">
        <v>271722718</v>
      </c>
    </row>
    <row r="228" spans="1:3" hidden="1">
      <c r="A228" s="113" t="s">
        <v>604</v>
      </c>
      <c r="B228" s="28">
        <v>26400</v>
      </c>
      <c r="C228" s="29">
        <v>305838685</v>
      </c>
    </row>
    <row r="229" spans="1:3" hidden="1">
      <c r="A229" s="113" t="s">
        <v>611</v>
      </c>
      <c r="B229" s="28">
        <v>17960</v>
      </c>
      <c r="C229" s="29">
        <v>185980239</v>
      </c>
    </row>
    <row r="230" spans="1:3" hidden="1">
      <c r="A230" s="113" t="s">
        <v>44</v>
      </c>
      <c r="B230" s="28">
        <v>24924</v>
      </c>
      <c r="C230" s="29">
        <v>240645331</v>
      </c>
    </row>
    <row r="231" spans="1:3" hidden="1">
      <c r="A231" s="113" t="s">
        <v>617</v>
      </c>
      <c r="B231" s="28">
        <v>24387</v>
      </c>
      <c r="C231" s="29">
        <v>263403860</v>
      </c>
    </row>
    <row r="232" spans="1:3" hidden="1">
      <c r="A232" s="113" t="s">
        <v>623</v>
      </c>
      <c r="B232" s="28">
        <v>24381</v>
      </c>
      <c r="C232" s="29">
        <v>254325320</v>
      </c>
    </row>
    <row r="233" spans="1:3" hidden="1">
      <c r="A233" s="113" t="s">
        <v>47</v>
      </c>
      <c r="B233" s="28">
        <v>24565</v>
      </c>
      <c r="C233" s="29">
        <v>283651627</v>
      </c>
    </row>
    <row r="234" spans="1:3" hidden="1">
      <c r="A234" s="113" t="s">
        <v>631</v>
      </c>
      <c r="B234" s="28">
        <v>26320</v>
      </c>
      <c r="C234" s="29">
        <v>282113305</v>
      </c>
    </row>
    <row r="235" spans="1:3" hidden="1">
      <c r="A235" s="113" t="s">
        <v>654</v>
      </c>
      <c r="B235" s="28">
        <v>25668</v>
      </c>
      <c r="C235" s="29">
        <v>255499297</v>
      </c>
    </row>
    <row r="236" spans="1:3" hidden="1">
      <c r="A236" s="113" t="s">
        <v>665</v>
      </c>
      <c r="B236" s="28">
        <v>29883</v>
      </c>
      <c r="C236" s="29">
        <v>345082065</v>
      </c>
    </row>
    <row r="237" spans="1:3" hidden="1">
      <c r="A237" s="113"/>
      <c r="B237" s="28"/>
      <c r="C237" s="29"/>
    </row>
    <row r="238" spans="1:3" hidden="1">
      <c r="A238" s="113" t="s">
        <v>39</v>
      </c>
      <c r="B238" s="28">
        <v>19072</v>
      </c>
      <c r="C238" s="29">
        <v>197578631</v>
      </c>
    </row>
    <row r="239" spans="1:3" hidden="1">
      <c r="A239" s="113" t="s">
        <v>677</v>
      </c>
      <c r="B239" s="28">
        <v>20040</v>
      </c>
      <c r="C239" s="29">
        <v>221699166</v>
      </c>
    </row>
    <row r="240" spans="1:3" hidden="1">
      <c r="A240" s="113" t="s">
        <v>65</v>
      </c>
      <c r="B240" s="28">
        <v>27789</v>
      </c>
      <c r="C240" s="29">
        <v>286105530</v>
      </c>
    </row>
    <row r="241" spans="1:4" hidden="1">
      <c r="A241" s="113" t="s">
        <v>692</v>
      </c>
      <c r="B241" s="28">
        <v>23939</v>
      </c>
      <c r="C241" s="29">
        <v>276023183</v>
      </c>
    </row>
    <row r="242" spans="1:4" hidden="1">
      <c r="A242" s="113" t="s">
        <v>700</v>
      </c>
      <c r="B242" s="28">
        <v>25713</v>
      </c>
      <c r="C242" s="29">
        <v>248700422</v>
      </c>
    </row>
    <row r="243" spans="1:4" hidden="1">
      <c r="A243" s="113" t="s">
        <v>713</v>
      </c>
      <c r="B243" s="28">
        <v>26906</v>
      </c>
      <c r="C243" s="29">
        <v>298886253</v>
      </c>
    </row>
    <row r="244" spans="1:4">
      <c r="A244" s="113" t="s">
        <v>735</v>
      </c>
      <c r="B244" s="28">
        <v>23947</v>
      </c>
      <c r="C244" s="31">
        <v>278265481</v>
      </c>
    </row>
    <row r="245" spans="1:4">
      <c r="A245" s="113" t="s">
        <v>46</v>
      </c>
      <c r="B245" s="28">
        <v>25856</v>
      </c>
      <c r="C245" s="31">
        <v>292111107</v>
      </c>
    </row>
    <row r="246" spans="1:4">
      <c r="A246" s="113" t="s">
        <v>47</v>
      </c>
      <c r="B246" s="28">
        <v>26000</v>
      </c>
      <c r="C246" s="31">
        <v>327575727</v>
      </c>
    </row>
    <row r="247" spans="1:4">
      <c r="A247" s="113" t="s">
        <v>48</v>
      </c>
      <c r="B247" s="28">
        <v>24998</v>
      </c>
      <c r="C247" s="31">
        <v>285551231</v>
      </c>
    </row>
    <row r="248" spans="1:4">
      <c r="A248" s="113" t="s">
        <v>49</v>
      </c>
      <c r="B248" s="28">
        <v>26905</v>
      </c>
      <c r="C248" s="31">
        <v>305998813</v>
      </c>
    </row>
    <row r="249" spans="1:4">
      <c r="A249" s="113" t="s">
        <v>50</v>
      </c>
      <c r="B249" s="28">
        <v>31941</v>
      </c>
      <c r="C249" s="31">
        <v>368528346</v>
      </c>
    </row>
    <row r="250" spans="1:4">
      <c r="A250" s="724"/>
      <c r="B250" s="28"/>
      <c r="C250" s="31"/>
    </row>
    <row r="251" spans="1:4">
      <c r="A251" s="113" t="s">
        <v>36</v>
      </c>
      <c r="B251" s="28">
        <v>20937</v>
      </c>
      <c r="C251" s="31">
        <v>246444832</v>
      </c>
    </row>
    <row r="252" spans="1:4">
      <c r="A252" s="113" t="s">
        <v>37</v>
      </c>
      <c r="B252" s="28">
        <v>14676</v>
      </c>
      <c r="C252" s="31">
        <v>155662518</v>
      </c>
    </row>
    <row r="253" spans="1:4">
      <c r="A253" s="113" t="s">
        <v>38</v>
      </c>
      <c r="B253" s="28">
        <v>11141</v>
      </c>
      <c r="C253" s="31">
        <v>118510156</v>
      </c>
    </row>
    <row r="254" spans="1:4" ht="15.75">
      <c r="A254" s="113" t="s">
        <v>42</v>
      </c>
      <c r="B254" s="28">
        <v>9063</v>
      </c>
      <c r="C254" s="31">
        <v>79896011</v>
      </c>
      <c r="D254" s="63"/>
    </row>
    <row r="255" spans="1:4">
      <c r="A255" s="113" t="s">
        <v>43</v>
      </c>
      <c r="B255" s="28">
        <v>11547</v>
      </c>
      <c r="C255" s="31">
        <v>96721021</v>
      </c>
    </row>
    <row r="256" spans="1:4">
      <c r="A256" s="113" t="s">
        <v>44</v>
      </c>
      <c r="B256" s="28">
        <v>11496</v>
      </c>
      <c r="C256" s="31">
        <v>132485092</v>
      </c>
    </row>
    <row r="257" spans="1:4">
      <c r="A257" s="113" t="s">
        <v>619</v>
      </c>
      <c r="B257" s="28">
        <v>11759</v>
      </c>
      <c r="C257" s="31">
        <v>124756049</v>
      </c>
    </row>
    <row r="258" spans="1:4">
      <c r="A258" s="113" t="s">
        <v>46</v>
      </c>
      <c r="B258" s="28">
        <v>11259</v>
      </c>
      <c r="C258" s="801">
        <v>103334770</v>
      </c>
    </row>
    <row r="259" spans="1:4" ht="15.75">
      <c r="A259" s="113" t="s">
        <v>47</v>
      </c>
      <c r="B259" s="28">
        <v>11083</v>
      </c>
      <c r="C259" s="801">
        <v>104243986</v>
      </c>
      <c r="D259" s="920"/>
    </row>
    <row r="260" spans="1:4" ht="15.75">
      <c r="A260" s="113" t="s">
        <v>48</v>
      </c>
      <c r="B260" s="28">
        <v>11520</v>
      </c>
      <c r="C260" s="801">
        <v>103806224</v>
      </c>
      <c r="D260" s="920"/>
    </row>
    <row r="261" spans="1:4" ht="15.75">
      <c r="A261" s="113" t="s">
        <v>49</v>
      </c>
      <c r="B261" s="28">
        <v>11163</v>
      </c>
      <c r="C261" s="801">
        <v>117532785</v>
      </c>
      <c r="D261" s="920"/>
    </row>
    <row r="262" spans="1:4" ht="15.75">
      <c r="A262" s="113" t="s">
        <v>50</v>
      </c>
      <c r="B262" s="28">
        <v>11095</v>
      </c>
      <c r="C262" s="801">
        <v>96246081</v>
      </c>
      <c r="D262" s="920"/>
    </row>
    <row r="263" spans="1:4" ht="15.75">
      <c r="A263" s="113"/>
      <c r="B263" s="28"/>
      <c r="C263" s="801"/>
      <c r="D263" s="927"/>
    </row>
    <row r="264" spans="1:4" ht="15.75">
      <c r="A264" s="113" t="s">
        <v>671</v>
      </c>
      <c r="B264" s="28">
        <v>11521</v>
      </c>
      <c r="C264" s="801">
        <v>102651840</v>
      </c>
      <c r="D264" s="920"/>
    </row>
    <row r="265" spans="1:4" ht="15.75">
      <c r="A265" s="113" t="s">
        <v>676</v>
      </c>
      <c r="B265" s="28">
        <v>9759</v>
      </c>
      <c r="C265" s="801">
        <v>110069028</v>
      </c>
      <c r="D265" s="927"/>
    </row>
    <row r="266" spans="1:4">
      <c r="A266" s="113" t="s">
        <v>683</v>
      </c>
      <c r="B266" s="28">
        <v>11237</v>
      </c>
      <c r="C266" s="801">
        <v>108163258</v>
      </c>
      <c r="D266" s="931"/>
    </row>
    <row r="267" spans="1:4">
      <c r="A267" s="113" t="s">
        <v>693</v>
      </c>
      <c r="B267" s="28">
        <v>10677</v>
      </c>
      <c r="C267" s="801">
        <v>106068212</v>
      </c>
      <c r="D267" s="931"/>
    </row>
    <row r="268" spans="1:4">
      <c r="A268" s="113" t="s">
        <v>607</v>
      </c>
      <c r="B268" s="28">
        <v>10950</v>
      </c>
      <c r="C268" s="801">
        <v>97523403</v>
      </c>
      <c r="D268" s="931"/>
    </row>
    <row r="269" spans="1:4" s="1051" customFormat="1">
      <c r="A269" s="1059" t="s">
        <v>629</v>
      </c>
      <c r="B269" s="28">
        <v>9859</v>
      </c>
      <c r="C269" s="801">
        <v>91220796</v>
      </c>
      <c r="D269" s="931"/>
    </row>
    <row r="270" spans="1:4" s="1051" customFormat="1" ht="15.75">
      <c r="A270" s="1059" t="s">
        <v>733</v>
      </c>
      <c r="B270" s="63">
        <v>10801</v>
      </c>
      <c r="C270" s="920">
        <v>115340663</v>
      </c>
      <c r="D270" s="931"/>
    </row>
    <row r="271" spans="1:4">
      <c r="A271" s="123"/>
      <c r="B271" s="28"/>
      <c r="C271" s="31"/>
    </row>
    <row r="272" spans="1:4">
      <c r="A272" s="749"/>
      <c r="B272" s="32"/>
      <c r="C272" s="22"/>
      <c r="D272" s="566"/>
    </row>
    <row r="273" spans="1:6">
      <c r="A273" s="793" t="s">
        <v>596</v>
      </c>
      <c r="B273" s="14"/>
      <c r="C273" s="15"/>
      <c r="D273" s="566"/>
    </row>
    <row r="274" spans="1:6">
      <c r="A274" s="793" t="s">
        <v>597</v>
      </c>
      <c r="B274" s="14"/>
      <c r="C274" s="15"/>
      <c r="D274" s="566"/>
      <c r="F274" s="69" t="s">
        <v>116</v>
      </c>
    </row>
    <row r="275" spans="1:6">
      <c r="A275" s="793" t="s">
        <v>598</v>
      </c>
      <c r="B275" s="14"/>
      <c r="C275" s="15"/>
      <c r="D275" s="566"/>
    </row>
    <row r="276" spans="1:6" s="71" customFormat="1" ht="15" customHeight="1">
      <c r="A276" s="793" t="s">
        <v>599</v>
      </c>
      <c r="B276" s="57"/>
      <c r="C276" s="27"/>
      <c r="D276" s="107"/>
    </row>
    <row r="277" spans="1:6">
      <c r="A277" s="794" t="s">
        <v>643</v>
      </c>
      <c r="B277" s="19"/>
      <c r="C277" s="20"/>
      <c r="D277" s="254"/>
    </row>
    <row r="278" spans="1:6">
      <c r="A278" s="566"/>
      <c r="D278" s="566"/>
    </row>
    <row r="279" spans="1:6">
      <c r="A279" s="566"/>
      <c r="D279" s="566"/>
    </row>
    <row r="280" spans="1:6">
      <c r="A280" s="566"/>
      <c r="D280" s="566"/>
    </row>
    <row r="281" spans="1:6">
      <c r="A281" s="566"/>
      <c r="D281" s="566"/>
    </row>
    <row r="282" spans="1:6">
      <c r="A282" s="566"/>
      <c r="B282" s="35"/>
      <c r="C282" s="33"/>
      <c r="D282" s="566"/>
    </row>
    <row r="283" spans="1:6">
      <c r="A283" s="566"/>
      <c r="B283" s="35"/>
      <c r="C283" s="33"/>
      <c r="D283" s="566"/>
    </row>
  </sheetData>
  <mergeCells count="1">
    <mergeCell ref="A2:B2"/>
  </mergeCells>
  <pageMargins left="1.4960629921259843" right="0.70866141732283472" top="0.74803149606299213" bottom="0.74803149606299213" header="0.31496062992125984" footer="0.31496062992125984"/>
  <pageSetup paperSize="9" scale="78"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view="pageBreakPreview" topLeftCell="A45" zoomScale="60" zoomScaleNormal="100" workbookViewId="0">
      <selection activeCell="H188" sqref="H188"/>
    </sheetView>
  </sheetViews>
  <sheetFormatPr defaultColWidth="16.33203125" defaultRowHeight="12.75"/>
  <cols>
    <col min="1" max="1" width="19.109375" style="69" customWidth="1"/>
    <col min="2" max="2" width="18" style="34" hidden="1" customWidth="1"/>
    <col min="3" max="3" width="16.21875" style="69" hidden="1" customWidth="1"/>
    <col min="4" max="4" width="21" style="13" hidden="1" customWidth="1"/>
    <col min="5" max="7" width="11.5546875" style="69" bestFit="1" customWidth="1"/>
    <col min="8" max="8" width="13.77734375" style="69" bestFit="1" customWidth="1"/>
    <col min="9" max="9" width="12.6640625" style="69" bestFit="1" customWidth="1"/>
    <col min="10" max="10" width="15.109375" style="69" bestFit="1" customWidth="1"/>
    <col min="11" max="16384" width="16.33203125" style="69"/>
  </cols>
  <sheetData>
    <row r="1" spans="1:10">
      <c r="A1" s="546"/>
      <c r="B1" s="12"/>
      <c r="C1" s="516"/>
      <c r="D1" s="38"/>
      <c r="E1" s="96"/>
      <c r="F1" s="96"/>
      <c r="G1" s="96"/>
      <c r="H1" s="96"/>
      <c r="I1" s="96"/>
      <c r="J1" s="98"/>
    </row>
    <row r="2" spans="1:10">
      <c r="A2" s="70"/>
      <c r="B2" s="517"/>
      <c r="C2" s="517"/>
      <c r="D2" s="517"/>
      <c r="E2" s="1194" t="s">
        <v>577</v>
      </c>
      <c r="F2" s="1194"/>
      <c r="G2" s="1194"/>
      <c r="H2" s="1194"/>
      <c r="I2" s="1194"/>
      <c r="J2" s="36" t="s">
        <v>601</v>
      </c>
    </row>
    <row r="3" spans="1:10">
      <c r="A3" s="70"/>
      <c r="B3" s="517"/>
      <c r="C3" s="517"/>
      <c r="D3" s="517"/>
      <c r="E3" s="1194" t="s">
        <v>578</v>
      </c>
      <c r="F3" s="1194"/>
      <c r="G3" s="1194"/>
      <c r="H3" s="1194"/>
      <c r="I3" s="1194"/>
      <c r="J3" s="316"/>
    </row>
    <row r="4" spans="1:10">
      <c r="A4" s="555"/>
      <c r="B4" s="19"/>
      <c r="C4" s="518"/>
      <c r="D4" s="39"/>
      <c r="E4" s="104"/>
      <c r="F4" s="104"/>
      <c r="G4" s="104"/>
      <c r="H4" s="104"/>
      <c r="I4" s="104"/>
      <c r="J4" s="122"/>
    </row>
    <row r="5" spans="1:10" ht="18" customHeight="1">
      <c r="A5" s="578" t="s">
        <v>262</v>
      </c>
      <c r="B5" s="1263" t="s">
        <v>538</v>
      </c>
      <c r="C5" s="1264"/>
      <c r="D5" s="1265"/>
      <c r="E5" s="1266" t="s">
        <v>579</v>
      </c>
      <c r="F5" s="1267"/>
      <c r="G5" s="1268"/>
      <c r="H5" s="1267" t="s">
        <v>580</v>
      </c>
      <c r="I5" s="1267"/>
      <c r="J5" s="1268"/>
    </row>
    <row r="6" spans="1:10" ht="18" customHeight="1">
      <c r="A6" s="84"/>
      <c r="B6" s="40"/>
      <c r="C6" s="37"/>
      <c r="D6" s="15"/>
      <c r="E6" s="40"/>
      <c r="F6" s="37"/>
      <c r="G6" s="15"/>
      <c r="H6" s="1269"/>
      <c r="I6" s="1270"/>
      <c r="J6" s="1271"/>
    </row>
    <row r="7" spans="1:10">
      <c r="A7" s="84"/>
      <c r="B7" s="42" t="s">
        <v>539</v>
      </c>
      <c r="C7" s="750"/>
      <c r="D7" s="42" t="s">
        <v>540</v>
      </c>
      <c r="E7" s="42" t="s">
        <v>581</v>
      </c>
      <c r="F7" s="42" t="s">
        <v>581</v>
      </c>
      <c r="G7" s="42" t="s">
        <v>581</v>
      </c>
      <c r="H7" s="42" t="s">
        <v>582</v>
      </c>
      <c r="I7" s="42" t="s">
        <v>582</v>
      </c>
      <c r="J7" s="42" t="s">
        <v>583</v>
      </c>
    </row>
    <row r="8" spans="1:10">
      <c r="A8" s="84"/>
      <c r="B8" s="23" t="s">
        <v>541</v>
      </c>
      <c r="C8" s="750"/>
      <c r="D8" s="23" t="s">
        <v>542</v>
      </c>
      <c r="E8" s="23" t="s">
        <v>584</v>
      </c>
      <c r="F8" s="23" t="s">
        <v>585</v>
      </c>
      <c r="G8" s="23" t="s">
        <v>586</v>
      </c>
      <c r="H8" s="23" t="s">
        <v>587</v>
      </c>
      <c r="I8" s="23" t="s">
        <v>588</v>
      </c>
      <c r="J8" s="23" t="s">
        <v>589</v>
      </c>
    </row>
    <row r="9" spans="1:10">
      <c r="A9" s="488" t="s">
        <v>34</v>
      </c>
      <c r="B9" s="43"/>
      <c r="C9" s="259"/>
      <c r="D9" s="44"/>
      <c r="E9" s="43"/>
      <c r="F9" s="43"/>
      <c r="G9" s="44"/>
      <c r="H9" s="43" t="s">
        <v>455</v>
      </c>
      <c r="I9" s="43"/>
      <c r="J9" s="44"/>
    </row>
    <row r="10" spans="1:10">
      <c r="A10" s="100"/>
      <c r="B10" s="832"/>
      <c r="C10" s="751"/>
      <c r="D10" s="46"/>
      <c r="E10" s="45"/>
      <c r="F10" s="45"/>
      <c r="G10" s="45"/>
      <c r="H10" s="45"/>
      <c r="I10" s="45"/>
      <c r="J10" s="45"/>
    </row>
    <row r="11" spans="1:10" hidden="1">
      <c r="A11" s="748" t="s">
        <v>478</v>
      </c>
      <c r="B11" s="833" t="s">
        <v>88</v>
      </c>
      <c r="C11" s="752"/>
      <c r="D11" s="48" t="s">
        <v>88</v>
      </c>
      <c r="E11" s="49">
        <v>8.5</v>
      </c>
      <c r="F11" s="49">
        <v>8.75</v>
      </c>
      <c r="G11" s="49">
        <v>9</v>
      </c>
      <c r="H11" s="49">
        <v>9</v>
      </c>
      <c r="I11" s="49"/>
      <c r="J11" s="49" t="s">
        <v>88</v>
      </c>
    </row>
    <row r="12" spans="1:10" hidden="1">
      <c r="A12" s="748" t="s">
        <v>4</v>
      </c>
      <c r="B12" s="833" t="s">
        <v>88</v>
      </c>
      <c r="C12" s="752"/>
      <c r="D12" s="48" t="s">
        <v>88</v>
      </c>
      <c r="E12" s="49">
        <v>8.5</v>
      </c>
      <c r="F12" s="49">
        <v>8.75</v>
      </c>
      <c r="G12" s="49">
        <v>9</v>
      </c>
      <c r="H12" s="49">
        <v>9</v>
      </c>
      <c r="I12" s="49"/>
      <c r="J12" s="49">
        <v>9</v>
      </c>
    </row>
    <row r="13" spans="1:10" hidden="1">
      <c r="A13" s="748" t="s">
        <v>5</v>
      </c>
      <c r="B13" s="833" t="s">
        <v>88</v>
      </c>
      <c r="C13" s="752"/>
      <c r="D13" s="48" t="s">
        <v>88</v>
      </c>
      <c r="E13" s="49">
        <v>4.24</v>
      </c>
      <c r="F13" s="49">
        <v>8</v>
      </c>
      <c r="G13" s="49">
        <v>8.1</v>
      </c>
      <c r="H13" s="49" t="s">
        <v>88</v>
      </c>
      <c r="I13" s="49"/>
      <c r="J13" s="49">
        <v>9</v>
      </c>
    </row>
    <row r="14" spans="1:10" hidden="1">
      <c r="A14" s="748" t="s">
        <v>7</v>
      </c>
      <c r="B14" s="833" t="s">
        <v>88</v>
      </c>
      <c r="C14" s="752"/>
      <c r="D14" s="48" t="s">
        <v>88</v>
      </c>
      <c r="E14" s="49">
        <v>8.27</v>
      </c>
      <c r="F14" s="49">
        <v>9.09</v>
      </c>
      <c r="G14" s="49">
        <v>8.8800000000000008</v>
      </c>
      <c r="H14" s="49" t="s">
        <v>88</v>
      </c>
      <c r="I14" s="49" t="s">
        <v>88</v>
      </c>
      <c r="J14" s="49">
        <v>9</v>
      </c>
    </row>
    <row r="15" spans="1:10" hidden="1">
      <c r="A15" s="748" t="s">
        <v>8</v>
      </c>
      <c r="B15" s="833" t="s">
        <v>88</v>
      </c>
      <c r="C15" s="752"/>
      <c r="D15" s="48" t="s">
        <v>88</v>
      </c>
      <c r="E15" s="49">
        <v>10.87</v>
      </c>
      <c r="F15" s="49">
        <v>10.38</v>
      </c>
      <c r="G15" s="49">
        <v>8.48</v>
      </c>
      <c r="H15" s="49" t="s">
        <v>88</v>
      </c>
      <c r="I15" s="49" t="s">
        <v>88</v>
      </c>
      <c r="J15" s="49">
        <v>9</v>
      </c>
    </row>
    <row r="16" spans="1:10" ht="0.75" customHeight="1">
      <c r="A16" s="748" t="s">
        <v>10</v>
      </c>
      <c r="B16" s="833"/>
      <c r="C16" s="752"/>
      <c r="D16" s="48"/>
      <c r="E16" s="49">
        <v>11.03</v>
      </c>
      <c r="F16" s="49">
        <v>12.63</v>
      </c>
      <c r="G16" s="49">
        <v>12.33</v>
      </c>
      <c r="H16" s="49" t="s">
        <v>88</v>
      </c>
      <c r="I16" s="49" t="s">
        <v>88</v>
      </c>
      <c r="J16" s="49">
        <v>9</v>
      </c>
    </row>
    <row r="17" spans="1:10" hidden="1">
      <c r="A17" s="543" t="s">
        <v>10</v>
      </c>
      <c r="B17" s="833"/>
      <c r="C17" s="752"/>
      <c r="D17" s="48"/>
      <c r="E17" s="49">
        <v>11.03</v>
      </c>
      <c r="F17" s="49">
        <v>12.63</v>
      </c>
      <c r="G17" s="49">
        <v>12.33</v>
      </c>
      <c r="H17" s="49" t="s">
        <v>88</v>
      </c>
      <c r="I17" s="49" t="s">
        <v>88</v>
      </c>
      <c r="J17" s="49">
        <v>9</v>
      </c>
    </row>
    <row r="18" spans="1:10">
      <c r="A18" s="748" t="s">
        <v>11</v>
      </c>
      <c r="B18" s="833"/>
      <c r="C18" s="752"/>
      <c r="D18" s="48"/>
      <c r="E18" s="49">
        <v>9.44</v>
      </c>
      <c r="F18" s="49">
        <v>10.53</v>
      </c>
      <c r="G18" s="49">
        <v>13.25</v>
      </c>
      <c r="H18" s="49">
        <v>15.91</v>
      </c>
      <c r="I18" s="49" t="s">
        <v>88</v>
      </c>
      <c r="J18" s="49">
        <v>9</v>
      </c>
    </row>
    <row r="19" spans="1:10">
      <c r="A19" s="748" t="s">
        <v>13</v>
      </c>
      <c r="B19" s="833"/>
      <c r="C19" s="752"/>
      <c r="D19" s="48"/>
      <c r="E19" s="49">
        <v>4.3499999999999996</v>
      </c>
      <c r="F19" s="49">
        <v>6.75</v>
      </c>
      <c r="G19" s="49">
        <v>10.199999999999999</v>
      </c>
      <c r="H19" s="49">
        <v>15.47</v>
      </c>
      <c r="I19" s="49" t="s">
        <v>88</v>
      </c>
      <c r="J19" s="49">
        <v>9</v>
      </c>
    </row>
    <row r="20" spans="1:10">
      <c r="A20" s="748" t="s">
        <v>14</v>
      </c>
      <c r="B20" s="833"/>
      <c r="C20" s="752"/>
      <c r="D20" s="48"/>
      <c r="E20" s="49">
        <v>8.5299999999999994</v>
      </c>
      <c r="F20" s="49">
        <v>11.45</v>
      </c>
      <c r="G20" s="49">
        <v>11.29</v>
      </c>
      <c r="H20" s="49">
        <v>14.61</v>
      </c>
      <c r="I20" s="49">
        <v>13</v>
      </c>
      <c r="J20" s="49" t="s">
        <v>88</v>
      </c>
    </row>
    <row r="21" spans="1:10">
      <c r="A21" s="748" t="s">
        <v>15</v>
      </c>
      <c r="B21" s="833"/>
      <c r="C21" s="752"/>
      <c r="D21" s="48"/>
      <c r="E21" s="49">
        <v>4.53</v>
      </c>
      <c r="F21" s="49">
        <v>5.94</v>
      </c>
      <c r="G21" s="49">
        <v>7.79</v>
      </c>
      <c r="H21" s="49">
        <v>12.75</v>
      </c>
      <c r="I21" s="49">
        <v>11.21</v>
      </c>
      <c r="J21" s="49" t="s">
        <v>88</v>
      </c>
    </row>
    <row r="22" spans="1:10">
      <c r="A22" s="748" t="s">
        <v>669</v>
      </c>
      <c r="B22" s="833"/>
      <c r="C22" s="752"/>
      <c r="D22" s="48"/>
      <c r="E22" s="49">
        <v>5.12</v>
      </c>
      <c r="F22" s="49">
        <v>5.42</v>
      </c>
      <c r="G22" s="49">
        <v>6.27</v>
      </c>
      <c r="H22" s="49">
        <v>11.22</v>
      </c>
      <c r="I22" s="49">
        <v>12.03</v>
      </c>
      <c r="J22" s="49">
        <v>14.26</v>
      </c>
    </row>
    <row r="23" spans="1:10" hidden="1">
      <c r="A23" s="113" t="s">
        <v>61</v>
      </c>
      <c r="B23" s="833"/>
      <c r="C23" s="752"/>
      <c r="D23" s="48"/>
      <c r="E23" s="49">
        <v>7.57</v>
      </c>
      <c r="F23" s="49">
        <v>9.85</v>
      </c>
      <c r="G23" s="49">
        <v>11.89</v>
      </c>
      <c r="H23" s="49">
        <v>15.91</v>
      </c>
      <c r="I23" s="49" t="s">
        <v>88</v>
      </c>
      <c r="J23" s="49">
        <v>9</v>
      </c>
    </row>
    <row r="24" spans="1:10" hidden="1">
      <c r="A24" s="113" t="s">
        <v>62</v>
      </c>
      <c r="B24" s="833"/>
      <c r="C24" s="752"/>
      <c r="D24" s="48"/>
      <c r="E24" s="49">
        <v>8.35</v>
      </c>
      <c r="F24" s="49">
        <v>8.92</v>
      </c>
      <c r="G24" s="49">
        <v>11.12</v>
      </c>
      <c r="H24" s="49">
        <v>15.47</v>
      </c>
      <c r="I24" s="49" t="s">
        <v>88</v>
      </c>
      <c r="J24" s="49">
        <v>9</v>
      </c>
    </row>
    <row r="25" spans="1:10" hidden="1">
      <c r="A25" s="113" t="s">
        <v>636</v>
      </c>
      <c r="B25" s="833"/>
      <c r="C25" s="752"/>
      <c r="D25" s="48"/>
      <c r="E25" s="49">
        <v>6.94</v>
      </c>
      <c r="F25" s="49">
        <v>8.91</v>
      </c>
      <c r="G25" s="49">
        <v>10.96</v>
      </c>
      <c r="H25" s="49">
        <v>15.47</v>
      </c>
      <c r="I25" s="49" t="s">
        <v>88</v>
      </c>
      <c r="J25" s="49">
        <v>9</v>
      </c>
    </row>
    <row r="26" spans="1:10" hidden="1">
      <c r="A26" s="113" t="s">
        <v>664</v>
      </c>
      <c r="B26" s="833"/>
      <c r="C26" s="752"/>
      <c r="D26" s="48"/>
      <c r="E26" s="49">
        <v>4.3499999999999996</v>
      </c>
      <c r="F26" s="49">
        <v>6.75</v>
      </c>
      <c r="G26" s="49">
        <v>10.199999999999999</v>
      </c>
      <c r="H26" s="49">
        <v>15.47</v>
      </c>
      <c r="I26" s="49" t="s">
        <v>88</v>
      </c>
      <c r="J26" s="49">
        <v>9</v>
      </c>
    </row>
    <row r="27" spans="1:10">
      <c r="A27" s="113"/>
      <c r="B27" s="833"/>
      <c r="C27" s="752"/>
      <c r="D27" s="48"/>
      <c r="E27" s="49"/>
      <c r="F27" s="49"/>
      <c r="G27" s="49"/>
      <c r="H27" s="49"/>
      <c r="I27" s="49"/>
      <c r="J27" s="49"/>
    </row>
    <row r="28" spans="1:10">
      <c r="A28" s="113" t="s">
        <v>53</v>
      </c>
      <c r="B28" s="833"/>
      <c r="C28" s="752"/>
      <c r="D28" s="48"/>
      <c r="E28" s="49">
        <v>5.47</v>
      </c>
      <c r="F28" s="49">
        <v>6.13</v>
      </c>
      <c r="G28" s="49">
        <v>9.65</v>
      </c>
      <c r="H28" s="49">
        <v>15.55</v>
      </c>
      <c r="I28" s="49" t="s">
        <v>88</v>
      </c>
      <c r="J28" s="49">
        <v>9</v>
      </c>
    </row>
    <row r="29" spans="1:10">
      <c r="A29" s="113" t="s">
        <v>44</v>
      </c>
      <c r="B29" s="833"/>
      <c r="C29" s="752"/>
      <c r="D29" s="48"/>
      <c r="E29" s="49">
        <v>9.57</v>
      </c>
      <c r="F29" s="49">
        <v>9.68</v>
      </c>
      <c r="G29" s="49">
        <v>9.3800000000000008</v>
      </c>
      <c r="H29" s="49">
        <v>14.44</v>
      </c>
      <c r="I29" s="49" t="s">
        <v>88</v>
      </c>
      <c r="J29" s="49">
        <v>9</v>
      </c>
    </row>
    <row r="30" spans="1:10">
      <c r="A30" s="113" t="s">
        <v>47</v>
      </c>
      <c r="B30" s="833"/>
      <c r="C30" s="752"/>
      <c r="D30" s="48"/>
      <c r="E30" s="49">
        <v>12.59</v>
      </c>
      <c r="F30" s="49">
        <v>11.78</v>
      </c>
      <c r="G30" s="49">
        <v>9.98</v>
      </c>
      <c r="H30" s="49">
        <v>14.61</v>
      </c>
      <c r="I30" s="49" t="s">
        <v>88</v>
      </c>
      <c r="J30" s="49" t="s">
        <v>88</v>
      </c>
    </row>
    <row r="31" spans="1:10">
      <c r="A31" s="113" t="s">
        <v>50</v>
      </c>
      <c r="B31" s="833"/>
      <c r="C31" s="752"/>
      <c r="D31" s="48"/>
      <c r="E31" s="49">
        <v>8.5299999999999994</v>
      </c>
      <c r="F31" s="49">
        <v>11.45</v>
      </c>
      <c r="G31" s="49">
        <v>11.29</v>
      </c>
      <c r="H31" s="49">
        <v>14.52</v>
      </c>
      <c r="I31" s="49">
        <v>13</v>
      </c>
      <c r="J31" s="49" t="s">
        <v>88</v>
      </c>
    </row>
    <row r="32" spans="1:10">
      <c r="A32" s="113"/>
      <c r="B32" s="833"/>
      <c r="C32" s="752"/>
      <c r="D32" s="48"/>
      <c r="E32" s="49"/>
      <c r="F32" s="49"/>
      <c r="G32" s="49"/>
      <c r="H32" s="49"/>
      <c r="I32" s="49"/>
      <c r="J32" s="49"/>
    </row>
    <row r="33" spans="1:10" ht="19.5" customHeight="1">
      <c r="A33" s="113" t="s">
        <v>65</v>
      </c>
      <c r="B33" s="833"/>
      <c r="C33" s="752"/>
      <c r="D33" s="48"/>
      <c r="E33" s="49">
        <v>6.45</v>
      </c>
      <c r="F33" s="49">
        <v>8.6300000000000008</v>
      </c>
      <c r="G33" s="49">
        <v>11.21</v>
      </c>
      <c r="H33" s="49">
        <v>14.52</v>
      </c>
      <c r="I33" s="49">
        <v>13</v>
      </c>
      <c r="J33" s="49" t="s">
        <v>88</v>
      </c>
    </row>
    <row r="34" spans="1:10" ht="15" customHeight="1">
      <c r="A34" s="113" t="s">
        <v>44</v>
      </c>
      <c r="B34" s="834"/>
      <c r="C34" s="518"/>
      <c r="D34" s="53"/>
      <c r="E34" s="47">
        <v>6.49</v>
      </c>
      <c r="F34" s="47">
        <v>7.57</v>
      </c>
      <c r="G34" s="47">
        <v>10.49</v>
      </c>
      <c r="H34" s="47">
        <v>14.33</v>
      </c>
      <c r="I34" s="47">
        <v>13</v>
      </c>
      <c r="J34" s="47" t="s">
        <v>88</v>
      </c>
    </row>
    <row r="35" spans="1:10">
      <c r="A35" s="831" t="s">
        <v>47</v>
      </c>
      <c r="B35" s="54"/>
      <c r="C35" s="533"/>
      <c r="D35" s="50"/>
      <c r="E35" s="47">
        <v>5.14</v>
      </c>
      <c r="F35" s="47">
        <v>7.1</v>
      </c>
      <c r="G35" s="47">
        <v>9.42</v>
      </c>
      <c r="H35" s="47">
        <v>14.33</v>
      </c>
      <c r="I35" s="47">
        <v>13</v>
      </c>
      <c r="J35" s="47" t="s">
        <v>88</v>
      </c>
    </row>
    <row r="36" spans="1:10">
      <c r="A36" s="831" t="s">
        <v>50</v>
      </c>
      <c r="B36" s="54"/>
      <c r="C36" s="533"/>
      <c r="D36" s="50"/>
      <c r="E36" s="49">
        <v>4.53</v>
      </c>
      <c r="F36" s="49">
        <v>5.94</v>
      </c>
      <c r="G36" s="49">
        <v>7.79</v>
      </c>
      <c r="H36" s="49">
        <v>12.75</v>
      </c>
      <c r="I36" s="49">
        <v>11.21</v>
      </c>
      <c r="J36" s="49" t="s">
        <v>88</v>
      </c>
    </row>
    <row r="37" spans="1:10">
      <c r="A37" s="113"/>
      <c r="B37" s="54"/>
      <c r="C37" s="533"/>
      <c r="D37" s="50"/>
      <c r="E37" s="49"/>
      <c r="F37" s="49"/>
      <c r="G37" s="49"/>
      <c r="H37" s="49"/>
      <c r="I37" s="49"/>
      <c r="J37" s="49"/>
    </row>
    <row r="38" spans="1:10">
      <c r="A38" s="831" t="s">
        <v>66</v>
      </c>
      <c r="B38" s="54"/>
      <c r="C38" s="533"/>
      <c r="D38" s="50"/>
      <c r="E38" s="49">
        <v>5.45</v>
      </c>
      <c r="F38" s="49">
        <v>5.73</v>
      </c>
      <c r="G38" s="49">
        <v>7.5</v>
      </c>
      <c r="H38" s="49">
        <v>12.2</v>
      </c>
      <c r="I38" s="49">
        <v>10.26</v>
      </c>
      <c r="J38" s="49" t="s">
        <v>88</v>
      </c>
    </row>
    <row r="39" spans="1:10" ht="15" customHeight="1">
      <c r="A39" s="113" t="s">
        <v>613</v>
      </c>
      <c r="B39" s="54"/>
      <c r="C39" s="533"/>
      <c r="D39" s="50"/>
      <c r="E39" s="49">
        <v>4.46</v>
      </c>
      <c r="F39" s="49">
        <v>5.86</v>
      </c>
      <c r="G39" s="49">
        <v>6.7</v>
      </c>
      <c r="H39" s="49">
        <v>11.56</v>
      </c>
      <c r="I39" s="49">
        <v>11.88</v>
      </c>
      <c r="J39" s="49">
        <v>14</v>
      </c>
    </row>
    <row r="40" spans="1:10" ht="15" customHeight="1">
      <c r="A40" s="113" t="s">
        <v>626</v>
      </c>
      <c r="B40" s="54"/>
      <c r="C40" s="533"/>
      <c r="D40" s="50"/>
      <c r="E40" s="916">
        <v>4.6100000000000003</v>
      </c>
      <c r="F40" s="917">
        <v>5.12</v>
      </c>
      <c r="G40" s="916">
        <v>6.15</v>
      </c>
      <c r="H40" s="918">
        <v>11.56</v>
      </c>
      <c r="I40" s="918">
        <v>11.88</v>
      </c>
      <c r="J40" s="919">
        <v>14</v>
      </c>
    </row>
    <row r="41" spans="1:10" ht="15" customHeight="1">
      <c r="A41" s="113" t="s">
        <v>662</v>
      </c>
      <c r="B41" s="54"/>
      <c r="C41" s="533"/>
      <c r="D41" s="50"/>
      <c r="E41" s="916">
        <v>5.12</v>
      </c>
      <c r="F41" s="917">
        <v>5.42</v>
      </c>
      <c r="G41" s="916">
        <v>6.27</v>
      </c>
      <c r="H41" s="918">
        <v>11.22</v>
      </c>
      <c r="I41" s="918">
        <v>12.03</v>
      </c>
      <c r="J41" s="919">
        <v>14.26</v>
      </c>
    </row>
    <row r="42" spans="1:10" ht="15" customHeight="1">
      <c r="A42" s="113"/>
      <c r="B42" s="54"/>
      <c r="C42" s="533"/>
      <c r="D42" s="50"/>
      <c r="E42" s="916"/>
      <c r="F42" s="917"/>
      <c r="G42" s="916"/>
      <c r="H42" s="918"/>
      <c r="I42" s="918"/>
      <c r="J42" s="919"/>
    </row>
    <row r="43" spans="1:10" ht="15" customHeight="1">
      <c r="A43" s="113" t="s">
        <v>684</v>
      </c>
      <c r="B43" s="54"/>
      <c r="C43" s="533"/>
      <c r="D43" s="50"/>
      <c r="E43" s="49">
        <v>3.92</v>
      </c>
      <c r="F43" s="50">
        <v>5.15</v>
      </c>
      <c r="G43" s="49">
        <v>5.57</v>
      </c>
      <c r="H43" s="802">
        <v>10.98</v>
      </c>
      <c r="I43" s="802">
        <v>11.73</v>
      </c>
      <c r="J43" s="51">
        <v>13.96</v>
      </c>
    </row>
    <row r="44" spans="1:10" s="1051" customFormat="1" ht="15" customHeight="1">
      <c r="A44" s="1059" t="s">
        <v>44</v>
      </c>
      <c r="B44" s="54"/>
      <c r="C44" s="533"/>
      <c r="D44" s="50"/>
      <c r="E44" s="49">
        <v>2.5299999999999998</v>
      </c>
      <c r="F44" s="50">
        <v>3.61</v>
      </c>
      <c r="G44" s="49">
        <v>5.32</v>
      </c>
      <c r="H44" s="802">
        <v>10.36</v>
      </c>
      <c r="I44" s="802">
        <v>11.41</v>
      </c>
      <c r="J44" s="51">
        <v>13.13</v>
      </c>
    </row>
    <row r="45" spans="1:10">
      <c r="A45" s="308"/>
      <c r="B45" s="54"/>
      <c r="C45" s="533"/>
      <c r="D45" s="50"/>
      <c r="E45" s="49"/>
      <c r="F45" s="49"/>
      <c r="G45" s="49"/>
      <c r="H45" s="49"/>
      <c r="I45" s="49"/>
      <c r="J45" s="49"/>
    </row>
    <row r="46" spans="1:10" hidden="1">
      <c r="A46" s="113" t="s">
        <v>330</v>
      </c>
      <c r="B46" s="833" t="s">
        <v>88</v>
      </c>
      <c r="C46" s="752"/>
      <c r="D46" s="48" t="s">
        <v>88</v>
      </c>
      <c r="E46" s="49">
        <v>8.5</v>
      </c>
      <c r="F46" s="49">
        <v>8.4700000000000006</v>
      </c>
      <c r="G46" s="49" t="s">
        <v>88</v>
      </c>
      <c r="H46" s="49">
        <v>9</v>
      </c>
      <c r="I46" s="49" t="s">
        <v>88</v>
      </c>
      <c r="J46" s="49" t="s">
        <v>88</v>
      </c>
    </row>
    <row r="47" spans="1:10" hidden="1">
      <c r="A47" s="113" t="s">
        <v>40</v>
      </c>
      <c r="B47" s="833" t="s">
        <v>88</v>
      </c>
      <c r="C47" s="752"/>
      <c r="D47" s="48" t="s">
        <v>88</v>
      </c>
      <c r="E47" s="49">
        <v>8.33</v>
      </c>
      <c r="F47" s="49">
        <v>8.5</v>
      </c>
      <c r="G47" s="49" t="s">
        <v>88</v>
      </c>
      <c r="H47" s="49">
        <v>9</v>
      </c>
      <c r="I47" s="49" t="s">
        <v>88</v>
      </c>
      <c r="J47" s="49" t="s">
        <v>88</v>
      </c>
    </row>
    <row r="48" spans="1:10" hidden="1">
      <c r="A48" s="113" t="s">
        <v>41</v>
      </c>
      <c r="B48" s="833" t="s">
        <v>88</v>
      </c>
      <c r="C48" s="752"/>
      <c r="D48" s="48" t="s">
        <v>88</v>
      </c>
      <c r="E48" s="49">
        <v>8.5</v>
      </c>
      <c r="F48" s="49">
        <v>8.5</v>
      </c>
      <c r="G48" s="49" t="s">
        <v>88</v>
      </c>
      <c r="H48" s="49">
        <v>9</v>
      </c>
      <c r="I48" s="49" t="s">
        <v>88</v>
      </c>
      <c r="J48" s="49" t="s">
        <v>88</v>
      </c>
    </row>
    <row r="49" spans="1:10" hidden="1">
      <c r="A49" s="113" t="s">
        <v>42</v>
      </c>
      <c r="B49" s="833" t="s">
        <v>88</v>
      </c>
      <c r="C49" s="752"/>
      <c r="D49" s="48" t="s">
        <v>88</v>
      </c>
      <c r="E49" s="49">
        <v>8.5</v>
      </c>
      <c r="F49" s="49">
        <v>8.5</v>
      </c>
      <c r="G49" s="49" t="s">
        <v>88</v>
      </c>
      <c r="H49" s="49">
        <v>9</v>
      </c>
      <c r="I49" s="49" t="s">
        <v>88</v>
      </c>
      <c r="J49" s="49" t="s">
        <v>88</v>
      </c>
    </row>
    <row r="50" spans="1:10" hidden="1">
      <c r="A50" s="113" t="s">
        <v>43</v>
      </c>
      <c r="B50" s="833" t="s">
        <v>88</v>
      </c>
      <c r="C50" s="752"/>
      <c r="D50" s="48" t="s">
        <v>88</v>
      </c>
      <c r="E50" s="49">
        <v>8.5</v>
      </c>
      <c r="F50" s="49">
        <v>8.5</v>
      </c>
      <c r="G50" s="49" t="s">
        <v>88</v>
      </c>
      <c r="H50" s="49">
        <v>9</v>
      </c>
      <c r="I50" s="49" t="s">
        <v>88</v>
      </c>
      <c r="J50" s="49" t="s">
        <v>88</v>
      </c>
    </row>
    <row r="51" spans="1:10" hidden="1">
      <c r="A51" s="113" t="s">
        <v>44</v>
      </c>
      <c r="B51" s="833" t="s">
        <v>88</v>
      </c>
      <c r="C51" s="752"/>
      <c r="D51" s="48" t="s">
        <v>88</v>
      </c>
      <c r="E51" s="49">
        <v>8.41</v>
      </c>
      <c r="F51" s="49">
        <v>8.5</v>
      </c>
      <c r="G51" s="49" t="s">
        <v>88</v>
      </c>
      <c r="H51" s="49">
        <v>9</v>
      </c>
      <c r="I51" s="49" t="s">
        <v>88</v>
      </c>
      <c r="J51" s="49" t="s">
        <v>88</v>
      </c>
    </row>
    <row r="52" spans="1:10" hidden="1">
      <c r="A52" s="113" t="s">
        <v>45</v>
      </c>
      <c r="B52" s="833" t="s">
        <v>88</v>
      </c>
      <c r="C52" s="752"/>
      <c r="D52" s="48" t="s">
        <v>88</v>
      </c>
      <c r="E52" s="49">
        <v>8.49</v>
      </c>
      <c r="F52" s="49">
        <v>8.5</v>
      </c>
      <c r="G52" s="49" t="s">
        <v>88</v>
      </c>
      <c r="H52" s="49">
        <v>9</v>
      </c>
      <c r="I52" s="49" t="s">
        <v>88</v>
      </c>
      <c r="J52" s="49" t="s">
        <v>88</v>
      </c>
    </row>
    <row r="53" spans="1:10" hidden="1">
      <c r="A53" s="113" t="s">
        <v>46</v>
      </c>
      <c r="B53" s="833" t="s">
        <v>88</v>
      </c>
      <c r="C53" s="752"/>
      <c r="D53" s="48" t="s">
        <v>88</v>
      </c>
      <c r="E53" s="49">
        <v>8.4700000000000006</v>
      </c>
      <c r="F53" s="49">
        <v>8.5</v>
      </c>
      <c r="G53" s="49" t="s">
        <v>88</v>
      </c>
      <c r="H53" s="49">
        <v>9</v>
      </c>
      <c r="I53" s="49" t="s">
        <v>88</v>
      </c>
      <c r="J53" s="49" t="s">
        <v>88</v>
      </c>
    </row>
    <row r="54" spans="1:10" hidden="1">
      <c r="A54" s="113" t="s">
        <v>47</v>
      </c>
      <c r="B54" s="833" t="s">
        <v>88</v>
      </c>
      <c r="C54" s="752"/>
      <c r="D54" s="48" t="s">
        <v>88</v>
      </c>
      <c r="E54" s="49">
        <v>8.4499999999999993</v>
      </c>
      <c r="F54" s="49">
        <v>8.5</v>
      </c>
      <c r="G54" s="49">
        <v>9</v>
      </c>
      <c r="H54" s="49">
        <v>9</v>
      </c>
      <c r="I54" s="49" t="s">
        <v>88</v>
      </c>
      <c r="J54" s="49" t="s">
        <v>88</v>
      </c>
    </row>
    <row r="55" spans="1:10" hidden="1">
      <c r="A55" s="113" t="s">
        <v>48</v>
      </c>
      <c r="B55" s="833" t="s">
        <v>88</v>
      </c>
      <c r="C55" s="752"/>
      <c r="D55" s="48" t="s">
        <v>88</v>
      </c>
      <c r="E55" s="49">
        <v>8.5</v>
      </c>
      <c r="F55" s="49">
        <v>8.75</v>
      </c>
      <c r="G55" s="49">
        <v>9</v>
      </c>
      <c r="H55" s="49">
        <v>9</v>
      </c>
      <c r="I55" s="49" t="s">
        <v>88</v>
      </c>
      <c r="J55" s="49" t="s">
        <v>88</v>
      </c>
    </row>
    <row r="56" spans="1:10" hidden="1">
      <c r="A56" s="113" t="s">
        <v>49</v>
      </c>
      <c r="B56" s="833" t="s">
        <v>88</v>
      </c>
      <c r="C56" s="752"/>
      <c r="D56" s="48" t="s">
        <v>88</v>
      </c>
      <c r="E56" s="49">
        <v>8.5399999999999991</v>
      </c>
      <c r="F56" s="49">
        <v>8.5</v>
      </c>
      <c r="G56" s="49">
        <v>9</v>
      </c>
      <c r="H56" s="49">
        <v>9</v>
      </c>
      <c r="I56" s="49" t="s">
        <v>88</v>
      </c>
      <c r="J56" s="49" t="s">
        <v>88</v>
      </c>
    </row>
    <row r="57" spans="1:10" hidden="1">
      <c r="A57" s="113" t="s">
        <v>50</v>
      </c>
      <c r="B57" s="833" t="s">
        <v>88</v>
      </c>
      <c r="C57" s="752"/>
      <c r="D57" s="48" t="s">
        <v>88</v>
      </c>
      <c r="E57" s="49">
        <v>8.5</v>
      </c>
      <c r="F57" s="49">
        <v>8.75</v>
      </c>
      <c r="G57" s="49">
        <v>9</v>
      </c>
      <c r="H57" s="49">
        <v>9</v>
      </c>
      <c r="I57" s="49" t="s">
        <v>88</v>
      </c>
      <c r="J57" s="49" t="s">
        <v>88</v>
      </c>
    </row>
    <row r="58" spans="1:10" hidden="1">
      <c r="A58" s="113"/>
      <c r="B58" s="833"/>
      <c r="C58" s="752"/>
      <c r="D58" s="48"/>
      <c r="E58" s="49"/>
      <c r="F58" s="49"/>
      <c r="G58" s="49"/>
      <c r="H58" s="49"/>
      <c r="I58" s="49" t="s">
        <v>88</v>
      </c>
      <c r="J58" s="49"/>
    </row>
    <row r="59" spans="1:10" hidden="1">
      <c r="A59" s="113" t="s">
        <v>60</v>
      </c>
      <c r="B59" s="833" t="s">
        <v>88</v>
      </c>
      <c r="C59" s="752"/>
      <c r="D59" s="48" t="s">
        <v>88</v>
      </c>
      <c r="E59" s="49">
        <v>8.48</v>
      </c>
      <c r="F59" s="49">
        <v>8.75</v>
      </c>
      <c r="G59" s="49">
        <v>9</v>
      </c>
      <c r="H59" s="49">
        <v>9</v>
      </c>
      <c r="I59" s="49" t="s">
        <v>88</v>
      </c>
      <c r="J59" s="49" t="s">
        <v>88</v>
      </c>
    </row>
    <row r="60" spans="1:10" hidden="1">
      <c r="A60" s="113" t="s">
        <v>40</v>
      </c>
      <c r="B60" s="833" t="s">
        <v>88</v>
      </c>
      <c r="C60" s="752"/>
      <c r="D60" s="48" t="s">
        <v>88</v>
      </c>
      <c r="E60" s="49">
        <v>8.48</v>
      </c>
      <c r="F60" s="49">
        <v>8.75</v>
      </c>
      <c r="G60" s="49">
        <v>9</v>
      </c>
      <c r="H60" s="49">
        <v>9</v>
      </c>
      <c r="I60" s="49" t="s">
        <v>88</v>
      </c>
      <c r="J60" s="49">
        <v>9</v>
      </c>
    </row>
    <row r="61" spans="1:10" s="753" customFormat="1" hidden="1">
      <c r="A61" s="113" t="s">
        <v>41</v>
      </c>
      <c r="B61" s="833" t="s">
        <v>88</v>
      </c>
      <c r="C61" s="752"/>
      <c r="D61" s="48" t="s">
        <v>88</v>
      </c>
      <c r="E61" s="49">
        <v>8.27</v>
      </c>
      <c r="F61" s="49">
        <v>8.75</v>
      </c>
      <c r="G61" s="49">
        <v>9</v>
      </c>
      <c r="H61" s="49">
        <v>9</v>
      </c>
      <c r="I61" s="49" t="s">
        <v>88</v>
      </c>
      <c r="J61" s="49">
        <v>9</v>
      </c>
    </row>
    <row r="62" spans="1:10" hidden="1">
      <c r="A62" s="113" t="s">
        <v>42</v>
      </c>
      <c r="B62" s="833" t="s">
        <v>88</v>
      </c>
      <c r="C62" s="752"/>
      <c r="D62" s="48" t="s">
        <v>88</v>
      </c>
      <c r="E62" s="49">
        <v>8.5</v>
      </c>
      <c r="F62" s="49">
        <v>8.75</v>
      </c>
      <c r="G62" s="49">
        <v>9</v>
      </c>
      <c r="H62" s="49">
        <v>9</v>
      </c>
      <c r="I62" s="49" t="s">
        <v>88</v>
      </c>
      <c r="J62" s="49">
        <v>9</v>
      </c>
    </row>
    <row r="63" spans="1:10" hidden="1">
      <c r="A63" s="113" t="s">
        <v>43</v>
      </c>
      <c r="B63" s="833" t="s">
        <v>88</v>
      </c>
      <c r="C63" s="752"/>
      <c r="D63" s="48" t="s">
        <v>88</v>
      </c>
      <c r="E63" s="49">
        <v>8.5</v>
      </c>
      <c r="F63" s="49">
        <v>8.75</v>
      </c>
      <c r="G63" s="49">
        <v>9</v>
      </c>
      <c r="H63" s="49">
        <v>9</v>
      </c>
      <c r="I63" s="49" t="s">
        <v>88</v>
      </c>
      <c r="J63" s="49">
        <v>9</v>
      </c>
    </row>
    <row r="64" spans="1:10" hidden="1">
      <c r="A64" s="113" t="s">
        <v>44</v>
      </c>
      <c r="B64" s="833" t="s">
        <v>88</v>
      </c>
      <c r="C64" s="752"/>
      <c r="D64" s="48" t="s">
        <v>88</v>
      </c>
      <c r="E64" s="49">
        <v>8.5</v>
      </c>
      <c r="F64" s="49">
        <v>8.75</v>
      </c>
      <c r="G64" s="49">
        <v>9</v>
      </c>
      <c r="H64" s="49">
        <v>9</v>
      </c>
      <c r="I64" s="49" t="s">
        <v>88</v>
      </c>
      <c r="J64" s="49">
        <v>9</v>
      </c>
    </row>
    <row r="65" spans="1:10" hidden="1">
      <c r="A65" s="113" t="s">
        <v>45</v>
      </c>
      <c r="B65" s="833" t="s">
        <v>88</v>
      </c>
      <c r="C65" s="752"/>
      <c r="D65" s="48" t="s">
        <v>88</v>
      </c>
      <c r="E65" s="49">
        <v>8.5</v>
      </c>
      <c r="F65" s="49">
        <v>8.75</v>
      </c>
      <c r="G65" s="49">
        <v>9</v>
      </c>
      <c r="H65" s="49">
        <v>9</v>
      </c>
      <c r="I65" s="49" t="s">
        <v>88</v>
      </c>
      <c r="J65" s="49">
        <v>9</v>
      </c>
    </row>
    <row r="66" spans="1:10" hidden="1">
      <c r="A66" s="113" t="s">
        <v>46</v>
      </c>
      <c r="B66" s="833" t="s">
        <v>88</v>
      </c>
      <c r="C66" s="752"/>
      <c r="D66" s="48" t="s">
        <v>88</v>
      </c>
      <c r="E66" s="49">
        <v>8.5</v>
      </c>
      <c r="F66" s="49">
        <v>8.75</v>
      </c>
      <c r="G66" s="49">
        <v>9</v>
      </c>
      <c r="H66" s="49">
        <v>9</v>
      </c>
      <c r="I66" s="49" t="s">
        <v>88</v>
      </c>
      <c r="J66" s="49">
        <v>9</v>
      </c>
    </row>
    <row r="67" spans="1:10" hidden="1">
      <c r="A67" s="113" t="s">
        <v>47</v>
      </c>
      <c r="B67" s="833" t="s">
        <v>88</v>
      </c>
      <c r="C67" s="752"/>
      <c r="D67" s="48" t="s">
        <v>88</v>
      </c>
      <c r="E67" s="49">
        <v>8.5</v>
      </c>
      <c r="F67" s="49">
        <v>8.75</v>
      </c>
      <c r="G67" s="49">
        <v>9</v>
      </c>
      <c r="H67" s="49">
        <v>9</v>
      </c>
      <c r="I67" s="49" t="s">
        <v>88</v>
      </c>
      <c r="J67" s="49">
        <v>9</v>
      </c>
    </row>
    <row r="68" spans="1:10" hidden="1">
      <c r="A68" s="113" t="s">
        <v>48</v>
      </c>
      <c r="B68" s="833" t="s">
        <v>88</v>
      </c>
      <c r="C68" s="752"/>
      <c r="D68" s="48" t="s">
        <v>88</v>
      </c>
      <c r="E68" s="49">
        <v>8.5</v>
      </c>
      <c r="F68" s="49">
        <v>8.75</v>
      </c>
      <c r="G68" s="49">
        <v>9</v>
      </c>
      <c r="H68" s="49">
        <v>9</v>
      </c>
      <c r="I68" s="49" t="s">
        <v>88</v>
      </c>
      <c r="J68" s="49">
        <v>9</v>
      </c>
    </row>
    <row r="69" spans="1:10" hidden="1">
      <c r="A69" s="113" t="s">
        <v>49</v>
      </c>
      <c r="B69" s="833" t="s">
        <v>88</v>
      </c>
      <c r="C69" s="752"/>
      <c r="D69" s="48" t="s">
        <v>88</v>
      </c>
      <c r="E69" s="49">
        <v>8.5</v>
      </c>
      <c r="F69" s="49">
        <v>8.75</v>
      </c>
      <c r="G69" s="49">
        <v>9</v>
      </c>
      <c r="H69" s="49">
        <v>9</v>
      </c>
      <c r="I69" s="49" t="s">
        <v>88</v>
      </c>
      <c r="J69" s="49">
        <v>9</v>
      </c>
    </row>
    <row r="70" spans="1:10" hidden="1">
      <c r="A70" s="113" t="s">
        <v>50</v>
      </c>
      <c r="B70" s="833"/>
      <c r="C70" s="752"/>
      <c r="D70" s="48"/>
      <c r="E70" s="49"/>
      <c r="F70" s="49"/>
      <c r="G70" s="49"/>
      <c r="H70" s="49"/>
      <c r="I70" s="49" t="s">
        <v>88</v>
      </c>
      <c r="J70" s="49"/>
    </row>
    <row r="71" spans="1:10" hidden="1">
      <c r="A71" s="142"/>
      <c r="B71" s="833"/>
      <c r="C71" s="752"/>
      <c r="D71" s="48"/>
      <c r="E71" s="49"/>
      <c r="F71" s="49"/>
      <c r="G71" s="49"/>
      <c r="H71" s="49"/>
      <c r="I71" s="49" t="s">
        <v>88</v>
      </c>
      <c r="J71" s="49"/>
    </row>
    <row r="72" spans="1:10" hidden="1">
      <c r="A72" s="113" t="s">
        <v>59</v>
      </c>
      <c r="B72" s="833" t="s">
        <v>88</v>
      </c>
      <c r="C72" s="752"/>
      <c r="D72" s="48" t="s">
        <v>88</v>
      </c>
      <c r="E72" s="49">
        <v>8.4700000000000006</v>
      </c>
      <c r="F72" s="49">
        <v>8.34</v>
      </c>
      <c r="G72" s="49">
        <v>8.9700000000000006</v>
      </c>
      <c r="H72" s="49" t="s">
        <v>88</v>
      </c>
      <c r="I72" s="49" t="s">
        <v>88</v>
      </c>
      <c r="J72" s="49">
        <v>9</v>
      </c>
    </row>
    <row r="73" spans="1:10" hidden="1">
      <c r="A73" s="113" t="s">
        <v>40</v>
      </c>
      <c r="B73" s="833" t="s">
        <v>88</v>
      </c>
      <c r="C73" s="752"/>
      <c r="D73" s="48" t="s">
        <v>88</v>
      </c>
      <c r="E73" s="49">
        <v>7.55</v>
      </c>
      <c r="F73" s="49">
        <v>8.2899999999999991</v>
      </c>
      <c r="G73" s="49">
        <v>8.8800000000000008</v>
      </c>
      <c r="H73" s="49" t="s">
        <v>88</v>
      </c>
      <c r="I73" s="49" t="s">
        <v>88</v>
      </c>
      <c r="J73" s="49">
        <v>9</v>
      </c>
    </row>
    <row r="74" spans="1:10" hidden="1">
      <c r="A74" s="113" t="s">
        <v>41</v>
      </c>
      <c r="B74" s="833" t="s">
        <v>88</v>
      </c>
      <c r="C74" s="752"/>
      <c r="D74" s="48" t="s">
        <v>88</v>
      </c>
      <c r="E74" s="49">
        <v>6.42</v>
      </c>
      <c r="F74" s="49">
        <v>7.44</v>
      </c>
      <c r="G74" s="49">
        <v>8.8800000000000008</v>
      </c>
      <c r="H74" s="49" t="s">
        <v>88</v>
      </c>
      <c r="I74" s="49" t="s">
        <v>88</v>
      </c>
      <c r="J74" s="49">
        <v>9</v>
      </c>
    </row>
    <row r="75" spans="1:10" hidden="1">
      <c r="A75" s="113" t="s">
        <v>42</v>
      </c>
      <c r="B75" s="833" t="s">
        <v>88</v>
      </c>
      <c r="C75" s="752"/>
      <c r="D75" s="48" t="s">
        <v>88</v>
      </c>
      <c r="E75" s="49">
        <v>6.41</v>
      </c>
      <c r="F75" s="49">
        <v>7.44</v>
      </c>
      <c r="G75" s="49">
        <v>8.86</v>
      </c>
      <c r="H75" s="49" t="s">
        <v>88</v>
      </c>
      <c r="I75" s="49" t="s">
        <v>88</v>
      </c>
      <c r="J75" s="49">
        <v>9</v>
      </c>
    </row>
    <row r="76" spans="1:10" hidden="1">
      <c r="A76" s="113" t="s">
        <v>43</v>
      </c>
      <c r="B76" s="833" t="s">
        <v>88</v>
      </c>
      <c r="C76" s="752"/>
      <c r="D76" s="48" t="s">
        <v>88</v>
      </c>
      <c r="E76" s="49">
        <v>6.87</v>
      </c>
      <c r="F76" s="49">
        <v>7.2</v>
      </c>
      <c r="G76" s="49">
        <v>8.86</v>
      </c>
      <c r="H76" s="49" t="s">
        <v>88</v>
      </c>
      <c r="I76" s="49" t="s">
        <v>88</v>
      </c>
      <c r="J76" s="49">
        <v>9</v>
      </c>
    </row>
    <row r="77" spans="1:10" hidden="1">
      <c r="A77" s="113" t="s">
        <v>44</v>
      </c>
      <c r="B77" s="833" t="s">
        <v>88</v>
      </c>
      <c r="C77" s="752"/>
      <c r="D77" s="48" t="s">
        <v>88</v>
      </c>
      <c r="E77" s="49">
        <v>7.84</v>
      </c>
      <c r="F77" s="49">
        <v>7.2</v>
      </c>
      <c r="G77" s="49">
        <v>8.6</v>
      </c>
      <c r="H77" s="49" t="s">
        <v>88</v>
      </c>
      <c r="I77" s="49" t="s">
        <v>88</v>
      </c>
      <c r="J77" s="49">
        <v>9</v>
      </c>
    </row>
    <row r="78" spans="1:10" hidden="1">
      <c r="A78" s="113" t="s">
        <v>45</v>
      </c>
      <c r="B78" s="833" t="s">
        <v>88</v>
      </c>
      <c r="C78" s="752"/>
      <c r="D78" s="48" t="s">
        <v>88</v>
      </c>
      <c r="E78" s="49">
        <v>8.17</v>
      </c>
      <c r="F78" s="49">
        <v>6.19</v>
      </c>
      <c r="G78" s="49">
        <v>8.59</v>
      </c>
      <c r="H78" s="49" t="s">
        <v>88</v>
      </c>
      <c r="I78" s="49" t="s">
        <v>88</v>
      </c>
      <c r="J78" s="49">
        <v>9</v>
      </c>
    </row>
    <row r="79" spans="1:10" hidden="1">
      <c r="A79" s="113" t="s">
        <v>46</v>
      </c>
      <c r="B79" s="833" t="s">
        <v>88</v>
      </c>
      <c r="C79" s="752"/>
      <c r="D79" s="48" t="s">
        <v>88</v>
      </c>
      <c r="E79" s="49">
        <v>7.84</v>
      </c>
      <c r="F79" s="49">
        <v>6.31</v>
      </c>
      <c r="G79" s="49">
        <v>8.61</v>
      </c>
      <c r="H79" s="49" t="s">
        <v>88</v>
      </c>
      <c r="I79" s="49" t="s">
        <v>88</v>
      </c>
      <c r="J79" s="49">
        <v>9</v>
      </c>
    </row>
    <row r="80" spans="1:10" hidden="1">
      <c r="A80" s="113" t="s">
        <v>47</v>
      </c>
      <c r="B80" s="833" t="s">
        <v>88</v>
      </c>
      <c r="C80" s="752"/>
      <c r="D80" s="48" t="s">
        <v>88</v>
      </c>
      <c r="E80" s="49">
        <v>9.06</v>
      </c>
      <c r="F80" s="49">
        <v>7.95</v>
      </c>
      <c r="G80" s="49">
        <v>8.48</v>
      </c>
      <c r="H80" s="49" t="s">
        <v>88</v>
      </c>
      <c r="I80" s="49" t="s">
        <v>88</v>
      </c>
      <c r="J80" s="49">
        <v>9</v>
      </c>
    </row>
    <row r="81" spans="1:10" hidden="1">
      <c r="A81" s="113" t="s">
        <v>48</v>
      </c>
      <c r="B81" s="833" t="s">
        <v>88</v>
      </c>
      <c r="C81" s="752"/>
      <c r="D81" s="48" t="s">
        <v>88</v>
      </c>
      <c r="E81" s="49">
        <v>7.59</v>
      </c>
      <c r="F81" s="49">
        <v>7.83</v>
      </c>
      <c r="G81" s="49">
        <v>8.16</v>
      </c>
      <c r="H81" s="49" t="s">
        <v>88</v>
      </c>
      <c r="I81" s="49" t="s">
        <v>88</v>
      </c>
      <c r="J81" s="49">
        <v>9</v>
      </c>
    </row>
    <row r="82" spans="1:10" hidden="1">
      <c r="A82" s="113" t="s">
        <v>49</v>
      </c>
      <c r="B82" s="833" t="s">
        <v>88</v>
      </c>
      <c r="C82" s="752"/>
      <c r="D82" s="48" t="s">
        <v>88</v>
      </c>
      <c r="E82" s="49">
        <v>7.66</v>
      </c>
      <c r="F82" s="49">
        <v>7.99</v>
      </c>
      <c r="G82" s="49">
        <v>8.1</v>
      </c>
      <c r="H82" s="49" t="s">
        <v>88</v>
      </c>
      <c r="I82" s="49" t="s">
        <v>88</v>
      </c>
      <c r="J82" s="49">
        <v>9</v>
      </c>
    </row>
    <row r="83" spans="1:10" hidden="1">
      <c r="A83" s="113" t="s">
        <v>50</v>
      </c>
      <c r="B83" s="833" t="s">
        <v>88</v>
      </c>
      <c r="C83" s="752"/>
      <c r="D83" s="48" t="s">
        <v>88</v>
      </c>
      <c r="E83" s="49">
        <v>4.24</v>
      </c>
      <c r="F83" s="49">
        <v>8</v>
      </c>
      <c r="G83" s="49">
        <v>8.1</v>
      </c>
      <c r="H83" s="49" t="s">
        <v>88</v>
      </c>
      <c r="I83" s="49" t="s">
        <v>88</v>
      </c>
      <c r="J83" s="49">
        <v>9</v>
      </c>
    </row>
    <row r="84" spans="1:10" hidden="1">
      <c r="A84" s="113"/>
      <c r="B84" s="833"/>
      <c r="C84" s="752"/>
      <c r="D84" s="48"/>
      <c r="E84" s="49"/>
      <c r="F84" s="49"/>
      <c r="G84" s="49"/>
      <c r="H84" s="49"/>
      <c r="I84" s="49" t="s">
        <v>88</v>
      </c>
      <c r="J84" s="49"/>
    </row>
    <row r="85" spans="1:10" hidden="1">
      <c r="A85" s="113" t="s">
        <v>58</v>
      </c>
      <c r="B85" s="833" t="s">
        <v>88</v>
      </c>
      <c r="C85" s="752"/>
      <c r="D85" s="48" t="s">
        <v>88</v>
      </c>
      <c r="E85" s="49">
        <v>4.42</v>
      </c>
      <c r="F85" s="49">
        <v>8</v>
      </c>
      <c r="G85" s="49">
        <v>8.06</v>
      </c>
      <c r="H85" s="49" t="s">
        <v>88</v>
      </c>
      <c r="I85" s="49" t="s">
        <v>88</v>
      </c>
      <c r="J85" s="49">
        <v>9</v>
      </c>
    </row>
    <row r="86" spans="1:10" hidden="1">
      <c r="A86" s="113" t="s">
        <v>40</v>
      </c>
      <c r="B86" s="833" t="s">
        <v>88</v>
      </c>
      <c r="C86" s="752"/>
      <c r="D86" s="48" t="s">
        <v>88</v>
      </c>
      <c r="E86" s="49">
        <v>3.82</v>
      </c>
      <c r="F86" s="49">
        <v>7.56</v>
      </c>
      <c r="G86" s="49">
        <v>8.1</v>
      </c>
      <c r="H86" s="49" t="s">
        <v>88</v>
      </c>
      <c r="I86" s="49" t="s">
        <v>88</v>
      </c>
      <c r="J86" s="49">
        <v>9</v>
      </c>
    </row>
    <row r="87" spans="1:10" hidden="1">
      <c r="A87" s="113" t="s">
        <v>41</v>
      </c>
      <c r="B87" s="833" t="s">
        <v>88</v>
      </c>
      <c r="C87" s="752"/>
      <c r="D87" s="48" t="s">
        <v>88</v>
      </c>
      <c r="E87" s="49">
        <v>3.74</v>
      </c>
      <c r="F87" s="49">
        <v>7.56</v>
      </c>
      <c r="G87" s="49">
        <v>8.14</v>
      </c>
      <c r="H87" s="49" t="s">
        <v>88</v>
      </c>
      <c r="I87" s="49" t="s">
        <v>88</v>
      </c>
      <c r="J87" s="49">
        <v>9</v>
      </c>
    </row>
    <row r="88" spans="1:10" hidden="1">
      <c r="A88" s="113" t="s">
        <v>42</v>
      </c>
      <c r="B88" s="833" t="s">
        <v>88</v>
      </c>
      <c r="C88" s="752"/>
      <c r="D88" s="48" t="s">
        <v>88</v>
      </c>
      <c r="E88" s="49">
        <v>4.01</v>
      </c>
      <c r="F88" s="49">
        <v>7.56</v>
      </c>
      <c r="G88" s="49">
        <v>8.14</v>
      </c>
      <c r="H88" s="49" t="s">
        <v>88</v>
      </c>
      <c r="I88" s="49" t="s">
        <v>88</v>
      </c>
      <c r="J88" s="49">
        <v>9</v>
      </c>
    </row>
    <row r="89" spans="1:10" hidden="1">
      <c r="A89" s="113" t="s">
        <v>43</v>
      </c>
      <c r="B89" s="833" t="s">
        <v>88</v>
      </c>
      <c r="C89" s="752"/>
      <c r="D89" s="48" t="s">
        <v>88</v>
      </c>
      <c r="E89" s="49">
        <v>4.1900000000000004</v>
      </c>
      <c r="F89" s="49">
        <v>8.7899999999999991</v>
      </c>
      <c r="G89" s="49">
        <v>8.86</v>
      </c>
      <c r="H89" s="49">
        <v>9</v>
      </c>
      <c r="I89" s="49" t="s">
        <v>88</v>
      </c>
      <c r="J89" s="49">
        <v>9</v>
      </c>
    </row>
    <row r="90" spans="1:10" hidden="1">
      <c r="A90" s="113" t="s">
        <v>44</v>
      </c>
      <c r="B90" s="833" t="s">
        <v>88</v>
      </c>
      <c r="C90" s="752"/>
      <c r="D90" s="48" t="s">
        <v>88</v>
      </c>
      <c r="E90" s="49">
        <v>8.68</v>
      </c>
      <c r="F90" s="49">
        <v>8.7899999999999991</v>
      </c>
      <c r="G90" s="49">
        <v>8.5</v>
      </c>
      <c r="H90" s="49">
        <v>9</v>
      </c>
      <c r="I90" s="49" t="s">
        <v>88</v>
      </c>
      <c r="J90" s="49">
        <v>9</v>
      </c>
    </row>
    <row r="91" spans="1:10" hidden="1">
      <c r="A91" s="113" t="s">
        <v>45</v>
      </c>
      <c r="B91" s="833" t="s">
        <v>88</v>
      </c>
      <c r="C91" s="752"/>
      <c r="D91" s="48" t="s">
        <v>88</v>
      </c>
      <c r="E91" s="49">
        <v>9.42</v>
      </c>
      <c r="F91" s="49">
        <v>8.81</v>
      </c>
      <c r="G91" s="49">
        <v>8.74</v>
      </c>
      <c r="H91" s="49">
        <v>9</v>
      </c>
      <c r="I91" s="49" t="s">
        <v>88</v>
      </c>
      <c r="J91" s="49">
        <v>9</v>
      </c>
    </row>
    <row r="92" spans="1:10" hidden="1">
      <c r="A92" s="113" t="s">
        <v>46</v>
      </c>
      <c r="B92" s="833" t="s">
        <v>88</v>
      </c>
      <c r="C92" s="752"/>
      <c r="D92" s="48" t="s">
        <v>88</v>
      </c>
      <c r="E92" s="49">
        <v>9.44</v>
      </c>
      <c r="F92" s="49">
        <v>8.83</v>
      </c>
      <c r="G92" s="49">
        <v>8.74</v>
      </c>
      <c r="H92" s="49">
        <v>9</v>
      </c>
      <c r="I92" s="49" t="s">
        <v>88</v>
      </c>
      <c r="J92" s="49">
        <v>9</v>
      </c>
    </row>
    <row r="93" spans="1:10" hidden="1">
      <c r="A93" s="113" t="s">
        <v>47</v>
      </c>
      <c r="B93" s="833" t="s">
        <v>88</v>
      </c>
      <c r="C93" s="752"/>
      <c r="D93" s="48" t="s">
        <v>88</v>
      </c>
      <c r="E93" s="49">
        <v>9.16</v>
      </c>
      <c r="F93" s="49">
        <v>8.83</v>
      </c>
      <c r="G93" s="49">
        <v>8.7100000000000009</v>
      </c>
      <c r="H93" s="49">
        <v>9</v>
      </c>
      <c r="I93" s="49" t="s">
        <v>88</v>
      </c>
      <c r="J93" s="49">
        <v>9</v>
      </c>
    </row>
    <row r="94" spans="1:10" hidden="1">
      <c r="A94" s="113" t="s">
        <v>48</v>
      </c>
      <c r="B94" s="833" t="s">
        <v>88</v>
      </c>
      <c r="C94" s="752"/>
      <c r="D94" s="48" t="s">
        <v>88</v>
      </c>
      <c r="E94" s="49">
        <v>8.76</v>
      </c>
      <c r="F94" s="49">
        <v>8.83</v>
      </c>
      <c r="G94" s="49">
        <v>8.8800000000000008</v>
      </c>
      <c r="H94" s="49">
        <v>9</v>
      </c>
      <c r="I94" s="49" t="s">
        <v>88</v>
      </c>
      <c r="J94" s="49">
        <v>9</v>
      </c>
    </row>
    <row r="95" spans="1:10" hidden="1">
      <c r="A95" s="113" t="s">
        <v>49</v>
      </c>
      <c r="B95" s="833" t="s">
        <v>88</v>
      </c>
      <c r="C95" s="752"/>
      <c r="D95" s="48" t="s">
        <v>88</v>
      </c>
      <c r="E95" s="49">
        <v>8.76</v>
      </c>
      <c r="F95" s="49">
        <v>9.09</v>
      </c>
      <c r="G95" s="49">
        <v>8.8800000000000008</v>
      </c>
      <c r="H95" s="49">
        <v>9</v>
      </c>
      <c r="I95" s="49" t="s">
        <v>88</v>
      </c>
      <c r="J95" s="49">
        <v>9</v>
      </c>
    </row>
    <row r="96" spans="1:10" hidden="1">
      <c r="A96" s="113" t="s">
        <v>50</v>
      </c>
      <c r="B96" s="833" t="s">
        <v>88</v>
      </c>
      <c r="C96" s="752"/>
      <c r="D96" s="48" t="s">
        <v>88</v>
      </c>
      <c r="E96" s="49">
        <v>8.27</v>
      </c>
      <c r="F96" s="49">
        <v>9.09</v>
      </c>
      <c r="G96" s="49">
        <v>8.8800000000000008</v>
      </c>
      <c r="H96" s="49">
        <v>9</v>
      </c>
      <c r="I96" s="49" t="s">
        <v>88</v>
      </c>
      <c r="J96" s="49">
        <v>9</v>
      </c>
    </row>
    <row r="97" spans="1:10" hidden="1">
      <c r="A97" s="113"/>
      <c r="B97" s="833"/>
      <c r="C97" s="752"/>
      <c r="D97" s="48"/>
      <c r="E97" s="49"/>
      <c r="F97" s="49"/>
      <c r="G97" s="49"/>
      <c r="H97" s="49"/>
      <c r="I97" s="49" t="s">
        <v>88</v>
      </c>
      <c r="J97" s="49"/>
    </row>
    <row r="98" spans="1:10" hidden="1">
      <c r="A98" s="113" t="s">
        <v>57</v>
      </c>
      <c r="B98" s="833" t="s">
        <v>88</v>
      </c>
      <c r="C98" s="752"/>
      <c r="D98" s="48" t="s">
        <v>88</v>
      </c>
      <c r="E98" s="49">
        <v>7.31</v>
      </c>
      <c r="F98" s="49">
        <v>7.19</v>
      </c>
      <c r="G98" s="49">
        <v>8.4700000000000006</v>
      </c>
      <c r="H98" s="49" t="s">
        <v>88</v>
      </c>
      <c r="I98" s="49" t="s">
        <v>88</v>
      </c>
      <c r="J98" s="49">
        <v>9</v>
      </c>
    </row>
    <row r="99" spans="1:10" hidden="1">
      <c r="A99" s="113" t="s">
        <v>40</v>
      </c>
      <c r="B99" s="833" t="s">
        <v>88</v>
      </c>
      <c r="C99" s="752"/>
      <c r="D99" s="48" t="s">
        <v>88</v>
      </c>
      <c r="E99" s="49">
        <v>6.83</v>
      </c>
      <c r="F99" s="49">
        <v>6.97</v>
      </c>
      <c r="G99" s="49">
        <v>8.43</v>
      </c>
      <c r="H99" s="49" t="s">
        <v>88</v>
      </c>
      <c r="I99" s="49" t="s">
        <v>88</v>
      </c>
      <c r="J99" s="49">
        <v>9</v>
      </c>
    </row>
    <row r="100" spans="1:10" hidden="1">
      <c r="A100" s="113" t="s">
        <v>41</v>
      </c>
      <c r="B100" s="833" t="s">
        <v>88</v>
      </c>
      <c r="C100" s="752"/>
      <c r="D100" s="48" t="s">
        <v>88</v>
      </c>
      <c r="E100" s="49">
        <v>6.25</v>
      </c>
      <c r="F100" s="49">
        <v>7.08</v>
      </c>
      <c r="G100" s="49">
        <v>8.48</v>
      </c>
      <c r="H100" s="49" t="s">
        <v>88</v>
      </c>
      <c r="I100" s="49" t="s">
        <v>88</v>
      </c>
      <c r="J100" s="49">
        <v>9</v>
      </c>
    </row>
    <row r="101" spans="1:10" hidden="1">
      <c r="A101" s="113" t="s">
        <v>42</v>
      </c>
      <c r="B101" s="833" t="s">
        <v>88</v>
      </c>
      <c r="C101" s="752"/>
      <c r="D101" s="48" t="s">
        <v>88</v>
      </c>
      <c r="E101" s="49">
        <v>7.49</v>
      </c>
      <c r="F101" s="49">
        <v>7.75</v>
      </c>
      <c r="G101" s="49">
        <v>8.5299999999999994</v>
      </c>
      <c r="H101" s="49" t="s">
        <v>88</v>
      </c>
      <c r="I101" s="49" t="s">
        <v>88</v>
      </c>
      <c r="J101" s="49">
        <v>9</v>
      </c>
    </row>
    <row r="102" spans="1:10" hidden="1">
      <c r="A102" s="113" t="s">
        <v>43</v>
      </c>
      <c r="B102" s="833" t="s">
        <v>88</v>
      </c>
      <c r="C102" s="752"/>
      <c r="D102" s="48" t="s">
        <v>88</v>
      </c>
      <c r="E102" s="49">
        <v>8.2100000000000009</v>
      </c>
      <c r="F102" s="49">
        <v>7.94</v>
      </c>
      <c r="G102" s="49">
        <v>8.44</v>
      </c>
      <c r="H102" s="49" t="s">
        <v>88</v>
      </c>
      <c r="I102" s="49" t="s">
        <v>88</v>
      </c>
      <c r="J102" s="49">
        <v>9</v>
      </c>
    </row>
    <row r="103" spans="1:10" hidden="1">
      <c r="A103" s="113" t="s">
        <v>44</v>
      </c>
      <c r="B103" s="833" t="s">
        <v>88</v>
      </c>
      <c r="C103" s="752"/>
      <c r="D103" s="48" t="s">
        <v>88</v>
      </c>
      <c r="E103" s="49">
        <v>9.01</v>
      </c>
      <c r="F103" s="49">
        <v>8.31</v>
      </c>
      <c r="G103" s="49">
        <v>8.4499999999999993</v>
      </c>
      <c r="H103" s="49" t="s">
        <v>88</v>
      </c>
      <c r="I103" s="49" t="s">
        <v>88</v>
      </c>
      <c r="J103" s="49">
        <v>9</v>
      </c>
    </row>
    <row r="104" spans="1:10" hidden="1">
      <c r="A104" s="113" t="s">
        <v>45</v>
      </c>
      <c r="B104" s="833" t="s">
        <v>88</v>
      </c>
      <c r="C104" s="752"/>
      <c r="D104" s="48" t="s">
        <v>88</v>
      </c>
      <c r="E104" s="49">
        <v>9.16</v>
      </c>
      <c r="F104" s="49">
        <v>9.2100000000000009</v>
      </c>
      <c r="G104" s="49">
        <v>8.43</v>
      </c>
      <c r="H104" s="49" t="s">
        <v>88</v>
      </c>
      <c r="I104" s="49" t="s">
        <v>88</v>
      </c>
      <c r="J104" s="49">
        <v>9</v>
      </c>
    </row>
    <row r="105" spans="1:10" hidden="1">
      <c r="A105" s="113" t="s">
        <v>46</v>
      </c>
      <c r="B105" s="833" t="s">
        <v>88</v>
      </c>
      <c r="C105" s="752"/>
      <c r="D105" s="48" t="s">
        <v>88</v>
      </c>
      <c r="E105" s="49">
        <v>9.7899999999999991</v>
      </c>
      <c r="F105" s="49">
        <v>9.44</v>
      </c>
      <c r="G105" s="49">
        <v>8.48</v>
      </c>
      <c r="H105" s="49" t="s">
        <v>88</v>
      </c>
      <c r="I105" s="49" t="s">
        <v>88</v>
      </c>
      <c r="J105" s="49">
        <v>9</v>
      </c>
    </row>
    <row r="106" spans="1:10" hidden="1">
      <c r="A106" s="113" t="s">
        <v>47</v>
      </c>
      <c r="B106" s="833" t="s">
        <v>88</v>
      </c>
      <c r="C106" s="752"/>
      <c r="D106" s="48" t="s">
        <v>88</v>
      </c>
      <c r="E106" s="49">
        <v>10.27</v>
      </c>
      <c r="F106" s="49">
        <v>9.59</v>
      </c>
      <c r="G106" s="49">
        <v>8.5399999999999991</v>
      </c>
      <c r="H106" s="49" t="s">
        <v>88</v>
      </c>
      <c r="I106" s="49" t="s">
        <v>88</v>
      </c>
      <c r="J106" s="49">
        <v>9</v>
      </c>
    </row>
    <row r="107" spans="1:10" hidden="1">
      <c r="A107" s="113" t="s">
        <v>48</v>
      </c>
      <c r="B107" s="833" t="s">
        <v>88</v>
      </c>
      <c r="C107" s="752"/>
      <c r="D107" s="48" t="s">
        <v>88</v>
      </c>
      <c r="E107" s="49">
        <v>10.58</v>
      </c>
      <c r="F107" s="49">
        <v>9.89</v>
      </c>
      <c r="G107" s="49">
        <v>8.48</v>
      </c>
      <c r="H107" s="49" t="s">
        <v>88</v>
      </c>
      <c r="I107" s="49" t="s">
        <v>88</v>
      </c>
      <c r="J107" s="49">
        <v>9</v>
      </c>
    </row>
    <row r="108" spans="1:10" hidden="1">
      <c r="A108" s="113" t="s">
        <v>49</v>
      </c>
      <c r="B108" s="833" t="s">
        <v>88</v>
      </c>
      <c r="C108" s="752"/>
      <c r="D108" s="48" t="s">
        <v>88</v>
      </c>
      <c r="E108" s="49">
        <v>10.6</v>
      </c>
      <c r="F108" s="49">
        <v>10.039999999999999</v>
      </c>
      <c r="G108" s="49">
        <v>8.48</v>
      </c>
      <c r="H108" s="49" t="s">
        <v>88</v>
      </c>
      <c r="I108" s="49" t="s">
        <v>88</v>
      </c>
      <c r="J108" s="49">
        <v>9</v>
      </c>
    </row>
    <row r="109" spans="1:10" hidden="1">
      <c r="A109" s="113" t="s">
        <v>50</v>
      </c>
      <c r="B109" s="833" t="s">
        <v>88</v>
      </c>
      <c r="C109" s="752"/>
      <c r="D109" s="48" t="s">
        <v>88</v>
      </c>
      <c r="E109" s="49">
        <v>10.87</v>
      </c>
      <c r="F109" s="49">
        <v>10.38</v>
      </c>
      <c r="G109" s="49">
        <v>8.48</v>
      </c>
      <c r="H109" s="49" t="s">
        <v>88</v>
      </c>
      <c r="I109" s="49" t="s">
        <v>88</v>
      </c>
      <c r="J109" s="49">
        <v>9</v>
      </c>
    </row>
    <row r="110" spans="1:10" hidden="1">
      <c r="A110" s="113"/>
      <c r="B110" s="833"/>
      <c r="C110" s="752"/>
      <c r="D110" s="48"/>
      <c r="E110" s="49"/>
      <c r="F110" s="49"/>
      <c r="G110" s="49"/>
      <c r="H110" s="49"/>
      <c r="I110" s="49" t="s">
        <v>88</v>
      </c>
      <c r="J110" s="49"/>
    </row>
    <row r="111" spans="1:10" hidden="1">
      <c r="A111" s="113" t="s">
        <v>56</v>
      </c>
      <c r="B111" s="833" t="s">
        <v>88</v>
      </c>
      <c r="C111" s="752"/>
      <c r="D111" s="48" t="s">
        <v>88</v>
      </c>
      <c r="E111" s="49">
        <v>11.12</v>
      </c>
      <c r="F111" s="49">
        <v>10.88</v>
      </c>
      <c r="G111" s="49">
        <v>9.11</v>
      </c>
      <c r="H111" s="49" t="s">
        <v>88</v>
      </c>
      <c r="I111" s="49" t="s">
        <v>88</v>
      </c>
      <c r="J111" s="49">
        <v>9</v>
      </c>
    </row>
    <row r="112" spans="1:10" hidden="1">
      <c r="A112" s="113" t="s">
        <v>40</v>
      </c>
      <c r="B112" s="833" t="s">
        <v>88</v>
      </c>
      <c r="C112" s="752"/>
      <c r="D112" s="48" t="s">
        <v>88</v>
      </c>
      <c r="E112" s="49">
        <v>11.18</v>
      </c>
      <c r="F112" s="49">
        <v>10.97</v>
      </c>
      <c r="G112" s="49">
        <v>9.85</v>
      </c>
      <c r="H112" s="49" t="s">
        <v>88</v>
      </c>
      <c r="I112" s="49" t="s">
        <v>88</v>
      </c>
      <c r="J112" s="49">
        <v>9</v>
      </c>
    </row>
    <row r="113" spans="1:10" hidden="1">
      <c r="A113" s="113" t="s">
        <v>41</v>
      </c>
      <c r="B113" s="833" t="s">
        <v>88</v>
      </c>
      <c r="C113" s="752"/>
      <c r="D113" s="48" t="s">
        <v>88</v>
      </c>
      <c r="E113" s="49">
        <v>11.05</v>
      </c>
      <c r="F113" s="49">
        <v>11.06</v>
      </c>
      <c r="G113" s="49">
        <v>10.49</v>
      </c>
      <c r="H113" s="49" t="s">
        <v>88</v>
      </c>
      <c r="I113" s="49" t="s">
        <v>88</v>
      </c>
      <c r="J113" s="49">
        <v>9</v>
      </c>
    </row>
    <row r="114" spans="1:10" hidden="1">
      <c r="A114" s="113" t="s">
        <v>42</v>
      </c>
      <c r="B114" s="833" t="s">
        <v>88</v>
      </c>
      <c r="C114" s="752"/>
      <c r="D114" s="48" t="s">
        <v>88</v>
      </c>
      <c r="E114" s="49">
        <v>11.2</v>
      </c>
      <c r="F114" s="49">
        <v>11.27</v>
      </c>
      <c r="G114" s="49">
        <v>11.56</v>
      </c>
      <c r="H114" s="49" t="s">
        <v>88</v>
      </c>
      <c r="I114" s="49" t="s">
        <v>88</v>
      </c>
      <c r="J114" s="49">
        <v>9</v>
      </c>
    </row>
    <row r="115" spans="1:10" hidden="1">
      <c r="A115" s="113" t="s">
        <v>43</v>
      </c>
      <c r="B115" s="833" t="s">
        <v>88</v>
      </c>
      <c r="C115" s="752"/>
      <c r="D115" s="48" t="s">
        <v>88</v>
      </c>
      <c r="E115" s="49">
        <v>11.46</v>
      </c>
      <c r="F115" s="49">
        <v>11.66</v>
      </c>
      <c r="G115" s="49">
        <v>11.62</v>
      </c>
      <c r="H115" s="49" t="s">
        <v>88</v>
      </c>
      <c r="I115" s="49" t="s">
        <v>88</v>
      </c>
      <c r="J115" s="49">
        <v>9</v>
      </c>
    </row>
    <row r="116" spans="1:10" hidden="1">
      <c r="A116" s="113" t="s">
        <v>44</v>
      </c>
      <c r="B116" s="833" t="s">
        <v>88</v>
      </c>
      <c r="C116" s="752"/>
      <c r="D116" s="48" t="s">
        <v>88</v>
      </c>
      <c r="E116" s="49">
        <v>11.74</v>
      </c>
      <c r="F116" s="49">
        <v>11.63</v>
      </c>
      <c r="G116" s="49">
        <v>11.82</v>
      </c>
      <c r="H116" s="49" t="s">
        <v>88</v>
      </c>
      <c r="I116" s="49" t="s">
        <v>88</v>
      </c>
      <c r="J116" s="49">
        <v>9</v>
      </c>
    </row>
    <row r="117" spans="1:10" hidden="1">
      <c r="A117" s="113" t="s">
        <v>45</v>
      </c>
      <c r="B117" s="833" t="s">
        <v>88</v>
      </c>
      <c r="C117" s="752"/>
      <c r="D117" s="48" t="s">
        <v>88</v>
      </c>
      <c r="E117" s="49">
        <v>11.86</v>
      </c>
      <c r="F117" s="49">
        <v>11.86</v>
      </c>
      <c r="G117" s="49">
        <v>12</v>
      </c>
      <c r="H117" s="49" t="s">
        <v>88</v>
      </c>
      <c r="I117" s="49" t="s">
        <v>88</v>
      </c>
      <c r="J117" s="49">
        <v>9</v>
      </c>
    </row>
    <row r="118" spans="1:10" hidden="1">
      <c r="A118" s="113" t="s">
        <v>46</v>
      </c>
      <c r="B118" s="833" t="s">
        <v>88</v>
      </c>
      <c r="C118" s="752"/>
      <c r="D118" s="48" t="s">
        <v>88</v>
      </c>
      <c r="E118" s="49">
        <v>12.29</v>
      </c>
      <c r="F118" s="49">
        <v>12.34</v>
      </c>
      <c r="G118" s="49">
        <v>12.17</v>
      </c>
      <c r="H118" s="49" t="s">
        <v>88</v>
      </c>
      <c r="I118" s="49" t="s">
        <v>88</v>
      </c>
      <c r="J118" s="49">
        <v>9</v>
      </c>
    </row>
    <row r="119" spans="1:10" hidden="1">
      <c r="A119" s="113" t="s">
        <v>47</v>
      </c>
      <c r="B119" s="833" t="s">
        <v>88</v>
      </c>
      <c r="C119" s="752"/>
      <c r="D119" s="48" t="s">
        <v>88</v>
      </c>
      <c r="E119" s="49">
        <v>11.75</v>
      </c>
      <c r="F119" s="49">
        <v>12.29</v>
      </c>
      <c r="G119" s="49">
        <v>12.11</v>
      </c>
      <c r="H119" s="49" t="s">
        <v>88</v>
      </c>
      <c r="I119" s="49" t="s">
        <v>88</v>
      </c>
      <c r="J119" s="49">
        <v>9</v>
      </c>
    </row>
    <row r="120" spans="1:10" hidden="1">
      <c r="A120" s="113" t="s">
        <v>48</v>
      </c>
      <c r="B120" s="833" t="s">
        <v>88</v>
      </c>
      <c r="C120" s="752"/>
      <c r="D120" s="48" t="s">
        <v>88</v>
      </c>
      <c r="E120" s="49">
        <v>11.54</v>
      </c>
      <c r="F120" s="49">
        <v>12.2</v>
      </c>
      <c r="G120" s="49">
        <v>12.11</v>
      </c>
      <c r="H120" s="49" t="s">
        <v>88</v>
      </c>
      <c r="I120" s="49" t="s">
        <v>88</v>
      </c>
      <c r="J120" s="49">
        <v>9</v>
      </c>
    </row>
    <row r="121" spans="1:10" hidden="1">
      <c r="A121" s="113" t="s">
        <v>49</v>
      </c>
      <c r="B121" s="833"/>
      <c r="C121" s="752"/>
      <c r="D121" s="48"/>
      <c r="E121" s="49">
        <v>10.91</v>
      </c>
      <c r="F121" s="49">
        <v>12.35</v>
      </c>
      <c r="G121" s="49">
        <v>12.19</v>
      </c>
      <c r="H121" s="49" t="s">
        <v>88</v>
      </c>
      <c r="I121" s="49" t="s">
        <v>88</v>
      </c>
      <c r="J121" s="49">
        <v>9</v>
      </c>
    </row>
    <row r="122" spans="1:10" hidden="1">
      <c r="A122" s="113" t="s">
        <v>50</v>
      </c>
      <c r="B122" s="833"/>
      <c r="C122" s="752"/>
      <c r="D122" s="48"/>
      <c r="E122" s="49">
        <v>11.03</v>
      </c>
      <c r="F122" s="49">
        <v>12.63</v>
      </c>
      <c r="G122" s="49">
        <v>12.33</v>
      </c>
      <c r="H122" s="49" t="s">
        <v>88</v>
      </c>
      <c r="I122" s="49" t="s">
        <v>88</v>
      </c>
      <c r="J122" s="49">
        <v>9</v>
      </c>
    </row>
    <row r="123" spans="1:10" hidden="1">
      <c r="A123" s="113"/>
      <c r="B123" s="833"/>
      <c r="C123" s="752"/>
      <c r="D123" s="48"/>
      <c r="E123" s="49"/>
      <c r="F123" s="49"/>
      <c r="G123" s="49"/>
      <c r="H123" s="49"/>
      <c r="I123" s="49"/>
      <c r="J123" s="49"/>
    </row>
    <row r="124" spans="1:10" hidden="1">
      <c r="A124" s="113" t="s">
        <v>55</v>
      </c>
      <c r="B124" s="833"/>
      <c r="C124" s="752"/>
      <c r="D124" s="48"/>
      <c r="E124" s="49">
        <v>11.44</v>
      </c>
      <c r="F124" s="49">
        <v>12.83</v>
      </c>
      <c r="G124" s="49">
        <v>12.66</v>
      </c>
      <c r="H124" s="49">
        <v>13.75</v>
      </c>
      <c r="I124" s="49" t="s">
        <v>88</v>
      </c>
      <c r="J124" s="49">
        <v>9</v>
      </c>
    </row>
    <row r="125" spans="1:10" hidden="1">
      <c r="A125" s="113" t="s">
        <v>40</v>
      </c>
      <c r="B125" s="833"/>
      <c r="C125" s="752"/>
      <c r="D125" s="48"/>
      <c r="E125" s="49">
        <v>11.5</v>
      </c>
      <c r="F125" s="49">
        <v>12.76</v>
      </c>
      <c r="G125" s="49">
        <v>13.19</v>
      </c>
      <c r="H125" s="49">
        <v>13.75</v>
      </c>
      <c r="I125" s="49" t="s">
        <v>88</v>
      </c>
      <c r="J125" s="49">
        <v>9</v>
      </c>
    </row>
    <row r="126" spans="1:10" hidden="1">
      <c r="A126" s="113" t="s">
        <v>41</v>
      </c>
      <c r="B126" s="833"/>
      <c r="C126" s="752"/>
      <c r="D126" s="48"/>
      <c r="E126" s="49">
        <v>11.36</v>
      </c>
      <c r="F126" s="49">
        <v>12.75</v>
      </c>
      <c r="G126" s="49">
        <v>13.25</v>
      </c>
      <c r="H126" s="49">
        <v>13.75</v>
      </c>
      <c r="I126" s="49" t="s">
        <v>88</v>
      </c>
      <c r="J126" s="49">
        <v>9</v>
      </c>
    </row>
    <row r="127" spans="1:10" hidden="1">
      <c r="A127" s="113" t="s">
        <v>42</v>
      </c>
      <c r="B127" s="833"/>
      <c r="C127" s="752"/>
      <c r="D127" s="48"/>
      <c r="E127" s="49">
        <v>9.67</v>
      </c>
      <c r="F127" s="49">
        <v>12.79</v>
      </c>
      <c r="G127" s="49">
        <v>13.41</v>
      </c>
      <c r="H127" s="49">
        <v>13.75</v>
      </c>
      <c r="I127" s="49" t="s">
        <v>88</v>
      </c>
      <c r="J127" s="49">
        <v>9</v>
      </c>
    </row>
    <row r="128" spans="1:10" hidden="1">
      <c r="A128" s="113" t="s">
        <v>43</v>
      </c>
      <c r="B128" s="833"/>
      <c r="C128" s="752"/>
      <c r="D128" s="48"/>
      <c r="E128" s="49">
        <v>8.92</v>
      </c>
      <c r="F128" s="49">
        <v>12.66</v>
      </c>
      <c r="G128" s="49">
        <v>13.66</v>
      </c>
      <c r="H128" s="49">
        <v>13.75</v>
      </c>
      <c r="I128" s="49" t="s">
        <v>88</v>
      </c>
      <c r="J128" s="49">
        <v>9</v>
      </c>
    </row>
    <row r="129" spans="1:10" hidden="1">
      <c r="A129" s="113" t="s">
        <v>44</v>
      </c>
      <c r="B129" s="833"/>
      <c r="C129" s="752"/>
      <c r="D129" s="48"/>
      <c r="E129" s="49">
        <v>8.68</v>
      </c>
      <c r="F129" s="49">
        <v>12.35</v>
      </c>
      <c r="G129" s="49">
        <v>13.68</v>
      </c>
      <c r="H129" s="49">
        <v>13.75</v>
      </c>
      <c r="I129" s="49" t="s">
        <v>88</v>
      </c>
      <c r="J129" s="49">
        <v>9</v>
      </c>
    </row>
    <row r="130" spans="1:10" hidden="1">
      <c r="A130" s="113" t="s">
        <v>45</v>
      </c>
      <c r="B130" s="833"/>
      <c r="C130" s="752"/>
      <c r="D130" s="48"/>
      <c r="E130" s="49">
        <v>8.2799999999999994</v>
      </c>
      <c r="F130" s="49">
        <v>12.01</v>
      </c>
      <c r="G130" s="49">
        <v>13.7</v>
      </c>
      <c r="H130" s="49">
        <v>15.91</v>
      </c>
      <c r="I130" s="49" t="s">
        <v>88</v>
      </c>
      <c r="J130" s="49">
        <v>9</v>
      </c>
    </row>
    <row r="131" spans="1:10" hidden="1">
      <c r="A131" s="113" t="s">
        <v>46</v>
      </c>
      <c r="B131" s="833"/>
      <c r="C131" s="752"/>
      <c r="D131" s="48"/>
      <c r="E131" s="49">
        <v>7.19</v>
      </c>
      <c r="F131" s="49">
        <v>11.66</v>
      </c>
      <c r="G131" s="49">
        <v>13.6</v>
      </c>
      <c r="H131" s="49">
        <v>15.91</v>
      </c>
      <c r="I131" s="49" t="s">
        <v>88</v>
      </c>
      <c r="J131" s="49">
        <v>9</v>
      </c>
    </row>
    <row r="132" spans="1:10" hidden="1">
      <c r="A132" s="113" t="s">
        <v>47</v>
      </c>
      <c r="B132" s="833"/>
      <c r="C132" s="752"/>
      <c r="D132" s="48"/>
      <c r="E132" s="49">
        <v>7.27</v>
      </c>
      <c r="F132" s="49">
        <v>11.41</v>
      </c>
      <c r="G132" s="49">
        <v>13.52</v>
      </c>
      <c r="H132" s="49">
        <v>15.91</v>
      </c>
      <c r="I132" s="49" t="s">
        <v>88</v>
      </c>
      <c r="J132" s="49">
        <v>9</v>
      </c>
    </row>
    <row r="133" spans="1:10" hidden="1">
      <c r="A133" s="113" t="s">
        <v>48</v>
      </c>
      <c r="B133" s="833"/>
      <c r="C133" s="752"/>
      <c r="D133" s="48"/>
      <c r="E133" s="49">
        <v>8.4700000000000006</v>
      </c>
      <c r="F133" s="49">
        <v>10.98</v>
      </c>
      <c r="G133" s="49">
        <v>13.4</v>
      </c>
      <c r="H133" s="49">
        <v>15.91</v>
      </c>
      <c r="I133" s="49" t="s">
        <v>88</v>
      </c>
      <c r="J133" s="49">
        <v>9</v>
      </c>
    </row>
    <row r="134" spans="1:10" hidden="1">
      <c r="A134" s="113" t="s">
        <v>49</v>
      </c>
      <c r="B134" s="833"/>
      <c r="C134" s="752"/>
      <c r="D134" s="48"/>
      <c r="E134" s="49">
        <v>8.84</v>
      </c>
      <c r="F134" s="49">
        <v>10.65</v>
      </c>
      <c r="G134" s="49">
        <v>13.36</v>
      </c>
      <c r="H134" s="49">
        <v>15.91</v>
      </c>
      <c r="I134" s="49" t="s">
        <v>88</v>
      </c>
      <c r="J134" s="49">
        <v>9</v>
      </c>
    </row>
    <row r="135" spans="1:10" hidden="1">
      <c r="A135" s="113" t="s">
        <v>50</v>
      </c>
      <c r="B135" s="833"/>
      <c r="C135" s="752"/>
      <c r="D135" s="48"/>
      <c r="E135" s="49">
        <v>9.44</v>
      </c>
      <c r="F135" s="49">
        <v>10.53</v>
      </c>
      <c r="G135" s="49">
        <v>13.25</v>
      </c>
      <c r="H135" s="49">
        <v>15.91</v>
      </c>
      <c r="I135" s="49" t="s">
        <v>88</v>
      </c>
      <c r="J135" s="49">
        <v>9</v>
      </c>
    </row>
    <row r="136" spans="1:10" hidden="1">
      <c r="A136" s="142"/>
      <c r="B136" s="833"/>
      <c r="C136" s="752"/>
      <c r="D136" s="48"/>
      <c r="E136" s="49"/>
      <c r="F136" s="49"/>
      <c r="G136" s="49"/>
      <c r="H136" s="49"/>
      <c r="I136" s="49"/>
      <c r="J136" s="49"/>
    </row>
    <row r="137" spans="1:10" hidden="1">
      <c r="A137" s="113" t="s">
        <v>54</v>
      </c>
      <c r="B137" s="833"/>
      <c r="C137" s="752"/>
      <c r="D137" s="48"/>
      <c r="E137" s="49">
        <v>9.15</v>
      </c>
      <c r="F137" s="49">
        <v>10.42</v>
      </c>
      <c r="G137" s="49">
        <v>13.02</v>
      </c>
      <c r="H137" s="49">
        <v>15.91</v>
      </c>
      <c r="I137" s="49" t="s">
        <v>88</v>
      </c>
      <c r="J137" s="49">
        <v>9</v>
      </c>
    </row>
    <row r="138" spans="1:10" hidden="1">
      <c r="A138" s="113" t="s">
        <v>40</v>
      </c>
      <c r="B138" s="833"/>
      <c r="C138" s="752"/>
      <c r="D138" s="48"/>
      <c r="E138" s="49">
        <v>10.63</v>
      </c>
      <c r="F138" s="49">
        <v>9.98</v>
      </c>
      <c r="G138" s="49">
        <v>12.37</v>
      </c>
      <c r="H138" s="49">
        <v>15.91</v>
      </c>
      <c r="I138" s="49" t="s">
        <v>88</v>
      </c>
      <c r="J138" s="49">
        <v>9</v>
      </c>
    </row>
    <row r="139" spans="1:10" hidden="1">
      <c r="A139" s="113" t="s">
        <v>41</v>
      </c>
      <c r="B139" s="833"/>
      <c r="C139" s="752"/>
      <c r="D139" s="48"/>
      <c r="E139" s="49">
        <v>7.57</v>
      </c>
      <c r="F139" s="49">
        <v>9.85</v>
      </c>
      <c r="G139" s="49">
        <v>11.89</v>
      </c>
      <c r="H139" s="49">
        <v>15.91</v>
      </c>
      <c r="I139" s="49" t="s">
        <v>88</v>
      </c>
      <c r="J139" s="49">
        <v>9</v>
      </c>
    </row>
    <row r="140" spans="1:10" hidden="1">
      <c r="A140" s="113" t="s">
        <v>42</v>
      </c>
      <c r="B140" s="833"/>
      <c r="C140" s="752"/>
      <c r="D140" s="48"/>
      <c r="E140" s="49">
        <v>8.36</v>
      </c>
      <c r="F140" s="49">
        <v>9.48</v>
      </c>
      <c r="G140" s="49">
        <v>11.84</v>
      </c>
      <c r="H140" s="49">
        <v>15.47</v>
      </c>
      <c r="I140" s="49" t="s">
        <v>88</v>
      </c>
      <c r="J140" s="49">
        <v>9</v>
      </c>
    </row>
    <row r="141" spans="1:10" hidden="1">
      <c r="A141" s="113" t="s">
        <v>43</v>
      </c>
      <c r="B141" s="833"/>
      <c r="C141" s="752"/>
      <c r="D141" s="48"/>
      <c r="E141" s="49">
        <v>8.4</v>
      </c>
      <c r="F141" s="49">
        <v>9.14</v>
      </c>
      <c r="G141" s="49">
        <v>11.27</v>
      </c>
      <c r="H141" s="49">
        <v>15.47</v>
      </c>
      <c r="I141" s="49" t="s">
        <v>88</v>
      </c>
      <c r="J141" s="49">
        <v>9</v>
      </c>
    </row>
    <row r="142" spans="1:10" hidden="1">
      <c r="A142" s="113" t="s">
        <v>44</v>
      </c>
      <c r="B142" s="833"/>
      <c r="C142" s="752"/>
      <c r="D142" s="48"/>
      <c r="E142" s="49">
        <v>8.35</v>
      </c>
      <c r="F142" s="49">
        <v>8.92</v>
      </c>
      <c r="G142" s="49">
        <v>11.12</v>
      </c>
      <c r="H142" s="49">
        <v>15.47</v>
      </c>
      <c r="I142" s="49" t="s">
        <v>88</v>
      </c>
      <c r="J142" s="49">
        <v>9</v>
      </c>
    </row>
    <row r="143" spans="1:10" hidden="1">
      <c r="A143" s="113" t="s">
        <v>45</v>
      </c>
      <c r="B143" s="833"/>
      <c r="C143" s="752"/>
      <c r="D143" s="48"/>
      <c r="E143" s="49">
        <v>7.89</v>
      </c>
      <c r="F143" s="49">
        <v>8.76</v>
      </c>
      <c r="G143" s="49">
        <v>11.07</v>
      </c>
      <c r="H143" s="49">
        <v>15.47</v>
      </c>
      <c r="I143" s="49" t="s">
        <v>88</v>
      </c>
      <c r="J143" s="49">
        <v>9</v>
      </c>
    </row>
    <row r="144" spans="1:10" hidden="1">
      <c r="A144" s="113" t="s">
        <v>46</v>
      </c>
      <c r="B144" s="833"/>
      <c r="C144" s="752"/>
      <c r="D144" s="48"/>
      <c r="E144" s="49">
        <v>7.51</v>
      </c>
      <c r="F144" s="49">
        <v>8.83</v>
      </c>
      <c r="G144" s="49">
        <v>11.01</v>
      </c>
      <c r="H144" s="49">
        <v>15.47</v>
      </c>
      <c r="I144" s="49" t="s">
        <v>88</v>
      </c>
      <c r="J144" s="49">
        <v>9</v>
      </c>
    </row>
    <row r="145" spans="1:10" hidden="1">
      <c r="A145" s="113" t="s">
        <v>47</v>
      </c>
      <c r="B145" s="833"/>
      <c r="C145" s="752"/>
      <c r="D145" s="48"/>
      <c r="E145" s="49">
        <v>6.94</v>
      </c>
      <c r="F145" s="49">
        <v>8.91</v>
      </c>
      <c r="G145" s="49">
        <v>10.96</v>
      </c>
      <c r="H145" s="49">
        <v>15.47</v>
      </c>
      <c r="I145" s="49" t="s">
        <v>88</v>
      </c>
      <c r="J145" s="49">
        <v>9</v>
      </c>
    </row>
    <row r="146" spans="1:10" hidden="1">
      <c r="A146" s="113" t="s">
        <v>48</v>
      </c>
      <c r="B146" s="833"/>
      <c r="C146" s="752"/>
      <c r="D146" s="48"/>
      <c r="E146" s="49">
        <v>5.66</v>
      </c>
      <c r="F146" s="49">
        <v>8.17</v>
      </c>
      <c r="G146" s="49">
        <v>10.6</v>
      </c>
      <c r="H146" s="49">
        <v>15.47</v>
      </c>
      <c r="I146" s="49" t="s">
        <v>88</v>
      </c>
      <c r="J146" s="49">
        <v>9</v>
      </c>
    </row>
    <row r="147" spans="1:10" hidden="1">
      <c r="A147" s="113" t="s">
        <v>49</v>
      </c>
      <c r="B147" s="833"/>
      <c r="C147" s="752"/>
      <c r="D147" s="48"/>
      <c r="E147" s="49">
        <v>4.3899999999999997</v>
      </c>
      <c r="F147" s="49">
        <v>7.29</v>
      </c>
      <c r="G147" s="49">
        <v>10.44</v>
      </c>
      <c r="H147" s="49">
        <v>15.47</v>
      </c>
      <c r="I147" s="49" t="s">
        <v>88</v>
      </c>
      <c r="J147" s="49">
        <v>9</v>
      </c>
    </row>
    <row r="148" spans="1:10" hidden="1">
      <c r="A148" s="113" t="s">
        <v>50</v>
      </c>
      <c r="B148" s="833"/>
      <c r="C148" s="752"/>
      <c r="D148" s="48"/>
      <c r="E148" s="49">
        <v>4.3499999999999996</v>
      </c>
      <c r="F148" s="49">
        <v>6.75</v>
      </c>
      <c r="G148" s="49">
        <v>10.199999999999999</v>
      </c>
      <c r="H148" s="49">
        <v>15.47</v>
      </c>
      <c r="I148" s="49" t="s">
        <v>88</v>
      </c>
      <c r="J148" s="49">
        <v>9</v>
      </c>
    </row>
    <row r="149" spans="1:10" hidden="1">
      <c r="A149" s="113"/>
      <c r="B149" s="833"/>
      <c r="C149" s="752"/>
      <c r="D149" s="48"/>
      <c r="E149" s="49"/>
      <c r="F149" s="49"/>
      <c r="G149" s="49"/>
      <c r="H149" s="49"/>
      <c r="I149" s="49"/>
      <c r="J149" s="49"/>
    </row>
    <row r="150" spans="1:10" hidden="1">
      <c r="A150" s="113" t="s">
        <v>51</v>
      </c>
      <c r="B150" s="833"/>
      <c r="C150" s="752"/>
      <c r="D150" s="48"/>
      <c r="E150" s="49">
        <v>6.52</v>
      </c>
      <c r="F150" s="49">
        <v>6.51</v>
      </c>
      <c r="G150" s="49">
        <v>10.17</v>
      </c>
      <c r="H150" s="49">
        <v>15.55</v>
      </c>
      <c r="I150" s="49" t="s">
        <v>88</v>
      </c>
      <c r="J150" s="49">
        <v>9</v>
      </c>
    </row>
    <row r="151" spans="1:10" hidden="1">
      <c r="A151" s="113" t="s">
        <v>52</v>
      </c>
      <c r="B151" s="833"/>
      <c r="C151" s="752"/>
      <c r="D151" s="48"/>
      <c r="E151" s="49">
        <v>5.8</v>
      </c>
      <c r="F151" s="49">
        <v>6.25</v>
      </c>
      <c r="G151" s="49">
        <v>10</v>
      </c>
      <c r="H151" s="49">
        <v>15.55</v>
      </c>
      <c r="I151" s="49" t="s">
        <v>88</v>
      </c>
      <c r="J151" s="49">
        <v>9</v>
      </c>
    </row>
    <row r="152" spans="1:10" hidden="1">
      <c r="A152" s="113" t="s">
        <v>53</v>
      </c>
      <c r="B152" s="833"/>
      <c r="C152" s="752"/>
      <c r="D152" s="48"/>
      <c r="E152" s="49">
        <v>5.47</v>
      </c>
      <c r="F152" s="49">
        <v>6.13</v>
      </c>
      <c r="G152" s="49">
        <v>9.65</v>
      </c>
      <c r="H152" s="49">
        <v>15.55</v>
      </c>
      <c r="I152" s="49" t="s">
        <v>88</v>
      </c>
      <c r="J152" s="49">
        <v>9</v>
      </c>
    </row>
    <row r="153" spans="1:10" hidden="1">
      <c r="A153" s="113" t="s">
        <v>603</v>
      </c>
      <c r="B153" s="833"/>
      <c r="C153" s="752"/>
      <c r="D153" s="48"/>
      <c r="E153" s="49">
        <v>5.33</v>
      </c>
      <c r="F153" s="49">
        <v>6.49</v>
      </c>
      <c r="G153" s="49">
        <v>9.06</v>
      </c>
      <c r="H153" s="49">
        <v>15.55</v>
      </c>
      <c r="I153" s="49" t="s">
        <v>88</v>
      </c>
      <c r="J153" s="49">
        <v>9</v>
      </c>
    </row>
    <row r="154" spans="1:10" hidden="1">
      <c r="A154" s="113" t="s">
        <v>609</v>
      </c>
      <c r="B154" s="833"/>
      <c r="C154" s="752"/>
      <c r="D154" s="48"/>
      <c r="E154" s="49">
        <v>7.82</v>
      </c>
      <c r="F154" s="49">
        <v>7.25</v>
      </c>
      <c r="G154" s="49">
        <v>9.3000000000000007</v>
      </c>
      <c r="H154" s="49">
        <v>14.44</v>
      </c>
      <c r="I154" s="49" t="s">
        <v>88</v>
      </c>
      <c r="J154" s="49">
        <v>9</v>
      </c>
    </row>
    <row r="155" spans="1:10" hidden="1">
      <c r="A155" s="113" t="s">
        <v>44</v>
      </c>
      <c r="B155" s="833"/>
      <c r="C155" s="752"/>
      <c r="D155" s="48"/>
      <c r="E155" s="49">
        <v>9.57</v>
      </c>
      <c r="F155" s="49">
        <v>9.68</v>
      </c>
      <c r="G155" s="49">
        <v>9.3800000000000008</v>
      </c>
      <c r="H155" s="49">
        <v>14.44</v>
      </c>
      <c r="I155" s="49" t="s">
        <v>88</v>
      </c>
      <c r="J155" s="49">
        <v>9</v>
      </c>
    </row>
    <row r="156" spans="1:10" hidden="1">
      <c r="A156" s="113" t="s">
        <v>618</v>
      </c>
      <c r="B156" s="833"/>
      <c r="C156" s="752"/>
      <c r="D156" s="48"/>
      <c r="E156" s="49">
        <v>11.48</v>
      </c>
      <c r="F156" s="49">
        <v>10.07</v>
      </c>
      <c r="G156" s="49">
        <v>9.44</v>
      </c>
      <c r="H156" s="49">
        <v>14.61</v>
      </c>
      <c r="I156" s="49" t="s">
        <v>88</v>
      </c>
      <c r="J156" s="49" t="s">
        <v>88</v>
      </c>
    </row>
    <row r="157" spans="1:10" hidden="1">
      <c r="A157" s="113" t="s">
        <v>621</v>
      </c>
      <c r="B157" s="833"/>
      <c r="C157" s="752"/>
      <c r="D157" s="48"/>
      <c r="E157" s="49">
        <v>12.15</v>
      </c>
      <c r="F157" s="49">
        <v>10.89</v>
      </c>
      <c r="G157" s="49">
        <v>9.6</v>
      </c>
      <c r="H157" s="49">
        <v>14.61</v>
      </c>
      <c r="I157" s="49" t="s">
        <v>88</v>
      </c>
      <c r="J157" s="49" t="s">
        <v>88</v>
      </c>
    </row>
    <row r="158" spans="1:10" hidden="1">
      <c r="A158" s="113" t="s">
        <v>47</v>
      </c>
      <c r="B158" s="833"/>
      <c r="C158" s="752"/>
      <c r="D158" s="48"/>
      <c r="E158" s="49">
        <v>12.59</v>
      </c>
      <c r="F158" s="49">
        <v>11.78</v>
      </c>
      <c r="G158" s="49">
        <v>9.98</v>
      </c>
      <c r="H158" s="49">
        <v>14.61</v>
      </c>
      <c r="I158" s="49" t="s">
        <v>88</v>
      </c>
      <c r="J158" s="49" t="s">
        <v>88</v>
      </c>
    </row>
    <row r="159" spans="1:10" hidden="1">
      <c r="A159" s="113" t="s">
        <v>631</v>
      </c>
      <c r="B159" s="833"/>
      <c r="C159" s="752"/>
      <c r="D159" s="48"/>
      <c r="E159" s="49">
        <v>12.31</v>
      </c>
      <c r="F159" s="49">
        <v>13</v>
      </c>
      <c r="G159" s="49">
        <v>10.96</v>
      </c>
      <c r="H159" s="49">
        <v>14.61</v>
      </c>
      <c r="I159" s="49" t="s">
        <v>88</v>
      </c>
      <c r="J159" s="49" t="s">
        <v>88</v>
      </c>
    </row>
    <row r="160" spans="1:10" hidden="1">
      <c r="A160" s="113" t="s">
        <v>654</v>
      </c>
      <c r="B160" s="833"/>
      <c r="C160" s="752"/>
      <c r="D160" s="48"/>
      <c r="E160" s="49">
        <v>11.61</v>
      </c>
      <c r="F160" s="49">
        <v>12.99</v>
      </c>
      <c r="G160" s="49">
        <v>11.5</v>
      </c>
      <c r="H160" s="49">
        <v>14.61</v>
      </c>
      <c r="I160" s="49" t="s">
        <v>88</v>
      </c>
      <c r="J160" s="49" t="s">
        <v>88</v>
      </c>
    </row>
    <row r="161" spans="1:10" hidden="1">
      <c r="A161" s="113" t="s">
        <v>665</v>
      </c>
      <c r="B161" s="833"/>
      <c r="C161" s="752"/>
      <c r="D161" s="48"/>
      <c r="E161" s="49">
        <v>8.5299999999999994</v>
      </c>
      <c r="F161" s="49">
        <v>11.45</v>
      </c>
      <c r="G161" s="49">
        <v>11.29</v>
      </c>
      <c r="H161" s="49">
        <v>14.52</v>
      </c>
      <c r="I161" s="49">
        <v>13</v>
      </c>
      <c r="J161" s="49" t="s">
        <v>88</v>
      </c>
    </row>
    <row r="162" spans="1:10" hidden="1">
      <c r="A162" s="113"/>
      <c r="B162" s="833"/>
      <c r="C162" s="752"/>
      <c r="D162" s="48"/>
      <c r="E162" s="49"/>
      <c r="F162" s="49"/>
      <c r="G162" s="49"/>
      <c r="H162" s="49"/>
      <c r="I162" s="49"/>
      <c r="J162" s="49"/>
    </row>
    <row r="163" spans="1:10" hidden="1">
      <c r="A163" s="113" t="s">
        <v>39</v>
      </c>
      <c r="B163" s="833"/>
      <c r="C163" s="752"/>
      <c r="D163" s="48"/>
      <c r="E163" s="49">
        <v>7.33</v>
      </c>
      <c r="F163" s="49">
        <v>10.52</v>
      </c>
      <c r="G163" s="49">
        <v>11.11</v>
      </c>
      <c r="H163" s="49">
        <v>14.52</v>
      </c>
      <c r="I163" s="49">
        <v>13</v>
      </c>
      <c r="J163" s="49" t="s">
        <v>88</v>
      </c>
    </row>
    <row r="164" spans="1:10" hidden="1">
      <c r="A164" s="113" t="s">
        <v>677</v>
      </c>
      <c r="B164" s="833"/>
      <c r="C164" s="752"/>
      <c r="D164" s="48"/>
      <c r="E164" s="49">
        <v>6.69</v>
      </c>
      <c r="F164" s="49">
        <v>9.6</v>
      </c>
      <c r="G164" s="49">
        <v>11.12</v>
      </c>
      <c r="H164" s="49">
        <v>14.52</v>
      </c>
      <c r="I164" s="49">
        <v>13</v>
      </c>
      <c r="J164" s="49" t="s">
        <v>88</v>
      </c>
    </row>
    <row r="165" spans="1:10" hidden="1">
      <c r="A165" s="113" t="s">
        <v>65</v>
      </c>
      <c r="B165" s="833"/>
      <c r="C165" s="752"/>
      <c r="D165" s="48"/>
      <c r="E165" s="49">
        <v>6.45</v>
      </c>
      <c r="F165" s="49">
        <v>8.6300000000000008</v>
      </c>
      <c r="G165" s="49">
        <v>11.21</v>
      </c>
      <c r="H165" s="49">
        <v>14.52</v>
      </c>
      <c r="I165" s="49">
        <v>13</v>
      </c>
      <c r="J165" s="49" t="s">
        <v>88</v>
      </c>
    </row>
    <row r="166" spans="1:10" hidden="1">
      <c r="A166" s="113" t="s">
        <v>692</v>
      </c>
      <c r="B166" s="833"/>
      <c r="C166" s="752"/>
      <c r="D166" s="48"/>
      <c r="E166" s="49">
        <v>6.5</v>
      </c>
      <c r="F166" s="49">
        <v>7.99</v>
      </c>
      <c r="G166" s="49">
        <v>11.34</v>
      </c>
      <c r="H166" s="49">
        <v>14.33</v>
      </c>
      <c r="I166" s="49">
        <v>13</v>
      </c>
      <c r="J166" s="49" t="s">
        <v>88</v>
      </c>
    </row>
    <row r="167" spans="1:10" hidden="1">
      <c r="A167" s="113" t="s">
        <v>700</v>
      </c>
      <c r="B167" s="833"/>
      <c r="C167" s="752"/>
      <c r="D167" s="48"/>
      <c r="E167" s="49">
        <v>6.55</v>
      </c>
      <c r="F167" s="49">
        <v>7.51</v>
      </c>
      <c r="G167" s="49">
        <v>10.91</v>
      </c>
      <c r="H167" s="49">
        <v>14.33</v>
      </c>
      <c r="I167" s="49">
        <v>13</v>
      </c>
      <c r="J167" s="49" t="s">
        <v>88</v>
      </c>
    </row>
    <row r="168" spans="1:10" ht="15" hidden="1" customHeight="1">
      <c r="A168" s="113" t="s">
        <v>711</v>
      </c>
      <c r="B168" s="834"/>
      <c r="C168" s="518"/>
      <c r="D168" s="53"/>
      <c r="E168" s="49">
        <v>6.49</v>
      </c>
      <c r="F168" s="49">
        <v>7.57</v>
      </c>
      <c r="G168" s="49">
        <v>10.49</v>
      </c>
      <c r="H168" s="49">
        <v>14.33</v>
      </c>
      <c r="I168" s="49">
        <v>13</v>
      </c>
      <c r="J168" s="49" t="s">
        <v>88</v>
      </c>
    </row>
    <row r="169" spans="1:10" ht="15" customHeight="1">
      <c r="A169" s="113" t="s">
        <v>730</v>
      </c>
      <c r="B169" s="54"/>
      <c r="C169" s="533"/>
      <c r="D169" s="50"/>
      <c r="E169" s="49">
        <v>6.28</v>
      </c>
      <c r="F169" s="49">
        <v>7.54</v>
      </c>
      <c r="G169" s="49">
        <v>10.199999999999999</v>
      </c>
      <c r="H169" s="49">
        <v>14.33</v>
      </c>
      <c r="I169" s="49">
        <v>13</v>
      </c>
      <c r="J169" s="49" t="s">
        <v>88</v>
      </c>
    </row>
    <row r="170" spans="1:10" ht="15" customHeight="1">
      <c r="A170" s="113" t="s">
        <v>46</v>
      </c>
      <c r="B170" s="54"/>
      <c r="C170" s="533"/>
      <c r="D170" s="50"/>
      <c r="E170" s="49">
        <v>5.67</v>
      </c>
      <c r="F170" s="49">
        <v>7.42</v>
      </c>
      <c r="G170" s="49">
        <v>9.89</v>
      </c>
      <c r="H170" s="49">
        <v>14.33</v>
      </c>
      <c r="I170" s="49">
        <v>13</v>
      </c>
      <c r="J170" s="49" t="s">
        <v>88</v>
      </c>
    </row>
    <row r="171" spans="1:10" ht="15" customHeight="1">
      <c r="A171" s="113" t="s">
        <v>47</v>
      </c>
      <c r="B171" s="54"/>
      <c r="C171" s="533"/>
      <c r="D171" s="50"/>
      <c r="E171" s="49">
        <v>5.14</v>
      </c>
      <c r="F171" s="49">
        <v>7.1</v>
      </c>
      <c r="G171" s="49">
        <v>9.42</v>
      </c>
      <c r="H171" s="49">
        <v>13.56</v>
      </c>
      <c r="I171" s="49">
        <v>13</v>
      </c>
      <c r="J171" s="49" t="s">
        <v>88</v>
      </c>
    </row>
    <row r="172" spans="1:10" ht="15" customHeight="1">
      <c r="A172" s="113" t="s">
        <v>48</v>
      </c>
      <c r="B172" s="54"/>
      <c r="C172" s="533"/>
      <c r="D172" s="50"/>
      <c r="E172" s="49">
        <v>4.72</v>
      </c>
      <c r="F172" s="49">
        <v>6.89</v>
      </c>
      <c r="G172" s="49">
        <v>8.75</v>
      </c>
      <c r="H172" s="49">
        <v>13.17</v>
      </c>
      <c r="I172" s="49">
        <v>11.85</v>
      </c>
      <c r="J172" s="49" t="s">
        <v>88</v>
      </c>
    </row>
    <row r="173" spans="1:10" ht="15" customHeight="1">
      <c r="A173" s="113" t="s">
        <v>49</v>
      </c>
      <c r="B173" s="54"/>
      <c r="C173" s="533"/>
      <c r="D173" s="50"/>
      <c r="E173" s="49">
        <v>4.5</v>
      </c>
      <c r="F173" s="49">
        <v>6.59</v>
      </c>
      <c r="G173" s="49">
        <v>7.97</v>
      </c>
      <c r="H173" s="49">
        <v>12.44</v>
      </c>
      <c r="I173" s="49">
        <v>11.39</v>
      </c>
      <c r="J173" s="49" t="s">
        <v>88</v>
      </c>
    </row>
    <row r="174" spans="1:10" ht="15" customHeight="1">
      <c r="A174" s="113" t="s">
        <v>50</v>
      </c>
      <c r="B174" s="54"/>
      <c r="C174" s="533"/>
      <c r="D174" s="50"/>
      <c r="E174" s="49">
        <v>4.53</v>
      </c>
      <c r="F174" s="49">
        <v>5.94</v>
      </c>
      <c r="G174" s="49">
        <v>7.79</v>
      </c>
      <c r="H174" s="49">
        <v>12.75</v>
      </c>
      <c r="I174" s="49">
        <v>11.21</v>
      </c>
      <c r="J174" s="49" t="s">
        <v>88</v>
      </c>
    </row>
    <row r="175" spans="1:10" ht="15" customHeight="1">
      <c r="A175" s="724"/>
      <c r="B175" s="54"/>
      <c r="C175" s="533"/>
      <c r="D175" s="50"/>
      <c r="E175" s="49"/>
      <c r="F175" s="49"/>
      <c r="G175" s="49"/>
      <c r="H175" s="49"/>
      <c r="I175" s="49"/>
      <c r="J175" s="49"/>
    </row>
    <row r="176" spans="1:10" ht="15" customHeight="1">
      <c r="A176" s="113" t="s">
        <v>36</v>
      </c>
      <c r="B176" s="54"/>
      <c r="C176" s="533"/>
      <c r="D176" s="50"/>
      <c r="E176" s="49">
        <v>4.7</v>
      </c>
      <c r="F176" s="49">
        <v>5.67</v>
      </c>
      <c r="G176" s="49">
        <v>7.72</v>
      </c>
      <c r="H176" s="49">
        <v>12.66</v>
      </c>
      <c r="I176" s="49">
        <v>11.29</v>
      </c>
      <c r="J176" s="49" t="s">
        <v>88</v>
      </c>
    </row>
    <row r="177" spans="1:10" ht="15" customHeight="1">
      <c r="A177" s="113" t="s">
        <v>37</v>
      </c>
      <c r="B177" s="54"/>
      <c r="C177" s="533"/>
      <c r="D177" s="50"/>
      <c r="E177" s="49">
        <v>4.97</v>
      </c>
      <c r="F177" s="49">
        <v>5.63</v>
      </c>
      <c r="G177" s="49">
        <v>7.64</v>
      </c>
      <c r="H177" s="49">
        <v>12.41</v>
      </c>
      <c r="I177" s="49">
        <v>11.35</v>
      </c>
      <c r="J177" s="49" t="s">
        <v>88</v>
      </c>
    </row>
    <row r="178" spans="1:10" ht="15" customHeight="1">
      <c r="A178" s="113" t="s">
        <v>38</v>
      </c>
      <c r="B178" s="54"/>
      <c r="C178" s="533"/>
      <c r="D178" s="50"/>
      <c r="E178" s="49">
        <v>5.45</v>
      </c>
      <c r="F178" s="49">
        <v>5.73</v>
      </c>
      <c r="G178" s="49">
        <v>7.5</v>
      </c>
      <c r="H178" s="49">
        <v>12.2</v>
      </c>
      <c r="I178" s="49">
        <v>10.26</v>
      </c>
      <c r="J178" s="49" t="s">
        <v>88</v>
      </c>
    </row>
    <row r="179" spans="1:10" ht="15" customHeight="1">
      <c r="A179" s="113" t="s">
        <v>42</v>
      </c>
      <c r="B179" s="54"/>
      <c r="C179" s="533"/>
      <c r="D179" s="50"/>
      <c r="E179" s="49">
        <v>5.56</v>
      </c>
      <c r="F179" s="49">
        <v>5.73</v>
      </c>
      <c r="G179" s="49">
        <v>7.28</v>
      </c>
      <c r="H179" s="49">
        <v>11.96</v>
      </c>
      <c r="I179" s="49">
        <v>11.57</v>
      </c>
      <c r="J179" s="49" t="s">
        <v>88</v>
      </c>
    </row>
    <row r="180" spans="1:10" ht="15" customHeight="1">
      <c r="A180" s="113" t="s">
        <v>608</v>
      </c>
      <c r="B180" s="54"/>
      <c r="C180" s="533"/>
      <c r="D180" s="50"/>
      <c r="E180" s="49">
        <v>5.26</v>
      </c>
      <c r="F180" s="49">
        <v>5.79</v>
      </c>
      <c r="G180" s="49">
        <v>7.08</v>
      </c>
      <c r="H180" s="49">
        <v>11.66</v>
      </c>
      <c r="I180" s="49">
        <v>11.79</v>
      </c>
      <c r="J180" s="49">
        <v>14</v>
      </c>
    </row>
    <row r="181" spans="1:10" ht="15" customHeight="1">
      <c r="A181" s="113" t="s">
        <v>613</v>
      </c>
      <c r="B181" s="54"/>
      <c r="C181" s="533"/>
      <c r="D181" s="50"/>
      <c r="E181" s="49">
        <v>4.46</v>
      </c>
      <c r="F181" s="49">
        <v>5.86</v>
      </c>
      <c r="G181" s="49">
        <v>6.7</v>
      </c>
      <c r="H181" s="49">
        <v>11.56</v>
      </c>
      <c r="I181" s="49">
        <v>11.88</v>
      </c>
      <c r="J181" s="49">
        <v>14</v>
      </c>
    </row>
    <row r="182" spans="1:10" ht="15" customHeight="1">
      <c r="A182" s="113" t="s">
        <v>616</v>
      </c>
      <c r="B182" s="54"/>
      <c r="C182" s="533"/>
      <c r="D182" s="50"/>
      <c r="E182" s="49">
        <v>4.07</v>
      </c>
      <c r="F182" s="49">
        <v>5.68</v>
      </c>
      <c r="G182" s="49">
        <v>6.41</v>
      </c>
      <c r="H182" s="49">
        <v>11.37</v>
      </c>
      <c r="I182" s="49">
        <v>11.89</v>
      </c>
      <c r="J182" s="49">
        <v>14</v>
      </c>
    </row>
    <row r="183" spans="1:10" ht="15" customHeight="1">
      <c r="A183" s="113" t="s">
        <v>622</v>
      </c>
      <c r="B183" s="54"/>
      <c r="C183" s="533"/>
      <c r="D183" s="50"/>
      <c r="E183" s="49">
        <v>4.3</v>
      </c>
      <c r="F183" s="50">
        <v>5.48</v>
      </c>
      <c r="G183" s="49">
        <v>6.21</v>
      </c>
      <c r="H183" s="802">
        <v>11.27</v>
      </c>
      <c r="I183" s="802">
        <v>11.9</v>
      </c>
      <c r="J183" s="51">
        <v>14</v>
      </c>
    </row>
    <row r="184" spans="1:10" ht="15" customHeight="1">
      <c r="A184" s="113" t="s">
        <v>626</v>
      </c>
      <c r="B184" s="54"/>
      <c r="C184" s="533"/>
      <c r="D184" s="50"/>
      <c r="E184" s="916">
        <v>4.6100000000000003</v>
      </c>
      <c r="F184" s="917">
        <v>5.12</v>
      </c>
      <c r="G184" s="916">
        <v>6.15</v>
      </c>
      <c r="H184" s="918">
        <v>11.56</v>
      </c>
      <c r="I184" s="918">
        <v>11.88</v>
      </c>
      <c r="J184" s="919">
        <v>14</v>
      </c>
    </row>
    <row r="185" spans="1:10" ht="15" customHeight="1">
      <c r="A185" s="113" t="s">
        <v>633</v>
      </c>
      <c r="B185" s="54"/>
      <c r="C185" s="533"/>
      <c r="D185" s="50"/>
      <c r="E185" s="916">
        <v>4.8499999999999996</v>
      </c>
      <c r="F185" s="917">
        <v>5.15</v>
      </c>
      <c r="G185" s="916">
        <v>6.16</v>
      </c>
      <c r="H185" s="918">
        <v>11.29</v>
      </c>
      <c r="I185" s="918">
        <v>11.92</v>
      </c>
      <c r="J185" s="919">
        <v>14</v>
      </c>
    </row>
    <row r="186" spans="1:10" ht="15" customHeight="1">
      <c r="A186" s="113" t="s">
        <v>655</v>
      </c>
      <c r="B186" s="54"/>
      <c r="C186" s="533"/>
      <c r="D186" s="50"/>
      <c r="E186" s="916">
        <v>5.13</v>
      </c>
      <c r="F186" s="917">
        <v>5.27</v>
      </c>
      <c r="G186" s="916">
        <v>6.26</v>
      </c>
      <c r="H186" s="918">
        <v>11.28</v>
      </c>
      <c r="I186" s="918">
        <v>11.93</v>
      </c>
      <c r="J186" s="919">
        <v>14</v>
      </c>
    </row>
    <row r="187" spans="1:10" ht="15" customHeight="1">
      <c r="A187" s="113" t="s">
        <v>662</v>
      </c>
      <c r="B187" s="54"/>
      <c r="C187" s="533"/>
      <c r="D187" s="50"/>
      <c r="E187" s="916">
        <v>5.12</v>
      </c>
      <c r="F187" s="917">
        <v>5.42</v>
      </c>
      <c r="G187" s="916">
        <v>6.27</v>
      </c>
      <c r="H187" s="918">
        <v>11.22</v>
      </c>
      <c r="I187" s="918">
        <v>12.03</v>
      </c>
      <c r="J187" s="919">
        <v>14.26</v>
      </c>
    </row>
    <row r="188" spans="1:10" ht="15" customHeight="1">
      <c r="A188" s="113"/>
      <c r="B188" s="54"/>
      <c r="C188" s="533"/>
      <c r="D188" s="50"/>
      <c r="E188" s="916"/>
      <c r="F188" s="917"/>
      <c r="G188" s="916"/>
      <c r="H188" s="918"/>
      <c r="I188" s="918"/>
      <c r="J188" s="919"/>
    </row>
    <row r="189" spans="1:10" ht="15" customHeight="1">
      <c r="A189" s="113" t="s">
        <v>671</v>
      </c>
      <c r="B189" s="54"/>
      <c r="C189" s="533"/>
      <c r="D189" s="50"/>
      <c r="E189" s="916">
        <v>4.91</v>
      </c>
      <c r="F189" s="917">
        <v>5.49</v>
      </c>
      <c r="G189" s="916">
        <v>6.13</v>
      </c>
      <c r="H189" s="918">
        <v>11.14</v>
      </c>
      <c r="I189" s="918">
        <v>11.93</v>
      </c>
      <c r="J189" s="919">
        <v>14.2</v>
      </c>
    </row>
    <row r="190" spans="1:10" ht="15" customHeight="1">
      <c r="A190" s="113" t="s">
        <v>676</v>
      </c>
      <c r="B190" s="54"/>
      <c r="C190" s="533"/>
      <c r="D190" s="50"/>
      <c r="E190" s="49">
        <v>4.12</v>
      </c>
      <c r="F190" s="50">
        <v>5.43</v>
      </c>
      <c r="G190" s="49">
        <v>5.93</v>
      </c>
      <c r="H190" s="802">
        <v>11.05</v>
      </c>
      <c r="I190" s="802">
        <v>11.85</v>
      </c>
      <c r="J190" s="51">
        <v>14.12</v>
      </c>
    </row>
    <row r="191" spans="1:10" ht="15" customHeight="1">
      <c r="A191" s="113" t="s">
        <v>683</v>
      </c>
      <c r="B191" s="54"/>
      <c r="C191" s="533"/>
      <c r="D191" s="50"/>
      <c r="E191" s="49">
        <v>3.92</v>
      </c>
      <c r="F191" s="50">
        <v>5.15</v>
      </c>
      <c r="G191" s="49">
        <v>5.57</v>
      </c>
      <c r="H191" s="802">
        <v>10.98</v>
      </c>
      <c r="I191" s="802">
        <v>11.73</v>
      </c>
      <c r="J191" s="51">
        <v>13.96</v>
      </c>
    </row>
    <row r="192" spans="1:10" ht="15" customHeight="1">
      <c r="A192" s="113" t="s">
        <v>42</v>
      </c>
      <c r="B192" s="54"/>
      <c r="C192" s="533"/>
      <c r="D192" s="50"/>
      <c r="E192" s="49">
        <v>3.63</v>
      </c>
      <c r="F192" s="50">
        <v>4.6900000000000004</v>
      </c>
      <c r="G192" s="49">
        <v>5.48</v>
      </c>
      <c r="H192" s="802">
        <v>10.59</v>
      </c>
      <c r="I192" s="802">
        <v>11.72</v>
      </c>
      <c r="J192" s="51">
        <v>13.77</v>
      </c>
    </row>
    <row r="193" spans="1:10" ht="15" customHeight="1">
      <c r="A193" s="113" t="s">
        <v>43</v>
      </c>
      <c r="B193" s="54"/>
      <c r="C193" s="533"/>
      <c r="D193" s="50"/>
      <c r="E193" s="49">
        <v>3.11</v>
      </c>
      <c r="F193" s="50">
        <v>4.29</v>
      </c>
      <c r="G193" s="49">
        <v>5.45</v>
      </c>
      <c r="H193" s="802">
        <v>10.5</v>
      </c>
      <c r="I193" s="802">
        <v>11.56</v>
      </c>
      <c r="J193" s="51">
        <v>13.32</v>
      </c>
    </row>
    <row r="194" spans="1:10" s="1051" customFormat="1" ht="15" customHeight="1">
      <c r="A194" s="1059" t="s">
        <v>44</v>
      </c>
      <c r="B194" s="54"/>
      <c r="C194" s="533"/>
      <c r="D194" s="50"/>
      <c r="E194" s="49">
        <v>2.5299999999999998</v>
      </c>
      <c r="F194" s="50">
        <v>3.61</v>
      </c>
      <c r="G194" s="49">
        <v>5.32</v>
      </c>
      <c r="H194" s="802">
        <v>10.36</v>
      </c>
      <c r="I194" s="802">
        <v>11.41</v>
      </c>
      <c r="J194" s="51">
        <v>13.13</v>
      </c>
    </row>
    <row r="195" spans="1:10" s="1051" customFormat="1" ht="15" customHeight="1">
      <c r="A195" s="1059" t="s">
        <v>619</v>
      </c>
      <c r="B195" s="54"/>
      <c r="C195" s="533"/>
      <c r="D195" s="50"/>
      <c r="E195" s="49">
        <v>2.21</v>
      </c>
      <c r="F195" s="50">
        <v>3.34</v>
      </c>
      <c r="G195" s="49">
        <v>5.24</v>
      </c>
      <c r="H195" s="802">
        <v>10.29</v>
      </c>
      <c r="I195" s="802">
        <v>11.38</v>
      </c>
      <c r="J195" s="51">
        <v>13.11</v>
      </c>
    </row>
    <row r="196" spans="1:10" ht="15" customHeight="1">
      <c r="A196" s="835"/>
      <c r="B196" s="54"/>
      <c r="C196" s="533"/>
      <c r="D196" s="50"/>
      <c r="E196" s="52"/>
      <c r="F196" s="52"/>
      <c r="G196" s="52"/>
      <c r="H196" s="52"/>
      <c r="I196" s="52"/>
      <c r="J196" s="52"/>
    </row>
    <row r="197" spans="1:10">
      <c r="A197" s="754"/>
      <c r="B197" s="12"/>
      <c r="C197" s="516"/>
      <c r="D197" s="55"/>
      <c r="E197" s="67"/>
      <c r="F197" s="67"/>
      <c r="G197" s="96"/>
      <c r="H197" s="96"/>
      <c r="I197" s="96"/>
      <c r="J197" s="98"/>
    </row>
    <row r="198" spans="1:10" hidden="1">
      <c r="A198" s="755"/>
      <c r="B198" s="56"/>
      <c r="C198" s="104"/>
      <c r="D198" s="41"/>
      <c r="E198" s="638"/>
      <c r="F198" s="638"/>
      <c r="G198" s="104"/>
      <c r="H198" s="104"/>
      <c r="I198" s="104"/>
      <c r="J198" s="122"/>
    </row>
    <row r="199" spans="1:10">
      <c r="A199" s="755" t="s">
        <v>90</v>
      </c>
      <c r="B199" s="56"/>
      <c r="C199" s="104"/>
      <c r="D199" s="41"/>
      <c r="E199" s="638"/>
      <c r="F199" s="777"/>
      <c r="G199" s="104"/>
      <c r="H199" s="104"/>
      <c r="I199" s="104"/>
      <c r="J199" s="122"/>
    </row>
    <row r="200" spans="1:10">
      <c r="A200" s="566"/>
      <c r="E200" s="566"/>
      <c r="F200" s="566"/>
    </row>
    <row r="201" spans="1:10">
      <c r="A201" s="566"/>
      <c r="E201" s="566"/>
      <c r="F201" s="566"/>
    </row>
    <row r="202" spans="1:10">
      <c r="A202" s="566"/>
      <c r="B202" s="35"/>
      <c r="C202" s="566"/>
      <c r="D202" s="33"/>
      <c r="E202" s="566"/>
      <c r="F202" s="566"/>
    </row>
    <row r="203" spans="1:10">
      <c r="A203" s="566"/>
      <c r="B203" s="35"/>
      <c r="C203" s="566"/>
      <c r="D203" s="33"/>
      <c r="E203" s="566"/>
      <c r="F203" s="566"/>
    </row>
  </sheetData>
  <mergeCells count="6">
    <mergeCell ref="B5:D5"/>
    <mergeCell ref="E5:G5"/>
    <mergeCell ref="H5:J5"/>
    <mergeCell ref="H6:J6"/>
    <mergeCell ref="E2:I2"/>
    <mergeCell ref="E3:I3"/>
  </mergeCells>
  <pageMargins left="2.8740157480314963" right="0.70866141732283472" top="0.74803149606299213" bottom="0.74803149606299213" header="0.31496062992125984" footer="0.31496062992125984"/>
  <pageSetup paperSize="9" scale="55" orientation="landscape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showGridLines="0" view="pageBreakPreview" topLeftCell="A42" zoomScale="60" zoomScaleNormal="100" workbookViewId="0">
      <selection activeCell="C252" sqref="C252"/>
    </sheetView>
  </sheetViews>
  <sheetFormatPr defaultColWidth="11.5546875" defaultRowHeight="12.75"/>
  <cols>
    <col min="1" max="1" width="31.6640625" style="69" customWidth="1"/>
    <col min="2" max="2" width="42.6640625" style="34" customWidth="1"/>
    <col min="3" max="3" width="40.6640625" style="34" customWidth="1"/>
    <col min="4" max="4" width="12" style="69" bestFit="1" customWidth="1"/>
    <col min="5" max="5" width="9" style="69" bestFit="1" customWidth="1"/>
    <col min="6" max="6" width="11.77734375" style="69" customWidth="1"/>
    <col min="7" max="7" width="10.77734375" style="69" customWidth="1"/>
    <col min="8" max="16384" width="11.5546875" style="69"/>
  </cols>
  <sheetData>
    <row r="1" spans="1:4">
      <c r="A1" s="533"/>
      <c r="B1" s="57"/>
      <c r="C1" s="57"/>
    </row>
    <row r="2" spans="1:4">
      <c r="A2" s="570" t="s">
        <v>0</v>
      </c>
      <c r="B2" s="58"/>
      <c r="C2" s="16" t="s">
        <v>543</v>
      </c>
    </row>
    <row r="3" spans="1:4">
      <c r="A3" s="1193" t="s">
        <v>590</v>
      </c>
      <c r="B3" s="1194"/>
      <c r="C3" s="1195"/>
    </row>
    <row r="4" spans="1:4">
      <c r="A4" s="1193" t="s">
        <v>591</v>
      </c>
      <c r="B4" s="1194"/>
      <c r="C4" s="1195"/>
      <c r="D4" s="152"/>
    </row>
    <row r="5" spans="1:4" ht="17.25" customHeight="1">
      <c r="A5" s="555"/>
      <c r="B5" s="19"/>
      <c r="C5" s="59"/>
    </row>
    <row r="6" spans="1:4">
      <c r="A6" s="94" t="s">
        <v>374</v>
      </c>
      <c r="B6" s="23"/>
      <c r="C6" s="23"/>
    </row>
    <row r="7" spans="1:4">
      <c r="A7" s="94"/>
      <c r="B7" s="60" t="s">
        <v>592</v>
      </c>
      <c r="C7" s="60" t="s">
        <v>593</v>
      </c>
    </row>
    <row r="8" spans="1:4">
      <c r="A8" s="270" t="s">
        <v>34</v>
      </c>
      <c r="B8" s="25"/>
      <c r="C8" s="25"/>
    </row>
    <row r="9" spans="1:4">
      <c r="A9" s="95"/>
      <c r="B9" s="45"/>
      <c r="C9" s="45"/>
    </row>
    <row r="10" spans="1:4" hidden="1">
      <c r="A10" s="552" t="s">
        <v>470</v>
      </c>
      <c r="B10" s="61">
        <v>12</v>
      </c>
      <c r="C10" s="61">
        <v>12</v>
      </c>
    </row>
    <row r="11" spans="1:4" hidden="1">
      <c r="A11" s="461" t="s">
        <v>471</v>
      </c>
      <c r="B11" s="61">
        <v>14</v>
      </c>
      <c r="C11" s="61">
        <v>14</v>
      </c>
    </row>
    <row r="12" spans="1:4" hidden="1">
      <c r="A12" s="461" t="s">
        <v>472</v>
      </c>
      <c r="B12" s="61">
        <v>14</v>
      </c>
      <c r="C12" s="61">
        <v>14</v>
      </c>
    </row>
    <row r="13" spans="1:4" hidden="1">
      <c r="A13" s="461" t="s">
        <v>473</v>
      </c>
      <c r="B13" s="61">
        <v>15.5</v>
      </c>
      <c r="C13" s="61">
        <v>15.5</v>
      </c>
    </row>
    <row r="14" spans="1:4" ht="15.75" hidden="1" customHeight="1">
      <c r="A14" s="461" t="s">
        <v>536</v>
      </c>
      <c r="B14" s="61">
        <v>14.5</v>
      </c>
      <c r="C14" s="61">
        <v>14.5</v>
      </c>
    </row>
    <row r="15" spans="1:4" hidden="1">
      <c r="A15" s="461" t="s">
        <v>475</v>
      </c>
      <c r="B15" s="61">
        <v>14.5</v>
      </c>
      <c r="C15" s="61" t="s">
        <v>88</v>
      </c>
    </row>
    <row r="16" spans="1:4" hidden="1">
      <c r="A16" s="559" t="s">
        <v>476</v>
      </c>
      <c r="B16" s="61">
        <v>14.5</v>
      </c>
      <c r="C16" s="61" t="s">
        <v>88</v>
      </c>
    </row>
    <row r="17" spans="1:5" hidden="1">
      <c r="A17" s="559" t="s">
        <v>477</v>
      </c>
      <c r="B17" s="61">
        <v>11.07</v>
      </c>
      <c r="C17" s="61">
        <v>12.07</v>
      </c>
    </row>
    <row r="18" spans="1:5" hidden="1">
      <c r="A18" s="559" t="s">
        <v>478</v>
      </c>
      <c r="B18" s="61">
        <v>10.119999999999999</v>
      </c>
      <c r="C18" s="61">
        <v>11.12</v>
      </c>
    </row>
    <row r="19" spans="1:5" hidden="1">
      <c r="A19" s="559" t="s">
        <v>4</v>
      </c>
      <c r="B19" s="61">
        <v>10.08</v>
      </c>
      <c r="C19" s="61">
        <v>11.08</v>
      </c>
    </row>
    <row r="20" spans="1:5" hidden="1">
      <c r="A20" s="559" t="s">
        <v>5</v>
      </c>
      <c r="B20" s="61" t="s">
        <v>88</v>
      </c>
      <c r="C20" s="61">
        <v>10</v>
      </c>
    </row>
    <row r="21" spans="1:5" hidden="1">
      <c r="A21" s="559" t="s">
        <v>7</v>
      </c>
      <c r="B21" s="61" t="s">
        <v>88</v>
      </c>
      <c r="C21" s="61">
        <v>11.25</v>
      </c>
    </row>
    <row r="22" spans="1:5" hidden="1">
      <c r="A22" s="559" t="s">
        <v>8</v>
      </c>
      <c r="B22" s="61">
        <v>13.33</v>
      </c>
      <c r="C22" s="61">
        <v>14.34</v>
      </c>
    </row>
    <row r="23" spans="1:5" hidden="1">
      <c r="A23" s="559" t="s">
        <v>10</v>
      </c>
      <c r="B23" s="61"/>
      <c r="C23" s="61">
        <v>13.77</v>
      </c>
    </row>
    <row r="24" spans="1:5">
      <c r="A24" s="559" t="s">
        <v>11</v>
      </c>
      <c r="B24" s="61" t="s">
        <v>88</v>
      </c>
      <c r="C24" s="61">
        <v>12.5</v>
      </c>
    </row>
    <row r="25" spans="1:5">
      <c r="A25" s="559" t="s">
        <v>13</v>
      </c>
      <c r="B25" s="61" t="s">
        <v>88</v>
      </c>
      <c r="C25" s="61">
        <v>8</v>
      </c>
    </row>
    <row r="26" spans="1:5">
      <c r="A26" s="559" t="s">
        <v>14</v>
      </c>
      <c r="B26" s="61">
        <v>3.4</v>
      </c>
      <c r="C26" s="61">
        <v>9.82</v>
      </c>
    </row>
    <row r="27" spans="1:5">
      <c r="A27" s="559" t="s">
        <v>15</v>
      </c>
      <c r="B27" s="61">
        <v>2.37</v>
      </c>
      <c r="C27" s="61">
        <v>7.17</v>
      </c>
    </row>
    <row r="28" spans="1:5">
      <c r="A28" s="559" t="s">
        <v>669</v>
      </c>
      <c r="B28" s="61">
        <v>2.79</v>
      </c>
      <c r="C28" s="61">
        <v>7.13</v>
      </c>
    </row>
    <row r="29" spans="1:5" hidden="1">
      <c r="A29" s="113" t="s">
        <v>61</v>
      </c>
      <c r="B29" s="61" t="s">
        <v>88</v>
      </c>
      <c r="C29" s="61">
        <v>10.52</v>
      </c>
      <c r="E29" s="69" t="s">
        <v>0</v>
      </c>
    </row>
    <row r="30" spans="1:5" hidden="1">
      <c r="A30" s="113" t="s">
        <v>62</v>
      </c>
      <c r="B30" s="61" t="s">
        <v>88</v>
      </c>
      <c r="C30" s="61">
        <v>10.95</v>
      </c>
    </row>
    <row r="31" spans="1:5" hidden="1">
      <c r="A31" s="113" t="s">
        <v>636</v>
      </c>
      <c r="B31" s="61" t="s">
        <v>88</v>
      </c>
      <c r="C31" s="61">
        <v>8.0500000000000007</v>
      </c>
    </row>
    <row r="32" spans="1:5" hidden="1">
      <c r="A32" s="113" t="s">
        <v>664</v>
      </c>
      <c r="B32" s="61" t="s">
        <v>88</v>
      </c>
      <c r="C32" s="61">
        <v>8</v>
      </c>
    </row>
    <row r="33" spans="1:3">
      <c r="A33" s="113"/>
      <c r="B33" s="61"/>
      <c r="C33" s="61"/>
    </row>
    <row r="34" spans="1:3">
      <c r="A34" s="113" t="s">
        <v>53</v>
      </c>
      <c r="B34" s="61" t="s">
        <v>88</v>
      </c>
      <c r="C34" s="61">
        <v>7.95</v>
      </c>
    </row>
    <row r="35" spans="1:3">
      <c r="A35" s="113" t="s">
        <v>44</v>
      </c>
      <c r="B35" s="61">
        <v>8.9499999999999993</v>
      </c>
      <c r="C35" s="61">
        <v>12.39</v>
      </c>
    </row>
    <row r="36" spans="1:3">
      <c r="A36" s="113" t="s">
        <v>47</v>
      </c>
      <c r="B36" s="61">
        <v>7.44</v>
      </c>
      <c r="C36" s="61">
        <v>15.98</v>
      </c>
    </row>
    <row r="37" spans="1:3">
      <c r="A37" s="113" t="s">
        <v>50</v>
      </c>
      <c r="B37" s="61">
        <v>3.4</v>
      </c>
      <c r="C37" s="61">
        <v>9.82</v>
      </c>
    </row>
    <row r="38" spans="1:3">
      <c r="A38" s="113"/>
      <c r="B38" s="61"/>
      <c r="C38" s="61"/>
    </row>
    <row r="39" spans="1:3">
      <c r="A39" s="113" t="s">
        <v>65</v>
      </c>
      <c r="B39" s="61">
        <v>3.27</v>
      </c>
      <c r="C39" s="61">
        <v>9.2100000000000009</v>
      </c>
    </row>
    <row r="40" spans="1:3">
      <c r="A40" s="113" t="s">
        <v>44</v>
      </c>
      <c r="B40" s="61">
        <v>3.15</v>
      </c>
      <c r="C40" s="61">
        <v>8.89</v>
      </c>
    </row>
    <row r="41" spans="1:3">
      <c r="A41" s="353" t="s">
        <v>47</v>
      </c>
      <c r="B41" s="61">
        <v>3.08</v>
      </c>
      <c r="C41" s="61">
        <v>7.89</v>
      </c>
    </row>
    <row r="42" spans="1:3">
      <c r="A42" s="353" t="s">
        <v>50</v>
      </c>
      <c r="B42" s="61">
        <v>2.37</v>
      </c>
      <c r="C42" s="61">
        <v>7.17</v>
      </c>
    </row>
    <row r="43" spans="1:3">
      <c r="A43" s="113"/>
      <c r="B43" s="61"/>
      <c r="C43" s="61"/>
    </row>
    <row r="44" spans="1:3">
      <c r="A44" s="353" t="s">
        <v>66</v>
      </c>
      <c r="B44" s="61">
        <v>4.92</v>
      </c>
      <c r="C44" s="61">
        <v>9.01</v>
      </c>
    </row>
    <row r="45" spans="1:3">
      <c r="A45" s="113" t="s">
        <v>44</v>
      </c>
      <c r="B45" s="61">
        <v>2.92</v>
      </c>
      <c r="C45" s="61">
        <v>7.14</v>
      </c>
    </row>
    <row r="46" spans="1:3">
      <c r="A46" s="113" t="s">
        <v>47</v>
      </c>
      <c r="B46" s="61">
        <v>2.73</v>
      </c>
      <c r="C46" s="61">
        <v>7.92</v>
      </c>
    </row>
    <row r="47" spans="1:3">
      <c r="A47" s="113" t="s">
        <v>50</v>
      </c>
      <c r="B47" s="61">
        <v>2.79</v>
      </c>
      <c r="C47" s="61">
        <v>7.13</v>
      </c>
    </row>
    <row r="48" spans="1:3">
      <c r="A48" s="113"/>
      <c r="B48" s="61"/>
      <c r="C48" s="61"/>
    </row>
    <row r="49" spans="1:3">
      <c r="A49" s="113" t="s">
        <v>684</v>
      </c>
      <c r="B49" s="61">
        <v>2.84</v>
      </c>
      <c r="C49" s="61">
        <v>6.59</v>
      </c>
    </row>
    <row r="50" spans="1:3" s="1051" customFormat="1">
      <c r="A50" s="1059" t="s">
        <v>44</v>
      </c>
      <c r="B50" s="61">
        <v>3.82</v>
      </c>
      <c r="C50" s="61">
        <v>5.07</v>
      </c>
    </row>
    <row r="51" spans="1:3">
      <c r="A51" s="113"/>
      <c r="B51" s="61"/>
      <c r="C51" s="61"/>
    </row>
    <row r="52" spans="1:3" ht="15.75" hidden="1" customHeight="1">
      <c r="A52" s="113" t="s">
        <v>335</v>
      </c>
      <c r="B52" s="61">
        <v>14</v>
      </c>
      <c r="C52" s="61">
        <v>14</v>
      </c>
    </row>
    <row r="53" spans="1:3" ht="15.75" hidden="1" customHeight="1">
      <c r="A53" s="113" t="s">
        <v>40</v>
      </c>
      <c r="B53" s="61">
        <v>14</v>
      </c>
      <c r="C53" s="61">
        <v>14</v>
      </c>
    </row>
    <row r="54" spans="1:3" ht="15.75" hidden="1" customHeight="1">
      <c r="A54" s="113" t="s">
        <v>41</v>
      </c>
      <c r="B54" s="61">
        <v>14</v>
      </c>
      <c r="C54" s="61">
        <v>14</v>
      </c>
    </row>
    <row r="55" spans="1:3" ht="15.75" hidden="1" customHeight="1">
      <c r="A55" s="113" t="s">
        <v>42</v>
      </c>
      <c r="B55" s="61">
        <v>14</v>
      </c>
      <c r="C55" s="61">
        <v>14</v>
      </c>
    </row>
    <row r="56" spans="1:3" ht="15.75" hidden="1" customHeight="1">
      <c r="A56" s="113" t="s">
        <v>43</v>
      </c>
      <c r="B56" s="61">
        <v>14</v>
      </c>
      <c r="C56" s="61">
        <v>14</v>
      </c>
    </row>
    <row r="57" spans="1:3" ht="15.75" hidden="1" customHeight="1">
      <c r="A57" s="113" t="s">
        <v>44</v>
      </c>
      <c r="B57" s="61">
        <v>14</v>
      </c>
      <c r="C57" s="61">
        <v>14</v>
      </c>
    </row>
    <row r="58" spans="1:3" ht="15.75" hidden="1" customHeight="1">
      <c r="A58" s="113" t="s">
        <v>45</v>
      </c>
      <c r="B58" s="61">
        <v>14</v>
      </c>
      <c r="C58" s="61">
        <v>14</v>
      </c>
    </row>
    <row r="59" spans="1:3" ht="15.75" hidden="1" customHeight="1">
      <c r="A59" s="113" t="s">
        <v>46</v>
      </c>
      <c r="B59" s="61">
        <v>14</v>
      </c>
      <c r="C59" s="61">
        <v>14</v>
      </c>
    </row>
    <row r="60" spans="1:3" ht="15.75" hidden="1" customHeight="1">
      <c r="A60" s="113" t="s">
        <v>47</v>
      </c>
      <c r="B60" s="61">
        <v>15.5</v>
      </c>
      <c r="C60" s="61">
        <v>15.5</v>
      </c>
    </row>
    <row r="61" spans="1:3" ht="15.75" hidden="1" customHeight="1">
      <c r="A61" s="113" t="s">
        <v>48</v>
      </c>
      <c r="B61" s="61">
        <v>15.5</v>
      </c>
      <c r="C61" s="61">
        <v>15.5</v>
      </c>
    </row>
    <row r="62" spans="1:3" ht="15.75" hidden="1" customHeight="1">
      <c r="A62" s="113" t="s">
        <v>49</v>
      </c>
      <c r="B62" s="61">
        <v>15.5</v>
      </c>
      <c r="C62" s="61">
        <v>15.5</v>
      </c>
    </row>
    <row r="63" spans="1:3" ht="15.75" hidden="1" customHeight="1">
      <c r="A63" s="113" t="s">
        <v>50</v>
      </c>
      <c r="B63" s="61">
        <v>15</v>
      </c>
      <c r="C63" s="61">
        <v>15</v>
      </c>
    </row>
    <row r="64" spans="1:3" ht="15.75" hidden="1" customHeight="1">
      <c r="A64" s="80"/>
      <c r="B64" s="61"/>
      <c r="C64" s="61"/>
    </row>
    <row r="65" spans="1:3" hidden="1">
      <c r="A65" s="113" t="s">
        <v>334</v>
      </c>
      <c r="B65" s="61">
        <v>15.5</v>
      </c>
      <c r="C65" s="61">
        <v>15.5</v>
      </c>
    </row>
    <row r="66" spans="1:3" hidden="1">
      <c r="A66" s="113" t="s">
        <v>40</v>
      </c>
      <c r="B66" s="61">
        <v>15.5</v>
      </c>
      <c r="C66" s="61">
        <v>15.5</v>
      </c>
    </row>
    <row r="67" spans="1:3" hidden="1">
      <c r="A67" s="113" t="s">
        <v>41</v>
      </c>
      <c r="B67" s="61">
        <v>15.5</v>
      </c>
      <c r="C67" s="61">
        <v>15.5</v>
      </c>
    </row>
    <row r="68" spans="1:3" hidden="1">
      <c r="A68" s="113" t="s">
        <v>42</v>
      </c>
      <c r="B68" s="61">
        <v>15.5</v>
      </c>
      <c r="C68" s="61">
        <v>15.5</v>
      </c>
    </row>
    <row r="69" spans="1:3" hidden="1">
      <c r="A69" s="113" t="s">
        <v>43</v>
      </c>
      <c r="B69" s="61">
        <v>15.5</v>
      </c>
      <c r="C69" s="61">
        <v>15.5</v>
      </c>
    </row>
    <row r="70" spans="1:3" hidden="1">
      <c r="A70" s="113" t="s">
        <v>44</v>
      </c>
      <c r="B70" s="61">
        <v>15.5</v>
      </c>
      <c r="C70" s="61">
        <v>15.5</v>
      </c>
    </row>
    <row r="71" spans="1:3" hidden="1">
      <c r="A71" s="113" t="s">
        <v>45</v>
      </c>
      <c r="B71" s="61">
        <v>15.5</v>
      </c>
      <c r="C71" s="61">
        <v>15.5</v>
      </c>
    </row>
    <row r="72" spans="1:3" hidden="1">
      <c r="A72" s="113" t="s">
        <v>46</v>
      </c>
      <c r="B72" s="61">
        <v>15.5</v>
      </c>
      <c r="C72" s="61">
        <v>15.5</v>
      </c>
    </row>
    <row r="73" spans="1:3" hidden="1">
      <c r="A73" s="113" t="s">
        <v>47</v>
      </c>
      <c r="B73" s="61">
        <v>15.5</v>
      </c>
      <c r="C73" s="61">
        <v>15.5</v>
      </c>
    </row>
    <row r="74" spans="1:3" hidden="1">
      <c r="A74" s="113" t="s">
        <v>48</v>
      </c>
      <c r="B74" s="61">
        <v>15.5</v>
      </c>
      <c r="C74" s="61">
        <v>15.5</v>
      </c>
    </row>
    <row r="75" spans="1:3" hidden="1">
      <c r="A75" s="113" t="s">
        <v>49</v>
      </c>
      <c r="B75" s="61">
        <v>15.5</v>
      </c>
      <c r="C75" s="61">
        <v>15.5</v>
      </c>
    </row>
    <row r="76" spans="1:3" hidden="1">
      <c r="A76" s="113" t="s">
        <v>50</v>
      </c>
      <c r="B76" s="61">
        <v>14.5</v>
      </c>
      <c r="C76" s="61">
        <v>14.5</v>
      </c>
    </row>
    <row r="77" spans="1:3" hidden="1">
      <c r="A77" s="113"/>
      <c r="B77" s="61"/>
      <c r="C77" s="61"/>
    </row>
    <row r="78" spans="1:3" hidden="1">
      <c r="A78" s="113" t="s">
        <v>333</v>
      </c>
      <c r="B78" s="61">
        <v>14.5</v>
      </c>
      <c r="C78" s="61">
        <v>14.5</v>
      </c>
    </row>
    <row r="79" spans="1:3" hidden="1">
      <c r="A79" s="113" t="s">
        <v>40</v>
      </c>
      <c r="B79" s="61">
        <v>14.5</v>
      </c>
      <c r="C79" s="61">
        <v>14.5</v>
      </c>
    </row>
    <row r="80" spans="1:3" hidden="1">
      <c r="A80" s="113" t="s">
        <v>41</v>
      </c>
      <c r="B80" s="61">
        <v>14.5</v>
      </c>
      <c r="C80" s="61">
        <v>14.5</v>
      </c>
    </row>
    <row r="81" spans="1:3" hidden="1">
      <c r="A81" s="113" t="s">
        <v>42</v>
      </c>
      <c r="B81" s="61">
        <v>14.5</v>
      </c>
      <c r="C81" s="61">
        <v>14.5</v>
      </c>
    </row>
    <row r="82" spans="1:3" hidden="1">
      <c r="A82" s="113" t="s">
        <v>43</v>
      </c>
      <c r="B82" s="61">
        <v>14.5</v>
      </c>
      <c r="C82" s="61">
        <v>14.5</v>
      </c>
    </row>
    <row r="83" spans="1:3" hidden="1">
      <c r="A83" s="113" t="s">
        <v>44</v>
      </c>
      <c r="B83" s="61">
        <v>14.5</v>
      </c>
      <c r="C83" s="61">
        <v>14.5</v>
      </c>
    </row>
    <row r="84" spans="1:3" hidden="1">
      <c r="A84" s="113" t="s">
        <v>45</v>
      </c>
      <c r="B84" s="61">
        <v>14.5</v>
      </c>
      <c r="C84" s="61">
        <v>14.5</v>
      </c>
    </row>
    <row r="85" spans="1:3" hidden="1">
      <c r="A85" s="113" t="s">
        <v>46</v>
      </c>
      <c r="B85" s="61">
        <v>14.5</v>
      </c>
      <c r="C85" s="61">
        <v>14.5</v>
      </c>
    </row>
    <row r="86" spans="1:3" hidden="1">
      <c r="A86" s="113" t="s">
        <v>47</v>
      </c>
      <c r="B86" s="61">
        <v>14.5</v>
      </c>
      <c r="C86" s="61">
        <v>14.5</v>
      </c>
    </row>
    <row r="87" spans="1:3" hidden="1">
      <c r="A87" s="113" t="s">
        <v>48</v>
      </c>
      <c r="B87" s="61">
        <v>14.5</v>
      </c>
      <c r="C87" s="61">
        <v>14.5</v>
      </c>
    </row>
    <row r="88" spans="1:3" hidden="1">
      <c r="A88" s="113" t="s">
        <v>49</v>
      </c>
      <c r="B88" s="61">
        <v>14.5</v>
      </c>
      <c r="C88" s="61">
        <v>14.5</v>
      </c>
    </row>
    <row r="89" spans="1:3" hidden="1">
      <c r="A89" s="113" t="s">
        <v>50</v>
      </c>
      <c r="B89" s="61">
        <v>14.5</v>
      </c>
      <c r="C89" s="61" t="s">
        <v>88</v>
      </c>
    </row>
    <row r="90" spans="1:3" hidden="1">
      <c r="A90" s="113"/>
      <c r="B90" s="61"/>
      <c r="C90" s="61"/>
    </row>
    <row r="91" spans="1:3" hidden="1">
      <c r="A91" s="113" t="s">
        <v>332</v>
      </c>
      <c r="B91" s="61">
        <v>14.5</v>
      </c>
      <c r="C91" s="61">
        <v>14.5</v>
      </c>
    </row>
    <row r="92" spans="1:3" hidden="1">
      <c r="A92" s="113" t="s">
        <v>40</v>
      </c>
      <c r="B92" s="61">
        <v>14.5</v>
      </c>
      <c r="C92" s="61">
        <v>14.5</v>
      </c>
    </row>
    <row r="93" spans="1:3" hidden="1">
      <c r="A93" s="113" t="s">
        <v>41</v>
      </c>
      <c r="B93" s="61">
        <v>14.5</v>
      </c>
      <c r="C93" s="61">
        <v>14.5</v>
      </c>
    </row>
    <row r="94" spans="1:3" hidden="1">
      <c r="A94" s="113" t="s">
        <v>42</v>
      </c>
      <c r="B94" s="61">
        <v>14.5</v>
      </c>
      <c r="C94" s="61">
        <v>14.5</v>
      </c>
    </row>
    <row r="95" spans="1:3" hidden="1">
      <c r="A95" s="113" t="s">
        <v>43</v>
      </c>
      <c r="B95" s="61">
        <v>14.5</v>
      </c>
      <c r="C95" s="61">
        <v>14.5</v>
      </c>
    </row>
    <row r="96" spans="1:3" hidden="1">
      <c r="A96" s="113" t="s">
        <v>44</v>
      </c>
      <c r="B96" s="61">
        <v>14.5</v>
      </c>
      <c r="C96" s="61">
        <v>14.5</v>
      </c>
    </row>
    <row r="97" spans="1:3" hidden="1">
      <c r="A97" s="113" t="s">
        <v>45</v>
      </c>
      <c r="B97" s="61">
        <v>14.5</v>
      </c>
      <c r="C97" s="61">
        <v>14.5</v>
      </c>
    </row>
    <row r="98" spans="1:3" hidden="1">
      <c r="A98" s="113" t="s">
        <v>46</v>
      </c>
      <c r="B98" s="61">
        <v>14.5</v>
      </c>
      <c r="C98" s="61">
        <v>14.5</v>
      </c>
    </row>
    <row r="99" spans="1:3" hidden="1">
      <c r="A99" s="113" t="s">
        <v>47</v>
      </c>
      <c r="B99" s="61">
        <v>14.5</v>
      </c>
      <c r="C99" s="61">
        <v>14.5</v>
      </c>
    </row>
    <row r="100" spans="1:3" hidden="1">
      <c r="A100" s="113" t="s">
        <v>48</v>
      </c>
      <c r="B100" s="61">
        <v>14.5</v>
      </c>
      <c r="C100" s="61">
        <v>14.5</v>
      </c>
    </row>
    <row r="101" spans="1:3" hidden="1">
      <c r="A101" s="113" t="s">
        <v>49</v>
      </c>
      <c r="B101" s="61">
        <v>14.5</v>
      </c>
      <c r="C101" s="61">
        <v>14.5</v>
      </c>
    </row>
    <row r="102" spans="1:3" hidden="1">
      <c r="A102" s="113" t="s">
        <v>50</v>
      </c>
      <c r="B102" s="61">
        <v>14.5</v>
      </c>
      <c r="C102" s="61">
        <v>14.5</v>
      </c>
    </row>
    <row r="103" spans="1:3" hidden="1">
      <c r="A103" s="113"/>
      <c r="B103" s="61"/>
      <c r="C103" s="61"/>
    </row>
    <row r="104" spans="1:3" hidden="1">
      <c r="A104" s="113" t="s">
        <v>331</v>
      </c>
      <c r="B104" s="61">
        <v>14.5</v>
      </c>
      <c r="C104" s="61">
        <v>14.5</v>
      </c>
    </row>
    <row r="105" spans="1:3" hidden="1">
      <c r="A105" s="113" t="s">
        <v>40</v>
      </c>
      <c r="B105" s="61">
        <v>14.5</v>
      </c>
      <c r="C105" s="61">
        <v>14.5</v>
      </c>
    </row>
    <row r="106" spans="1:3" hidden="1">
      <c r="A106" s="113" t="s">
        <v>41</v>
      </c>
      <c r="B106" s="61">
        <v>14.5</v>
      </c>
      <c r="C106" s="61">
        <v>14.5</v>
      </c>
    </row>
    <row r="107" spans="1:3" hidden="1">
      <c r="A107" s="113" t="s">
        <v>42</v>
      </c>
      <c r="B107" s="61">
        <v>14.5</v>
      </c>
      <c r="C107" s="61">
        <v>14.5</v>
      </c>
    </row>
    <row r="108" spans="1:3" hidden="1">
      <c r="A108" s="113" t="s">
        <v>43</v>
      </c>
      <c r="B108" s="61">
        <v>14.5</v>
      </c>
      <c r="C108" s="61">
        <v>14.5</v>
      </c>
    </row>
    <row r="109" spans="1:3" hidden="1">
      <c r="A109" s="113" t="s">
        <v>44</v>
      </c>
      <c r="B109" s="61">
        <v>14.5</v>
      </c>
      <c r="C109" s="61">
        <v>14.5</v>
      </c>
    </row>
    <row r="110" spans="1:3" hidden="1">
      <c r="A110" s="113" t="s">
        <v>45</v>
      </c>
      <c r="B110" s="61">
        <v>12</v>
      </c>
      <c r="C110" s="61">
        <v>12</v>
      </c>
    </row>
    <row r="111" spans="1:3" hidden="1">
      <c r="A111" s="113" t="s">
        <v>46</v>
      </c>
      <c r="B111" s="61">
        <v>13</v>
      </c>
      <c r="C111" s="61">
        <v>13</v>
      </c>
    </row>
    <row r="112" spans="1:3" hidden="1">
      <c r="A112" s="113" t="s">
        <v>47</v>
      </c>
      <c r="B112" s="61">
        <v>11.26</v>
      </c>
      <c r="C112" s="61">
        <v>11.26</v>
      </c>
    </row>
    <row r="113" spans="1:3" hidden="1">
      <c r="A113" s="113" t="s">
        <v>48</v>
      </c>
      <c r="B113" s="61">
        <v>11.04</v>
      </c>
      <c r="C113" s="61">
        <v>11.04</v>
      </c>
    </row>
    <row r="114" spans="1:3" hidden="1">
      <c r="A114" s="113" t="s">
        <v>49</v>
      </c>
      <c r="B114" s="61">
        <v>11.03</v>
      </c>
      <c r="C114" s="61">
        <v>11.03</v>
      </c>
    </row>
    <row r="115" spans="1:3" hidden="1">
      <c r="A115" s="113" t="s">
        <v>50</v>
      </c>
      <c r="B115" s="61">
        <v>10.08</v>
      </c>
      <c r="C115" s="61">
        <v>11.08</v>
      </c>
    </row>
    <row r="116" spans="1:3" hidden="1">
      <c r="A116" s="113"/>
      <c r="B116" s="61"/>
      <c r="C116" s="61"/>
    </row>
    <row r="117" spans="1:3" hidden="1">
      <c r="A117" s="113" t="s">
        <v>330</v>
      </c>
      <c r="B117" s="61">
        <v>11.07</v>
      </c>
      <c r="C117" s="61">
        <v>11.07</v>
      </c>
    </row>
    <row r="118" spans="1:3" hidden="1">
      <c r="A118" s="113" t="s">
        <v>40</v>
      </c>
      <c r="B118" s="61">
        <v>9.08</v>
      </c>
      <c r="C118" s="61">
        <v>9.08</v>
      </c>
    </row>
    <row r="119" spans="1:3" hidden="1">
      <c r="A119" s="113" t="s">
        <v>41</v>
      </c>
      <c r="B119" s="61">
        <v>9.0399999999999991</v>
      </c>
      <c r="C119" s="61">
        <v>9.0399999999999991</v>
      </c>
    </row>
    <row r="120" spans="1:3" hidden="1">
      <c r="A120" s="113" t="s">
        <v>42</v>
      </c>
      <c r="B120" s="61">
        <v>9.0500000000000007</v>
      </c>
      <c r="C120" s="61">
        <v>10.050000000000001</v>
      </c>
    </row>
    <row r="121" spans="1:3" hidden="1">
      <c r="A121" s="113" t="s">
        <v>43</v>
      </c>
      <c r="B121" s="61">
        <v>9.0500000000000007</v>
      </c>
      <c r="C121" s="61">
        <v>9.0500000000000007</v>
      </c>
    </row>
    <row r="122" spans="1:3" hidden="1">
      <c r="A122" s="113" t="s">
        <v>44</v>
      </c>
      <c r="B122" s="61" t="s">
        <v>88</v>
      </c>
      <c r="C122" s="61">
        <v>10.050000000000001</v>
      </c>
    </row>
    <row r="123" spans="1:3" ht="15.75" hidden="1" customHeight="1">
      <c r="A123" s="113" t="s">
        <v>45</v>
      </c>
      <c r="B123" s="61" t="s">
        <v>88</v>
      </c>
      <c r="C123" s="61">
        <v>10.050000000000001</v>
      </c>
    </row>
    <row r="124" spans="1:3" hidden="1">
      <c r="A124" s="113" t="s">
        <v>46</v>
      </c>
      <c r="B124" s="61" t="s">
        <v>88</v>
      </c>
      <c r="C124" s="61">
        <v>10.050000000000001</v>
      </c>
    </row>
    <row r="125" spans="1:3" hidden="1">
      <c r="A125" s="113" t="s">
        <v>47</v>
      </c>
      <c r="B125" s="61">
        <v>10.039999999999999</v>
      </c>
      <c r="C125" s="61">
        <v>11.04</v>
      </c>
    </row>
    <row r="126" spans="1:3" hidden="1">
      <c r="A126" s="113" t="s">
        <v>48</v>
      </c>
      <c r="B126" s="61">
        <v>10.11</v>
      </c>
      <c r="C126" s="61">
        <v>11.11</v>
      </c>
    </row>
    <row r="127" spans="1:3" hidden="1">
      <c r="A127" s="113" t="s">
        <v>49</v>
      </c>
      <c r="B127" s="61" t="s">
        <v>88</v>
      </c>
      <c r="C127" s="61">
        <v>10.119999999999999</v>
      </c>
    </row>
    <row r="128" spans="1:3" hidden="1">
      <c r="A128" s="113" t="s">
        <v>50</v>
      </c>
      <c r="B128" s="61" t="s">
        <v>88</v>
      </c>
      <c r="C128" s="61">
        <v>11.12</v>
      </c>
    </row>
    <row r="129" spans="1:3" hidden="1">
      <c r="A129" s="113"/>
      <c r="B129" s="61"/>
      <c r="C129" s="61"/>
    </row>
    <row r="130" spans="1:3" hidden="1">
      <c r="A130" s="113" t="s">
        <v>60</v>
      </c>
      <c r="B130" s="61" t="s">
        <v>88</v>
      </c>
      <c r="C130" s="61">
        <v>11.12</v>
      </c>
    </row>
    <row r="131" spans="1:3" hidden="1">
      <c r="A131" s="113" t="s">
        <v>40</v>
      </c>
      <c r="B131" s="61" t="s">
        <v>88</v>
      </c>
      <c r="C131" s="61">
        <v>11.12</v>
      </c>
    </row>
    <row r="132" spans="1:3" hidden="1">
      <c r="A132" s="113" t="s">
        <v>41</v>
      </c>
      <c r="B132" s="61" t="s">
        <v>88</v>
      </c>
      <c r="C132" s="61">
        <v>11.12</v>
      </c>
    </row>
    <row r="133" spans="1:3" ht="15.75" hidden="1" customHeight="1">
      <c r="A133" s="113" t="s">
        <v>42</v>
      </c>
      <c r="B133" s="61" t="s">
        <v>88</v>
      </c>
      <c r="C133" s="61">
        <v>11.12</v>
      </c>
    </row>
    <row r="134" spans="1:3" hidden="1">
      <c r="A134" s="113" t="s">
        <v>43</v>
      </c>
      <c r="B134" s="61" t="s">
        <v>88</v>
      </c>
      <c r="C134" s="61">
        <v>11.12</v>
      </c>
    </row>
    <row r="135" spans="1:3" hidden="1">
      <c r="A135" s="113" t="s">
        <v>44</v>
      </c>
      <c r="B135" s="61" t="s">
        <v>88</v>
      </c>
      <c r="C135" s="61">
        <v>11.12</v>
      </c>
    </row>
    <row r="136" spans="1:3" hidden="1">
      <c r="A136" s="113" t="s">
        <v>45</v>
      </c>
      <c r="B136" s="61" t="s">
        <v>88</v>
      </c>
      <c r="C136" s="61">
        <v>11.12</v>
      </c>
    </row>
    <row r="137" spans="1:3" hidden="1">
      <c r="A137" s="113" t="s">
        <v>46</v>
      </c>
      <c r="B137" s="61" t="s">
        <v>88</v>
      </c>
      <c r="C137" s="61">
        <v>11.12</v>
      </c>
    </row>
    <row r="138" spans="1:3" hidden="1">
      <c r="A138" s="113" t="s">
        <v>47</v>
      </c>
      <c r="B138" s="61">
        <v>10.050000000000001</v>
      </c>
      <c r="C138" s="61">
        <v>11.05</v>
      </c>
    </row>
    <row r="139" spans="1:3" hidden="1">
      <c r="A139" s="113" t="s">
        <v>48</v>
      </c>
      <c r="B139" s="61">
        <v>10.08</v>
      </c>
      <c r="C139" s="61">
        <v>11.08</v>
      </c>
    </row>
    <row r="140" spans="1:3" hidden="1">
      <c r="A140" s="113" t="s">
        <v>49</v>
      </c>
      <c r="B140" s="61" t="s">
        <v>88</v>
      </c>
      <c r="C140" s="61">
        <v>11.08</v>
      </c>
    </row>
    <row r="141" spans="1:3" hidden="1">
      <c r="A141" s="113" t="s">
        <v>50</v>
      </c>
      <c r="B141" s="61" t="s">
        <v>88</v>
      </c>
      <c r="C141" s="61">
        <v>11.08</v>
      </c>
    </row>
    <row r="142" spans="1:3" hidden="1">
      <c r="A142" s="142"/>
      <c r="B142" s="61"/>
      <c r="C142" s="61"/>
    </row>
    <row r="143" spans="1:3" hidden="1">
      <c r="A143" s="113" t="s">
        <v>59</v>
      </c>
      <c r="B143" s="61" t="s">
        <v>88</v>
      </c>
      <c r="C143" s="61">
        <v>11.08</v>
      </c>
    </row>
    <row r="144" spans="1:3" hidden="1">
      <c r="A144" s="113" t="s">
        <v>40</v>
      </c>
      <c r="B144" s="61" t="s">
        <v>88</v>
      </c>
      <c r="C144" s="61">
        <v>11.08</v>
      </c>
    </row>
    <row r="145" spans="1:6" hidden="1">
      <c r="A145" s="113" t="s">
        <v>41</v>
      </c>
      <c r="B145" s="61" t="s">
        <v>88</v>
      </c>
      <c r="C145" s="61">
        <v>11.08</v>
      </c>
    </row>
    <row r="146" spans="1:6" hidden="1">
      <c r="A146" s="113" t="s">
        <v>42</v>
      </c>
      <c r="B146" s="61" t="s">
        <v>88</v>
      </c>
      <c r="C146" s="61">
        <v>10</v>
      </c>
      <c r="E146" s="69" t="s">
        <v>0</v>
      </c>
    </row>
    <row r="147" spans="1:6" hidden="1">
      <c r="A147" s="113" t="s">
        <v>43</v>
      </c>
      <c r="B147" s="61" t="s">
        <v>88</v>
      </c>
      <c r="C147" s="61">
        <v>9.51</v>
      </c>
    </row>
    <row r="148" spans="1:6" hidden="1">
      <c r="A148" s="113" t="s">
        <v>44</v>
      </c>
      <c r="B148" s="61" t="s">
        <v>88</v>
      </c>
      <c r="C148" s="61">
        <v>9.9</v>
      </c>
    </row>
    <row r="149" spans="1:6" hidden="1">
      <c r="A149" s="113" t="s">
        <v>45</v>
      </c>
      <c r="B149" s="61" t="s">
        <v>88</v>
      </c>
      <c r="C149" s="61">
        <v>10</v>
      </c>
    </row>
    <row r="150" spans="1:6" hidden="1">
      <c r="A150" s="113" t="s">
        <v>46</v>
      </c>
      <c r="B150" s="61" t="s">
        <v>88</v>
      </c>
      <c r="C150" s="61">
        <v>10.28</v>
      </c>
    </row>
    <row r="151" spans="1:6" hidden="1">
      <c r="A151" s="113" t="s">
        <v>47</v>
      </c>
      <c r="B151" s="61" t="s">
        <v>88</v>
      </c>
      <c r="C151" s="61">
        <v>10.26</v>
      </c>
    </row>
    <row r="152" spans="1:6" hidden="1">
      <c r="A152" s="113" t="s">
        <v>48</v>
      </c>
      <c r="B152" s="61" t="s">
        <v>88</v>
      </c>
      <c r="C152" s="61">
        <v>10.43</v>
      </c>
    </row>
    <row r="153" spans="1:6" hidden="1">
      <c r="A153" s="113" t="s">
        <v>49</v>
      </c>
      <c r="B153" s="61" t="s">
        <v>88</v>
      </c>
      <c r="C153" s="61">
        <v>10</v>
      </c>
    </row>
    <row r="154" spans="1:6" hidden="1">
      <c r="A154" s="113" t="s">
        <v>50</v>
      </c>
      <c r="B154" s="61" t="s">
        <v>88</v>
      </c>
      <c r="C154" s="61">
        <v>10</v>
      </c>
    </row>
    <row r="155" spans="1:6" hidden="1">
      <c r="A155" s="113"/>
      <c r="B155" s="61"/>
      <c r="C155" s="61"/>
    </row>
    <row r="156" spans="1:6" hidden="1">
      <c r="A156" s="113" t="s">
        <v>58</v>
      </c>
      <c r="B156" s="61" t="s">
        <v>88</v>
      </c>
      <c r="C156" s="61">
        <v>7.2</v>
      </c>
    </row>
    <row r="157" spans="1:6" hidden="1">
      <c r="A157" s="113" t="s">
        <v>40</v>
      </c>
      <c r="B157" s="61" t="s">
        <v>88</v>
      </c>
      <c r="C157" s="61">
        <v>7.2</v>
      </c>
    </row>
    <row r="158" spans="1:6" hidden="1">
      <c r="A158" s="113" t="s">
        <v>41</v>
      </c>
      <c r="B158" s="61" t="s">
        <v>88</v>
      </c>
      <c r="C158" s="61">
        <v>7.2</v>
      </c>
      <c r="F158" s="69" t="s">
        <v>544</v>
      </c>
    </row>
    <row r="159" spans="1:6" hidden="1">
      <c r="A159" s="113" t="s">
        <v>42</v>
      </c>
      <c r="B159" s="61" t="s">
        <v>88</v>
      </c>
      <c r="C159" s="61">
        <v>7.2</v>
      </c>
    </row>
    <row r="160" spans="1:6" hidden="1">
      <c r="A160" s="113" t="s">
        <v>43</v>
      </c>
      <c r="B160" s="61" t="s">
        <v>88</v>
      </c>
      <c r="C160" s="61">
        <v>6.46</v>
      </c>
    </row>
    <row r="161" spans="1:3" hidden="1">
      <c r="A161" s="113" t="s">
        <v>44</v>
      </c>
      <c r="B161" s="61" t="s">
        <v>88</v>
      </c>
      <c r="C161" s="61">
        <v>7.86</v>
      </c>
    </row>
    <row r="162" spans="1:3" hidden="1">
      <c r="A162" s="113" t="s">
        <v>45</v>
      </c>
      <c r="B162" s="61" t="s">
        <v>88</v>
      </c>
      <c r="C162" s="61">
        <v>9.57</v>
      </c>
    </row>
    <row r="163" spans="1:3" hidden="1">
      <c r="A163" s="113" t="s">
        <v>46</v>
      </c>
      <c r="B163" s="61" t="s">
        <v>88</v>
      </c>
      <c r="C163" s="61">
        <v>10.79</v>
      </c>
    </row>
    <row r="164" spans="1:3" hidden="1">
      <c r="A164" s="113" t="s">
        <v>47</v>
      </c>
      <c r="B164" s="61" t="s">
        <v>88</v>
      </c>
      <c r="C164" s="61">
        <v>11.24</v>
      </c>
    </row>
    <row r="165" spans="1:3" hidden="1">
      <c r="A165" s="113" t="s">
        <v>48</v>
      </c>
      <c r="B165" s="61" t="s">
        <v>88</v>
      </c>
      <c r="C165" s="61">
        <v>11.24</v>
      </c>
    </row>
    <row r="166" spans="1:3" hidden="1">
      <c r="A166" s="113" t="s">
        <v>49</v>
      </c>
      <c r="B166" s="61" t="s">
        <v>88</v>
      </c>
      <c r="C166" s="61">
        <v>10.36</v>
      </c>
    </row>
    <row r="167" spans="1:3" hidden="1">
      <c r="A167" s="113" t="s">
        <v>50</v>
      </c>
      <c r="B167" s="61">
        <v>8.57</v>
      </c>
      <c r="C167" s="61">
        <v>11.19</v>
      </c>
    </row>
    <row r="168" spans="1:3" hidden="1">
      <c r="A168" s="113"/>
      <c r="B168" s="61"/>
      <c r="C168" s="61"/>
    </row>
    <row r="169" spans="1:3" hidden="1">
      <c r="A169" s="113" t="s">
        <v>57</v>
      </c>
      <c r="B169" s="61" t="s">
        <v>88</v>
      </c>
      <c r="C169" s="61">
        <v>10</v>
      </c>
    </row>
    <row r="170" spans="1:3" hidden="1">
      <c r="A170" s="113" t="s">
        <v>40</v>
      </c>
      <c r="B170" s="61" t="s">
        <v>88</v>
      </c>
      <c r="C170" s="61">
        <v>7.5</v>
      </c>
    </row>
    <row r="171" spans="1:3" hidden="1">
      <c r="A171" s="113" t="s">
        <v>41</v>
      </c>
      <c r="B171" s="61" t="s">
        <v>88</v>
      </c>
      <c r="C171" s="61">
        <v>7.9</v>
      </c>
    </row>
    <row r="172" spans="1:3" hidden="1">
      <c r="A172" s="113" t="s">
        <v>42</v>
      </c>
      <c r="B172" s="61" t="s">
        <v>88</v>
      </c>
      <c r="C172" s="61">
        <v>9.0299999999999994</v>
      </c>
    </row>
    <row r="173" spans="1:3" hidden="1">
      <c r="A173" s="113" t="s">
        <v>43</v>
      </c>
      <c r="B173" s="61">
        <v>7.1</v>
      </c>
      <c r="C173" s="61">
        <v>10.39</v>
      </c>
    </row>
    <row r="174" spans="1:3" hidden="1">
      <c r="A174" s="113" t="s">
        <v>44</v>
      </c>
      <c r="B174" s="61">
        <v>8.6</v>
      </c>
      <c r="C174" s="61">
        <v>10.62</v>
      </c>
    </row>
    <row r="175" spans="1:3" hidden="1">
      <c r="A175" s="113" t="s">
        <v>45</v>
      </c>
      <c r="B175" s="61">
        <v>8.68</v>
      </c>
      <c r="C175" s="61">
        <v>11.04</v>
      </c>
    </row>
    <row r="176" spans="1:3" hidden="1">
      <c r="A176" s="113" t="s">
        <v>46</v>
      </c>
      <c r="B176" s="61">
        <v>8.06</v>
      </c>
      <c r="C176" s="61">
        <v>11.2</v>
      </c>
    </row>
    <row r="177" spans="1:3" hidden="1">
      <c r="A177" s="113" t="s">
        <v>47</v>
      </c>
      <c r="B177" s="61">
        <v>11.1</v>
      </c>
      <c r="C177" s="61">
        <v>12.95</v>
      </c>
    </row>
    <row r="178" spans="1:3" hidden="1">
      <c r="A178" s="113" t="s">
        <v>48</v>
      </c>
      <c r="B178" s="61">
        <v>12</v>
      </c>
      <c r="C178" s="61">
        <v>13.66</v>
      </c>
    </row>
    <row r="179" spans="1:3" hidden="1">
      <c r="A179" s="113" t="s">
        <v>49</v>
      </c>
      <c r="B179" s="61">
        <v>13</v>
      </c>
      <c r="C179" s="61">
        <v>13.51</v>
      </c>
    </row>
    <row r="180" spans="1:3" hidden="1">
      <c r="A180" s="113" t="s">
        <v>50</v>
      </c>
      <c r="B180" s="61">
        <v>13.33</v>
      </c>
      <c r="C180" s="61">
        <v>14.34</v>
      </c>
    </row>
    <row r="181" spans="1:3" hidden="1">
      <c r="A181" s="113"/>
      <c r="B181" s="61"/>
      <c r="C181" s="61"/>
    </row>
    <row r="182" spans="1:3" hidden="1">
      <c r="A182" s="113" t="s">
        <v>56</v>
      </c>
      <c r="B182" s="61" t="s">
        <v>88</v>
      </c>
      <c r="C182" s="61">
        <v>14.49</v>
      </c>
    </row>
    <row r="183" spans="1:3" hidden="1">
      <c r="A183" s="113" t="s">
        <v>40</v>
      </c>
      <c r="B183" s="61" t="s">
        <v>88</v>
      </c>
      <c r="C183" s="61">
        <v>13.23</v>
      </c>
    </row>
    <row r="184" spans="1:3" hidden="1">
      <c r="A184" s="113" t="s">
        <v>41</v>
      </c>
      <c r="B184" s="61" t="s">
        <v>88</v>
      </c>
      <c r="C184" s="61">
        <v>14.25</v>
      </c>
    </row>
    <row r="185" spans="1:3" hidden="1">
      <c r="A185" s="113" t="s">
        <v>42</v>
      </c>
      <c r="B185" s="61">
        <v>13.3</v>
      </c>
      <c r="C185" s="61">
        <v>14.63</v>
      </c>
    </row>
    <row r="186" spans="1:3" hidden="1">
      <c r="A186" s="113" t="s">
        <v>43</v>
      </c>
      <c r="B186" s="61">
        <v>13.55</v>
      </c>
      <c r="C186" s="61">
        <v>14.28</v>
      </c>
    </row>
    <row r="187" spans="1:3" hidden="1">
      <c r="A187" s="113" t="s">
        <v>44</v>
      </c>
      <c r="B187" s="61">
        <v>13.86</v>
      </c>
      <c r="C187" s="61">
        <v>15.04</v>
      </c>
    </row>
    <row r="188" spans="1:3" hidden="1">
      <c r="A188" s="113" t="s">
        <v>45</v>
      </c>
      <c r="B188" s="61">
        <v>13.9</v>
      </c>
      <c r="C188" s="61">
        <v>16.239999999999998</v>
      </c>
    </row>
    <row r="189" spans="1:3" hidden="1">
      <c r="A189" s="113" t="s">
        <v>46</v>
      </c>
      <c r="B189" s="61">
        <v>13.13</v>
      </c>
      <c r="C189" s="61">
        <v>15.35</v>
      </c>
    </row>
    <row r="190" spans="1:3" hidden="1">
      <c r="A190" s="113" t="s">
        <v>47</v>
      </c>
      <c r="B190" s="61">
        <v>12.59</v>
      </c>
      <c r="C190" s="61">
        <v>14.79</v>
      </c>
    </row>
    <row r="191" spans="1:3" hidden="1">
      <c r="A191" s="113" t="s">
        <v>48</v>
      </c>
      <c r="B191" s="61">
        <v>12.25</v>
      </c>
      <c r="C191" s="61">
        <v>13.59</v>
      </c>
    </row>
    <row r="192" spans="1:3" hidden="1">
      <c r="A192" s="113" t="s">
        <v>49</v>
      </c>
      <c r="B192" s="61">
        <v>12.54</v>
      </c>
      <c r="C192" s="61">
        <v>14.13</v>
      </c>
    </row>
    <row r="193" spans="1:6" hidden="1">
      <c r="A193" s="113" t="s">
        <v>50</v>
      </c>
      <c r="B193" s="61" t="s">
        <v>88</v>
      </c>
      <c r="C193" s="61">
        <v>13.77</v>
      </c>
    </row>
    <row r="194" spans="1:6" hidden="1">
      <c r="A194" s="113"/>
      <c r="B194" s="61"/>
      <c r="C194" s="61"/>
    </row>
    <row r="195" spans="1:6" hidden="1">
      <c r="A195" s="113" t="s">
        <v>55</v>
      </c>
      <c r="B195" s="61" t="s">
        <v>88</v>
      </c>
      <c r="C195" s="61">
        <v>14.77</v>
      </c>
    </row>
    <row r="196" spans="1:6" hidden="1">
      <c r="A196" s="113" t="s">
        <v>40</v>
      </c>
      <c r="B196" s="61">
        <v>11.25</v>
      </c>
      <c r="C196" s="61">
        <v>13.44</v>
      </c>
      <c r="F196" s="69">
        <f>12600-1800</f>
        <v>10800</v>
      </c>
    </row>
    <row r="197" spans="1:6" hidden="1">
      <c r="A197" s="113" t="s">
        <v>41</v>
      </c>
      <c r="B197" s="61" t="s">
        <v>88</v>
      </c>
      <c r="C197" s="61">
        <v>11.99</v>
      </c>
    </row>
    <row r="198" spans="1:6" hidden="1">
      <c r="A198" s="113" t="s">
        <v>42</v>
      </c>
      <c r="B198" s="61" t="s">
        <v>88</v>
      </c>
      <c r="C198" s="61">
        <v>12.47</v>
      </c>
    </row>
    <row r="199" spans="1:6" hidden="1">
      <c r="A199" s="113" t="s">
        <v>43</v>
      </c>
      <c r="B199" s="61" t="s">
        <v>88</v>
      </c>
      <c r="C199" s="61">
        <v>11.74</v>
      </c>
    </row>
    <row r="200" spans="1:6" hidden="1">
      <c r="A200" s="113" t="s">
        <v>44</v>
      </c>
      <c r="B200" s="61" t="s">
        <v>88</v>
      </c>
      <c r="C200" s="61">
        <v>9.68</v>
      </c>
    </row>
    <row r="201" spans="1:6" hidden="1">
      <c r="A201" s="113" t="s">
        <v>45</v>
      </c>
      <c r="B201" s="61" t="s">
        <v>88</v>
      </c>
      <c r="C201" s="61">
        <v>9.98</v>
      </c>
    </row>
    <row r="202" spans="1:6" hidden="1">
      <c r="A202" s="113" t="s">
        <v>46</v>
      </c>
      <c r="B202" s="61" t="s">
        <v>88</v>
      </c>
      <c r="C202" s="61">
        <v>10.36</v>
      </c>
    </row>
    <row r="203" spans="1:6" hidden="1">
      <c r="A203" s="113" t="s">
        <v>47</v>
      </c>
      <c r="B203" s="61" t="s">
        <v>88</v>
      </c>
      <c r="C203" s="61">
        <v>10.72</v>
      </c>
    </row>
    <row r="204" spans="1:6" hidden="1">
      <c r="A204" s="113" t="s">
        <v>48</v>
      </c>
      <c r="B204" s="61" t="s">
        <v>88</v>
      </c>
      <c r="C204" s="61">
        <v>11.45</v>
      </c>
    </row>
    <row r="205" spans="1:6" hidden="1">
      <c r="A205" s="113" t="s">
        <v>49</v>
      </c>
      <c r="B205" s="61" t="s">
        <v>88</v>
      </c>
      <c r="C205" s="61">
        <v>13</v>
      </c>
    </row>
    <row r="206" spans="1:6" hidden="1">
      <c r="A206" s="113" t="s">
        <v>50</v>
      </c>
      <c r="B206" s="61" t="s">
        <v>88</v>
      </c>
      <c r="C206" s="61">
        <v>12.5</v>
      </c>
    </row>
    <row r="207" spans="1:6" hidden="1">
      <c r="A207" s="142"/>
      <c r="B207" s="61"/>
      <c r="C207" s="61"/>
    </row>
    <row r="208" spans="1:6" hidden="1">
      <c r="A208" s="113" t="s">
        <v>54</v>
      </c>
      <c r="B208" s="61" t="s">
        <v>88</v>
      </c>
      <c r="C208" s="61">
        <v>10.52</v>
      </c>
    </row>
    <row r="209" spans="1:3" hidden="1">
      <c r="A209" s="113" t="s">
        <v>40</v>
      </c>
      <c r="B209" s="61" t="s">
        <v>88</v>
      </c>
      <c r="C209" s="61">
        <v>10.25</v>
      </c>
    </row>
    <row r="210" spans="1:3" hidden="1">
      <c r="A210" s="113" t="s">
        <v>41</v>
      </c>
      <c r="B210" s="61" t="s">
        <v>88</v>
      </c>
      <c r="C210" s="61">
        <v>10.52</v>
      </c>
    </row>
    <row r="211" spans="1:3" hidden="1">
      <c r="A211" s="113" t="s">
        <v>42</v>
      </c>
      <c r="B211" s="61" t="s">
        <v>88</v>
      </c>
      <c r="C211" s="61">
        <v>12.03</v>
      </c>
    </row>
    <row r="212" spans="1:3" hidden="1">
      <c r="A212" s="113" t="s">
        <v>43</v>
      </c>
      <c r="B212" s="61" t="s">
        <v>88</v>
      </c>
      <c r="C212" s="61">
        <v>10.4</v>
      </c>
    </row>
    <row r="213" spans="1:3" hidden="1">
      <c r="A213" s="113" t="s">
        <v>44</v>
      </c>
      <c r="B213" s="61" t="s">
        <v>88</v>
      </c>
      <c r="C213" s="61">
        <v>10.95</v>
      </c>
    </row>
    <row r="214" spans="1:3" hidden="1">
      <c r="A214" s="113" t="s">
        <v>45</v>
      </c>
      <c r="B214" s="61" t="s">
        <v>88</v>
      </c>
      <c r="C214" s="61">
        <v>10.5</v>
      </c>
    </row>
    <row r="215" spans="1:3" hidden="1">
      <c r="A215" s="113" t="s">
        <v>46</v>
      </c>
      <c r="B215" s="61" t="s">
        <v>88</v>
      </c>
      <c r="C215" s="61">
        <v>9.91</v>
      </c>
    </row>
    <row r="216" spans="1:3" hidden="1">
      <c r="A216" s="113" t="s">
        <v>47</v>
      </c>
      <c r="B216" s="61" t="s">
        <v>88</v>
      </c>
      <c r="C216" s="61">
        <v>8.0500000000000007</v>
      </c>
    </row>
    <row r="217" spans="1:3" hidden="1">
      <c r="A217" s="113" t="s">
        <v>48</v>
      </c>
      <c r="B217" s="61" t="s">
        <v>88</v>
      </c>
      <c r="C217" s="61">
        <v>6.5</v>
      </c>
    </row>
    <row r="218" spans="1:3" hidden="1">
      <c r="A218" s="113" t="s">
        <v>49</v>
      </c>
      <c r="B218" s="61" t="s">
        <v>88</v>
      </c>
      <c r="C218" s="61">
        <v>7.9</v>
      </c>
    </row>
    <row r="219" spans="1:3" hidden="1">
      <c r="A219" s="113" t="s">
        <v>50</v>
      </c>
      <c r="B219" s="61" t="s">
        <v>88</v>
      </c>
      <c r="C219" s="61">
        <v>8</v>
      </c>
    </row>
    <row r="220" spans="1:3" hidden="1">
      <c r="A220" s="113"/>
      <c r="B220" s="61"/>
      <c r="C220" s="61"/>
    </row>
    <row r="221" spans="1:3" hidden="1">
      <c r="A221" s="113" t="s">
        <v>51</v>
      </c>
      <c r="B221" s="61" t="s">
        <v>88</v>
      </c>
      <c r="C221" s="61">
        <v>10.119999999999999</v>
      </c>
    </row>
    <row r="222" spans="1:3" hidden="1">
      <c r="A222" s="113" t="s">
        <v>52</v>
      </c>
      <c r="B222" s="61" t="s">
        <v>88</v>
      </c>
      <c r="C222" s="61">
        <v>8.18</v>
      </c>
    </row>
    <row r="223" spans="1:3" hidden="1">
      <c r="A223" s="113" t="s">
        <v>53</v>
      </c>
      <c r="B223" s="61" t="s">
        <v>88</v>
      </c>
      <c r="C223" s="61">
        <v>7.95</v>
      </c>
    </row>
    <row r="224" spans="1:3" hidden="1">
      <c r="A224" s="113" t="s">
        <v>603</v>
      </c>
      <c r="B224" s="61">
        <v>7.93</v>
      </c>
      <c r="C224" s="61">
        <v>8.18</v>
      </c>
    </row>
    <row r="225" spans="1:3" hidden="1">
      <c r="A225" s="113" t="s">
        <v>609</v>
      </c>
      <c r="B225" s="61">
        <v>8.33</v>
      </c>
      <c r="C225" s="61">
        <v>13.17</v>
      </c>
    </row>
    <row r="226" spans="1:3" hidden="1">
      <c r="A226" s="113" t="s">
        <v>44</v>
      </c>
      <c r="B226" s="61">
        <v>8.9499999999999993</v>
      </c>
      <c r="C226" s="61">
        <v>12.39</v>
      </c>
    </row>
    <row r="227" spans="1:3" hidden="1">
      <c r="A227" s="113" t="s">
        <v>617</v>
      </c>
      <c r="B227" s="61">
        <v>7.12</v>
      </c>
      <c r="C227" s="61">
        <v>14.75</v>
      </c>
    </row>
    <row r="228" spans="1:3" hidden="1">
      <c r="A228" s="113" t="s">
        <v>621</v>
      </c>
      <c r="B228" s="61">
        <v>7.13</v>
      </c>
      <c r="C228" s="61">
        <v>16.23</v>
      </c>
    </row>
    <row r="229" spans="1:3" hidden="1">
      <c r="A229" s="113" t="s">
        <v>47</v>
      </c>
      <c r="B229" s="61">
        <v>7.44</v>
      </c>
      <c r="C229" s="61">
        <v>15.98</v>
      </c>
    </row>
    <row r="230" spans="1:3" hidden="1">
      <c r="A230" s="113" t="s">
        <v>631</v>
      </c>
      <c r="B230" s="61">
        <v>7.05</v>
      </c>
      <c r="C230" s="61">
        <v>14.83</v>
      </c>
    </row>
    <row r="231" spans="1:3" hidden="1">
      <c r="A231" s="113" t="s">
        <v>654</v>
      </c>
      <c r="B231" s="61">
        <v>4.68</v>
      </c>
      <c r="C231" s="61">
        <v>13.35</v>
      </c>
    </row>
    <row r="232" spans="1:3" hidden="1">
      <c r="A232" s="113" t="s">
        <v>665</v>
      </c>
      <c r="B232" s="61">
        <v>3.4</v>
      </c>
      <c r="C232" s="61">
        <v>9.82</v>
      </c>
    </row>
    <row r="233" spans="1:3" hidden="1">
      <c r="A233" s="113"/>
      <c r="B233" s="61"/>
      <c r="C233" s="61"/>
    </row>
    <row r="234" spans="1:3" hidden="1">
      <c r="A234" s="113" t="s">
        <v>39</v>
      </c>
      <c r="B234" s="61">
        <v>3.46</v>
      </c>
      <c r="C234" s="61">
        <v>9.44</v>
      </c>
    </row>
    <row r="235" spans="1:3" hidden="1">
      <c r="A235" s="113" t="s">
        <v>677</v>
      </c>
      <c r="B235" s="61">
        <v>3.56</v>
      </c>
      <c r="C235" s="61">
        <v>9.24</v>
      </c>
    </row>
    <row r="236" spans="1:3" hidden="1">
      <c r="A236" s="113" t="s">
        <v>41</v>
      </c>
      <c r="B236" s="61">
        <v>3.27</v>
      </c>
      <c r="C236" s="61">
        <v>9.2100000000000009</v>
      </c>
    </row>
    <row r="237" spans="1:3" hidden="1">
      <c r="A237" s="113" t="s">
        <v>692</v>
      </c>
      <c r="B237" s="61">
        <v>3.31</v>
      </c>
      <c r="C237" s="61">
        <v>7.74</v>
      </c>
    </row>
    <row r="238" spans="1:3" hidden="1">
      <c r="A238" s="113" t="s">
        <v>700</v>
      </c>
      <c r="B238" s="61">
        <v>3.29</v>
      </c>
      <c r="C238" s="61">
        <v>9.8000000000000007</v>
      </c>
    </row>
    <row r="239" spans="1:3" hidden="1">
      <c r="A239" s="113" t="s">
        <v>711</v>
      </c>
      <c r="B239" s="61">
        <v>3.15</v>
      </c>
      <c r="C239" s="61">
        <v>8.89</v>
      </c>
    </row>
    <row r="240" spans="1:3">
      <c r="A240" s="113" t="s">
        <v>730</v>
      </c>
      <c r="B240" s="61">
        <v>3.23</v>
      </c>
      <c r="C240" s="61">
        <v>8.85</v>
      </c>
    </row>
    <row r="241" spans="1:3">
      <c r="A241" s="113" t="s">
        <v>46</v>
      </c>
      <c r="B241" s="61">
        <v>3.15</v>
      </c>
      <c r="C241" s="61">
        <v>7.95</v>
      </c>
    </row>
    <row r="242" spans="1:3">
      <c r="A242" s="113" t="s">
        <v>47</v>
      </c>
      <c r="B242" s="61">
        <v>3.08</v>
      </c>
      <c r="C242" s="61">
        <v>7.89</v>
      </c>
    </row>
    <row r="243" spans="1:3">
      <c r="A243" s="113" t="s">
        <v>48</v>
      </c>
      <c r="B243" s="61">
        <v>2.86</v>
      </c>
      <c r="C243" s="61">
        <v>7.46</v>
      </c>
    </row>
    <row r="244" spans="1:3">
      <c r="A244" s="113" t="s">
        <v>49</v>
      </c>
      <c r="B244" s="61">
        <v>2.54</v>
      </c>
      <c r="C244" s="61">
        <v>6.95</v>
      </c>
    </row>
    <row r="245" spans="1:3">
      <c r="A245" s="113" t="s">
        <v>50</v>
      </c>
      <c r="B245" s="61">
        <v>2.37</v>
      </c>
      <c r="C245" s="61">
        <v>7.17</v>
      </c>
    </row>
    <row r="246" spans="1:3">
      <c r="A246" s="689"/>
      <c r="B246" s="61"/>
      <c r="C246" s="61"/>
    </row>
    <row r="247" spans="1:3">
      <c r="A247" s="113" t="s">
        <v>36</v>
      </c>
      <c r="B247" s="61">
        <v>2.39</v>
      </c>
      <c r="C247" s="61">
        <v>7.91</v>
      </c>
    </row>
    <row r="248" spans="1:3">
      <c r="A248" s="113" t="s">
        <v>37</v>
      </c>
      <c r="B248" s="61">
        <v>3.72</v>
      </c>
      <c r="C248" s="61">
        <v>8.5</v>
      </c>
    </row>
    <row r="249" spans="1:3">
      <c r="A249" s="113" t="s">
        <v>38</v>
      </c>
      <c r="B249" s="61">
        <v>4.92</v>
      </c>
      <c r="C249" s="61">
        <v>9.01</v>
      </c>
    </row>
    <row r="250" spans="1:3">
      <c r="A250" s="113" t="s">
        <v>42</v>
      </c>
      <c r="B250" s="61">
        <v>5.36</v>
      </c>
      <c r="C250" s="61">
        <v>7.96</v>
      </c>
    </row>
    <row r="251" spans="1:3">
      <c r="A251" s="552" t="s">
        <v>43</v>
      </c>
      <c r="B251" s="61">
        <v>3.85</v>
      </c>
      <c r="C251" s="61">
        <v>7.17</v>
      </c>
    </row>
    <row r="252" spans="1:3">
      <c r="A252" s="113" t="s">
        <v>62</v>
      </c>
      <c r="B252" s="61">
        <v>2.92</v>
      </c>
      <c r="C252" s="61">
        <v>7.14</v>
      </c>
    </row>
    <row r="253" spans="1:3">
      <c r="A253" s="113" t="s">
        <v>614</v>
      </c>
      <c r="B253" s="61">
        <v>3.34</v>
      </c>
      <c r="C253" s="61">
        <v>6.98</v>
      </c>
    </row>
    <row r="254" spans="1:3">
      <c r="A254" s="113" t="s">
        <v>620</v>
      </c>
      <c r="B254" s="61">
        <v>2.7</v>
      </c>
      <c r="C254" s="61">
        <v>7.45</v>
      </c>
    </row>
    <row r="255" spans="1:3">
      <c r="A255" s="113" t="s">
        <v>63</v>
      </c>
      <c r="B255" s="61">
        <v>2.73</v>
      </c>
      <c r="C255" s="61">
        <v>7.92</v>
      </c>
    </row>
    <row r="256" spans="1:3">
      <c r="A256" s="113" t="s">
        <v>632</v>
      </c>
      <c r="B256" s="61">
        <v>2.52</v>
      </c>
      <c r="C256" s="61">
        <v>8.19</v>
      </c>
    </row>
    <row r="257" spans="1:4">
      <c r="A257" s="113" t="s">
        <v>653</v>
      </c>
      <c r="B257" s="61">
        <v>2.5</v>
      </c>
      <c r="C257" s="61">
        <v>8.25</v>
      </c>
    </row>
    <row r="258" spans="1:4">
      <c r="A258" s="113" t="s">
        <v>64</v>
      </c>
      <c r="B258" s="61">
        <v>2.79</v>
      </c>
      <c r="C258" s="61">
        <v>7.13</v>
      </c>
    </row>
    <row r="259" spans="1:4">
      <c r="A259" s="113"/>
      <c r="B259" s="61"/>
      <c r="C259" s="61"/>
    </row>
    <row r="260" spans="1:4">
      <c r="A260" s="113" t="s">
        <v>671</v>
      </c>
      <c r="B260" s="61">
        <v>2.75</v>
      </c>
      <c r="C260" s="61">
        <v>7.02</v>
      </c>
    </row>
    <row r="261" spans="1:4">
      <c r="A261" s="113" t="s">
        <v>263</v>
      </c>
      <c r="B261" s="61">
        <v>2.54</v>
      </c>
      <c r="C261" s="61">
        <v>6.98</v>
      </c>
    </row>
    <row r="262" spans="1:4">
      <c r="A262" s="113" t="s">
        <v>41</v>
      </c>
      <c r="B262" s="61">
        <v>2.84</v>
      </c>
      <c r="C262" s="61">
        <v>6.59</v>
      </c>
    </row>
    <row r="263" spans="1:4">
      <c r="A263" s="113" t="s">
        <v>42</v>
      </c>
      <c r="B263" s="61">
        <v>3.19</v>
      </c>
      <c r="C263" s="61">
        <v>6.16</v>
      </c>
    </row>
    <row r="264" spans="1:4" s="1051" customFormat="1">
      <c r="A264" s="1059" t="s">
        <v>43</v>
      </c>
      <c r="B264" s="61">
        <v>3.57</v>
      </c>
      <c r="C264" s="61">
        <v>5.51</v>
      </c>
    </row>
    <row r="265" spans="1:4">
      <c r="A265" s="113" t="s">
        <v>44</v>
      </c>
      <c r="B265" s="61">
        <v>3.82</v>
      </c>
      <c r="C265" s="61">
        <v>5.07</v>
      </c>
    </row>
    <row r="266" spans="1:4" s="1051" customFormat="1">
      <c r="A266" s="1059" t="s">
        <v>619</v>
      </c>
      <c r="B266" s="61">
        <v>3.17</v>
      </c>
      <c r="C266" s="61">
        <v>5.13</v>
      </c>
    </row>
    <row r="267" spans="1:4">
      <c r="A267" s="113"/>
      <c r="B267" s="797"/>
      <c r="C267" s="797"/>
    </row>
    <row r="268" spans="1:4" ht="12.75" hidden="1" customHeight="1">
      <c r="A268" s="1272" t="s">
        <v>545</v>
      </c>
      <c r="B268" s="1275"/>
      <c r="C268" s="1276"/>
      <c r="D268" s="566"/>
    </row>
    <row r="269" spans="1:4" ht="12.75" hidden="1" customHeight="1">
      <c r="A269" s="1277" t="s">
        <v>546</v>
      </c>
      <c r="B269" s="1278"/>
      <c r="C269" s="1279"/>
      <c r="D269" s="566"/>
    </row>
    <row r="270" spans="1:4" ht="12.75" hidden="1" customHeight="1">
      <c r="A270" s="1280" t="s">
        <v>547</v>
      </c>
      <c r="B270" s="1281"/>
      <c r="C270" s="1282"/>
      <c r="D270" s="566"/>
    </row>
    <row r="271" spans="1:4" ht="12.75" hidden="1" customHeight="1">
      <c r="A271" s="1283" t="s">
        <v>600</v>
      </c>
      <c r="B271" s="1284"/>
      <c r="C271" s="1285"/>
      <c r="D271" s="566"/>
    </row>
    <row r="272" spans="1:4">
      <c r="A272" s="1272" t="s">
        <v>651</v>
      </c>
      <c r="B272" s="1273"/>
      <c r="C272" s="1274"/>
      <c r="D272" s="566"/>
    </row>
    <row r="273" spans="1:5">
      <c r="A273" s="795" t="s">
        <v>90</v>
      </c>
      <c r="B273" s="17"/>
      <c r="C273" s="796"/>
      <c r="D273" s="566"/>
      <c r="E273" s="69" t="s">
        <v>0</v>
      </c>
    </row>
    <row r="274" spans="1:5">
      <c r="A274" s="757"/>
      <c r="B274" s="758"/>
      <c r="C274" s="759"/>
      <c r="D274" s="566"/>
    </row>
    <row r="275" spans="1:5">
      <c r="A275" s="566"/>
      <c r="B275" s="35"/>
      <c r="C275" s="35"/>
      <c r="D275" s="566"/>
    </row>
    <row r="276" spans="1:5">
      <c r="C276" s="62"/>
    </row>
    <row r="281" spans="1:5">
      <c r="C281" s="62"/>
    </row>
  </sheetData>
  <mergeCells count="7">
    <mergeCell ref="A272:C272"/>
    <mergeCell ref="A3:C3"/>
    <mergeCell ref="A4:C4"/>
    <mergeCell ref="A268:C268"/>
    <mergeCell ref="A269:C269"/>
    <mergeCell ref="A270:C270"/>
    <mergeCell ref="A271:C27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showGridLines="0" view="pageBreakPreview" topLeftCell="A160" zoomScale="60" zoomScaleNormal="100" workbookViewId="0">
      <selection activeCell="G204" sqref="G204"/>
    </sheetView>
  </sheetViews>
  <sheetFormatPr defaultColWidth="8.88671875" defaultRowHeight="12.75"/>
  <cols>
    <col min="1" max="1" width="17.33203125" style="132" customWidth="1"/>
    <col min="2" max="2" width="9.77734375" style="229" bestFit="1" customWidth="1"/>
    <col min="3" max="3" width="13.88671875" style="229" bestFit="1" customWidth="1"/>
    <col min="4" max="4" width="12.88671875" style="229" bestFit="1" customWidth="1"/>
    <col min="5" max="5" width="11.88671875" style="229" bestFit="1" customWidth="1"/>
    <col min="6" max="6" width="12" style="229" bestFit="1" customWidth="1"/>
    <col min="7" max="7" width="12.88671875" style="230" bestFit="1" customWidth="1"/>
    <col min="8" max="8" width="8.44140625" style="230" bestFit="1" customWidth="1"/>
    <col min="9" max="9" width="9.5546875" style="229" bestFit="1" customWidth="1"/>
    <col min="10" max="10" width="9.88671875" style="230" bestFit="1" customWidth="1"/>
    <col min="11" max="11" width="9.5546875" style="229" bestFit="1" customWidth="1"/>
    <col min="12" max="12" width="9.88671875" style="229" bestFit="1" customWidth="1"/>
    <col min="13" max="13" width="10" style="229" bestFit="1" customWidth="1"/>
    <col min="14" max="14" width="8.6640625" style="229" bestFit="1" customWidth="1"/>
    <col min="15" max="15" width="16" style="229" customWidth="1"/>
    <col min="16" max="16" width="8.44140625" style="231" bestFit="1" customWidth="1"/>
    <col min="17" max="17" width="8.44140625" style="228" bestFit="1" customWidth="1"/>
    <col min="18" max="18" width="9.88671875" style="229" customWidth="1"/>
    <col min="19" max="19" width="11.5546875" style="229" bestFit="1" customWidth="1"/>
    <col min="20" max="16384" width="8.88671875" style="132"/>
  </cols>
  <sheetData>
    <row r="1" spans="1:21">
      <c r="A1" s="156"/>
      <c r="B1" s="157"/>
      <c r="C1" s="157"/>
      <c r="D1" s="157"/>
      <c r="E1" s="157"/>
      <c r="F1" s="157"/>
      <c r="G1" s="158"/>
      <c r="H1" s="158"/>
      <c r="I1" s="157"/>
      <c r="J1" s="158"/>
      <c r="K1" s="157"/>
      <c r="L1" s="157"/>
      <c r="M1" s="157"/>
      <c r="N1" s="157"/>
      <c r="O1" s="157"/>
      <c r="P1" s="159"/>
      <c r="Q1" s="159"/>
      <c r="R1" s="157"/>
      <c r="S1" s="160"/>
    </row>
    <row r="2" spans="1:21" ht="15.75" customHeight="1">
      <c r="A2" s="161" t="s">
        <v>148</v>
      </c>
      <c r="B2" s="1207" t="s">
        <v>102</v>
      </c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62" t="s">
        <v>114</v>
      </c>
    </row>
    <row r="3" spans="1:21" ht="15.75" customHeight="1">
      <c r="A3" s="163"/>
      <c r="B3" s="1207" t="s">
        <v>113</v>
      </c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207"/>
      <c r="Q3" s="1207"/>
      <c r="R3" s="1207"/>
      <c r="S3" s="162"/>
    </row>
    <row r="4" spans="1:21">
      <c r="A4" s="164" t="s">
        <v>0</v>
      </c>
      <c r="B4" s="165" t="s">
        <v>0</v>
      </c>
      <c r="C4" s="165"/>
      <c r="D4" s="165"/>
      <c r="E4" s="165"/>
      <c r="F4" s="165"/>
      <c r="G4" s="166"/>
      <c r="H4" s="166"/>
      <c r="I4" s="165"/>
      <c r="J4" s="166" t="s">
        <v>0</v>
      </c>
      <c r="K4" s="165"/>
      <c r="L4" s="165" t="s">
        <v>0</v>
      </c>
      <c r="M4" s="165"/>
      <c r="N4" s="165" t="s">
        <v>0</v>
      </c>
      <c r="O4" s="165"/>
      <c r="P4" s="167"/>
      <c r="Q4" s="167"/>
      <c r="R4" s="165"/>
      <c r="S4" s="168"/>
    </row>
    <row r="5" spans="1:21">
      <c r="A5" s="169"/>
      <c r="B5" s="170"/>
      <c r="C5" s="157"/>
      <c r="D5" s="157"/>
      <c r="E5" s="157"/>
      <c r="F5" s="157"/>
      <c r="G5" s="158"/>
      <c r="H5" s="158"/>
      <c r="I5" s="171"/>
      <c r="J5" s="172"/>
      <c r="K5" s="157"/>
      <c r="L5" s="171"/>
      <c r="M5" s="173"/>
      <c r="N5" s="171"/>
      <c r="O5" s="157"/>
      <c r="P5" s="174"/>
      <c r="Q5" s="174"/>
      <c r="R5" s="173"/>
      <c r="S5" s="173"/>
    </row>
    <row r="6" spans="1:21" ht="15.75" customHeight="1">
      <c r="A6" s="175" t="s">
        <v>122</v>
      </c>
      <c r="B6" s="1201" t="s">
        <v>129</v>
      </c>
      <c r="C6" s="1202"/>
      <c r="D6" s="1202"/>
      <c r="E6" s="1202"/>
      <c r="F6" s="1202"/>
      <c r="G6" s="1202"/>
      <c r="H6" s="1202"/>
      <c r="I6" s="1203"/>
      <c r="J6" s="1204" t="s">
        <v>150</v>
      </c>
      <c r="K6" s="1205"/>
      <c r="L6" s="1206"/>
      <c r="M6" s="176" t="s">
        <v>130</v>
      </c>
      <c r="N6" s="177" t="s">
        <v>132</v>
      </c>
      <c r="O6" s="176" t="s">
        <v>133</v>
      </c>
      <c r="P6" s="176" t="s">
        <v>136</v>
      </c>
      <c r="Q6" s="178" t="s">
        <v>138</v>
      </c>
      <c r="R6" s="179" t="s">
        <v>111</v>
      </c>
      <c r="S6" s="180" t="s">
        <v>74</v>
      </c>
    </row>
    <row r="7" spans="1:21">
      <c r="A7" s="175"/>
      <c r="B7" s="181"/>
      <c r="C7" s="155"/>
      <c r="D7" s="182"/>
      <c r="E7" s="182"/>
      <c r="F7" s="155"/>
      <c r="G7" s="183"/>
      <c r="H7" s="183"/>
      <c r="I7" s="153"/>
      <c r="J7" s="184"/>
      <c r="K7" s="155"/>
      <c r="L7" s="153" t="s">
        <v>0</v>
      </c>
      <c r="M7" s="179" t="s">
        <v>131</v>
      </c>
      <c r="N7" s="177" t="s">
        <v>128</v>
      </c>
      <c r="O7" s="179" t="s">
        <v>134</v>
      </c>
      <c r="P7" s="179" t="s">
        <v>137</v>
      </c>
      <c r="Q7" s="186"/>
      <c r="R7" s="179" t="s">
        <v>139</v>
      </c>
      <c r="S7" s="180" t="s">
        <v>140</v>
      </c>
    </row>
    <row r="8" spans="1:21">
      <c r="A8" s="187"/>
      <c r="B8" s="188"/>
      <c r="C8" s="189"/>
      <c r="D8" s="189"/>
      <c r="E8" s="189"/>
      <c r="F8" s="189"/>
      <c r="G8" s="190"/>
      <c r="H8" s="190"/>
      <c r="I8" s="191"/>
      <c r="J8" s="192"/>
      <c r="K8" s="189"/>
      <c r="L8" s="191"/>
      <c r="M8" s="179"/>
      <c r="N8" s="177"/>
      <c r="O8" s="193" t="s">
        <v>135</v>
      </c>
      <c r="P8" s="179" t="s">
        <v>115</v>
      </c>
      <c r="Q8" s="186"/>
      <c r="R8" s="179"/>
      <c r="S8" s="179"/>
    </row>
    <row r="9" spans="1:21">
      <c r="A9" s="1170"/>
      <c r="B9" s="926"/>
      <c r="C9" s="1164"/>
      <c r="D9" s="179"/>
      <c r="E9" s="179"/>
      <c r="F9" s="193"/>
      <c r="G9" s="194"/>
      <c r="H9" s="194"/>
      <c r="I9" s="177"/>
      <c r="J9" s="184"/>
      <c r="K9" s="154"/>
      <c r="L9" s="181"/>
      <c r="M9" s="154"/>
      <c r="N9" s="153"/>
      <c r="O9" s="155"/>
      <c r="P9" s="195"/>
      <c r="Q9" s="195"/>
      <c r="R9" s="154"/>
      <c r="S9" s="154"/>
    </row>
    <row r="10" spans="1:21">
      <c r="A10" s="1170" t="s">
        <v>34</v>
      </c>
      <c r="B10" s="179" t="s">
        <v>123</v>
      </c>
      <c r="C10" s="1171" t="s">
        <v>127</v>
      </c>
      <c r="D10" s="179" t="s">
        <v>111</v>
      </c>
      <c r="E10" s="179" t="s">
        <v>149</v>
      </c>
      <c r="F10" s="193" t="s">
        <v>108</v>
      </c>
      <c r="G10" s="194" t="s">
        <v>144</v>
      </c>
      <c r="H10" s="179" t="s">
        <v>111</v>
      </c>
      <c r="I10" s="153" t="s">
        <v>117</v>
      </c>
      <c r="J10" s="185" t="s">
        <v>145</v>
      </c>
      <c r="K10" s="179" t="s">
        <v>146</v>
      </c>
      <c r="L10" s="196" t="s">
        <v>9</v>
      </c>
      <c r="M10" s="197"/>
      <c r="N10" s="153"/>
      <c r="O10" s="155"/>
      <c r="P10" s="195"/>
      <c r="Q10" s="195"/>
      <c r="R10" s="154"/>
      <c r="S10" s="154"/>
    </row>
    <row r="11" spans="1:21">
      <c r="A11" s="1170"/>
      <c r="B11" s="179" t="s">
        <v>124</v>
      </c>
      <c r="C11" s="1171" t="s">
        <v>128</v>
      </c>
      <c r="D11" s="179" t="s">
        <v>141</v>
      </c>
      <c r="E11" s="179" t="s">
        <v>128</v>
      </c>
      <c r="F11" s="193" t="s">
        <v>110</v>
      </c>
      <c r="G11" s="194" t="s">
        <v>143</v>
      </c>
      <c r="H11" s="194" t="s">
        <v>128</v>
      </c>
      <c r="I11" s="198"/>
      <c r="J11" s="185" t="s">
        <v>128</v>
      </c>
      <c r="K11" s="179" t="s">
        <v>147</v>
      </c>
      <c r="L11" s="199"/>
      <c r="M11" s="200"/>
      <c r="N11" s="153"/>
      <c r="O11" s="155"/>
      <c r="P11" s="195"/>
      <c r="Q11" s="195"/>
      <c r="R11" s="154"/>
      <c r="S11" s="154"/>
    </row>
    <row r="12" spans="1:21">
      <c r="A12" s="1170"/>
      <c r="B12" s="179" t="s">
        <v>125</v>
      </c>
      <c r="C12" s="1164"/>
      <c r="D12" s="179" t="s">
        <v>142</v>
      </c>
      <c r="E12" s="179"/>
      <c r="F12" s="193" t="s">
        <v>142</v>
      </c>
      <c r="G12" s="194" t="s">
        <v>128</v>
      </c>
      <c r="H12" s="194"/>
      <c r="I12" s="177"/>
      <c r="J12" s="185"/>
      <c r="K12" s="179" t="s">
        <v>128</v>
      </c>
      <c r="L12" s="181" t="s">
        <v>0</v>
      </c>
      <c r="M12" s="154"/>
      <c r="N12" s="153"/>
      <c r="O12" s="155"/>
      <c r="P12" s="195"/>
      <c r="Q12" s="195"/>
      <c r="R12" s="154"/>
      <c r="S12" s="154"/>
    </row>
    <row r="13" spans="1:21">
      <c r="A13" s="1169"/>
      <c r="B13" s="201" t="s">
        <v>126</v>
      </c>
      <c r="C13" s="204"/>
      <c r="D13" s="201" t="s">
        <v>128</v>
      </c>
      <c r="E13" s="201"/>
      <c r="F13" s="202" t="s">
        <v>128</v>
      </c>
      <c r="G13" s="203"/>
      <c r="H13" s="203"/>
      <c r="I13" s="204"/>
      <c r="J13" s="205"/>
      <c r="K13" s="201"/>
      <c r="L13" s="206"/>
      <c r="M13" s="207"/>
      <c r="N13" s="168"/>
      <c r="O13" s="165"/>
      <c r="P13" s="208"/>
      <c r="Q13" s="208"/>
      <c r="R13" s="207"/>
      <c r="S13" s="207"/>
    </row>
    <row r="14" spans="1:21">
      <c r="A14" s="209"/>
      <c r="B14" s="173"/>
      <c r="C14" s="171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</row>
    <row r="15" spans="1:21" s="214" customFormat="1" ht="15" hidden="1" customHeight="1">
      <c r="A15" s="212"/>
      <c r="B15" s="130"/>
      <c r="C15" s="128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21" s="217" customFormat="1" ht="15" hidden="1" customHeight="1">
      <c r="A16" s="215" t="s">
        <v>119</v>
      </c>
      <c r="B16" s="940">
        <v>124230.9</v>
      </c>
      <c r="C16" s="939">
        <v>24965.9</v>
      </c>
      <c r="D16" s="940">
        <v>1127</v>
      </c>
      <c r="E16" s="941" t="s">
        <v>88</v>
      </c>
      <c r="F16" s="940">
        <v>4527.2</v>
      </c>
      <c r="G16" s="942">
        <v>56.9</v>
      </c>
      <c r="H16" s="943">
        <v>1675.3</v>
      </c>
      <c r="I16" s="940">
        <f t="shared" ref="I16:I21" si="0">SUM(B16:H16)</f>
        <v>156583.19999999998</v>
      </c>
      <c r="J16" s="940">
        <v>87124.799999999988</v>
      </c>
      <c r="K16" s="940">
        <v>6683.6</v>
      </c>
      <c r="L16" s="944">
        <f t="shared" ref="L16:L21" si="1">SUM(J16:K16)</f>
        <v>93808.4</v>
      </c>
      <c r="M16" s="940">
        <v>12000</v>
      </c>
      <c r="N16" s="939">
        <v>5225.7</v>
      </c>
      <c r="O16" s="939">
        <v>175397.7</v>
      </c>
      <c r="P16" s="940">
        <v>22381.3</v>
      </c>
      <c r="Q16" s="939">
        <v>14196.7</v>
      </c>
      <c r="R16" s="945">
        <v>34017.399999999994</v>
      </c>
      <c r="S16" s="939">
        <f t="shared" ref="S16:S25" si="2">SUM(I16,L16:O16,R16,P16,Q16)</f>
        <v>513610.4</v>
      </c>
      <c r="T16" s="214"/>
      <c r="U16" s="214"/>
    </row>
    <row r="17" spans="1:20" s="214" customFormat="1" ht="15" hidden="1" customHeight="1">
      <c r="A17" s="218" t="s">
        <v>120</v>
      </c>
      <c r="B17" s="947">
        <v>136206.20000000001</v>
      </c>
      <c r="C17" s="946">
        <v>53891.1</v>
      </c>
      <c r="D17" s="947">
        <v>1014.1</v>
      </c>
      <c r="E17" s="941" t="s">
        <v>88</v>
      </c>
      <c r="F17" s="947">
        <v>6100.8</v>
      </c>
      <c r="G17" s="942">
        <v>29.2</v>
      </c>
      <c r="H17" s="943">
        <v>901.8</v>
      </c>
      <c r="I17" s="940">
        <f t="shared" si="0"/>
        <v>198143.2</v>
      </c>
      <c r="J17" s="942">
        <v>76348</v>
      </c>
      <c r="K17" s="947">
        <v>6233.9</v>
      </c>
      <c r="L17" s="944">
        <f t="shared" si="1"/>
        <v>82581.899999999994</v>
      </c>
      <c r="M17" s="947">
        <v>10000</v>
      </c>
      <c r="N17" s="946">
        <v>3627.5</v>
      </c>
      <c r="O17" s="946">
        <v>255985.09999999998</v>
      </c>
      <c r="P17" s="940">
        <v>32780.300000000003</v>
      </c>
      <c r="Q17" s="939">
        <v>4383.1000000000004</v>
      </c>
      <c r="R17" s="948">
        <v>72473.799999999988</v>
      </c>
      <c r="S17" s="939">
        <f t="shared" si="2"/>
        <v>659974.9</v>
      </c>
    </row>
    <row r="18" spans="1:20" s="214" customFormat="1" ht="15" hidden="1" customHeight="1">
      <c r="A18" s="218" t="s">
        <v>89</v>
      </c>
      <c r="B18" s="947">
        <v>155835.20000000001</v>
      </c>
      <c r="C18" s="946">
        <v>47450.5</v>
      </c>
      <c r="D18" s="947">
        <v>1428</v>
      </c>
      <c r="E18" s="947">
        <v>2738.884497</v>
      </c>
      <c r="F18" s="947">
        <v>3735.6</v>
      </c>
      <c r="G18" s="942">
        <v>28.6</v>
      </c>
      <c r="H18" s="943">
        <v>422.01550300000008</v>
      </c>
      <c r="I18" s="940">
        <f t="shared" si="0"/>
        <v>211638.80000000002</v>
      </c>
      <c r="J18" s="942">
        <v>95993</v>
      </c>
      <c r="K18" s="947">
        <v>6291.8</v>
      </c>
      <c r="L18" s="944">
        <f t="shared" si="1"/>
        <v>102284.8</v>
      </c>
      <c r="M18" s="947">
        <v>7000</v>
      </c>
      <c r="N18" s="946">
        <v>10515.6</v>
      </c>
      <c r="O18" s="946">
        <v>276658.60000000003</v>
      </c>
      <c r="P18" s="940">
        <v>36102</v>
      </c>
      <c r="Q18" s="939">
        <v>4813.2</v>
      </c>
      <c r="R18" s="948">
        <v>31416</v>
      </c>
      <c r="S18" s="939">
        <f t="shared" si="2"/>
        <v>680429</v>
      </c>
    </row>
    <row r="19" spans="1:20" s="214" customFormat="1" ht="15" hidden="1" customHeight="1">
      <c r="A19" s="218" t="s">
        <v>121</v>
      </c>
      <c r="B19" s="947">
        <v>170106</v>
      </c>
      <c r="C19" s="946">
        <v>34979.700000000004</v>
      </c>
      <c r="D19" s="947">
        <v>278</v>
      </c>
      <c r="E19" s="947">
        <v>500</v>
      </c>
      <c r="F19" s="947">
        <v>5041.4999999999982</v>
      </c>
      <c r="G19" s="942">
        <v>23.6</v>
      </c>
      <c r="H19" s="943">
        <v>397.3</v>
      </c>
      <c r="I19" s="940">
        <f t="shared" si="0"/>
        <v>211326.1</v>
      </c>
      <c r="J19" s="942">
        <v>103201.79999999999</v>
      </c>
      <c r="K19" s="947">
        <v>7172.3000000000011</v>
      </c>
      <c r="L19" s="944">
        <f t="shared" si="1"/>
        <v>110374.09999999999</v>
      </c>
      <c r="M19" s="941" t="s">
        <v>88</v>
      </c>
      <c r="N19" s="946">
        <v>12302.2</v>
      </c>
      <c r="O19" s="946">
        <v>330449.80000000005</v>
      </c>
      <c r="P19" s="940">
        <v>41797.4</v>
      </c>
      <c r="Q19" s="939">
        <v>9533.5</v>
      </c>
      <c r="R19" s="948">
        <v>56251.500000000007</v>
      </c>
      <c r="S19" s="939">
        <f t="shared" si="2"/>
        <v>772034.60000000009</v>
      </c>
    </row>
    <row r="20" spans="1:20" s="214" customFormat="1" ht="15" hidden="1" customHeight="1">
      <c r="A20" s="218" t="s">
        <v>10</v>
      </c>
      <c r="B20" s="940">
        <v>198246.9</v>
      </c>
      <c r="C20" s="946">
        <v>39879.9</v>
      </c>
      <c r="D20" s="947">
        <v>2827.5</v>
      </c>
      <c r="E20" s="947">
        <v>22413.599999999999</v>
      </c>
      <c r="F20" s="947">
        <v>3234.3</v>
      </c>
      <c r="G20" s="942">
        <v>14.5</v>
      </c>
      <c r="H20" s="943">
        <v>669.4</v>
      </c>
      <c r="I20" s="940">
        <f t="shared" si="0"/>
        <v>267286.09999999998</v>
      </c>
      <c r="J20" s="942">
        <v>115882.1</v>
      </c>
      <c r="K20" s="947">
        <v>8635.4999999999982</v>
      </c>
      <c r="L20" s="944">
        <f t="shared" si="1"/>
        <v>124517.6</v>
      </c>
      <c r="M20" s="947">
        <v>6800</v>
      </c>
      <c r="N20" s="946">
        <v>15658.2</v>
      </c>
      <c r="O20" s="946">
        <v>418096.6</v>
      </c>
      <c r="P20" s="940">
        <v>51954.3</v>
      </c>
      <c r="Q20" s="939">
        <v>7906</v>
      </c>
      <c r="R20" s="948">
        <v>19735.000000000015</v>
      </c>
      <c r="S20" s="939">
        <f t="shared" si="2"/>
        <v>911953.8</v>
      </c>
    </row>
    <row r="21" spans="1:20" s="220" customFormat="1" ht="15" customHeight="1">
      <c r="A21" s="218" t="s">
        <v>11</v>
      </c>
      <c r="B21" s="942">
        <v>211683.7</v>
      </c>
      <c r="C21" s="949">
        <v>82710.8</v>
      </c>
      <c r="D21" s="942">
        <v>2674</v>
      </c>
      <c r="E21" s="942">
        <v>5135.8</v>
      </c>
      <c r="F21" s="942">
        <v>3566.2</v>
      </c>
      <c r="G21" s="942">
        <v>28</v>
      </c>
      <c r="H21" s="943">
        <v>787.6</v>
      </c>
      <c r="I21" s="942">
        <f t="shared" si="0"/>
        <v>306586.09999999998</v>
      </c>
      <c r="J21" s="942">
        <v>152366.70000000001</v>
      </c>
      <c r="K21" s="942">
        <v>14733.599999999997</v>
      </c>
      <c r="L21" s="942">
        <f t="shared" si="1"/>
        <v>167100.30000000002</v>
      </c>
      <c r="M21" s="941" t="s">
        <v>88</v>
      </c>
      <c r="N21" s="949">
        <v>7533</v>
      </c>
      <c r="O21" s="949">
        <v>383189.69999999995</v>
      </c>
      <c r="P21" s="942">
        <v>62981.7</v>
      </c>
      <c r="Q21" s="949">
        <v>-13851.5</v>
      </c>
      <c r="R21" s="943">
        <v>10207.700000000001</v>
      </c>
      <c r="S21" s="949">
        <f t="shared" si="2"/>
        <v>923746.99999999988</v>
      </c>
      <c r="T21" s="214"/>
    </row>
    <row r="22" spans="1:20" s="220" customFormat="1" ht="15" customHeight="1">
      <c r="A22" s="218" t="s">
        <v>13</v>
      </c>
      <c r="B22" s="942">
        <v>227340.9</v>
      </c>
      <c r="C22" s="949">
        <v>120095.4</v>
      </c>
      <c r="D22" s="942">
        <v>1624.7</v>
      </c>
      <c r="E22" s="942">
        <v>1035.0999999999999</v>
      </c>
      <c r="F22" s="942">
        <v>3555.9</v>
      </c>
      <c r="G22" s="942">
        <v>22.9</v>
      </c>
      <c r="H22" s="943">
        <v>1326.1</v>
      </c>
      <c r="I22" s="942">
        <f>SUM(B22:H22)</f>
        <v>355001</v>
      </c>
      <c r="J22" s="942">
        <v>170878.6</v>
      </c>
      <c r="K22" s="942">
        <v>13593.9</v>
      </c>
      <c r="L22" s="942">
        <f>SUM(J22:K22)</f>
        <v>184472.5</v>
      </c>
      <c r="M22" s="941" t="s">
        <v>88</v>
      </c>
      <c r="N22" s="949">
        <v>9222.6</v>
      </c>
      <c r="O22" s="949">
        <v>372538.8</v>
      </c>
      <c r="P22" s="942">
        <v>82125.3</v>
      </c>
      <c r="Q22" s="949">
        <v>8152.8</v>
      </c>
      <c r="R22" s="943">
        <f>1064.1+10111.9+5977.7</f>
        <v>17153.7</v>
      </c>
      <c r="S22" s="949">
        <f t="shared" si="2"/>
        <v>1028666.7</v>
      </c>
      <c r="T22" s="214"/>
    </row>
    <row r="23" spans="1:20" s="220" customFormat="1" ht="15" customHeight="1">
      <c r="A23" s="218" t="s">
        <v>14</v>
      </c>
      <c r="B23" s="942">
        <v>230723.7</v>
      </c>
      <c r="C23" s="949">
        <v>84351</v>
      </c>
      <c r="D23" s="942">
        <v>2209.5</v>
      </c>
      <c r="E23" s="942">
        <v>1611</v>
      </c>
      <c r="F23" s="942">
        <v>4368.5</v>
      </c>
      <c r="G23" s="942">
        <v>44.5</v>
      </c>
      <c r="H23" s="943">
        <v>1200</v>
      </c>
      <c r="I23" s="942">
        <f>SUM(B23:H23)</f>
        <v>324508.2</v>
      </c>
      <c r="J23" s="942">
        <v>171839.3</v>
      </c>
      <c r="K23" s="942">
        <v>17303.7</v>
      </c>
      <c r="L23" s="942">
        <f>SUM(J23:K23)</f>
        <v>189143</v>
      </c>
      <c r="M23" s="941" t="s">
        <v>88</v>
      </c>
      <c r="N23" s="949">
        <v>5645.1</v>
      </c>
      <c r="O23" s="949">
        <v>354815.2</v>
      </c>
      <c r="P23" s="942">
        <v>87845.1</v>
      </c>
      <c r="Q23" s="949">
        <v>1265</v>
      </c>
      <c r="R23" s="943">
        <f>1187.7+6374.8+2.4</f>
        <v>7564.9</v>
      </c>
      <c r="S23" s="949">
        <f t="shared" si="2"/>
        <v>970786.5</v>
      </c>
      <c r="T23" s="214"/>
    </row>
    <row r="24" spans="1:20" s="220" customFormat="1">
      <c r="A24" s="218" t="s">
        <v>15</v>
      </c>
      <c r="B24" s="942">
        <v>267512.5</v>
      </c>
      <c r="C24" s="949">
        <v>134302.79999999999</v>
      </c>
      <c r="D24" s="942">
        <v>3575.7</v>
      </c>
      <c r="E24" s="942">
        <v>5995.8</v>
      </c>
      <c r="F24" s="942">
        <v>6509.8</v>
      </c>
      <c r="G24" s="942">
        <v>7.7</v>
      </c>
      <c r="H24" s="943">
        <v>1319.7</v>
      </c>
      <c r="I24" s="942">
        <f>SUM(B24:H24)</f>
        <v>419224</v>
      </c>
      <c r="J24" s="942">
        <v>229057.5</v>
      </c>
      <c r="K24" s="942">
        <v>14016.1</v>
      </c>
      <c r="L24" s="942">
        <f>SUM(J24:K24)</f>
        <v>243073.6</v>
      </c>
      <c r="M24" s="941" t="s">
        <v>88</v>
      </c>
      <c r="N24" s="949">
        <v>12385</v>
      </c>
      <c r="O24" s="949">
        <v>328508.5</v>
      </c>
      <c r="P24" s="942">
        <v>88281.600000000006</v>
      </c>
      <c r="Q24" s="949">
        <v>5702.3</v>
      </c>
      <c r="R24" s="943">
        <f>8800+6.7+1350.6</f>
        <v>10157.300000000001</v>
      </c>
      <c r="S24" s="949">
        <f t="shared" si="2"/>
        <v>1107332.3</v>
      </c>
      <c r="T24" s="214"/>
    </row>
    <row r="25" spans="1:20" s="220" customFormat="1">
      <c r="A25" s="218" t="s">
        <v>669</v>
      </c>
      <c r="B25" s="140">
        <v>308146.3</v>
      </c>
      <c r="C25" s="219">
        <v>221165.7</v>
      </c>
      <c r="D25" s="140">
        <v>2169.6</v>
      </c>
      <c r="E25" s="140">
        <v>2688.4</v>
      </c>
      <c r="F25" s="140">
        <v>18092.099999999999</v>
      </c>
      <c r="G25" s="140">
        <v>20</v>
      </c>
      <c r="H25" s="211">
        <v>28588.799999999999</v>
      </c>
      <c r="I25" s="140">
        <f t="shared" ref="I25" si="3">SUM(B25:H25)</f>
        <v>580870.9</v>
      </c>
      <c r="J25" s="140">
        <v>229049.10000000003</v>
      </c>
      <c r="K25" s="140">
        <v>29698.5</v>
      </c>
      <c r="L25" s="140">
        <f t="shared" ref="L25" si="4">SUM(J25:K25)</f>
        <v>258747.60000000003</v>
      </c>
      <c r="M25" s="1168" t="s">
        <v>88</v>
      </c>
      <c r="N25" s="219">
        <v>17665.900000000001</v>
      </c>
      <c r="O25" s="219">
        <v>338480.6</v>
      </c>
      <c r="P25" s="140">
        <v>93599.2</v>
      </c>
      <c r="Q25" s="219">
        <v>-32439</v>
      </c>
      <c r="R25" s="211">
        <v>16842.400000000001</v>
      </c>
      <c r="S25" s="219">
        <f t="shared" si="2"/>
        <v>1273767.5999999999</v>
      </c>
      <c r="T25" s="214"/>
    </row>
    <row r="26" spans="1:20" s="214" customFormat="1" ht="13.5" customHeight="1">
      <c r="A26" s="221"/>
      <c r="B26" s="140"/>
      <c r="C26" s="219"/>
      <c r="D26" s="140"/>
      <c r="E26" s="140"/>
      <c r="F26" s="140"/>
      <c r="G26" s="140"/>
      <c r="H26" s="211"/>
      <c r="I26" s="140"/>
      <c r="J26" s="140"/>
      <c r="K26" s="140"/>
      <c r="L26" s="140"/>
      <c r="M26" s="1168"/>
      <c r="N26" s="219"/>
      <c r="O26" s="219"/>
      <c r="P26" s="140"/>
      <c r="Q26" s="219"/>
      <c r="R26" s="211"/>
      <c r="S26" s="219"/>
    </row>
    <row r="27" spans="1:20" s="220" customFormat="1" ht="15" hidden="1" customHeight="1">
      <c r="A27" s="87" t="s">
        <v>61</v>
      </c>
      <c r="B27" s="140">
        <v>201300.8</v>
      </c>
      <c r="C27" s="219">
        <v>70896.399999999994</v>
      </c>
      <c r="D27" s="140">
        <v>1135.9000000000001</v>
      </c>
      <c r="E27" s="140">
        <v>426.9</v>
      </c>
      <c r="F27" s="140">
        <v>1041.5</v>
      </c>
      <c r="G27" s="140">
        <v>24.6</v>
      </c>
      <c r="H27" s="211">
        <v>1373.4</v>
      </c>
      <c r="I27" s="140">
        <f>SUM(B27:H27)</f>
        <v>276199.5</v>
      </c>
      <c r="J27" s="140">
        <v>151558.6</v>
      </c>
      <c r="K27" s="140">
        <v>9517.2999999999993</v>
      </c>
      <c r="L27" s="140">
        <f>SUM(J27:K27)</f>
        <v>161075.9</v>
      </c>
      <c r="M27" s="1168">
        <v>27200</v>
      </c>
      <c r="N27" s="219">
        <v>6602.2</v>
      </c>
      <c r="O27" s="219">
        <v>396544.3</v>
      </c>
      <c r="P27" s="140">
        <v>62981.7</v>
      </c>
      <c r="Q27" s="219">
        <v>-13903.7</v>
      </c>
      <c r="R27" s="211">
        <f>1098+8346.4+7.5</f>
        <v>9451.9</v>
      </c>
      <c r="S27" s="219">
        <f>SUM(I27,L27:O27,R27,P27,Q27)</f>
        <v>926151.8</v>
      </c>
      <c r="T27" s="214"/>
    </row>
    <row r="28" spans="1:20" s="220" customFormat="1" ht="15" hidden="1" customHeight="1">
      <c r="A28" s="87" t="s">
        <v>62</v>
      </c>
      <c r="B28" s="140">
        <v>223781.8</v>
      </c>
      <c r="C28" s="219">
        <v>100650</v>
      </c>
      <c r="D28" s="140">
        <v>1303.5</v>
      </c>
      <c r="E28" s="140">
        <v>1428.4</v>
      </c>
      <c r="F28" s="140">
        <v>6385</v>
      </c>
      <c r="G28" s="140">
        <v>20.2</v>
      </c>
      <c r="H28" s="211">
        <v>1329.6</v>
      </c>
      <c r="I28" s="140">
        <f>SUM(B28:H28)</f>
        <v>334898.5</v>
      </c>
      <c r="J28" s="140">
        <v>142792.20000000001</v>
      </c>
      <c r="K28" s="140">
        <v>8597.5</v>
      </c>
      <c r="L28" s="140">
        <f>SUM(J28:K28)</f>
        <v>151389.70000000001</v>
      </c>
      <c r="M28" s="1168" t="s">
        <v>88</v>
      </c>
      <c r="N28" s="219">
        <v>2743.8</v>
      </c>
      <c r="O28" s="219">
        <v>397532.8</v>
      </c>
      <c r="P28" s="140">
        <v>78783.3</v>
      </c>
      <c r="Q28" s="219">
        <v>2716.3</v>
      </c>
      <c r="R28" s="211">
        <f>1057.4+8115.5+3615.5</f>
        <v>12788.4</v>
      </c>
      <c r="S28" s="219">
        <f>SUM(I28,L28:O28,R28,P28,Q28)</f>
        <v>980852.80000000016</v>
      </c>
      <c r="T28" s="214"/>
    </row>
    <row r="29" spans="1:20" s="220" customFormat="1" ht="15" hidden="1" customHeight="1">
      <c r="A29" s="87" t="s">
        <v>636</v>
      </c>
      <c r="B29" s="140">
        <v>222708</v>
      </c>
      <c r="C29" s="219">
        <v>80783.100000000006</v>
      </c>
      <c r="D29" s="140">
        <v>2407.5</v>
      </c>
      <c r="E29" s="140">
        <v>631.5</v>
      </c>
      <c r="F29" s="140">
        <v>2153.6</v>
      </c>
      <c r="G29" s="140">
        <v>23.3</v>
      </c>
      <c r="H29" s="211">
        <v>969.1</v>
      </c>
      <c r="I29" s="140">
        <f>SUM(B29:H29)</f>
        <v>309676.09999999992</v>
      </c>
      <c r="J29" s="140">
        <v>210768.8</v>
      </c>
      <c r="K29" s="140">
        <v>15246.7</v>
      </c>
      <c r="L29" s="140">
        <f>SUM(J29:K29)</f>
        <v>226015.5</v>
      </c>
      <c r="M29" s="1168" t="s">
        <v>88</v>
      </c>
      <c r="N29" s="219">
        <v>8443.4</v>
      </c>
      <c r="O29" s="219">
        <v>382067.5</v>
      </c>
      <c r="P29" s="140">
        <v>78783.3</v>
      </c>
      <c r="Q29" s="219">
        <v>4209.8999999999996</v>
      </c>
      <c r="R29" s="211">
        <f>1055.6+7861.1+4.1</f>
        <v>8920.8000000000011</v>
      </c>
      <c r="S29" s="219">
        <f>SUM(I29,L29:O29,R29,P29,Q29)</f>
        <v>1018116.5</v>
      </c>
      <c r="T29" s="214"/>
    </row>
    <row r="30" spans="1:20" s="220" customFormat="1" ht="15" hidden="1" customHeight="1">
      <c r="A30" s="87" t="s">
        <v>664</v>
      </c>
      <c r="B30" s="140">
        <v>227340.9</v>
      </c>
      <c r="C30" s="219">
        <v>120095.4</v>
      </c>
      <c r="D30" s="140">
        <v>1624.7</v>
      </c>
      <c r="E30" s="140">
        <v>1035.0999999999999</v>
      </c>
      <c r="F30" s="140">
        <v>3555.9</v>
      </c>
      <c r="G30" s="140">
        <v>22.9</v>
      </c>
      <c r="H30" s="211">
        <v>1326.1</v>
      </c>
      <c r="I30" s="140">
        <f>SUM(B30:H30)</f>
        <v>355001</v>
      </c>
      <c r="J30" s="140">
        <v>170878.6</v>
      </c>
      <c r="K30" s="140">
        <v>13593.9</v>
      </c>
      <c r="L30" s="140">
        <f>SUM(J30:K30)</f>
        <v>184472.5</v>
      </c>
      <c r="M30" s="1168" t="s">
        <v>88</v>
      </c>
      <c r="N30" s="219">
        <v>9222.6</v>
      </c>
      <c r="O30" s="219">
        <v>372538.8</v>
      </c>
      <c r="P30" s="140">
        <v>82125.3</v>
      </c>
      <c r="Q30" s="219">
        <v>8152.8</v>
      </c>
      <c r="R30" s="211">
        <f>1064.1+10111.9+5977.7</f>
        <v>17153.7</v>
      </c>
      <c r="S30" s="219">
        <f>SUM(I30,L30:O30,R30,P30,Q30)</f>
        <v>1028666.7</v>
      </c>
      <c r="T30" s="214"/>
    </row>
    <row r="31" spans="1:20" s="220" customFormat="1" ht="15" hidden="1" customHeight="1">
      <c r="A31" s="87"/>
      <c r="B31" s="140"/>
      <c r="C31" s="219"/>
      <c r="D31" s="140"/>
      <c r="E31" s="140"/>
      <c r="F31" s="140"/>
      <c r="G31" s="140"/>
      <c r="H31" s="211"/>
      <c r="I31" s="140"/>
      <c r="J31" s="140"/>
      <c r="K31" s="140"/>
      <c r="L31" s="140"/>
      <c r="M31" s="1168"/>
      <c r="N31" s="219"/>
      <c r="O31" s="219"/>
      <c r="P31" s="140"/>
      <c r="Q31" s="219"/>
      <c r="R31" s="211"/>
      <c r="S31" s="219"/>
      <c r="T31" s="214"/>
    </row>
    <row r="32" spans="1:20" s="220" customFormat="1" ht="15" customHeight="1">
      <c r="A32" s="87" t="s">
        <v>53</v>
      </c>
      <c r="B32" s="140">
        <v>223176.6</v>
      </c>
      <c r="C32" s="219">
        <v>71767.600000000006</v>
      </c>
      <c r="D32" s="140">
        <v>1878.3</v>
      </c>
      <c r="E32" s="140">
        <v>1593.8</v>
      </c>
      <c r="F32" s="140">
        <v>4089.8</v>
      </c>
      <c r="G32" s="140">
        <v>47.4</v>
      </c>
      <c r="H32" s="211">
        <v>243.7</v>
      </c>
      <c r="I32" s="140">
        <f>SUM(B32:H32)</f>
        <v>302797.2</v>
      </c>
      <c r="J32" s="140">
        <v>177861.5</v>
      </c>
      <c r="K32" s="140">
        <v>18845.099999999999</v>
      </c>
      <c r="L32" s="140">
        <f>SUM(J32:K32)</f>
        <v>196706.6</v>
      </c>
      <c r="M32" s="1168" t="s">
        <v>88</v>
      </c>
      <c r="N32" s="219">
        <v>10123.6</v>
      </c>
      <c r="O32" s="219">
        <v>356984.6</v>
      </c>
      <c r="P32" s="140">
        <v>82192</v>
      </c>
      <c r="Q32" s="219">
        <v>13545.7</v>
      </c>
      <c r="R32" s="211">
        <f>1091.7+7442.4+6.9</f>
        <v>8541</v>
      </c>
      <c r="S32" s="219">
        <f>SUM(I32,L32:O32,R32,P32,Q32)</f>
        <v>970890.7</v>
      </c>
      <c r="T32" s="214"/>
    </row>
    <row r="33" spans="1:20" s="220" customFormat="1" ht="15" customHeight="1">
      <c r="A33" s="87" t="s">
        <v>44</v>
      </c>
      <c r="B33" s="140">
        <v>254961.4</v>
      </c>
      <c r="C33" s="219">
        <v>63611.8</v>
      </c>
      <c r="D33" s="140">
        <v>2089.9</v>
      </c>
      <c r="E33" s="140">
        <v>9771.2999999999993</v>
      </c>
      <c r="F33" s="140">
        <v>3640.6</v>
      </c>
      <c r="G33" s="140">
        <v>62.4</v>
      </c>
      <c r="H33" s="211">
        <v>357.5</v>
      </c>
      <c r="I33" s="140">
        <f>SUM(B33:H33)</f>
        <v>334494.90000000002</v>
      </c>
      <c r="J33" s="140">
        <v>170313</v>
      </c>
      <c r="K33" s="140">
        <v>15899.1</v>
      </c>
      <c r="L33" s="140">
        <f>SUM(J33:K33)</f>
        <v>186212.1</v>
      </c>
      <c r="M33" s="1168" t="s">
        <v>88</v>
      </c>
      <c r="N33" s="219">
        <v>1293.3</v>
      </c>
      <c r="O33" s="219">
        <v>361289.7</v>
      </c>
      <c r="P33" s="140">
        <v>87845.1</v>
      </c>
      <c r="Q33" s="219">
        <v>5626.8</v>
      </c>
      <c r="R33" s="211">
        <f>1101.1+7274.1+6.3</f>
        <v>8381.5</v>
      </c>
      <c r="S33" s="219">
        <f>SUM(I33,L33:O33,R33,P33,Q33)</f>
        <v>985143.4</v>
      </c>
      <c r="T33" s="214"/>
    </row>
    <row r="34" spans="1:20" s="220" customFormat="1" ht="15" customHeight="1">
      <c r="A34" s="87" t="s">
        <v>47</v>
      </c>
      <c r="B34" s="140">
        <v>216072.1</v>
      </c>
      <c r="C34" s="219">
        <v>79716.800000000003</v>
      </c>
      <c r="D34" s="140">
        <v>3810.3</v>
      </c>
      <c r="E34" s="140">
        <v>5700.2</v>
      </c>
      <c r="F34" s="140">
        <v>8658</v>
      </c>
      <c r="G34" s="140">
        <v>33.1</v>
      </c>
      <c r="H34" s="211">
        <v>323.5</v>
      </c>
      <c r="I34" s="140">
        <f>SUM(B34:H34)</f>
        <v>314314</v>
      </c>
      <c r="J34" s="140">
        <v>160628.9</v>
      </c>
      <c r="K34" s="140">
        <v>19205.5</v>
      </c>
      <c r="L34" s="140">
        <f>SUM(J34:K34)</f>
        <v>179834.4</v>
      </c>
      <c r="M34" s="1168" t="s">
        <v>88</v>
      </c>
      <c r="N34" s="219">
        <v>1252.3</v>
      </c>
      <c r="O34" s="219">
        <v>351304.8</v>
      </c>
      <c r="P34" s="140">
        <v>87845.1</v>
      </c>
      <c r="Q34" s="219">
        <v>643.9</v>
      </c>
      <c r="R34" s="211">
        <f>1274.9+6928.9+5.2</f>
        <v>8209</v>
      </c>
      <c r="S34" s="219">
        <f>SUM(I34,L34:O34,R34,P34,Q34)</f>
        <v>943403.5</v>
      </c>
      <c r="T34" s="214"/>
    </row>
    <row r="35" spans="1:20" s="220" customFormat="1" ht="15" customHeight="1">
      <c r="A35" s="87" t="s">
        <v>50</v>
      </c>
      <c r="B35" s="140">
        <v>230723.7</v>
      </c>
      <c r="C35" s="219">
        <v>84351</v>
      </c>
      <c r="D35" s="140">
        <v>2209.5</v>
      </c>
      <c r="E35" s="140">
        <v>1611</v>
      </c>
      <c r="F35" s="140">
        <v>4368.5</v>
      </c>
      <c r="G35" s="140">
        <v>44.5</v>
      </c>
      <c r="H35" s="211">
        <v>1200</v>
      </c>
      <c r="I35" s="140">
        <f>SUM(B35:H35)</f>
        <v>324508.2</v>
      </c>
      <c r="J35" s="140">
        <v>171839.3</v>
      </c>
      <c r="K35" s="140">
        <v>17303.7</v>
      </c>
      <c r="L35" s="140">
        <f>SUM(J35:K35)</f>
        <v>189143</v>
      </c>
      <c r="M35" s="1168" t="s">
        <v>88</v>
      </c>
      <c r="N35" s="219">
        <v>5645.1</v>
      </c>
      <c r="O35" s="219">
        <v>354815.2</v>
      </c>
      <c r="P35" s="140">
        <v>87845.1</v>
      </c>
      <c r="Q35" s="219">
        <v>1265</v>
      </c>
      <c r="R35" s="211">
        <f>1187.7+6374.8+2.4</f>
        <v>7564.9</v>
      </c>
      <c r="S35" s="219">
        <f>SUM(I35,L35:O35,R35,P35,Q35)</f>
        <v>970786.5</v>
      </c>
      <c r="T35" s="214"/>
    </row>
    <row r="36" spans="1:20" s="220" customFormat="1" ht="15" customHeight="1">
      <c r="A36" s="87"/>
      <c r="B36" s="140"/>
      <c r="C36" s="219"/>
      <c r="D36" s="140"/>
      <c r="E36" s="140"/>
      <c r="F36" s="140"/>
      <c r="G36" s="140"/>
      <c r="H36" s="211"/>
      <c r="I36" s="140"/>
      <c r="J36" s="140"/>
      <c r="K36" s="140"/>
      <c r="L36" s="140"/>
      <c r="M36" s="1168"/>
      <c r="N36" s="219"/>
      <c r="O36" s="219"/>
      <c r="P36" s="140"/>
      <c r="Q36" s="219"/>
      <c r="R36" s="211"/>
      <c r="S36" s="219"/>
      <c r="T36" s="214"/>
    </row>
    <row r="37" spans="1:20" s="220" customFormat="1" ht="15" customHeight="1">
      <c r="A37" s="87" t="s">
        <v>65</v>
      </c>
      <c r="B37" s="140">
        <v>219964.2</v>
      </c>
      <c r="C37" s="219">
        <v>94301.6</v>
      </c>
      <c r="D37" s="140">
        <v>2734.9</v>
      </c>
      <c r="E37" s="140">
        <v>2510.6999999999998</v>
      </c>
      <c r="F37" s="140">
        <v>2813.9</v>
      </c>
      <c r="G37" s="140">
        <v>26.4</v>
      </c>
      <c r="H37" s="211">
        <v>910.3</v>
      </c>
      <c r="I37" s="140">
        <f>SUM(B37:H37)</f>
        <v>323262.00000000012</v>
      </c>
      <c r="J37" s="140">
        <v>165597.4</v>
      </c>
      <c r="K37" s="140">
        <v>16333.1</v>
      </c>
      <c r="L37" s="140">
        <f>SUM(J37:K37)</f>
        <v>181930.5</v>
      </c>
      <c r="M37" s="1168" t="s">
        <v>88</v>
      </c>
      <c r="N37" s="219">
        <v>5204</v>
      </c>
      <c r="O37" s="219">
        <v>350173.8</v>
      </c>
      <c r="P37" s="140">
        <v>87845.1</v>
      </c>
      <c r="Q37" s="219">
        <v>-3581.8</v>
      </c>
      <c r="R37" s="211">
        <f>1206.1+6336.3+3.2</f>
        <v>7545.5999999999995</v>
      </c>
      <c r="S37" s="219">
        <f t="shared" ref="S37:S61" si="5">SUM(I37,L37:O37,R37,P37,Q37)</f>
        <v>952379.2</v>
      </c>
      <c r="T37" s="214"/>
    </row>
    <row r="38" spans="1:20" s="220" customFormat="1" ht="15" customHeight="1">
      <c r="A38" s="87" t="s">
        <v>44</v>
      </c>
      <c r="B38" s="140">
        <v>255415.5</v>
      </c>
      <c r="C38" s="219">
        <v>98845.3</v>
      </c>
      <c r="D38" s="140">
        <v>1740</v>
      </c>
      <c r="E38" s="140">
        <v>3186.6</v>
      </c>
      <c r="F38" s="140">
        <v>4307.5</v>
      </c>
      <c r="G38" s="140">
        <v>16.100000000000001</v>
      </c>
      <c r="H38" s="211">
        <v>557.9</v>
      </c>
      <c r="I38" s="140">
        <f>SUM(B38:H38)</f>
        <v>364068.89999999997</v>
      </c>
      <c r="J38" s="140">
        <v>168849</v>
      </c>
      <c r="K38" s="140">
        <v>24468.2</v>
      </c>
      <c r="L38" s="140">
        <f>SUM(J38:K38)</f>
        <v>193317.2</v>
      </c>
      <c r="M38" s="1168" t="s">
        <v>88</v>
      </c>
      <c r="N38" s="219">
        <v>5535.4</v>
      </c>
      <c r="O38" s="219">
        <v>351838.8</v>
      </c>
      <c r="P38" s="140">
        <v>87845.1</v>
      </c>
      <c r="Q38" s="219">
        <v>-2252.6</v>
      </c>
      <c r="R38" s="211">
        <f>1938.5+6025.6+20.7</f>
        <v>7984.8</v>
      </c>
      <c r="S38" s="219">
        <f t="shared" si="5"/>
        <v>1008337.6000000001</v>
      </c>
      <c r="T38" s="214"/>
    </row>
    <row r="39" spans="1:20" s="220" customFormat="1" ht="15" customHeight="1">
      <c r="A39" s="87" t="s">
        <v>47</v>
      </c>
      <c r="B39" s="140">
        <v>254499.1</v>
      </c>
      <c r="C39" s="219">
        <v>124775.9</v>
      </c>
      <c r="D39" s="140">
        <v>3523.6</v>
      </c>
      <c r="E39" s="140">
        <v>834</v>
      </c>
      <c r="F39" s="140">
        <v>4926.1000000000004</v>
      </c>
      <c r="G39" s="140">
        <v>3.6</v>
      </c>
      <c r="H39" s="211">
        <v>1138.3</v>
      </c>
      <c r="I39" s="140">
        <f>SUM(B39:H39)</f>
        <v>389700.59999999992</v>
      </c>
      <c r="J39" s="140">
        <v>165324.79999999999</v>
      </c>
      <c r="K39" s="140">
        <v>21183.599999999999</v>
      </c>
      <c r="L39" s="140">
        <f>SUM(J39:K39)</f>
        <v>186508.4</v>
      </c>
      <c r="M39" s="1168" t="s">
        <v>88</v>
      </c>
      <c r="N39" s="219">
        <v>5791.3</v>
      </c>
      <c r="O39" s="219">
        <v>338994.5</v>
      </c>
      <c r="P39" s="140">
        <v>88281.7</v>
      </c>
      <c r="Q39" s="219">
        <v>-5027.8</v>
      </c>
      <c r="R39" s="211">
        <f>5752+8.1+1393.1</f>
        <v>7153.2000000000007</v>
      </c>
      <c r="S39" s="219">
        <f>SUM(I39,L39:O39,R39,P39,Q39)</f>
        <v>1011401.8999999998</v>
      </c>
      <c r="T39" s="214"/>
    </row>
    <row r="40" spans="1:20" s="220" customFormat="1" ht="15" customHeight="1">
      <c r="A40" s="87" t="s">
        <v>50</v>
      </c>
      <c r="B40" s="140">
        <v>267512.5</v>
      </c>
      <c r="C40" s="219">
        <v>134302.79999999999</v>
      </c>
      <c r="D40" s="140">
        <v>3575.7</v>
      </c>
      <c r="E40" s="140">
        <v>5995.8</v>
      </c>
      <c r="F40" s="140">
        <v>6509.8</v>
      </c>
      <c r="G40" s="140">
        <v>7.7</v>
      </c>
      <c r="H40" s="211">
        <v>1319.7</v>
      </c>
      <c r="I40" s="140">
        <f>SUM(B40:H40)</f>
        <v>419224</v>
      </c>
      <c r="J40" s="140">
        <v>229057.5</v>
      </c>
      <c r="K40" s="140">
        <v>14016.1</v>
      </c>
      <c r="L40" s="140">
        <f>SUM(J40:K40)</f>
        <v>243073.6</v>
      </c>
      <c r="M40" s="1168" t="s">
        <v>88</v>
      </c>
      <c r="N40" s="219">
        <v>12385</v>
      </c>
      <c r="O40" s="219">
        <v>328508.5</v>
      </c>
      <c r="P40" s="140">
        <v>88281.600000000006</v>
      </c>
      <c r="Q40" s="219">
        <v>5702.3</v>
      </c>
      <c r="R40" s="211">
        <f>8800+6.7+1350.6</f>
        <v>10157.300000000001</v>
      </c>
      <c r="S40" s="219">
        <f>SUM(I40,L40:O40,R40,P40,Q40)</f>
        <v>1107332.3</v>
      </c>
      <c r="T40" s="214"/>
    </row>
    <row r="41" spans="1:20" s="220" customFormat="1" ht="15" customHeight="1">
      <c r="A41" s="87"/>
      <c r="B41" s="140"/>
      <c r="C41" s="219"/>
      <c r="D41" s="140"/>
      <c r="E41" s="140"/>
      <c r="F41" s="140"/>
      <c r="G41" s="140"/>
      <c r="H41" s="211"/>
      <c r="I41" s="140"/>
      <c r="J41" s="140"/>
      <c r="K41" s="140"/>
      <c r="L41" s="133"/>
      <c r="M41" s="1168"/>
      <c r="N41" s="219"/>
      <c r="O41" s="219"/>
      <c r="P41" s="140"/>
      <c r="Q41" s="219"/>
      <c r="R41" s="211"/>
      <c r="S41" s="219"/>
      <c r="T41" s="214"/>
    </row>
    <row r="42" spans="1:20" s="220" customFormat="1" ht="15" customHeight="1">
      <c r="A42" s="87" t="s">
        <v>66</v>
      </c>
      <c r="B42" s="140">
        <v>267562.40000000002</v>
      </c>
      <c r="C42" s="219">
        <v>167615</v>
      </c>
      <c r="D42" s="140">
        <v>2634.1</v>
      </c>
      <c r="E42" s="140">
        <v>14379.7</v>
      </c>
      <c r="F42" s="140">
        <v>12223.899999999998</v>
      </c>
      <c r="G42" s="140">
        <v>157.1</v>
      </c>
      <c r="H42" s="211">
        <v>21755.599999999999</v>
      </c>
      <c r="I42" s="140">
        <v>486327.8</v>
      </c>
      <c r="J42" s="140">
        <v>178385.1</v>
      </c>
      <c r="K42" s="140">
        <v>18679.400000000001</v>
      </c>
      <c r="L42" s="140">
        <v>197064.5</v>
      </c>
      <c r="M42" s="1168" t="s">
        <v>88</v>
      </c>
      <c r="N42" s="219">
        <v>24941.399999999998</v>
      </c>
      <c r="O42" s="219">
        <v>327928.2</v>
      </c>
      <c r="P42" s="140">
        <v>88281.600000000006</v>
      </c>
      <c r="Q42" s="219">
        <v>5190.1000000000004</v>
      </c>
      <c r="R42" s="211">
        <v>9476.2999999999993</v>
      </c>
      <c r="S42" s="219">
        <v>1139209.9000000004</v>
      </c>
      <c r="T42" s="214"/>
    </row>
    <row r="43" spans="1:20" s="220" customFormat="1" ht="15" customHeight="1">
      <c r="A43" s="87" t="s">
        <v>613</v>
      </c>
      <c r="B43" s="140">
        <v>301775.5</v>
      </c>
      <c r="C43" s="219">
        <v>101969.20000000001</v>
      </c>
      <c r="D43" s="140">
        <v>2615.3999999999996</v>
      </c>
      <c r="E43" s="140">
        <v>12376</v>
      </c>
      <c r="F43" s="140">
        <v>17691.3</v>
      </c>
      <c r="G43" s="140">
        <v>11</v>
      </c>
      <c r="H43" s="211">
        <v>31187.100000000002</v>
      </c>
      <c r="I43" s="140">
        <v>467625.5</v>
      </c>
      <c r="J43" s="140">
        <v>164709.90000000002</v>
      </c>
      <c r="K43" s="140">
        <v>41120.100000000006</v>
      </c>
      <c r="L43" s="140">
        <v>205830.00000000003</v>
      </c>
      <c r="M43" s="1168" t="s">
        <v>88</v>
      </c>
      <c r="N43" s="219">
        <v>28009</v>
      </c>
      <c r="O43" s="219">
        <v>341304.6</v>
      </c>
      <c r="P43" s="140">
        <v>90657.7</v>
      </c>
      <c r="Q43" s="219">
        <v>-342.1</v>
      </c>
      <c r="R43" s="211">
        <v>9538</v>
      </c>
      <c r="S43" s="219">
        <v>1142622.7</v>
      </c>
    </row>
    <row r="44" spans="1:20" s="220" customFormat="1" ht="15" customHeight="1">
      <c r="A44" s="87" t="s">
        <v>626</v>
      </c>
      <c r="B44" s="140">
        <v>297683.09999999998</v>
      </c>
      <c r="C44" s="219">
        <v>156387.69999999998</v>
      </c>
      <c r="D44" s="140">
        <v>2490.3999999999996</v>
      </c>
      <c r="E44" s="140">
        <v>9305.2999999999993</v>
      </c>
      <c r="F44" s="140">
        <v>25793.7</v>
      </c>
      <c r="G44" s="140">
        <v>6.3</v>
      </c>
      <c r="H44" s="211">
        <v>31699.3</v>
      </c>
      <c r="I44" s="140">
        <v>523365.79999999993</v>
      </c>
      <c r="J44" s="140">
        <v>180754.30000000002</v>
      </c>
      <c r="K44" s="140">
        <v>23565.600000000002</v>
      </c>
      <c r="L44" s="140">
        <v>204319.90000000002</v>
      </c>
      <c r="M44" s="1168" t="s">
        <v>88</v>
      </c>
      <c r="N44" s="219">
        <v>32252.799999999999</v>
      </c>
      <c r="O44" s="219">
        <v>332752.2</v>
      </c>
      <c r="P44" s="140"/>
      <c r="Q44" s="219">
        <v>-3366.1</v>
      </c>
      <c r="R44" s="211">
        <v>103431.5</v>
      </c>
      <c r="S44" s="219">
        <v>1192756.0999999999</v>
      </c>
    </row>
    <row r="45" spans="1:20" s="220" customFormat="1" ht="15" customHeight="1">
      <c r="A45" s="87" t="s">
        <v>662</v>
      </c>
      <c r="B45" s="140">
        <v>308146.3</v>
      </c>
      <c r="C45" s="219">
        <v>221165.7</v>
      </c>
      <c r="D45" s="140">
        <v>2169.6</v>
      </c>
      <c r="E45" s="140">
        <v>2688.4</v>
      </c>
      <c r="F45" s="140">
        <v>18092.099999999999</v>
      </c>
      <c r="G45" s="140">
        <v>20</v>
      </c>
      <c r="H45" s="211">
        <v>28588.799999999999</v>
      </c>
      <c r="I45" s="140">
        <f>SUM(B45:H45)</f>
        <v>580870.9</v>
      </c>
      <c r="J45" s="140">
        <v>229049.10000000003</v>
      </c>
      <c r="K45" s="140">
        <v>29698.5</v>
      </c>
      <c r="L45" s="140">
        <f>SUM(J45:K45)</f>
        <v>258747.60000000003</v>
      </c>
      <c r="M45" s="1168" t="s">
        <v>88</v>
      </c>
      <c r="N45" s="219">
        <v>17665.900000000001</v>
      </c>
      <c r="O45" s="219">
        <v>338480.6</v>
      </c>
      <c r="P45" s="140">
        <v>93599.2</v>
      </c>
      <c r="Q45" s="219">
        <v>-32439</v>
      </c>
      <c r="R45" s="211">
        <v>16842.400000000001</v>
      </c>
      <c r="S45" s="219">
        <f>SUM(I45,L45:O45,R45,P45,Q45)</f>
        <v>1273767.5999999999</v>
      </c>
    </row>
    <row r="46" spans="1:20" s="220" customFormat="1" ht="15" customHeight="1">
      <c r="A46" s="87"/>
      <c r="B46" s="140"/>
      <c r="C46" s="219"/>
      <c r="D46" s="140"/>
      <c r="E46" s="140"/>
      <c r="F46" s="140"/>
      <c r="G46" s="140"/>
      <c r="H46" s="211"/>
      <c r="I46" s="140"/>
      <c r="J46" s="140"/>
      <c r="K46" s="140"/>
      <c r="L46" s="133"/>
      <c r="M46" s="1168"/>
      <c r="N46" s="219"/>
      <c r="O46" s="219"/>
      <c r="P46" s="140"/>
      <c r="Q46" s="219"/>
      <c r="R46" s="211"/>
      <c r="S46" s="219"/>
    </row>
    <row r="47" spans="1:20" s="220" customFormat="1" ht="15" customHeight="1">
      <c r="A47" s="87" t="s">
        <v>684</v>
      </c>
      <c r="B47" s="140">
        <v>302042.8</v>
      </c>
      <c r="C47" s="219">
        <v>151882.30000000002</v>
      </c>
      <c r="D47" s="140">
        <v>1222.4000000000001</v>
      </c>
      <c r="E47" s="140">
        <v>12465.900000000001</v>
      </c>
      <c r="F47" s="140">
        <v>18559.899999999998</v>
      </c>
      <c r="G47" s="140">
        <v>19.3</v>
      </c>
      <c r="H47" s="211">
        <v>32478.600000000002</v>
      </c>
      <c r="I47" s="140">
        <v>518671.2</v>
      </c>
      <c r="J47" s="140">
        <v>218875.6</v>
      </c>
      <c r="K47" s="140">
        <v>34464.100000000006</v>
      </c>
      <c r="L47" s="140">
        <v>253339.7</v>
      </c>
      <c r="M47" s="1168" t="s">
        <v>88</v>
      </c>
      <c r="N47" s="219">
        <v>25616.3</v>
      </c>
      <c r="O47" s="219">
        <v>334143.8</v>
      </c>
      <c r="P47" s="140">
        <v>94215.9</v>
      </c>
      <c r="Q47" s="219">
        <v>-30409.699999999997</v>
      </c>
      <c r="R47" s="211">
        <v>38915.300000000003</v>
      </c>
      <c r="S47" s="219">
        <v>1234492.5</v>
      </c>
    </row>
    <row r="48" spans="1:20" s="220" customFormat="1" ht="15" customHeight="1">
      <c r="A48" s="87" t="s">
        <v>44</v>
      </c>
      <c r="B48" s="140">
        <v>334282.7</v>
      </c>
      <c r="C48" s="219">
        <v>161888.4</v>
      </c>
      <c r="D48" s="140">
        <v>1303.3</v>
      </c>
      <c r="E48" s="140">
        <v>3460.1000000000004</v>
      </c>
      <c r="F48" s="140">
        <v>18483.5</v>
      </c>
      <c r="G48" s="140">
        <v>27.6</v>
      </c>
      <c r="H48" s="211">
        <v>29101.3</v>
      </c>
      <c r="I48" s="140">
        <v>548546.89999999991</v>
      </c>
      <c r="J48" s="140">
        <v>337416.9</v>
      </c>
      <c r="K48" s="140">
        <v>34568.6</v>
      </c>
      <c r="L48" s="140">
        <v>371985.5</v>
      </c>
      <c r="M48" s="1168" t="s">
        <v>88</v>
      </c>
      <c r="N48" s="219">
        <v>18656.7</v>
      </c>
      <c r="O48" s="219">
        <v>328843.90000000002</v>
      </c>
      <c r="P48" s="140">
        <v>91575.7</v>
      </c>
      <c r="Q48" s="219">
        <v>-16742.499999999996</v>
      </c>
      <c r="R48" s="211">
        <v>47971</v>
      </c>
      <c r="S48" s="219">
        <v>1390837.2</v>
      </c>
    </row>
    <row r="49" spans="1:21" s="220" customFormat="1" ht="15" customHeight="1">
      <c r="A49" s="87"/>
      <c r="B49" s="140"/>
      <c r="C49" s="219"/>
      <c r="D49" s="140"/>
      <c r="E49" s="140"/>
      <c r="F49" s="140"/>
      <c r="G49" s="140"/>
      <c r="H49" s="211"/>
      <c r="I49" s="140"/>
      <c r="J49" s="140"/>
      <c r="K49" s="140"/>
      <c r="L49" s="133"/>
      <c r="M49" s="1168"/>
      <c r="N49" s="219"/>
      <c r="O49" s="219"/>
      <c r="P49" s="140"/>
      <c r="Q49" s="219"/>
      <c r="R49" s="211"/>
      <c r="S49" s="219"/>
      <c r="T49" s="214"/>
    </row>
    <row r="50" spans="1:21" s="214" customFormat="1" ht="15" hidden="1" customHeight="1">
      <c r="A50" s="87" t="s">
        <v>60</v>
      </c>
      <c r="B50" s="130">
        <v>87847.1</v>
      </c>
      <c r="C50" s="128">
        <v>21116.2</v>
      </c>
      <c r="D50" s="130">
        <v>751.69999999999993</v>
      </c>
      <c r="E50" s="1168" t="s">
        <v>88</v>
      </c>
      <c r="F50" s="130">
        <v>1538.8</v>
      </c>
      <c r="G50" s="140">
        <v>459</v>
      </c>
      <c r="H50" s="211">
        <v>2177.1999999999998</v>
      </c>
      <c r="I50" s="137">
        <f t="shared" ref="I50:I100" si="6">SUM(B50:H50)</f>
        <v>113890</v>
      </c>
      <c r="J50" s="140">
        <v>59366.000000000007</v>
      </c>
      <c r="K50" s="130">
        <v>3295.6</v>
      </c>
      <c r="L50" s="129">
        <f t="shared" ref="L50:L100" si="7">SUM(J50:K50)</f>
        <v>62661.600000000006</v>
      </c>
      <c r="M50" s="1168" t="s">
        <v>88</v>
      </c>
      <c r="N50" s="128">
        <v>2368.6</v>
      </c>
      <c r="O50" s="128">
        <v>157560.9</v>
      </c>
      <c r="P50" s="137">
        <v>17178.599999999999</v>
      </c>
      <c r="Q50" s="135">
        <v>18725.099999999999</v>
      </c>
      <c r="R50" s="213">
        <v>25760.299999999996</v>
      </c>
      <c r="S50" s="135">
        <f t="shared" si="5"/>
        <v>398145.09999999992</v>
      </c>
      <c r="U50" s="220"/>
    </row>
    <row r="51" spans="1:21" s="214" customFormat="1" ht="15" hidden="1" customHeight="1">
      <c r="A51" s="87" t="s">
        <v>40</v>
      </c>
      <c r="B51" s="130">
        <v>88984.4</v>
      </c>
      <c r="C51" s="128">
        <v>19977.3</v>
      </c>
      <c r="D51" s="130">
        <v>1824.2999999999997</v>
      </c>
      <c r="E51" s="1168" t="s">
        <v>88</v>
      </c>
      <c r="F51" s="130">
        <v>1165.7</v>
      </c>
      <c r="G51" s="140">
        <v>398.2</v>
      </c>
      <c r="H51" s="211">
        <v>2259.2999999999997</v>
      </c>
      <c r="I51" s="137">
        <f t="shared" si="6"/>
        <v>114609.2</v>
      </c>
      <c r="J51" s="140">
        <v>54535.1</v>
      </c>
      <c r="K51" s="130">
        <v>4006.3999999999996</v>
      </c>
      <c r="L51" s="129">
        <f t="shared" si="7"/>
        <v>58541.5</v>
      </c>
      <c r="M51" s="1168" t="s">
        <v>88</v>
      </c>
      <c r="N51" s="128">
        <v>2117.1999999999998</v>
      </c>
      <c r="O51" s="128">
        <v>159092.1</v>
      </c>
      <c r="P51" s="137">
        <v>17173.8</v>
      </c>
      <c r="Q51" s="135">
        <v>20568</v>
      </c>
      <c r="R51" s="213">
        <v>22879.600000000002</v>
      </c>
      <c r="S51" s="135">
        <f t="shared" si="5"/>
        <v>394981.39999999997</v>
      </c>
      <c r="U51" s="220"/>
    </row>
    <row r="52" spans="1:21" s="214" customFormat="1" ht="15" hidden="1" customHeight="1">
      <c r="A52" s="87" t="s">
        <v>41</v>
      </c>
      <c r="B52" s="130">
        <v>89739.6</v>
      </c>
      <c r="C52" s="128">
        <v>23461.300000000003</v>
      </c>
      <c r="D52" s="130">
        <v>1391.6999999999998</v>
      </c>
      <c r="E52" s="1168" t="s">
        <v>88</v>
      </c>
      <c r="F52" s="130">
        <v>1864.2</v>
      </c>
      <c r="G52" s="140">
        <v>340.6</v>
      </c>
      <c r="H52" s="211">
        <v>2050.2999999999997</v>
      </c>
      <c r="I52" s="137">
        <f t="shared" si="6"/>
        <v>118847.70000000001</v>
      </c>
      <c r="J52" s="140">
        <v>60736.3</v>
      </c>
      <c r="K52" s="130">
        <v>5104.1000000000004</v>
      </c>
      <c r="L52" s="129">
        <f t="shared" si="7"/>
        <v>65840.400000000009</v>
      </c>
      <c r="M52" s="130">
        <v>3000</v>
      </c>
      <c r="N52" s="128">
        <v>2145.1999999999998</v>
      </c>
      <c r="O52" s="128">
        <v>168291.5</v>
      </c>
      <c r="P52" s="137">
        <v>19150.7</v>
      </c>
      <c r="Q52" s="135">
        <v>11489.8</v>
      </c>
      <c r="R52" s="213">
        <v>22978.099999999995</v>
      </c>
      <c r="S52" s="135">
        <f t="shared" si="5"/>
        <v>411743.4</v>
      </c>
      <c r="U52" s="220"/>
    </row>
    <row r="53" spans="1:21" s="214" customFormat="1" ht="15" hidden="1" customHeight="1">
      <c r="A53" s="87" t="s">
        <v>42</v>
      </c>
      <c r="B53" s="130">
        <v>98410.2</v>
      </c>
      <c r="C53" s="128">
        <v>22480</v>
      </c>
      <c r="D53" s="130">
        <v>1734.1</v>
      </c>
      <c r="E53" s="1168" t="s">
        <v>88</v>
      </c>
      <c r="F53" s="130">
        <v>2398.0000000000005</v>
      </c>
      <c r="G53" s="140">
        <v>261.39999999999998</v>
      </c>
      <c r="H53" s="211">
        <v>1930.2999999999997</v>
      </c>
      <c r="I53" s="137">
        <f t="shared" si="6"/>
        <v>127214</v>
      </c>
      <c r="J53" s="140">
        <v>68597.899999999994</v>
      </c>
      <c r="K53" s="130">
        <v>5030.8999999999996</v>
      </c>
      <c r="L53" s="129">
        <f t="shared" si="7"/>
        <v>73628.799999999988</v>
      </c>
      <c r="M53" s="1168" t="s">
        <v>88</v>
      </c>
      <c r="N53" s="128">
        <v>1906.4</v>
      </c>
      <c r="O53" s="128">
        <v>163484.1</v>
      </c>
      <c r="P53" s="137">
        <v>19150.7</v>
      </c>
      <c r="Q53" s="135">
        <v>9489.6</v>
      </c>
      <c r="R53" s="213">
        <v>23361.800000000007</v>
      </c>
      <c r="S53" s="135">
        <f t="shared" si="5"/>
        <v>418235.39999999997</v>
      </c>
      <c r="U53" s="220"/>
    </row>
    <row r="54" spans="1:21" s="214" customFormat="1" ht="15" hidden="1" customHeight="1">
      <c r="A54" s="87" t="s">
        <v>43</v>
      </c>
      <c r="B54" s="130">
        <v>98766.6</v>
      </c>
      <c r="C54" s="128">
        <v>23173.1</v>
      </c>
      <c r="D54" s="130">
        <v>1414.8</v>
      </c>
      <c r="E54" s="1168" t="s">
        <v>88</v>
      </c>
      <c r="F54" s="130">
        <v>1675.1769999999997</v>
      </c>
      <c r="G54" s="140">
        <v>336.5</v>
      </c>
      <c r="H54" s="211">
        <v>2158.6999999999998</v>
      </c>
      <c r="I54" s="137">
        <f t="shared" si="6"/>
        <v>127524.87700000001</v>
      </c>
      <c r="J54" s="140">
        <v>60457.023000000001</v>
      </c>
      <c r="K54" s="130">
        <v>5029.2999999999993</v>
      </c>
      <c r="L54" s="129">
        <f t="shared" si="7"/>
        <v>65486.323000000004</v>
      </c>
      <c r="M54" s="130">
        <v>5000</v>
      </c>
      <c r="N54" s="128">
        <v>2593.4</v>
      </c>
      <c r="O54" s="128">
        <v>163549.40000000002</v>
      </c>
      <c r="P54" s="137">
        <v>19150.7</v>
      </c>
      <c r="Q54" s="135">
        <v>11034.9</v>
      </c>
      <c r="R54" s="213">
        <v>21917.499999999996</v>
      </c>
      <c r="S54" s="135">
        <f t="shared" si="5"/>
        <v>416257.10000000003</v>
      </c>
      <c r="U54" s="220"/>
    </row>
    <row r="55" spans="1:21" s="214" customFormat="1" ht="15" hidden="1" customHeight="1">
      <c r="A55" s="87" t="s">
        <v>44</v>
      </c>
      <c r="B55" s="130">
        <v>109147.9</v>
      </c>
      <c r="C55" s="128">
        <v>18877.900000000001</v>
      </c>
      <c r="D55" s="130">
        <v>1506.9</v>
      </c>
      <c r="E55" s="1168" t="s">
        <v>88</v>
      </c>
      <c r="F55" s="130">
        <v>4287.1000000000004</v>
      </c>
      <c r="G55" s="140">
        <v>490.1</v>
      </c>
      <c r="H55" s="211">
        <v>1501.1</v>
      </c>
      <c r="I55" s="137">
        <f t="shared" si="6"/>
        <v>135811</v>
      </c>
      <c r="J55" s="140">
        <v>54287.4</v>
      </c>
      <c r="K55" s="130">
        <v>4481.2999999999993</v>
      </c>
      <c r="L55" s="129">
        <f t="shared" si="7"/>
        <v>58768.7</v>
      </c>
      <c r="M55" s="1168" t="s">
        <v>88</v>
      </c>
      <c r="N55" s="128">
        <v>2889.3</v>
      </c>
      <c r="O55" s="128">
        <v>166752.5</v>
      </c>
      <c r="P55" s="137">
        <v>19150.7</v>
      </c>
      <c r="Q55" s="135">
        <v>13870.1</v>
      </c>
      <c r="R55" s="213">
        <v>22506.300000000007</v>
      </c>
      <c r="S55" s="135">
        <f t="shared" si="5"/>
        <v>419748.6</v>
      </c>
      <c r="U55" s="220"/>
    </row>
    <row r="56" spans="1:21" s="214" customFormat="1" ht="15" hidden="1" customHeight="1">
      <c r="A56" s="87" t="s">
        <v>45</v>
      </c>
      <c r="B56" s="130">
        <v>121800.8</v>
      </c>
      <c r="C56" s="128">
        <v>21782.1</v>
      </c>
      <c r="D56" s="130">
        <v>1271.3</v>
      </c>
      <c r="E56" s="1168" t="s">
        <v>88</v>
      </c>
      <c r="F56" s="130">
        <v>1552.6999999999998</v>
      </c>
      <c r="G56" s="140">
        <v>456.2</v>
      </c>
      <c r="H56" s="211">
        <v>2042.5999999999997</v>
      </c>
      <c r="I56" s="137">
        <f t="shared" si="6"/>
        <v>148905.70000000001</v>
      </c>
      <c r="J56" s="140">
        <v>51778.400000000009</v>
      </c>
      <c r="K56" s="130">
        <v>3757.3999999999992</v>
      </c>
      <c r="L56" s="129">
        <f t="shared" si="7"/>
        <v>55535.80000000001</v>
      </c>
      <c r="M56" s="1168" t="s">
        <v>88</v>
      </c>
      <c r="N56" s="128">
        <v>2612.9</v>
      </c>
      <c r="O56" s="128">
        <v>177733.2</v>
      </c>
      <c r="P56" s="137">
        <v>19150.7</v>
      </c>
      <c r="Q56" s="135">
        <v>15348.1</v>
      </c>
      <c r="R56" s="213">
        <v>21131.899999999998</v>
      </c>
      <c r="S56" s="135">
        <f t="shared" si="5"/>
        <v>440418.30000000005</v>
      </c>
      <c r="U56" s="220"/>
    </row>
    <row r="57" spans="1:21" s="214" customFormat="1" ht="15" hidden="1" customHeight="1">
      <c r="A57" s="87" t="s">
        <v>46</v>
      </c>
      <c r="B57" s="130">
        <v>121398.7</v>
      </c>
      <c r="C57" s="128">
        <v>17654.900000000001</v>
      </c>
      <c r="D57" s="130">
        <v>920.40000000000009</v>
      </c>
      <c r="E57" s="1168" t="s">
        <v>88</v>
      </c>
      <c r="F57" s="130">
        <v>1198.7</v>
      </c>
      <c r="G57" s="140">
        <v>293.2</v>
      </c>
      <c r="H57" s="211">
        <v>2010.8</v>
      </c>
      <c r="I57" s="137">
        <f t="shared" si="6"/>
        <v>143476.70000000001</v>
      </c>
      <c r="J57" s="140">
        <v>70846.899999999994</v>
      </c>
      <c r="K57" s="130">
        <v>5001.9999999999991</v>
      </c>
      <c r="L57" s="129">
        <f t="shared" si="7"/>
        <v>75848.899999999994</v>
      </c>
      <c r="M57" s="1168" t="s">
        <v>88</v>
      </c>
      <c r="N57" s="128">
        <v>3329</v>
      </c>
      <c r="O57" s="128">
        <v>170889.4</v>
      </c>
      <c r="P57" s="137">
        <v>19150.7</v>
      </c>
      <c r="Q57" s="135">
        <v>14588.1</v>
      </c>
      <c r="R57" s="213">
        <v>20311.999999999996</v>
      </c>
      <c r="S57" s="135">
        <f t="shared" si="5"/>
        <v>447594.8</v>
      </c>
      <c r="U57" s="220"/>
    </row>
    <row r="58" spans="1:21" s="214" customFormat="1" ht="15" hidden="1" customHeight="1">
      <c r="A58" s="87" t="s">
        <v>47</v>
      </c>
      <c r="B58" s="130">
        <v>123002.6</v>
      </c>
      <c r="C58" s="128">
        <v>17303.099999999999</v>
      </c>
      <c r="D58" s="130">
        <v>1436.6</v>
      </c>
      <c r="E58" s="1168" t="s">
        <v>88</v>
      </c>
      <c r="F58" s="130">
        <v>2300</v>
      </c>
      <c r="G58" s="140">
        <v>256.10000000000002</v>
      </c>
      <c r="H58" s="211">
        <v>2635.2</v>
      </c>
      <c r="I58" s="137">
        <f t="shared" si="6"/>
        <v>146933.60000000003</v>
      </c>
      <c r="J58" s="140">
        <v>55193.799999999988</v>
      </c>
      <c r="K58" s="130">
        <v>5380.5000000000009</v>
      </c>
      <c r="L58" s="129">
        <f t="shared" si="7"/>
        <v>60574.299999999988</v>
      </c>
      <c r="M58" s="1168" t="s">
        <v>88</v>
      </c>
      <c r="N58" s="128">
        <v>3473.3</v>
      </c>
      <c r="O58" s="128">
        <v>172169.9</v>
      </c>
      <c r="P58" s="137">
        <v>19150.7</v>
      </c>
      <c r="Q58" s="135">
        <v>13380.7</v>
      </c>
      <c r="R58" s="213">
        <v>20523.2</v>
      </c>
      <c r="S58" s="135">
        <f t="shared" si="5"/>
        <v>436205.7</v>
      </c>
      <c r="U58" s="220"/>
    </row>
    <row r="59" spans="1:21" s="214" customFormat="1" ht="15" hidden="1" customHeight="1">
      <c r="A59" s="87" t="s">
        <v>48</v>
      </c>
      <c r="B59" s="130">
        <v>118622.6</v>
      </c>
      <c r="C59" s="128">
        <v>23160.400000000001</v>
      </c>
      <c r="D59" s="130">
        <v>835.6</v>
      </c>
      <c r="E59" s="1168" t="s">
        <v>88</v>
      </c>
      <c r="F59" s="130">
        <v>1851.5</v>
      </c>
      <c r="G59" s="140">
        <v>143.6</v>
      </c>
      <c r="H59" s="211">
        <v>1653.9</v>
      </c>
      <c r="I59" s="137">
        <f t="shared" si="6"/>
        <v>146267.6</v>
      </c>
      <c r="J59" s="140">
        <v>61009.2</v>
      </c>
      <c r="K59" s="130">
        <v>6128.4</v>
      </c>
      <c r="L59" s="129">
        <f t="shared" si="7"/>
        <v>67137.599999999991</v>
      </c>
      <c r="M59" s="1168" t="s">
        <v>88</v>
      </c>
      <c r="N59" s="128">
        <v>3310.6</v>
      </c>
      <c r="O59" s="128">
        <v>167470.6</v>
      </c>
      <c r="P59" s="137">
        <v>19150.7</v>
      </c>
      <c r="Q59" s="135">
        <v>12779.6</v>
      </c>
      <c r="R59" s="213">
        <v>24096.899999999998</v>
      </c>
      <c r="S59" s="135">
        <f t="shared" si="5"/>
        <v>440213.60000000003</v>
      </c>
      <c r="U59" s="220"/>
    </row>
    <row r="60" spans="1:21" s="214" customFormat="1" ht="15" hidden="1" customHeight="1">
      <c r="A60" s="87" t="s">
        <v>49</v>
      </c>
      <c r="B60" s="130">
        <v>116373.1</v>
      </c>
      <c r="C60" s="128">
        <v>20223</v>
      </c>
      <c r="D60" s="130">
        <v>632.4</v>
      </c>
      <c r="E60" s="1168" t="s">
        <v>88</v>
      </c>
      <c r="F60" s="130">
        <v>1054.3</v>
      </c>
      <c r="G60" s="140">
        <v>133</v>
      </c>
      <c r="H60" s="211">
        <v>1621.7</v>
      </c>
      <c r="I60" s="137">
        <f t="shared" si="6"/>
        <v>140037.5</v>
      </c>
      <c r="J60" s="140">
        <v>64713.2</v>
      </c>
      <c r="K60" s="130">
        <v>4789.8</v>
      </c>
      <c r="L60" s="129">
        <f t="shared" si="7"/>
        <v>69503</v>
      </c>
      <c r="M60" s="130">
        <v>1500</v>
      </c>
      <c r="N60" s="128">
        <v>3369.6</v>
      </c>
      <c r="O60" s="128">
        <v>169792.50000000003</v>
      </c>
      <c r="P60" s="137">
        <v>19150.7</v>
      </c>
      <c r="Q60" s="135">
        <v>16218.7</v>
      </c>
      <c r="R60" s="213">
        <v>19934.2</v>
      </c>
      <c r="S60" s="135">
        <f t="shared" si="5"/>
        <v>439506.20000000007</v>
      </c>
      <c r="U60" s="220"/>
    </row>
    <row r="61" spans="1:21" s="217" customFormat="1" ht="15" hidden="1" customHeight="1">
      <c r="A61" s="87" t="s">
        <v>50</v>
      </c>
      <c r="B61" s="137">
        <v>124230.9</v>
      </c>
      <c r="C61" s="135">
        <v>24965.9</v>
      </c>
      <c r="D61" s="137">
        <v>1127</v>
      </c>
      <c r="E61" s="1168" t="s">
        <v>88</v>
      </c>
      <c r="F61" s="137">
        <v>4527.2</v>
      </c>
      <c r="G61" s="140">
        <v>56.9</v>
      </c>
      <c r="H61" s="211">
        <v>1675.3</v>
      </c>
      <c r="I61" s="137">
        <f t="shared" si="6"/>
        <v>156583.19999999998</v>
      </c>
      <c r="J61" s="137">
        <v>87124.799999999988</v>
      </c>
      <c r="K61" s="137">
        <v>6683.6</v>
      </c>
      <c r="L61" s="129">
        <f t="shared" si="7"/>
        <v>93808.4</v>
      </c>
      <c r="M61" s="137">
        <v>12000</v>
      </c>
      <c r="N61" s="135">
        <v>5225.7</v>
      </c>
      <c r="O61" s="135">
        <v>175397.7</v>
      </c>
      <c r="P61" s="137">
        <v>22381.3</v>
      </c>
      <c r="Q61" s="135">
        <v>14196.7</v>
      </c>
      <c r="R61" s="216">
        <v>34017.399999999994</v>
      </c>
      <c r="S61" s="135">
        <f t="shared" si="5"/>
        <v>513610.4</v>
      </c>
      <c r="T61" s="214"/>
      <c r="U61" s="220"/>
    </row>
    <row r="62" spans="1:21" s="217" customFormat="1" ht="15" hidden="1" customHeight="1">
      <c r="A62" s="222"/>
      <c r="B62" s="137"/>
      <c r="C62" s="135"/>
      <c r="D62" s="137"/>
      <c r="E62" s="1168"/>
      <c r="F62" s="137"/>
      <c r="G62" s="140"/>
      <c r="H62" s="211"/>
      <c r="I62" s="137"/>
      <c r="J62" s="137"/>
      <c r="K62" s="137"/>
      <c r="L62" s="129"/>
      <c r="M62" s="137"/>
      <c r="N62" s="135"/>
      <c r="O62" s="135"/>
      <c r="P62" s="137"/>
      <c r="Q62" s="135"/>
      <c r="R62" s="216"/>
      <c r="S62" s="135"/>
      <c r="T62" s="214"/>
      <c r="U62" s="220"/>
    </row>
    <row r="63" spans="1:21" s="214" customFormat="1" ht="15" hidden="1" customHeight="1">
      <c r="A63" s="87" t="s">
        <v>59</v>
      </c>
      <c r="B63" s="130">
        <v>114706.9</v>
      </c>
      <c r="C63" s="128">
        <v>31192.800000000003</v>
      </c>
      <c r="D63" s="130">
        <v>817.6</v>
      </c>
      <c r="E63" s="1168" t="s">
        <v>88</v>
      </c>
      <c r="F63" s="130">
        <v>1689.4999999999998</v>
      </c>
      <c r="G63" s="140">
        <v>89.3</v>
      </c>
      <c r="H63" s="211">
        <v>1627.8</v>
      </c>
      <c r="I63" s="137">
        <f t="shared" si="6"/>
        <v>150123.9</v>
      </c>
      <c r="J63" s="140">
        <v>70428.599999999991</v>
      </c>
      <c r="K63" s="130">
        <v>5730.0999999999995</v>
      </c>
      <c r="L63" s="129">
        <f t="shared" si="7"/>
        <v>76158.7</v>
      </c>
      <c r="M63" s="130">
        <v>15000</v>
      </c>
      <c r="N63" s="128">
        <v>5513.8</v>
      </c>
      <c r="O63" s="128">
        <v>170683.4</v>
      </c>
      <c r="P63" s="137">
        <v>19150.7</v>
      </c>
      <c r="Q63" s="135">
        <v>8368.8000000000011</v>
      </c>
      <c r="R63" s="213">
        <v>24338.799999999999</v>
      </c>
      <c r="S63" s="135">
        <f t="shared" ref="S63:S74" si="8">SUM(I63,L63:O63,R63,P63,Q63)</f>
        <v>469338.09999999992</v>
      </c>
      <c r="U63" s="220"/>
    </row>
    <row r="64" spans="1:21" s="214" customFormat="1" ht="15" hidden="1" customHeight="1">
      <c r="A64" s="87" t="s">
        <v>40</v>
      </c>
      <c r="B64" s="130">
        <v>113068.7</v>
      </c>
      <c r="C64" s="128">
        <v>27634.1</v>
      </c>
      <c r="D64" s="130">
        <v>704.00000000000011</v>
      </c>
      <c r="E64" s="1168" t="s">
        <v>88</v>
      </c>
      <c r="F64" s="130">
        <v>1532.1679999999999</v>
      </c>
      <c r="G64" s="140">
        <v>93.5</v>
      </c>
      <c r="H64" s="211">
        <v>1771.6</v>
      </c>
      <c r="I64" s="137">
        <f t="shared" si="6"/>
        <v>144804.068</v>
      </c>
      <c r="J64" s="140">
        <v>65480.932000000001</v>
      </c>
      <c r="K64" s="130">
        <v>7613.9999999999982</v>
      </c>
      <c r="L64" s="129">
        <f t="shared" si="7"/>
        <v>73094.932000000001</v>
      </c>
      <c r="M64" s="130">
        <v>10000</v>
      </c>
      <c r="N64" s="128">
        <v>6639.8</v>
      </c>
      <c r="O64" s="128">
        <v>178338.8</v>
      </c>
      <c r="P64" s="137">
        <v>19150.7</v>
      </c>
      <c r="Q64" s="135">
        <v>10933.3</v>
      </c>
      <c r="R64" s="213">
        <v>24371.899999999998</v>
      </c>
      <c r="S64" s="135">
        <f t="shared" si="8"/>
        <v>467333.5</v>
      </c>
      <c r="U64" s="220"/>
    </row>
    <row r="65" spans="1:21" s="214" customFormat="1" ht="15" hidden="1" customHeight="1">
      <c r="A65" s="87" t="s">
        <v>41</v>
      </c>
      <c r="B65" s="130">
        <v>112651.3</v>
      </c>
      <c r="C65" s="128">
        <v>22247.699999999997</v>
      </c>
      <c r="D65" s="130">
        <v>482.70000000000005</v>
      </c>
      <c r="E65" s="1168" t="s">
        <v>88</v>
      </c>
      <c r="F65" s="130">
        <v>1866.9</v>
      </c>
      <c r="G65" s="140">
        <v>232.7</v>
      </c>
      <c r="H65" s="211">
        <v>1526.3</v>
      </c>
      <c r="I65" s="137">
        <f t="shared" si="6"/>
        <v>139007.6</v>
      </c>
      <c r="J65" s="140">
        <v>66205.8</v>
      </c>
      <c r="K65" s="130">
        <v>4506.1000000000004</v>
      </c>
      <c r="L65" s="129">
        <f t="shared" si="7"/>
        <v>70711.900000000009</v>
      </c>
      <c r="M65" s="130">
        <v>8300</v>
      </c>
      <c r="N65" s="128">
        <v>5647.2</v>
      </c>
      <c r="O65" s="128">
        <v>180864.6</v>
      </c>
      <c r="P65" s="137">
        <v>22381.3</v>
      </c>
      <c r="Q65" s="135">
        <v>15778.5</v>
      </c>
      <c r="R65" s="213">
        <v>14585.699999999993</v>
      </c>
      <c r="S65" s="135">
        <f t="shared" si="8"/>
        <v>457276.80000000005</v>
      </c>
      <c r="U65" s="220"/>
    </row>
    <row r="66" spans="1:21" s="214" customFormat="1" ht="15" hidden="1" customHeight="1">
      <c r="A66" s="87" t="s">
        <v>42</v>
      </c>
      <c r="B66" s="130">
        <v>115183.7</v>
      </c>
      <c r="C66" s="128">
        <v>23019</v>
      </c>
      <c r="D66" s="130">
        <v>472.70000000000005</v>
      </c>
      <c r="E66" s="1168" t="s">
        <v>88</v>
      </c>
      <c r="F66" s="130">
        <v>2219.5</v>
      </c>
      <c r="G66" s="140">
        <v>59.6</v>
      </c>
      <c r="H66" s="211">
        <v>1285.2</v>
      </c>
      <c r="I66" s="137">
        <f t="shared" si="6"/>
        <v>142239.70000000004</v>
      </c>
      <c r="J66" s="140">
        <v>60352.2</v>
      </c>
      <c r="K66" s="130">
        <v>5702.1000000000022</v>
      </c>
      <c r="L66" s="129">
        <f t="shared" si="7"/>
        <v>66054.3</v>
      </c>
      <c r="M66" s="130">
        <v>2300</v>
      </c>
      <c r="N66" s="128">
        <v>5663.5</v>
      </c>
      <c r="O66" s="128">
        <v>181050.30000000002</v>
      </c>
      <c r="P66" s="137">
        <v>32819.4</v>
      </c>
      <c r="Q66" s="135">
        <v>40</v>
      </c>
      <c r="R66" s="213">
        <v>15296.5</v>
      </c>
      <c r="S66" s="135">
        <f t="shared" si="8"/>
        <v>445463.70000000007</v>
      </c>
      <c r="U66" s="220"/>
    </row>
    <row r="67" spans="1:21" s="214" customFormat="1" ht="15" hidden="1" customHeight="1">
      <c r="A67" s="87" t="s">
        <v>43</v>
      </c>
      <c r="B67" s="130">
        <v>112468.1</v>
      </c>
      <c r="C67" s="128">
        <v>30605.599999999999</v>
      </c>
      <c r="D67" s="130">
        <v>318.79999999999995</v>
      </c>
      <c r="E67" s="1168" t="s">
        <v>88</v>
      </c>
      <c r="F67" s="130">
        <v>1111</v>
      </c>
      <c r="G67" s="140">
        <v>43</v>
      </c>
      <c r="H67" s="211">
        <v>1319.9</v>
      </c>
      <c r="I67" s="137">
        <f t="shared" si="6"/>
        <v>145866.4</v>
      </c>
      <c r="J67" s="140">
        <v>88451.400000000009</v>
      </c>
      <c r="K67" s="130">
        <v>5416.3</v>
      </c>
      <c r="L67" s="129">
        <f t="shared" si="7"/>
        <v>93867.700000000012</v>
      </c>
      <c r="M67" s="1168" t="s">
        <v>88</v>
      </c>
      <c r="N67" s="128">
        <v>4707.2</v>
      </c>
      <c r="O67" s="128">
        <v>126775.29999999999</v>
      </c>
      <c r="P67" s="137">
        <v>32819.4</v>
      </c>
      <c r="Q67" s="135">
        <v>1453.3</v>
      </c>
      <c r="R67" s="213">
        <v>49502.30000000001</v>
      </c>
      <c r="S67" s="135">
        <f t="shared" si="8"/>
        <v>454991.6</v>
      </c>
      <c r="U67" s="220"/>
    </row>
    <row r="68" spans="1:21" s="214" customFormat="1" ht="15" hidden="1" customHeight="1">
      <c r="A68" s="87" t="s">
        <v>44</v>
      </c>
      <c r="B68" s="130">
        <v>120665.4</v>
      </c>
      <c r="C68" s="128">
        <v>39647.5</v>
      </c>
      <c r="D68" s="130">
        <v>835.8</v>
      </c>
      <c r="E68" s="1168" t="s">
        <v>88</v>
      </c>
      <c r="F68" s="130">
        <v>2826.4</v>
      </c>
      <c r="G68" s="140">
        <v>55.3</v>
      </c>
      <c r="H68" s="211">
        <v>1354.9</v>
      </c>
      <c r="I68" s="137">
        <f t="shared" si="6"/>
        <v>165385.29999999996</v>
      </c>
      <c r="J68" s="140">
        <v>86975.9</v>
      </c>
      <c r="K68" s="130">
        <v>6268.8</v>
      </c>
      <c r="L68" s="129">
        <f t="shared" si="7"/>
        <v>93244.7</v>
      </c>
      <c r="M68" s="1168" t="s">
        <v>88</v>
      </c>
      <c r="N68" s="128">
        <v>3207.8999999999996</v>
      </c>
      <c r="O68" s="128">
        <v>127669</v>
      </c>
      <c r="P68" s="137">
        <v>32819.4</v>
      </c>
      <c r="Q68" s="135">
        <v>2077.6999999999998</v>
      </c>
      <c r="R68" s="213">
        <v>47419.4</v>
      </c>
      <c r="S68" s="135">
        <f t="shared" si="8"/>
        <v>471823.39999999997</v>
      </c>
      <c r="U68" s="220"/>
    </row>
    <row r="69" spans="1:21" s="214" customFormat="1" ht="15" hidden="1" customHeight="1">
      <c r="A69" s="87" t="s">
        <v>45</v>
      </c>
      <c r="B69" s="130">
        <v>124675.4</v>
      </c>
      <c r="C69" s="128">
        <v>21455.5</v>
      </c>
      <c r="D69" s="130">
        <v>220.4</v>
      </c>
      <c r="E69" s="1168" t="s">
        <v>88</v>
      </c>
      <c r="F69" s="130">
        <v>1534.6</v>
      </c>
      <c r="G69" s="140">
        <v>42.1</v>
      </c>
      <c r="H69" s="211">
        <v>1409.2</v>
      </c>
      <c r="I69" s="137">
        <f t="shared" si="6"/>
        <v>149337.20000000001</v>
      </c>
      <c r="J69" s="140">
        <v>78491</v>
      </c>
      <c r="K69" s="130">
        <v>5698</v>
      </c>
      <c r="L69" s="129">
        <f t="shared" si="7"/>
        <v>84189</v>
      </c>
      <c r="M69" s="130">
        <v>3000</v>
      </c>
      <c r="N69" s="128">
        <v>2971.7</v>
      </c>
      <c r="O69" s="128">
        <v>140035.5</v>
      </c>
      <c r="P69" s="137">
        <v>32819.4</v>
      </c>
      <c r="Q69" s="135">
        <v>2132.5</v>
      </c>
      <c r="R69" s="213">
        <v>47545.499999999993</v>
      </c>
      <c r="S69" s="135">
        <f t="shared" si="8"/>
        <v>462030.80000000005</v>
      </c>
      <c r="U69" s="220"/>
    </row>
    <row r="70" spans="1:21" s="214" customFormat="1" ht="15" hidden="1" customHeight="1">
      <c r="A70" s="87" t="s">
        <v>46</v>
      </c>
      <c r="B70" s="130">
        <v>124765.5</v>
      </c>
      <c r="C70" s="128">
        <v>26062.2</v>
      </c>
      <c r="D70" s="130">
        <v>303.80000000000007</v>
      </c>
      <c r="E70" s="1168" t="s">
        <v>88</v>
      </c>
      <c r="F70" s="130">
        <v>1731.2</v>
      </c>
      <c r="G70" s="140">
        <v>64.5</v>
      </c>
      <c r="H70" s="211">
        <v>1217</v>
      </c>
      <c r="I70" s="137">
        <f t="shared" si="6"/>
        <v>154144.20000000001</v>
      </c>
      <c r="J70" s="140">
        <v>73849.100000000006</v>
      </c>
      <c r="K70" s="130">
        <v>4379.2999999999993</v>
      </c>
      <c r="L70" s="129">
        <f t="shared" si="7"/>
        <v>78228.400000000009</v>
      </c>
      <c r="M70" s="1168" t="s">
        <v>88</v>
      </c>
      <c r="N70" s="128">
        <v>2286.5</v>
      </c>
      <c r="O70" s="128">
        <v>250916.19999999998</v>
      </c>
      <c r="P70" s="137">
        <v>32819.4</v>
      </c>
      <c r="Q70" s="135">
        <v>3064.7</v>
      </c>
      <c r="R70" s="213">
        <v>45279.6</v>
      </c>
      <c r="S70" s="135">
        <f t="shared" si="8"/>
        <v>566739</v>
      </c>
      <c r="U70" s="220"/>
    </row>
    <row r="71" spans="1:21" s="214" customFormat="1" ht="15" hidden="1" customHeight="1">
      <c r="A71" s="87" t="s">
        <v>47</v>
      </c>
      <c r="B71" s="130">
        <v>117851.2</v>
      </c>
      <c r="C71" s="128">
        <v>36139</v>
      </c>
      <c r="D71" s="130">
        <v>818.50000000000011</v>
      </c>
      <c r="E71" s="1168" t="s">
        <v>88</v>
      </c>
      <c r="F71" s="130">
        <v>2040.1</v>
      </c>
      <c r="G71" s="140">
        <v>48.6</v>
      </c>
      <c r="H71" s="211">
        <v>1353.5</v>
      </c>
      <c r="I71" s="137">
        <f t="shared" si="6"/>
        <v>158250.90000000002</v>
      </c>
      <c r="J71" s="140">
        <v>67984.100000000006</v>
      </c>
      <c r="K71" s="130">
        <v>6049.1999999999989</v>
      </c>
      <c r="L71" s="129">
        <f t="shared" si="7"/>
        <v>74033.3</v>
      </c>
      <c r="M71" s="1168" t="s">
        <v>88</v>
      </c>
      <c r="N71" s="128">
        <v>2277.6999999999998</v>
      </c>
      <c r="O71" s="128">
        <v>259318.9</v>
      </c>
      <c r="P71" s="137">
        <v>32819.4</v>
      </c>
      <c r="Q71" s="135">
        <v>4261.8999999999996</v>
      </c>
      <c r="R71" s="213">
        <v>44172.6</v>
      </c>
      <c r="S71" s="135">
        <f t="shared" si="8"/>
        <v>575134.70000000007</v>
      </c>
      <c r="U71" s="220"/>
    </row>
    <row r="72" spans="1:21" s="214" customFormat="1" ht="15" hidden="1" customHeight="1">
      <c r="A72" s="87" t="s">
        <v>48</v>
      </c>
      <c r="B72" s="130">
        <v>119216.8</v>
      </c>
      <c r="C72" s="128">
        <v>33282.800000000003</v>
      </c>
      <c r="D72" s="130">
        <v>686.40000000000009</v>
      </c>
      <c r="E72" s="1168" t="s">
        <v>88</v>
      </c>
      <c r="F72" s="130">
        <v>1721.9</v>
      </c>
      <c r="G72" s="140">
        <v>76.900000000000006</v>
      </c>
      <c r="H72" s="211">
        <v>1329.2</v>
      </c>
      <c r="I72" s="137">
        <f t="shared" si="6"/>
        <v>156314</v>
      </c>
      <c r="J72" s="140">
        <v>71060.899999999994</v>
      </c>
      <c r="K72" s="130">
        <v>8175.0999999999985</v>
      </c>
      <c r="L72" s="129">
        <f t="shared" si="7"/>
        <v>79236</v>
      </c>
      <c r="M72" s="1168" t="s">
        <v>88</v>
      </c>
      <c r="N72" s="128">
        <v>1249.4000000000001</v>
      </c>
      <c r="O72" s="128">
        <v>260952.5</v>
      </c>
      <c r="P72" s="137">
        <v>32819.4</v>
      </c>
      <c r="Q72" s="135">
        <v>5853.2</v>
      </c>
      <c r="R72" s="213">
        <v>46079.999999999993</v>
      </c>
      <c r="S72" s="135">
        <f t="shared" si="8"/>
        <v>582504.5</v>
      </c>
      <c r="U72" s="220"/>
    </row>
    <row r="73" spans="1:21" s="214" customFormat="1" ht="15" hidden="1" customHeight="1">
      <c r="A73" s="87" t="s">
        <v>49</v>
      </c>
      <c r="B73" s="130">
        <v>117965.7</v>
      </c>
      <c r="C73" s="128">
        <v>37170.699999999997</v>
      </c>
      <c r="D73" s="130">
        <v>941.09999999999991</v>
      </c>
      <c r="E73" s="1168" t="s">
        <v>88</v>
      </c>
      <c r="F73" s="130">
        <v>1724.1</v>
      </c>
      <c r="G73" s="140">
        <v>100.3</v>
      </c>
      <c r="H73" s="211">
        <v>1112.4000000000001</v>
      </c>
      <c r="I73" s="137">
        <f t="shared" si="6"/>
        <v>159014.29999999999</v>
      </c>
      <c r="J73" s="140">
        <v>78929.399999999994</v>
      </c>
      <c r="K73" s="130">
        <v>6026.0000000000009</v>
      </c>
      <c r="L73" s="129">
        <f t="shared" si="7"/>
        <v>84955.4</v>
      </c>
      <c r="M73" s="130">
        <v>6000</v>
      </c>
      <c r="N73" s="128">
        <v>2394.6999999999998</v>
      </c>
      <c r="O73" s="128">
        <v>263875.60000000003</v>
      </c>
      <c r="P73" s="137">
        <v>32819.4</v>
      </c>
      <c r="Q73" s="135">
        <v>5428</v>
      </c>
      <c r="R73" s="213">
        <v>48552.299999999996</v>
      </c>
      <c r="S73" s="135">
        <f t="shared" si="8"/>
        <v>603039.70000000007</v>
      </c>
      <c r="U73" s="220"/>
    </row>
    <row r="74" spans="1:21" s="214" customFormat="1" ht="15" hidden="1" customHeight="1">
      <c r="A74" s="87" t="s">
        <v>50</v>
      </c>
      <c r="B74" s="130">
        <v>136206.20000000001</v>
      </c>
      <c r="C74" s="128">
        <v>53891.1</v>
      </c>
      <c r="D74" s="130">
        <v>1014.1</v>
      </c>
      <c r="E74" s="1168" t="s">
        <v>88</v>
      </c>
      <c r="F74" s="130">
        <v>6100.8</v>
      </c>
      <c r="G74" s="140">
        <v>29.2</v>
      </c>
      <c r="H74" s="211">
        <v>901.8</v>
      </c>
      <c r="I74" s="137">
        <f t="shared" si="6"/>
        <v>198143.2</v>
      </c>
      <c r="J74" s="140">
        <v>76348</v>
      </c>
      <c r="K74" s="130">
        <v>6233.9</v>
      </c>
      <c r="L74" s="129">
        <f t="shared" si="7"/>
        <v>82581.899999999994</v>
      </c>
      <c r="M74" s="130">
        <v>10000</v>
      </c>
      <c r="N74" s="128">
        <v>3627.5</v>
      </c>
      <c r="O74" s="128">
        <v>255985.09999999998</v>
      </c>
      <c r="P74" s="137">
        <v>32780.300000000003</v>
      </c>
      <c r="Q74" s="135">
        <v>4383.1000000000004</v>
      </c>
      <c r="R74" s="213">
        <v>72473.799999999988</v>
      </c>
      <c r="S74" s="135">
        <f t="shared" si="8"/>
        <v>659974.9</v>
      </c>
      <c r="U74" s="220"/>
    </row>
    <row r="75" spans="1:21" s="214" customFormat="1" ht="15" hidden="1" customHeight="1">
      <c r="A75" s="87"/>
      <c r="B75" s="130"/>
      <c r="C75" s="128"/>
      <c r="D75" s="130"/>
      <c r="E75" s="1168"/>
      <c r="F75" s="130"/>
      <c r="G75" s="140"/>
      <c r="H75" s="211"/>
      <c r="I75" s="137"/>
      <c r="J75" s="140"/>
      <c r="K75" s="130"/>
      <c r="L75" s="129"/>
      <c r="M75" s="130"/>
      <c r="N75" s="128"/>
      <c r="O75" s="128"/>
      <c r="P75" s="137"/>
      <c r="Q75" s="135"/>
      <c r="R75" s="213"/>
      <c r="S75" s="135"/>
      <c r="U75" s="220"/>
    </row>
    <row r="76" spans="1:21" s="214" customFormat="1" ht="15" hidden="1" customHeight="1">
      <c r="A76" s="87" t="s">
        <v>58</v>
      </c>
      <c r="B76" s="130">
        <v>124469.1</v>
      </c>
      <c r="C76" s="128">
        <v>44898.400000000001</v>
      </c>
      <c r="D76" s="130">
        <v>721.3</v>
      </c>
      <c r="E76" s="1168" t="s">
        <v>88</v>
      </c>
      <c r="F76" s="130">
        <v>3451.6000000000004</v>
      </c>
      <c r="G76" s="140">
        <v>35</v>
      </c>
      <c r="H76" s="211">
        <v>778.3</v>
      </c>
      <c r="I76" s="137">
        <f t="shared" si="6"/>
        <v>174353.69999999998</v>
      </c>
      <c r="J76" s="140">
        <v>80851.600000000006</v>
      </c>
      <c r="K76" s="130">
        <v>5052.3999999999996</v>
      </c>
      <c r="L76" s="129">
        <f t="shared" si="7"/>
        <v>85904</v>
      </c>
      <c r="M76" s="130">
        <v>20000</v>
      </c>
      <c r="N76" s="128">
        <v>3848</v>
      </c>
      <c r="O76" s="128">
        <v>254946.7</v>
      </c>
      <c r="P76" s="137">
        <v>32780.300000000003</v>
      </c>
      <c r="Q76" s="135">
        <v>2347</v>
      </c>
      <c r="R76" s="213">
        <v>46761.799999999988</v>
      </c>
      <c r="S76" s="135">
        <f t="shared" ref="S76:S87" si="9">SUM(I76,L76:O76,R76,P76,Q76)</f>
        <v>620941.5</v>
      </c>
      <c r="U76" s="220"/>
    </row>
    <row r="77" spans="1:21" s="214" customFormat="1" ht="15" hidden="1" customHeight="1">
      <c r="A77" s="87" t="s">
        <v>40</v>
      </c>
      <c r="B77" s="130">
        <v>125950.7</v>
      </c>
      <c r="C77" s="128">
        <v>41712.1</v>
      </c>
      <c r="D77" s="130">
        <v>1912.9999999999998</v>
      </c>
      <c r="E77" s="1168" t="s">
        <v>88</v>
      </c>
      <c r="F77" s="130">
        <v>1645.8999999999999</v>
      </c>
      <c r="G77" s="140">
        <v>58.4</v>
      </c>
      <c r="H77" s="211">
        <v>1143.8</v>
      </c>
      <c r="I77" s="137">
        <f t="shared" si="6"/>
        <v>172423.89999999997</v>
      </c>
      <c r="J77" s="140">
        <v>89178.6</v>
      </c>
      <c r="K77" s="130">
        <v>6113.2999999999993</v>
      </c>
      <c r="L77" s="129">
        <f t="shared" si="7"/>
        <v>95291.900000000009</v>
      </c>
      <c r="M77" s="130">
        <v>16000</v>
      </c>
      <c r="N77" s="128">
        <v>3891.9</v>
      </c>
      <c r="O77" s="128">
        <v>261782.6</v>
      </c>
      <c r="P77" s="137">
        <v>32780.300000000003</v>
      </c>
      <c r="Q77" s="135">
        <v>3867.8</v>
      </c>
      <c r="R77" s="213">
        <v>48735.699999999983</v>
      </c>
      <c r="S77" s="135">
        <f t="shared" si="9"/>
        <v>634774.10000000009</v>
      </c>
      <c r="U77" s="220"/>
    </row>
    <row r="78" spans="1:21" s="214" customFormat="1" ht="15" hidden="1" customHeight="1">
      <c r="A78" s="87" t="s">
        <v>41</v>
      </c>
      <c r="B78" s="130">
        <v>125349.6</v>
      </c>
      <c r="C78" s="128">
        <v>26586.199999999997</v>
      </c>
      <c r="D78" s="130">
        <v>707.1</v>
      </c>
      <c r="E78" s="1168" t="s">
        <v>88</v>
      </c>
      <c r="F78" s="130">
        <v>2048.3000000000002</v>
      </c>
      <c r="G78" s="140">
        <v>77.400000000000006</v>
      </c>
      <c r="H78" s="211">
        <v>590.6</v>
      </c>
      <c r="I78" s="137">
        <f t="shared" si="6"/>
        <v>155359.19999999998</v>
      </c>
      <c r="J78" s="140">
        <v>79853.600000000006</v>
      </c>
      <c r="K78" s="130">
        <v>5787.5</v>
      </c>
      <c r="L78" s="129">
        <f t="shared" si="7"/>
        <v>85641.1</v>
      </c>
      <c r="M78" s="130">
        <v>22100</v>
      </c>
      <c r="N78" s="128">
        <v>4455.2</v>
      </c>
      <c r="O78" s="128">
        <v>260330.80000000002</v>
      </c>
      <c r="P78" s="137">
        <v>32780.300000000003</v>
      </c>
      <c r="Q78" s="135">
        <v>4744.6000000000004</v>
      </c>
      <c r="R78" s="213">
        <v>49469.799999999988</v>
      </c>
      <c r="S78" s="135">
        <f t="shared" si="9"/>
        <v>614881.00000000012</v>
      </c>
      <c r="U78" s="220"/>
    </row>
    <row r="79" spans="1:21" s="214" customFormat="1" ht="15" hidden="1" customHeight="1">
      <c r="A79" s="87" t="s">
        <v>42</v>
      </c>
      <c r="B79" s="130">
        <v>127864.3</v>
      </c>
      <c r="C79" s="128">
        <v>42278.6</v>
      </c>
      <c r="D79" s="130">
        <v>2281</v>
      </c>
      <c r="E79" s="1168" t="s">
        <v>88</v>
      </c>
      <c r="F79" s="130">
        <v>2970.8</v>
      </c>
      <c r="G79" s="140">
        <v>53</v>
      </c>
      <c r="H79" s="211">
        <v>722.2</v>
      </c>
      <c r="I79" s="137">
        <f t="shared" si="6"/>
        <v>176169.9</v>
      </c>
      <c r="J79" s="140">
        <v>65416.900000000009</v>
      </c>
      <c r="K79" s="130">
        <v>5949.6000000000013</v>
      </c>
      <c r="L79" s="129">
        <f t="shared" si="7"/>
        <v>71366.500000000015</v>
      </c>
      <c r="M79" s="130">
        <v>10000</v>
      </c>
      <c r="N79" s="128">
        <v>3924.4</v>
      </c>
      <c r="O79" s="128">
        <v>257699.40000000002</v>
      </c>
      <c r="P79" s="137">
        <v>36102.400000000001</v>
      </c>
      <c r="Q79" s="135">
        <v>1899.5</v>
      </c>
      <c r="R79" s="213">
        <v>46558.80000000001</v>
      </c>
      <c r="S79" s="135">
        <f t="shared" si="9"/>
        <v>603720.90000000014</v>
      </c>
      <c r="U79" s="220"/>
    </row>
    <row r="80" spans="1:21" s="214" customFormat="1" ht="15" hidden="1" customHeight="1">
      <c r="A80" s="87" t="s">
        <v>43</v>
      </c>
      <c r="B80" s="130">
        <v>130114.6</v>
      </c>
      <c r="C80" s="128">
        <v>15889</v>
      </c>
      <c r="D80" s="130">
        <v>2142.3000000000002</v>
      </c>
      <c r="E80" s="1168" t="s">
        <v>88</v>
      </c>
      <c r="F80" s="130">
        <v>3033.4</v>
      </c>
      <c r="G80" s="140">
        <v>40.6</v>
      </c>
      <c r="H80" s="211">
        <v>557.70000000000005</v>
      </c>
      <c r="I80" s="137">
        <f t="shared" si="6"/>
        <v>151777.60000000001</v>
      </c>
      <c r="J80" s="140">
        <v>61739.899999999994</v>
      </c>
      <c r="K80" s="130">
        <v>4834.4999999999991</v>
      </c>
      <c r="L80" s="129">
        <f t="shared" si="7"/>
        <v>66574.399999999994</v>
      </c>
      <c r="M80" s="1168" t="s">
        <v>88</v>
      </c>
      <c r="N80" s="128">
        <v>3999.5</v>
      </c>
      <c r="O80" s="128">
        <v>251894.59999999998</v>
      </c>
      <c r="P80" s="137">
        <v>36102.400000000001</v>
      </c>
      <c r="Q80" s="135">
        <v>4185</v>
      </c>
      <c r="R80" s="213">
        <v>47977.999999999993</v>
      </c>
      <c r="S80" s="135">
        <f t="shared" si="9"/>
        <v>562511.5</v>
      </c>
      <c r="U80" s="220"/>
    </row>
    <row r="81" spans="1:21" s="214" customFormat="1" ht="15" hidden="1" customHeight="1">
      <c r="A81" s="87" t="s">
        <v>44</v>
      </c>
      <c r="B81" s="130">
        <v>147647.5</v>
      </c>
      <c r="C81" s="128">
        <v>21971.5</v>
      </c>
      <c r="D81" s="130">
        <v>1973</v>
      </c>
      <c r="E81" s="130">
        <v>0.49099999999999999</v>
      </c>
      <c r="F81" s="130">
        <v>2936</v>
      </c>
      <c r="G81" s="140">
        <v>23.6</v>
      </c>
      <c r="H81" s="211">
        <v>883.10900000000004</v>
      </c>
      <c r="I81" s="137">
        <f t="shared" si="6"/>
        <v>175435.2</v>
      </c>
      <c r="J81" s="140">
        <v>65131.899999999994</v>
      </c>
      <c r="K81" s="130">
        <v>6546.4000000000005</v>
      </c>
      <c r="L81" s="129">
        <f t="shared" si="7"/>
        <v>71678.299999999988</v>
      </c>
      <c r="M81" s="1168" t="s">
        <v>88</v>
      </c>
      <c r="N81" s="128">
        <v>5313.2</v>
      </c>
      <c r="O81" s="128">
        <v>252121.1</v>
      </c>
      <c r="P81" s="137">
        <v>36102.400000000001</v>
      </c>
      <c r="Q81" s="135">
        <v>4811.1000000000004</v>
      </c>
      <c r="R81" s="213">
        <v>30907.599999999999</v>
      </c>
      <c r="S81" s="135">
        <f t="shared" si="9"/>
        <v>576368.9</v>
      </c>
      <c r="U81" s="220"/>
    </row>
    <row r="82" spans="1:21" s="214" customFormat="1" ht="15" hidden="1" customHeight="1">
      <c r="A82" s="87" t="s">
        <v>45</v>
      </c>
      <c r="B82" s="130">
        <v>163191.5</v>
      </c>
      <c r="C82" s="128">
        <v>23739.5</v>
      </c>
      <c r="D82" s="130">
        <v>1612.3</v>
      </c>
      <c r="E82" s="130">
        <v>50.491</v>
      </c>
      <c r="F82" s="130">
        <v>3851.2</v>
      </c>
      <c r="G82" s="140">
        <v>31</v>
      </c>
      <c r="H82" s="211">
        <v>432.50900000000001</v>
      </c>
      <c r="I82" s="137">
        <f t="shared" si="6"/>
        <v>192908.5</v>
      </c>
      <c r="J82" s="140">
        <v>52792.800000000003</v>
      </c>
      <c r="K82" s="130">
        <v>7092</v>
      </c>
      <c r="L82" s="129">
        <f t="shared" si="7"/>
        <v>59884.800000000003</v>
      </c>
      <c r="M82" s="1168" t="s">
        <v>88</v>
      </c>
      <c r="N82" s="128">
        <v>6419.6</v>
      </c>
      <c r="O82" s="128">
        <v>260288</v>
      </c>
      <c r="P82" s="137">
        <v>36102.400000000001</v>
      </c>
      <c r="Q82" s="135">
        <v>1652.7</v>
      </c>
      <c r="R82" s="213">
        <v>31394.299999999996</v>
      </c>
      <c r="S82" s="135">
        <f t="shared" si="9"/>
        <v>588650.30000000005</v>
      </c>
      <c r="U82" s="220"/>
    </row>
    <row r="83" spans="1:21" s="214" customFormat="1" ht="15" hidden="1" customHeight="1">
      <c r="A83" s="87" t="s">
        <v>46</v>
      </c>
      <c r="B83" s="130">
        <v>156374.20000000001</v>
      </c>
      <c r="C83" s="128">
        <v>31485.7</v>
      </c>
      <c r="D83" s="130">
        <v>1069.3000000000002</v>
      </c>
      <c r="E83" s="130">
        <v>200.49100000000001</v>
      </c>
      <c r="F83" s="130">
        <v>3228.5799999999995</v>
      </c>
      <c r="G83" s="140">
        <v>38.200000000000003</v>
      </c>
      <c r="H83" s="211">
        <v>563.70900000000006</v>
      </c>
      <c r="I83" s="137">
        <f t="shared" si="6"/>
        <v>192960.18000000002</v>
      </c>
      <c r="J83" s="140">
        <v>65891.12</v>
      </c>
      <c r="K83" s="130">
        <v>5933.7</v>
      </c>
      <c r="L83" s="129">
        <f t="shared" si="7"/>
        <v>71824.819999999992</v>
      </c>
      <c r="M83" s="1168" t="s">
        <v>88</v>
      </c>
      <c r="N83" s="128">
        <v>6302.1</v>
      </c>
      <c r="O83" s="128">
        <v>270617.09999999998</v>
      </c>
      <c r="P83" s="137">
        <v>36102.400000000001</v>
      </c>
      <c r="Q83" s="135">
        <v>3288.8</v>
      </c>
      <c r="R83" s="213">
        <v>17668.900000000001</v>
      </c>
      <c r="S83" s="135">
        <f t="shared" si="9"/>
        <v>598764.30000000005</v>
      </c>
      <c r="U83" s="220"/>
    </row>
    <row r="84" spans="1:21" s="214" customFormat="1" ht="15" hidden="1" customHeight="1">
      <c r="A84" s="87" t="s">
        <v>47</v>
      </c>
      <c r="B84" s="130">
        <v>149317.20000000001</v>
      </c>
      <c r="C84" s="128">
        <v>30479.4</v>
      </c>
      <c r="D84" s="130">
        <v>1908.1999999999998</v>
      </c>
      <c r="E84" s="130">
        <v>200.49100000000001</v>
      </c>
      <c r="F84" s="130">
        <v>1770.6000000000001</v>
      </c>
      <c r="G84" s="140">
        <v>19.399999999999999</v>
      </c>
      <c r="H84" s="211">
        <v>570.70900000000006</v>
      </c>
      <c r="I84" s="137">
        <f t="shared" si="6"/>
        <v>184266.00000000003</v>
      </c>
      <c r="J84" s="140">
        <v>57110.5</v>
      </c>
      <c r="K84" s="130">
        <v>5047.1000000000004</v>
      </c>
      <c r="L84" s="129">
        <f t="shared" si="7"/>
        <v>62157.599999999999</v>
      </c>
      <c r="M84" s="130">
        <v>2000</v>
      </c>
      <c r="N84" s="128">
        <v>6642.8</v>
      </c>
      <c r="O84" s="128">
        <v>279209.8</v>
      </c>
      <c r="P84" s="137">
        <v>36102.400000000001</v>
      </c>
      <c r="Q84" s="135">
        <v>2504.3000000000002</v>
      </c>
      <c r="R84" s="213">
        <v>18678</v>
      </c>
      <c r="S84" s="135">
        <f t="shared" si="9"/>
        <v>591560.9</v>
      </c>
      <c r="U84" s="220"/>
    </row>
    <row r="85" spans="1:21" s="214" customFormat="1" ht="15" hidden="1" customHeight="1">
      <c r="A85" s="87" t="s">
        <v>48</v>
      </c>
      <c r="B85" s="130">
        <v>145288.6</v>
      </c>
      <c r="C85" s="128">
        <v>15265.400000000001</v>
      </c>
      <c r="D85" s="130">
        <v>2831.3</v>
      </c>
      <c r="E85" s="130">
        <v>0.49099999999999999</v>
      </c>
      <c r="F85" s="130">
        <v>954.49999999999989</v>
      </c>
      <c r="G85" s="140">
        <v>16.5</v>
      </c>
      <c r="H85" s="211">
        <v>677.80899999999997</v>
      </c>
      <c r="I85" s="137">
        <f t="shared" si="6"/>
        <v>165034.6</v>
      </c>
      <c r="J85" s="140">
        <v>68118.2</v>
      </c>
      <c r="K85" s="130">
        <v>4622.1000000000004</v>
      </c>
      <c r="L85" s="129">
        <f t="shared" si="7"/>
        <v>72740.3</v>
      </c>
      <c r="M85" s="1168" t="s">
        <v>88</v>
      </c>
      <c r="N85" s="128">
        <v>6102.1</v>
      </c>
      <c r="O85" s="128">
        <v>281295.59999999998</v>
      </c>
      <c r="P85" s="137">
        <v>36102.400000000001</v>
      </c>
      <c r="Q85" s="135">
        <v>1997.3</v>
      </c>
      <c r="R85" s="213">
        <v>19530.800000000003</v>
      </c>
      <c r="S85" s="135">
        <f t="shared" si="9"/>
        <v>582803.10000000009</v>
      </c>
      <c r="U85" s="220"/>
    </row>
    <row r="86" spans="1:21" s="214" customFormat="1" ht="15" hidden="1" customHeight="1">
      <c r="A86" s="87" t="s">
        <v>49</v>
      </c>
      <c r="B86" s="130">
        <v>143026.9</v>
      </c>
      <c r="C86" s="128">
        <v>31831.5</v>
      </c>
      <c r="D86" s="130">
        <v>3638.7</v>
      </c>
      <c r="E86" s="130">
        <v>100.5</v>
      </c>
      <c r="F86" s="130">
        <v>1518.6</v>
      </c>
      <c r="G86" s="140">
        <v>22</v>
      </c>
      <c r="H86" s="211">
        <v>575.40899999999999</v>
      </c>
      <c r="I86" s="137">
        <f t="shared" si="6"/>
        <v>180713.60900000003</v>
      </c>
      <c r="J86" s="140">
        <v>62343.5</v>
      </c>
      <c r="K86" s="130">
        <v>4884.9000000000005</v>
      </c>
      <c r="L86" s="129">
        <f t="shared" si="7"/>
        <v>67228.399999999994</v>
      </c>
      <c r="M86" s="1168" t="s">
        <v>88</v>
      </c>
      <c r="N86" s="128">
        <v>6389.5</v>
      </c>
      <c r="O86" s="128">
        <v>274549</v>
      </c>
      <c r="P86" s="137">
        <v>36102.400000000001</v>
      </c>
      <c r="Q86" s="135">
        <v>5205.2</v>
      </c>
      <c r="R86" s="213">
        <v>19388.5</v>
      </c>
      <c r="S86" s="135">
        <f t="shared" si="9"/>
        <v>589576.60900000005</v>
      </c>
      <c r="U86" s="220"/>
    </row>
    <row r="87" spans="1:21" s="214" customFormat="1" ht="15" hidden="1" customHeight="1">
      <c r="A87" s="87" t="s">
        <v>50</v>
      </c>
      <c r="B87" s="130">
        <v>155835.20000000001</v>
      </c>
      <c r="C87" s="128">
        <v>47450.5</v>
      </c>
      <c r="D87" s="130">
        <v>1428</v>
      </c>
      <c r="E87" s="130">
        <v>2738.884497</v>
      </c>
      <c r="F87" s="130">
        <v>3735.6</v>
      </c>
      <c r="G87" s="140">
        <v>28.6</v>
      </c>
      <c r="H87" s="211">
        <v>422.01550300000008</v>
      </c>
      <c r="I87" s="137">
        <f t="shared" si="6"/>
        <v>211638.80000000002</v>
      </c>
      <c r="J87" s="140">
        <v>95993</v>
      </c>
      <c r="K87" s="130">
        <v>6291.8</v>
      </c>
      <c r="L87" s="129">
        <f t="shared" si="7"/>
        <v>102284.8</v>
      </c>
      <c r="M87" s="130">
        <v>7000</v>
      </c>
      <c r="N87" s="128">
        <v>10515.6</v>
      </c>
      <c r="O87" s="128">
        <v>276658.60000000003</v>
      </c>
      <c r="P87" s="137">
        <v>36102</v>
      </c>
      <c r="Q87" s="135">
        <v>4813.2</v>
      </c>
      <c r="R87" s="213">
        <v>31416</v>
      </c>
      <c r="S87" s="135">
        <f t="shared" si="9"/>
        <v>680429</v>
      </c>
      <c r="U87" s="220"/>
    </row>
    <row r="88" spans="1:21" s="214" customFormat="1" ht="15" hidden="1" customHeight="1">
      <c r="A88" s="87"/>
      <c r="B88" s="130"/>
      <c r="C88" s="128"/>
      <c r="D88" s="130"/>
      <c r="E88" s="130"/>
      <c r="F88" s="130"/>
      <c r="G88" s="140"/>
      <c r="H88" s="211"/>
      <c r="I88" s="137"/>
      <c r="J88" s="140"/>
      <c r="K88" s="130"/>
      <c r="L88" s="129"/>
      <c r="M88" s="130"/>
      <c r="N88" s="128"/>
      <c r="O88" s="128"/>
      <c r="P88" s="137"/>
      <c r="Q88" s="135"/>
      <c r="R88" s="213"/>
      <c r="S88" s="135"/>
      <c r="U88" s="220"/>
    </row>
    <row r="89" spans="1:21" s="214" customFormat="1" ht="15" hidden="1" customHeight="1">
      <c r="A89" s="87" t="s">
        <v>57</v>
      </c>
      <c r="B89" s="130">
        <v>145536.5</v>
      </c>
      <c r="C89" s="128">
        <v>43841.1</v>
      </c>
      <c r="D89" s="130">
        <v>512.70000000000005</v>
      </c>
      <c r="E89" s="130">
        <v>135.918432</v>
      </c>
      <c r="F89" s="130">
        <v>1078.5</v>
      </c>
      <c r="G89" s="140">
        <v>56</v>
      </c>
      <c r="H89" s="211">
        <v>742.38156800000002</v>
      </c>
      <c r="I89" s="137">
        <f t="shared" si="6"/>
        <v>191903.10000000003</v>
      </c>
      <c r="J89" s="140">
        <v>102498.7</v>
      </c>
      <c r="K89" s="130">
        <v>4329.5</v>
      </c>
      <c r="L89" s="129">
        <f t="shared" si="7"/>
        <v>106828.2</v>
      </c>
      <c r="M89" s="130">
        <v>8500</v>
      </c>
      <c r="N89" s="128">
        <v>9347.1</v>
      </c>
      <c r="O89" s="128">
        <v>281587.09999999998</v>
      </c>
      <c r="P89" s="137">
        <v>36102</v>
      </c>
      <c r="Q89" s="135">
        <v>2869.6000000000004</v>
      </c>
      <c r="R89" s="213">
        <v>19640.699999999997</v>
      </c>
      <c r="S89" s="135">
        <f t="shared" ref="S89:S100" si="10">SUM(I89,L89:O89,R89,P89,Q89)</f>
        <v>656777.79999999993</v>
      </c>
      <c r="U89" s="220"/>
    </row>
    <row r="90" spans="1:21" s="214" customFormat="1" ht="15" hidden="1" customHeight="1">
      <c r="A90" s="87" t="s">
        <v>40</v>
      </c>
      <c r="B90" s="130">
        <v>144843.29999999999</v>
      </c>
      <c r="C90" s="128">
        <v>28928.1</v>
      </c>
      <c r="D90" s="130">
        <v>1155.7999999999997</v>
      </c>
      <c r="E90" s="130">
        <v>543</v>
      </c>
      <c r="F90" s="130">
        <v>1490.1</v>
      </c>
      <c r="G90" s="140">
        <v>36.700000000000003</v>
      </c>
      <c r="H90" s="211">
        <v>731</v>
      </c>
      <c r="I90" s="137">
        <f t="shared" si="6"/>
        <v>177728</v>
      </c>
      <c r="J90" s="140">
        <v>143804.4</v>
      </c>
      <c r="K90" s="130">
        <v>6314.2</v>
      </c>
      <c r="L90" s="129">
        <f t="shared" si="7"/>
        <v>150118.6</v>
      </c>
      <c r="M90" s="130">
        <v>3000</v>
      </c>
      <c r="N90" s="128">
        <v>9342.1</v>
      </c>
      <c r="O90" s="128">
        <v>281664.40000000002</v>
      </c>
      <c r="P90" s="137">
        <v>36102</v>
      </c>
      <c r="Q90" s="135">
        <v>5113.6000000000004</v>
      </c>
      <c r="R90" s="213">
        <v>20013.400000000001</v>
      </c>
      <c r="S90" s="135">
        <f t="shared" si="10"/>
        <v>683082.1</v>
      </c>
      <c r="U90" s="220"/>
    </row>
    <row r="91" spans="1:21" s="214" customFormat="1" ht="15" hidden="1" customHeight="1">
      <c r="A91" s="87" t="s">
        <v>41</v>
      </c>
      <c r="B91" s="130">
        <v>149827.1</v>
      </c>
      <c r="C91" s="128">
        <v>39367.200000000004</v>
      </c>
      <c r="D91" s="130">
        <v>611.6</v>
      </c>
      <c r="E91" s="130">
        <v>398.98371200000003</v>
      </c>
      <c r="F91" s="130">
        <v>2831.0000000000005</v>
      </c>
      <c r="G91" s="140">
        <v>92.9</v>
      </c>
      <c r="H91" s="211">
        <v>1004.0162880000001</v>
      </c>
      <c r="I91" s="137">
        <f t="shared" si="6"/>
        <v>194132.80000000002</v>
      </c>
      <c r="J91" s="140">
        <v>106183</v>
      </c>
      <c r="K91" s="130">
        <v>3778.5</v>
      </c>
      <c r="L91" s="129">
        <f t="shared" si="7"/>
        <v>109961.5</v>
      </c>
      <c r="M91" s="130">
        <v>4500</v>
      </c>
      <c r="N91" s="128">
        <v>8476.4</v>
      </c>
      <c r="O91" s="128">
        <v>283289.5</v>
      </c>
      <c r="P91" s="137">
        <v>37182.400000000001</v>
      </c>
      <c r="Q91" s="135">
        <v>5589.2</v>
      </c>
      <c r="R91" s="213">
        <v>17734.699999999997</v>
      </c>
      <c r="S91" s="135">
        <f t="shared" si="10"/>
        <v>660866.5</v>
      </c>
      <c r="U91" s="220"/>
    </row>
    <row r="92" spans="1:21" s="214" customFormat="1" ht="15" hidden="1" customHeight="1">
      <c r="A92" s="87" t="s">
        <v>42</v>
      </c>
      <c r="B92" s="130">
        <v>154603.9</v>
      </c>
      <c r="C92" s="128">
        <v>34054.1</v>
      </c>
      <c r="D92" s="130">
        <v>591.6</v>
      </c>
      <c r="E92" s="130">
        <v>647.1</v>
      </c>
      <c r="F92" s="130">
        <v>6855.9000000000005</v>
      </c>
      <c r="G92" s="140">
        <v>47.3</v>
      </c>
      <c r="H92" s="211">
        <v>872.30000000000007</v>
      </c>
      <c r="I92" s="137">
        <f t="shared" si="6"/>
        <v>197672.19999999998</v>
      </c>
      <c r="J92" s="140">
        <v>111507.6</v>
      </c>
      <c r="K92" s="130">
        <v>4071.3000000000006</v>
      </c>
      <c r="L92" s="129">
        <f t="shared" si="7"/>
        <v>115578.90000000001</v>
      </c>
      <c r="M92" s="1168" t="s">
        <v>88</v>
      </c>
      <c r="N92" s="128">
        <v>8770.6</v>
      </c>
      <c r="O92" s="128">
        <v>304102.80000000005</v>
      </c>
      <c r="P92" s="137">
        <v>41805.5</v>
      </c>
      <c r="Q92" s="135">
        <v>2491.3000000000002</v>
      </c>
      <c r="R92" s="213">
        <v>17339.799999999996</v>
      </c>
      <c r="S92" s="135">
        <f t="shared" si="10"/>
        <v>687761.10000000009</v>
      </c>
      <c r="U92" s="220"/>
    </row>
    <row r="93" spans="1:21" s="214" customFormat="1" ht="15" hidden="1" customHeight="1">
      <c r="A93" s="87" t="s">
        <v>43</v>
      </c>
      <c r="B93" s="130">
        <v>159225.29999999999</v>
      </c>
      <c r="C93" s="128">
        <v>26890.299999999996</v>
      </c>
      <c r="D93" s="130">
        <v>968.90000000000009</v>
      </c>
      <c r="E93" s="130">
        <v>398.98371200000003</v>
      </c>
      <c r="F93" s="130">
        <v>4582.8999999999996</v>
      </c>
      <c r="G93" s="140">
        <v>124.5</v>
      </c>
      <c r="H93" s="211">
        <v>765.01628800000003</v>
      </c>
      <c r="I93" s="137">
        <f t="shared" si="6"/>
        <v>192955.89999999997</v>
      </c>
      <c r="J93" s="140">
        <v>125562.79999999999</v>
      </c>
      <c r="K93" s="130">
        <v>4198.6000000000004</v>
      </c>
      <c r="L93" s="129">
        <f t="shared" si="7"/>
        <v>129761.4</v>
      </c>
      <c r="M93" s="1168" t="s">
        <v>88</v>
      </c>
      <c r="N93" s="128">
        <v>7873.8</v>
      </c>
      <c r="O93" s="128">
        <v>299175.7</v>
      </c>
      <c r="P93" s="137">
        <v>41805.5</v>
      </c>
      <c r="Q93" s="135">
        <v>3851.6</v>
      </c>
      <c r="R93" s="213">
        <v>18759.400000000001</v>
      </c>
      <c r="S93" s="135">
        <f t="shared" si="10"/>
        <v>694183.29999999993</v>
      </c>
      <c r="U93" s="220"/>
    </row>
    <row r="94" spans="1:21" s="214" customFormat="1" ht="15" hidden="1" customHeight="1">
      <c r="A94" s="87" t="s">
        <v>44</v>
      </c>
      <c r="B94" s="130">
        <v>172348.7</v>
      </c>
      <c r="C94" s="128">
        <v>27532.100000000002</v>
      </c>
      <c r="D94" s="130">
        <v>1167.8999999999999</v>
      </c>
      <c r="E94" s="130">
        <v>4490.4912750000003</v>
      </c>
      <c r="F94" s="130">
        <v>4553.0999999999995</v>
      </c>
      <c r="G94" s="140">
        <v>97</v>
      </c>
      <c r="H94" s="211">
        <v>801.50872499999969</v>
      </c>
      <c r="I94" s="137">
        <f t="shared" si="6"/>
        <v>210990.80000000002</v>
      </c>
      <c r="J94" s="140">
        <v>119726.19999999998</v>
      </c>
      <c r="K94" s="130">
        <v>6579.9</v>
      </c>
      <c r="L94" s="129">
        <f t="shared" si="7"/>
        <v>126306.09999999998</v>
      </c>
      <c r="M94" s="1168" t="s">
        <v>88</v>
      </c>
      <c r="N94" s="128">
        <v>6058.6</v>
      </c>
      <c r="O94" s="128">
        <v>300858.90000000002</v>
      </c>
      <c r="P94" s="137">
        <v>41803.1</v>
      </c>
      <c r="Q94" s="135">
        <v>4904.3999999999996</v>
      </c>
      <c r="R94" s="213">
        <v>17984.400000000009</v>
      </c>
      <c r="S94" s="135">
        <f t="shared" si="10"/>
        <v>708906.3</v>
      </c>
      <c r="U94" s="220"/>
    </row>
    <row r="95" spans="1:21" s="214" customFormat="1" ht="15" hidden="1" customHeight="1">
      <c r="A95" s="87" t="s">
        <v>45</v>
      </c>
      <c r="B95" s="130">
        <v>186362</v>
      </c>
      <c r="C95" s="128">
        <v>25164.7</v>
      </c>
      <c r="D95" s="130">
        <v>913</v>
      </c>
      <c r="E95" s="130">
        <v>4881.352691</v>
      </c>
      <c r="F95" s="130">
        <v>7643.699999999998</v>
      </c>
      <c r="G95" s="140">
        <v>97.7</v>
      </c>
      <c r="H95" s="211">
        <v>562.94730900000013</v>
      </c>
      <c r="I95" s="137">
        <f t="shared" si="6"/>
        <v>225625.40000000005</v>
      </c>
      <c r="J95" s="140">
        <v>103965.19999999998</v>
      </c>
      <c r="K95" s="130">
        <v>4708.6000000000004</v>
      </c>
      <c r="L95" s="129">
        <f t="shared" si="7"/>
        <v>108673.79999999999</v>
      </c>
      <c r="M95" s="1168" t="s">
        <v>88</v>
      </c>
      <c r="N95" s="128">
        <v>5680.5</v>
      </c>
      <c r="O95" s="128">
        <v>316978.40000000002</v>
      </c>
      <c r="P95" s="137">
        <v>41803.1</v>
      </c>
      <c r="Q95" s="135">
        <v>7850.7</v>
      </c>
      <c r="R95" s="213">
        <v>18312.799999999996</v>
      </c>
      <c r="S95" s="135">
        <f t="shared" si="10"/>
        <v>724924.70000000007</v>
      </c>
      <c r="U95" s="220"/>
    </row>
    <row r="96" spans="1:21" s="214" customFormat="1" ht="15" hidden="1" customHeight="1">
      <c r="A96" s="87" t="s">
        <v>46</v>
      </c>
      <c r="B96" s="130">
        <v>180063.1</v>
      </c>
      <c r="C96" s="128">
        <v>37662.400000000001</v>
      </c>
      <c r="D96" s="130">
        <v>1275.4000000000001</v>
      </c>
      <c r="E96" s="130">
        <v>181.68308100000002</v>
      </c>
      <c r="F96" s="130">
        <v>1958.6</v>
      </c>
      <c r="G96" s="140">
        <v>83.5</v>
      </c>
      <c r="H96" s="211">
        <v>481.61691899999994</v>
      </c>
      <c r="I96" s="137">
        <f t="shared" si="6"/>
        <v>221706.3</v>
      </c>
      <c r="J96" s="140">
        <v>98316</v>
      </c>
      <c r="K96" s="130">
        <v>5378.4</v>
      </c>
      <c r="L96" s="129">
        <f t="shared" si="7"/>
        <v>103694.39999999999</v>
      </c>
      <c r="M96" s="1168" t="s">
        <v>88</v>
      </c>
      <c r="N96" s="128">
        <v>5244.3</v>
      </c>
      <c r="O96" s="128">
        <v>319000</v>
      </c>
      <c r="P96" s="137">
        <v>41803.5</v>
      </c>
      <c r="Q96" s="135">
        <v>6092.4</v>
      </c>
      <c r="R96" s="213">
        <v>16458.400000000001</v>
      </c>
      <c r="S96" s="135">
        <f t="shared" si="10"/>
        <v>713999.3</v>
      </c>
      <c r="U96" s="220"/>
    </row>
    <row r="97" spans="1:21" s="214" customFormat="1" ht="15" hidden="1" customHeight="1">
      <c r="A97" s="87" t="s">
        <v>47</v>
      </c>
      <c r="B97" s="130">
        <v>168466.4</v>
      </c>
      <c r="C97" s="128">
        <v>33244.300000000003</v>
      </c>
      <c r="D97" s="130">
        <v>1493.8</v>
      </c>
      <c r="E97" s="130">
        <v>2484.4</v>
      </c>
      <c r="F97" s="130">
        <v>1412.9000000000003</v>
      </c>
      <c r="G97" s="140">
        <v>37.9</v>
      </c>
      <c r="H97" s="211">
        <v>500.59999999999991</v>
      </c>
      <c r="I97" s="137">
        <f t="shared" si="6"/>
        <v>207640.3</v>
      </c>
      <c r="J97" s="140">
        <v>90818.799999999988</v>
      </c>
      <c r="K97" s="130">
        <v>5304.4000000000005</v>
      </c>
      <c r="L97" s="129">
        <f t="shared" si="7"/>
        <v>96123.199999999983</v>
      </c>
      <c r="M97" s="1168" t="s">
        <v>88</v>
      </c>
      <c r="N97" s="128">
        <v>7790</v>
      </c>
      <c r="O97" s="128">
        <v>313648.90000000002</v>
      </c>
      <c r="P97" s="137">
        <v>41803.5</v>
      </c>
      <c r="Q97" s="135">
        <v>6939</v>
      </c>
      <c r="R97" s="213">
        <v>19892.699999999997</v>
      </c>
      <c r="S97" s="135">
        <f t="shared" si="10"/>
        <v>693837.6</v>
      </c>
      <c r="U97" s="220"/>
    </row>
    <row r="98" spans="1:21" s="214" customFormat="1" ht="15" hidden="1" customHeight="1">
      <c r="A98" s="87" t="s">
        <v>48</v>
      </c>
      <c r="B98" s="130">
        <v>163042.70000000001</v>
      </c>
      <c r="C98" s="128">
        <v>23626.300000000003</v>
      </c>
      <c r="D98" s="130">
        <v>931.2</v>
      </c>
      <c r="E98" s="130">
        <v>2788.4236020000003</v>
      </c>
      <c r="F98" s="130">
        <v>2651.1000000000004</v>
      </c>
      <c r="G98" s="140">
        <v>25.6</v>
      </c>
      <c r="H98" s="211">
        <v>1386.4763980000002</v>
      </c>
      <c r="I98" s="137">
        <f t="shared" si="6"/>
        <v>194451.80000000002</v>
      </c>
      <c r="J98" s="140">
        <v>95535.9</v>
      </c>
      <c r="K98" s="130">
        <v>5123.5</v>
      </c>
      <c r="L98" s="129">
        <f t="shared" si="7"/>
        <v>100659.4</v>
      </c>
      <c r="M98" s="1168" t="s">
        <v>88</v>
      </c>
      <c r="N98" s="128">
        <v>10104.9</v>
      </c>
      <c r="O98" s="128">
        <v>327004.7</v>
      </c>
      <c r="P98" s="137">
        <v>41803.5</v>
      </c>
      <c r="Q98" s="135">
        <v>7465</v>
      </c>
      <c r="R98" s="213">
        <v>19099.299999999996</v>
      </c>
      <c r="S98" s="135">
        <f t="shared" si="10"/>
        <v>700588.60000000009</v>
      </c>
      <c r="U98" s="220"/>
    </row>
    <row r="99" spans="1:21" s="214" customFormat="1" ht="15" hidden="1" customHeight="1">
      <c r="A99" s="87" t="s">
        <v>49</v>
      </c>
      <c r="B99" s="130">
        <v>157871.5</v>
      </c>
      <c r="C99" s="128">
        <v>19725.599999999999</v>
      </c>
      <c r="D99" s="130">
        <v>782.7</v>
      </c>
      <c r="E99" s="130">
        <v>2419.5932160000002</v>
      </c>
      <c r="F99" s="130">
        <v>2706.9</v>
      </c>
      <c r="G99" s="140">
        <v>9.1</v>
      </c>
      <c r="H99" s="211">
        <v>435.90678400000024</v>
      </c>
      <c r="I99" s="137">
        <f t="shared" si="6"/>
        <v>183951.30000000002</v>
      </c>
      <c r="J99" s="140">
        <v>91764.9</v>
      </c>
      <c r="K99" s="130">
        <v>5566.6999999999989</v>
      </c>
      <c r="L99" s="129">
        <f t="shared" si="7"/>
        <v>97331.599999999991</v>
      </c>
      <c r="M99" s="1168" t="s">
        <v>88</v>
      </c>
      <c r="N99" s="128">
        <v>12542.7</v>
      </c>
      <c r="O99" s="128">
        <v>328313.3</v>
      </c>
      <c r="P99" s="137">
        <v>41803.5</v>
      </c>
      <c r="Q99" s="135">
        <v>8215.2000000000007</v>
      </c>
      <c r="R99" s="213">
        <v>16844.000000000007</v>
      </c>
      <c r="S99" s="135">
        <f t="shared" si="10"/>
        <v>689001.6</v>
      </c>
      <c r="U99" s="220"/>
    </row>
    <row r="100" spans="1:21" s="214" customFormat="1" ht="15" hidden="1" customHeight="1">
      <c r="A100" s="87" t="s">
        <v>50</v>
      </c>
      <c r="B100" s="130">
        <v>170106</v>
      </c>
      <c r="C100" s="128">
        <v>34979.700000000004</v>
      </c>
      <c r="D100" s="130">
        <v>278</v>
      </c>
      <c r="E100" s="130">
        <v>500</v>
      </c>
      <c r="F100" s="130">
        <v>5041.4999999999982</v>
      </c>
      <c r="G100" s="140">
        <v>23.6</v>
      </c>
      <c r="H100" s="211">
        <v>397.3</v>
      </c>
      <c r="I100" s="137">
        <f t="shared" si="6"/>
        <v>211326.1</v>
      </c>
      <c r="J100" s="140">
        <v>103201.79999999999</v>
      </c>
      <c r="K100" s="130">
        <v>7172.3000000000011</v>
      </c>
      <c r="L100" s="129">
        <f t="shared" si="7"/>
        <v>110374.09999999999</v>
      </c>
      <c r="M100" s="1168" t="s">
        <v>88</v>
      </c>
      <c r="N100" s="128">
        <v>12302.2</v>
      </c>
      <c r="O100" s="128">
        <v>330449.80000000005</v>
      </c>
      <c r="P100" s="137">
        <v>41797.4</v>
      </c>
      <c r="Q100" s="135">
        <v>9533.5</v>
      </c>
      <c r="R100" s="213">
        <v>56251.500000000007</v>
      </c>
      <c r="S100" s="135">
        <f t="shared" si="10"/>
        <v>772034.60000000009</v>
      </c>
      <c r="U100" s="220"/>
    </row>
    <row r="101" spans="1:21" s="214" customFormat="1" ht="15" hidden="1" customHeight="1">
      <c r="B101" s="140"/>
      <c r="C101" s="219"/>
      <c r="D101" s="140"/>
      <c r="E101" s="140"/>
      <c r="F101" s="140"/>
      <c r="G101" s="140"/>
      <c r="H101" s="211"/>
      <c r="I101" s="140"/>
      <c r="J101" s="140"/>
      <c r="K101" s="140"/>
      <c r="L101" s="133"/>
      <c r="M101" s="1168"/>
      <c r="N101" s="219"/>
      <c r="O101" s="219"/>
      <c r="P101" s="140"/>
      <c r="Q101" s="219"/>
      <c r="R101" s="211"/>
      <c r="S101" s="219"/>
      <c r="U101" s="220"/>
    </row>
    <row r="102" spans="1:21" s="214" customFormat="1" ht="15" hidden="1" customHeight="1">
      <c r="A102" s="87" t="s">
        <v>56</v>
      </c>
      <c r="B102" s="137">
        <v>162981.5</v>
      </c>
      <c r="C102" s="128">
        <v>18924</v>
      </c>
      <c r="D102" s="130">
        <v>543.20000000000005</v>
      </c>
      <c r="E102" s="130">
        <v>2450.4688410000003</v>
      </c>
      <c r="F102" s="130">
        <v>2058.7000000000007</v>
      </c>
      <c r="G102" s="140">
        <v>44.3</v>
      </c>
      <c r="H102" s="211">
        <v>2583.6311589999991</v>
      </c>
      <c r="I102" s="137">
        <f t="shared" ref="I102:I113" si="11">SUM(B102:H102)</f>
        <v>189585.80000000002</v>
      </c>
      <c r="J102" s="140">
        <v>113451.1</v>
      </c>
      <c r="K102" s="130">
        <v>7384.9</v>
      </c>
      <c r="L102" s="129">
        <f t="shared" ref="L102:L113" si="12">SUM(J102:K102)</f>
        <v>120836</v>
      </c>
      <c r="M102" s="1168" t="s">
        <v>88</v>
      </c>
      <c r="N102" s="128">
        <v>12079.5</v>
      </c>
      <c r="O102" s="128">
        <v>347210.1</v>
      </c>
      <c r="P102" s="137">
        <v>41797.4</v>
      </c>
      <c r="Q102" s="135">
        <v>14366.7</v>
      </c>
      <c r="R102" s="213">
        <f>26575.1-1270.6</f>
        <v>25304.5</v>
      </c>
      <c r="S102" s="135">
        <f t="shared" ref="S102:S113" si="13">SUM(I102,L102:O102,R102,P102,Q102)</f>
        <v>751180</v>
      </c>
      <c r="U102" s="220"/>
    </row>
    <row r="103" spans="1:21" s="214" customFormat="1" ht="15" hidden="1" customHeight="1">
      <c r="A103" s="87" t="s">
        <v>40</v>
      </c>
      <c r="B103" s="137">
        <v>164099.6</v>
      </c>
      <c r="C103" s="128">
        <v>29919</v>
      </c>
      <c r="D103" s="130">
        <v>1147.5999999999999</v>
      </c>
      <c r="E103" s="130">
        <v>520.86202399999991</v>
      </c>
      <c r="F103" s="130">
        <v>3279.3</v>
      </c>
      <c r="G103" s="140">
        <v>44.3</v>
      </c>
      <c r="H103" s="211">
        <v>511.93797599999999</v>
      </c>
      <c r="I103" s="137">
        <f t="shared" si="11"/>
        <v>199522.59999999998</v>
      </c>
      <c r="J103" s="140">
        <v>102989.9</v>
      </c>
      <c r="K103" s="130">
        <v>8622.2000000000007</v>
      </c>
      <c r="L103" s="129">
        <f t="shared" si="12"/>
        <v>111612.09999999999</v>
      </c>
      <c r="M103" s="1168" t="s">
        <v>88</v>
      </c>
      <c r="N103" s="128">
        <v>7387.8</v>
      </c>
      <c r="O103" s="128">
        <v>354739</v>
      </c>
      <c r="P103" s="137">
        <v>41797.4</v>
      </c>
      <c r="Q103" s="135">
        <v>17381.7</v>
      </c>
      <c r="R103" s="213">
        <f>19027.3-334.8</f>
        <v>18692.5</v>
      </c>
      <c r="S103" s="135">
        <f t="shared" si="13"/>
        <v>751133.1</v>
      </c>
      <c r="U103" s="220"/>
    </row>
    <row r="104" spans="1:21" s="214" customFormat="1" ht="15" hidden="1" customHeight="1">
      <c r="A104" s="87" t="s">
        <v>41</v>
      </c>
      <c r="B104" s="137">
        <v>165509.4</v>
      </c>
      <c r="C104" s="128">
        <v>23200.9</v>
      </c>
      <c r="D104" s="130">
        <v>480.40000000000003</v>
      </c>
      <c r="E104" s="130">
        <v>444.90000000000003</v>
      </c>
      <c r="F104" s="130">
        <v>1503.9000000000003</v>
      </c>
      <c r="G104" s="140">
        <v>18.3</v>
      </c>
      <c r="H104" s="211">
        <v>2529.8000000000002</v>
      </c>
      <c r="I104" s="137">
        <f t="shared" si="11"/>
        <v>193687.59999999995</v>
      </c>
      <c r="J104" s="140">
        <v>105105.4</v>
      </c>
      <c r="K104" s="130">
        <v>6749.7</v>
      </c>
      <c r="L104" s="129">
        <f t="shared" si="12"/>
        <v>111855.09999999999</v>
      </c>
      <c r="M104" s="1168" t="s">
        <v>88</v>
      </c>
      <c r="N104" s="128">
        <v>6964.2</v>
      </c>
      <c r="O104" s="128">
        <v>351493.3</v>
      </c>
      <c r="P104" s="137">
        <v>41769.199999999997</v>
      </c>
      <c r="Q104" s="135">
        <v>15829.2</v>
      </c>
      <c r="R104" s="213">
        <f>19102.9-318.8</f>
        <v>18784.100000000002</v>
      </c>
      <c r="S104" s="135">
        <f t="shared" si="13"/>
        <v>740382.69999999984</v>
      </c>
      <c r="U104" s="220"/>
    </row>
    <row r="105" spans="1:21" s="214" customFormat="1" ht="15" hidden="1" customHeight="1">
      <c r="A105" s="87" t="s">
        <v>42</v>
      </c>
      <c r="B105" s="137">
        <v>168178.8</v>
      </c>
      <c r="C105" s="128">
        <v>28326</v>
      </c>
      <c r="D105" s="130">
        <v>525</v>
      </c>
      <c r="E105" s="130">
        <v>3254.9822990000002</v>
      </c>
      <c r="F105" s="130">
        <v>2712.4</v>
      </c>
      <c r="G105" s="140">
        <v>14.3</v>
      </c>
      <c r="H105" s="211">
        <v>569.21770099999958</v>
      </c>
      <c r="I105" s="137">
        <f t="shared" si="11"/>
        <v>203580.69999999995</v>
      </c>
      <c r="J105" s="140">
        <v>105819.7</v>
      </c>
      <c r="K105" s="130">
        <v>9511.2999999999993</v>
      </c>
      <c r="L105" s="129">
        <f t="shared" si="12"/>
        <v>115331</v>
      </c>
      <c r="M105" s="1168" t="s">
        <v>88</v>
      </c>
      <c r="N105" s="128">
        <v>6330.1</v>
      </c>
      <c r="O105" s="128">
        <v>352132.9</v>
      </c>
      <c r="P105" s="137">
        <v>51954.3</v>
      </c>
      <c r="Q105" s="135">
        <v>6731</v>
      </c>
      <c r="R105" s="213">
        <f>18231.7-364.1</f>
        <v>17867.600000000002</v>
      </c>
      <c r="S105" s="135">
        <f t="shared" si="13"/>
        <v>753927.6</v>
      </c>
      <c r="U105" s="220"/>
    </row>
    <row r="106" spans="1:21" s="214" customFormat="1" ht="15" hidden="1" customHeight="1">
      <c r="A106" s="87" t="s">
        <v>43</v>
      </c>
      <c r="B106" s="137">
        <v>167039</v>
      </c>
      <c r="C106" s="128">
        <v>27641.7</v>
      </c>
      <c r="D106" s="130">
        <v>365.90000000000003</v>
      </c>
      <c r="E106" s="130">
        <v>3068.6653120000001</v>
      </c>
      <c r="F106" s="130">
        <v>6215.7</v>
      </c>
      <c r="G106" s="140">
        <v>64.599999999999994</v>
      </c>
      <c r="H106" s="211">
        <v>468.33468800000037</v>
      </c>
      <c r="I106" s="137">
        <f t="shared" si="11"/>
        <v>204863.90000000002</v>
      </c>
      <c r="J106" s="140">
        <v>95765.200000000012</v>
      </c>
      <c r="K106" s="130">
        <v>6688.8</v>
      </c>
      <c r="L106" s="129">
        <f t="shared" si="12"/>
        <v>102454.00000000001</v>
      </c>
      <c r="M106" s="1168" t="s">
        <v>88</v>
      </c>
      <c r="N106" s="128">
        <v>10020</v>
      </c>
      <c r="O106" s="128">
        <v>346496.6</v>
      </c>
      <c r="P106" s="137">
        <v>51954.3</v>
      </c>
      <c r="Q106" s="135">
        <v>3877.5</v>
      </c>
      <c r="R106" s="213">
        <v>18956.600000000006</v>
      </c>
      <c r="S106" s="135">
        <f t="shared" si="13"/>
        <v>738622.9</v>
      </c>
      <c r="U106" s="220"/>
    </row>
    <row r="107" spans="1:21" s="214" customFormat="1" ht="15" hidden="1" customHeight="1">
      <c r="A107" s="87" t="s">
        <v>44</v>
      </c>
      <c r="B107" s="137">
        <v>183642.4</v>
      </c>
      <c r="C107" s="128">
        <v>27850.7</v>
      </c>
      <c r="D107" s="130">
        <v>1363.6</v>
      </c>
      <c r="E107" s="130">
        <v>989.76381599999991</v>
      </c>
      <c r="F107" s="130">
        <v>3705.5</v>
      </c>
      <c r="G107" s="140">
        <v>10</v>
      </c>
      <c r="H107" s="211">
        <v>373.03618400000005</v>
      </c>
      <c r="I107" s="137">
        <f t="shared" si="11"/>
        <v>217935</v>
      </c>
      <c r="J107" s="140">
        <v>90865.900000000009</v>
      </c>
      <c r="K107" s="130">
        <v>6351</v>
      </c>
      <c r="L107" s="129">
        <f t="shared" si="12"/>
        <v>97216.900000000009</v>
      </c>
      <c r="M107" s="1168" t="s">
        <v>88</v>
      </c>
      <c r="N107" s="128">
        <v>9147.7000000000007</v>
      </c>
      <c r="O107" s="128">
        <v>353109.6</v>
      </c>
      <c r="P107" s="137">
        <v>51954.3</v>
      </c>
      <c r="Q107" s="135">
        <v>10753</v>
      </c>
      <c r="R107" s="213">
        <v>19695.300000000003</v>
      </c>
      <c r="S107" s="135">
        <f t="shared" si="13"/>
        <v>759811.8</v>
      </c>
      <c r="U107" s="220"/>
    </row>
    <row r="108" spans="1:21" s="214" customFormat="1" ht="15" hidden="1" customHeight="1">
      <c r="A108" s="87" t="s">
        <v>45</v>
      </c>
      <c r="B108" s="137">
        <v>191205.6</v>
      </c>
      <c r="C108" s="128">
        <v>34620.6</v>
      </c>
      <c r="D108" s="130">
        <v>1745.6999999999998</v>
      </c>
      <c r="E108" s="130">
        <v>1122.0805439999999</v>
      </c>
      <c r="F108" s="130">
        <v>2790.1000000000004</v>
      </c>
      <c r="G108" s="140">
        <v>6.4</v>
      </c>
      <c r="H108" s="211">
        <v>449.81945599999995</v>
      </c>
      <c r="I108" s="137">
        <f t="shared" si="11"/>
        <v>231940.30000000002</v>
      </c>
      <c r="J108" s="140">
        <v>86849.599999999977</v>
      </c>
      <c r="K108" s="130">
        <v>8084.6999999999989</v>
      </c>
      <c r="L108" s="129">
        <f t="shared" si="12"/>
        <v>94934.299999999974</v>
      </c>
      <c r="M108" s="1168" t="s">
        <v>88</v>
      </c>
      <c r="N108" s="128">
        <v>8263.5</v>
      </c>
      <c r="O108" s="128">
        <v>361512.7</v>
      </c>
      <c r="P108" s="137">
        <v>51954.3</v>
      </c>
      <c r="Q108" s="135">
        <v>15983.9</v>
      </c>
      <c r="R108" s="213">
        <f>13724.2-11.6</f>
        <v>13712.6</v>
      </c>
      <c r="S108" s="135">
        <f t="shared" si="13"/>
        <v>778301.60000000009</v>
      </c>
      <c r="U108" s="220"/>
    </row>
    <row r="109" spans="1:21" s="214" customFormat="1" ht="15" hidden="1" customHeight="1">
      <c r="A109" s="87" t="s">
        <v>46</v>
      </c>
      <c r="B109" s="137">
        <v>196035.5</v>
      </c>
      <c r="C109" s="128">
        <v>27931.4</v>
      </c>
      <c r="D109" s="130">
        <v>1485.5</v>
      </c>
      <c r="E109" s="130">
        <v>992.75356799999997</v>
      </c>
      <c r="F109" s="130">
        <v>3236.7999999999997</v>
      </c>
      <c r="G109" s="140">
        <v>17.3</v>
      </c>
      <c r="H109" s="211">
        <v>298.04643199999998</v>
      </c>
      <c r="I109" s="137">
        <f t="shared" si="11"/>
        <v>229997.29999999996</v>
      </c>
      <c r="J109" s="140">
        <v>81605.3</v>
      </c>
      <c r="K109" s="130">
        <v>10033.699999999999</v>
      </c>
      <c r="L109" s="129">
        <f t="shared" si="12"/>
        <v>91639</v>
      </c>
      <c r="M109" s="1168" t="s">
        <v>88</v>
      </c>
      <c r="N109" s="128">
        <v>6689.5999999999995</v>
      </c>
      <c r="O109" s="128">
        <v>373365.2</v>
      </c>
      <c r="P109" s="137">
        <v>51954.3</v>
      </c>
      <c r="Q109" s="135">
        <v>13988.6</v>
      </c>
      <c r="R109" s="213">
        <v>13920.899999999994</v>
      </c>
      <c r="S109" s="135">
        <f t="shared" si="13"/>
        <v>781554.89999999991</v>
      </c>
      <c r="U109" s="220"/>
    </row>
    <row r="110" spans="1:21" s="214" customFormat="1" ht="15" hidden="1" customHeight="1">
      <c r="A110" s="87" t="s">
        <v>47</v>
      </c>
      <c r="B110" s="137">
        <v>184428.3</v>
      </c>
      <c r="C110" s="128">
        <v>32797.5</v>
      </c>
      <c r="D110" s="130">
        <v>1441.2</v>
      </c>
      <c r="E110" s="130">
        <v>289.7</v>
      </c>
      <c r="F110" s="130">
        <v>1869.8</v>
      </c>
      <c r="G110" s="140">
        <v>12.8</v>
      </c>
      <c r="H110" s="211">
        <v>334.9</v>
      </c>
      <c r="I110" s="137">
        <f t="shared" si="11"/>
        <v>221174.19999999998</v>
      </c>
      <c r="J110" s="140">
        <v>86434.9</v>
      </c>
      <c r="K110" s="130">
        <v>5154.5</v>
      </c>
      <c r="L110" s="129">
        <f t="shared" si="12"/>
        <v>91589.4</v>
      </c>
      <c r="M110" s="1168" t="s">
        <v>88</v>
      </c>
      <c r="N110" s="128">
        <v>8142</v>
      </c>
      <c r="O110" s="128">
        <v>377411.10000000003</v>
      </c>
      <c r="P110" s="137">
        <v>51954.3</v>
      </c>
      <c r="Q110" s="135">
        <v>14018.3</v>
      </c>
      <c r="R110" s="213">
        <v>13744.900000000009</v>
      </c>
      <c r="S110" s="135">
        <f t="shared" si="13"/>
        <v>778034.20000000007</v>
      </c>
      <c r="U110" s="220"/>
    </row>
    <row r="111" spans="1:21" s="214" customFormat="1" ht="15" hidden="1" customHeight="1">
      <c r="A111" s="87" t="s">
        <v>48</v>
      </c>
      <c r="B111" s="137">
        <v>180543.7</v>
      </c>
      <c r="C111" s="128">
        <v>38998.9</v>
      </c>
      <c r="D111" s="130">
        <v>2876.3</v>
      </c>
      <c r="E111" s="130">
        <v>4830.7</v>
      </c>
      <c r="F111" s="130">
        <v>6487.9000000000005</v>
      </c>
      <c r="G111" s="140">
        <v>24.3</v>
      </c>
      <c r="H111" s="211">
        <v>419.2</v>
      </c>
      <c r="I111" s="137">
        <f t="shared" si="11"/>
        <v>234181</v>
      </c>
      <c r="J111" s="140">
        <v>86386.3</v>
      </c>
      <c r="K111" s="130">
        <v>6521.5</v>
      </c>
      <c r="L111" s="129">
        <f t="shared" si="12"/>
        <v>92907.8</v>
      </c>
      <c r="M111" s="1168" t="s">
        <v>88</v>
      </c>
      <c r="N111" s="128">
        <v>8277.1</v>
      </c>
      <c r="O111" s="128">
        <v>372759.3</v>
      </c>
      <c r="P111" s="137">
        <v>51954.3</v>
      </c>
      <c r="Q111" s="135">
        <v>14402.6</v>
      </c>
      <c r="R111" s="213">
        <f>7447.9-2.1</f>
        <v>7445.7999999999993</v>
      </c>
      <c r="S111" s="135">
        <f t="shared" si="13"/>
        <v>781927.9</v>
      </c>
      <c r="U111" s="220"/>
    </row>
    <row r="112" spans="1:21" s="214" customFormat="1" ht="15" hidden="1" customHeight="1">
      <c r="A112" s="87" t="s">
        <v>49</v>
      </c>
      <c r="B112" s="137">
        <v>180263.8</v>
      </c>
      <c r="C112" s="128">
        <v>44006.6</v>
      </c>
      <c r="D112" s="130">
        <v>3435.2999999999997</v>
      </c>
      <c r="E112" s="130">
        <v>3861.3</v>
      </c>
      <c r="F112" s="130">
        <v>7826.4</v>
      </c>
      <c r="G112" s="140">
        <v>33</v>
      </c>
      <c r="H112" s="211">
        <v>611</v>
      </c>
      <c r="I112" s="137">
        <f t="shared" si="11"/>
        <v>240037.39999999997</v>
      </c>
      <c r="J112" s="140">
        <v>90816.700000000012</v>
      </c>
      <c r="K112" s="130">
        <v>8686.5000000000018</v>
      </c>
      <c r="L112" s="129">
        <f t="shared" si="12"/>
        <v>99503.200000000012</v>
      </c>
      <c r="M112" s="1168" t="s">
        <v>88</v>
      </c>
      <c r="N112" s="128">
        <v>11660.1</v>
      </c>
      <c r="O112" s="128">
        <v>378277.3</v>
      </c>
      <c r="P112" s="137">
        <v>51954.3</v>
      </c>
      <c r="Q112" s="135">
        <v>16233.8</v>
      </c>
      <c r="R112" s="213">
        <f>8022.9-0.6</f>
        <v>8022.2999999999993</v>
      </c>
      <c r="S112" s="135">
        <f t="shared" si="13"/>
        <v>805688.40000000014</v>
      </c>
      <c r="U112" s="220"/>
    </row>
    <row r="113" spans="1:21" s="214" customFormat="1" ht="15" hidden="1" customHeight="1">
      <c r="A113" s="87" t="s">
        <v>50</v>
      </c>
      <c r="B113" s="137">
        <v>198246.9</v>
      </c>
      <c r="C113" s="128">
        <v>39879.9</v>
      </c>
      <c r="D113" s="130">
        <v>2827.5</v>
      </c>
      <c r="E113" s="130">
        <v>22413.599999999999</v>
      </c>
      <c r="F113" s="130">
        <v>3234.3</v>
      </c>
      <c r="G113" s="140">
        <v>14.5</v>
      </c>
      <c r="H113" s="211">
        <v>669.4</v>
      </c>
      <c r="I113" s="137">
        <f t="shared" si="11"/>
        <v>267286.09999999998</v>
      </c>
      <c r="J113" s="140">
        <v>115882.1</v>
      </c>
      <c r="K113" s="130">
        <v>8635.4999999999982</v>
      </c>
      <c r="L113" s="129">
        <f t="shared" si="12"/>
        <v>124517.6</v>
      </c>
      <c r="M113" s="130">
        <v>6800</v>
      </c>
      <c r="N113" s="128">
        <v>15658.2</v>
      </c>
      <c r="O113" s="128">
        <v>418096.6</v>
      </c>
      <c r="P113" s="137">
        <v>51954.3</v>
      </c>
      <c r="Q113" s="135">
        <v>7906</v>
      </c>
      <c r="R113" s="213">
        <v>19735.000000000015</v>
      </c>
      <c r="S113" s="135">
        <f t="shared" si="13"/>
        <v>911953.8</v>
      </c>
      <c r="U113" s="220"/>
    </row>
    <row r="114" spans="1:21" s="214" customFormat="1" ht="15" hidden="1" customHeight="1">
      <c r="A114" s="87"/>
      <c r="B114" s="137"/>
      <c r="C114" s="128"/>
      <c r="D114" s="130"/>
      <c r="E114" s="130"/>
      <c r="F114" s="130"/>
      <c r="G114" s="140"/>
      <c r="H114" s="211"/>
      <c r="I114" s="137"/>
      <c r="J114" s="140"/>
      <c r="K114" s="130"/>
      <c r="L114" s="129"/>
      <c r="M114" s="130"/>
      <c r="N114" s="128"/>
      <c r="O114" s="128"/>
      <c r="P114" s="137"/>
      <c r="Q114" s="135"/>
      <c r="R114" s="213"/>
      <c r="S114" s="135"/>
      <c r="U114" s="220"/>
    </row>
    <row r="115" spans="1:21" s="214" customFormat="1" ht="15" hidden="1" customHeight="1">
      <c r="A115" s="87" t="s">
        <v>55</v>
      </c>
      <c r="B115" s="130">
        <v>182477.4</v>
      </c>
      <c r="C115" s="128">
        <v>41549.800000000003</v>
      </c>
      <c r="D115" s="130">
        <v>3714.3</v>
      </c>
      <c r="E115" s="130">
        <v>5031.2</v>
      </c>
      <c r="F115" s="130">
        <v>1475.9</v>
      </c>
      <c r="G115" s="140">
        <v>48.3</v>
      </c>
      <c r="H115" s="211">
        <v>1113.7</v>
      </c>
      <c r="I115" s="137">
        <f t="shared" ref="I115:I126" si="14">SUM(B115:H115)</f>
        <v>235410.6</v>
      </c>
      <c r="J115" s="140">
        <v>153482.9</v>
      </c>
      <c r="K115" s="130">
        <v>8312.1999999999989</v>
      </c>
      <c r="L115" s="130">
        <f t="shared" ref="L115:L126" si="15">SUM(J115:K115)</f>
        <v>161795.1</v>
      </c>
      <c r="M115" s="1168" t="s">
        <v>88</v>
      </c>
      <c r="N115" s="219">
        <v>12013.6</v>
      </c>
      <c r="O115" s="219">
        <v>429150.2</v>
      </c>
      <c r="P115" s="140">
        <v>51954.3</v>
      </c>
      <c r="Q115" s="219">
        <v>8993.7999999999993</v>
      </c>
      <c r="R115" s="211">
        <v>12466.4</v>
      </c>
      <c r="S115" s="135">
        <f t="shared" ref="S115:S139" si="16">SUM(I115,L115:O115,R115,P115,Q115)</f>
        <v>911784.00000000012</v>
      </c>
      <c r="U115" s="220"/>
    </row>
    <row r="116" spans="1:21" s="214" customFormat="1" ht="15" hidden="1" customHeight="1">
      <c r="A116" s="87" t="s">
        <v>40</v>
      </c>
      <c r="B116" s="130">
        <v>188192.1</v>
      </c>
      <c r="C116" s="128">
        <v>46670</v>
      </c>
      <c r="D116" s="130">
        <v>2782.2</v>
      </c>
      <c r="E116" s="130">
        <v>11248.3</v>
      </c>
      <c r="F116" s="130">
        <v>6918.6999999999989</v>
      </c>
      <c r="G116" s="140">
        <v>41.8</v>
      </c>
      <c r="H116" s="211">
        <v>415.1</v>
      </c>
      <c r="I116" s="137">
        <f t="shared" si="14"/>
        <v>256268.2</v>
      </c>
      <c r="J116" s="140">
        <v>182101.80000000002</v>
      </c>
      <c r="K116" s="130">
        <v>9581.9999999999982</v>
      </c>
      <c r="L116" s="130">
        <f t="shared" si="15"/>
        <v>191683.80000000002</v>
      </c>
      <c r="M116" s="1168" t="s">
        <v>88</v>
      </c>
      <c r="N116" s="219">
        <v>9408</v>
      </c>
      <c r="O116" s="219">
        <v>451586.9</v>
      </c>
      <c r="P116" s="140">
        <v>51954.3</v>
      </c>
      <c r="Q116" s="219">
        <v>14534.400000000001</v>
      </c>
      <c r="R116" s="211">
        <v>12817.4</v>
      </c>
      <c r="S116" s="135">
        <f t="shared" si="16"/>
        <v>988253.00000000012</v>
      </c>
      <c r="U116" s="220"/>
    </row>
    <row r="117" spans="1:21" s="214" customFormat="1" ht="15" hidden="1" customHeight="1">
      <c r="A117" s="87" t="s">
        <v>41</v>
      </c>
      <c r="B117" s="130">
        <v>189178.2</v>
      </c>
      <c r="C117" s="128">
        <v>45758.400000000001</v>
      </c>
      <c r="D117" s="130">
        <v>2115</v>
      </c>
      <c r="E117" s="130">
        <v>9951.2000000000007</v>
      </c>
      <c r="F117" s="130">
        <v>5247.0000000000009</v>
      </c>
      <c r="G117" s="140">
        <v>70.7</v>
      </c>
      <c r="H117" s="211">
        <v>298.60000000000002</v>
      </c>
      <c r="I117" s="137">
        <f t="shared" si="14"/>
        <v>252619.10000000003</v>
      </c>
      <c r="J117" s="140">
        <v>127805.2</v>
      </c>
      <c r="K117" s="130">
        <v>12116.600000000002</v>
      </c>
      <c r="L117" s="130">
        <f t="shared" si="15"/>
        <v>139921.79999999999</v>
      </c>
      <c r="M117" s="1168" t="s">
        <v>88</v>
      </c>
      <c r="N117" s="219">
        <v>8762.2000000000007</v>
      </c>
      <c r="O117" s="219">
        <v>407828.7</v>
      </c>
      <c r="P117" s="140">
        <v>51954.3</v>
      </c>
      <c r="Q117" s="219">
        <v>18082</v>
      </c>
      <c r="R117" s="211">
        <v>10925</v>
      </c>
      <c r="S117" s="135">
        <f t="shared" si="16"/>
        <v>890093.10000000009</v>
      </c>
      <c r="U117" s="220"/>
    </row>
    <row r="118" spans="1:21" s="214" customFormat="1" ht="15" hidden="1" customHeight="1">
      <c r="A118" s="87" t="s">
        <v>42</v>
      </c>
      <c r="B118" s="130">
        <v>192574</v>
      </c>
      <c r="C118" s="128">
        <v>53981.2</v>
      </c>
      <c r="D118" s="130">
        <v>3020.3</v>
      </c>
      <c r="E118" s="130">
        <v>1329.9</v>
      </c>
      <c r="F118" s="130">
        <v>7844.6</v>
      </c>
      <c r="G118" s="140">
        <v>43</v>
      </c>
      <c r="H118" s="211">
        <v>760.2</v>
      </c>
      <c r="I118" s="137">
        <f t="shared" si="14"/>
        <v>259553.2</v>
      </c>
      <c r="J118" s="140">
        <v>124352.7</v>
      </c>
      <c r="K118" s="130">
        <v>9775.1</v>
      </c>
      <c r="L118" s="130">
        <f t="shared" si="15"/>
        <v>134127.79999999999</v>
      </c>
      <c r="M118" s="1168" t="s">
        <v>88</v>
      </c>
      <c r="N118" s="219">
        <v>8634.1</v>
      </c>
      <c r="O118" s="219">
        <v>405891.2</v>
      </c>
      <c r="P118" s="140">
        <v>62982</v>
      </c>
      <c r="Q118" s="219">
        <v>5719.1</v>
      </c>
      <c r="R118" s="211">
        <v>9107.7000000000007</v>
      </c>
      <c r="S118" s="135">
        <f t="shared" si="16"/>
        <v>886015.1</v>
      </c>
      <c r="U118" s="220"/>
    </row>
    <row r="119" spans="1:21" s="214" customFormat="1" ht="15" hidden="1" customHeight="1">
      <c r="A119" s="87" t="s">
        <v>43</v>
      </c>
      <c r="B119" s="130">
        <v>197918.3</v>
      </c>
      <c r="C119" s="128">
        <v>46750.1</v>
      </c>
      <c r="D119" s="130">
        <v>2696.4</v>
      </c>
      <c r="E119" s="130">
        <v>4135.4000000000005</v>
      </c>
      <c r="F119" s="130">
        <v>7258.8</v>
      </c>
      <c r="G119" s="140">
        <v>140.30000000000001</v>
      </c>
      <c r="H119" s="211">
        <v>373.5</v>
      </c>
      <c r="I119" s="137">
        <f t="shared" si="14"/>
        <v>259272.79999999996</v>
      </c>
      <c r="J119" s="140">
        <v>139544.29999999999</v>
      </c>
      <c r="K119" s="130">
        <v>10014.800000000003</v>
      </c>
      <c r="L119" s="130">
        <f t="shared" si="15"/>
        <v>149559.09999999998</v>
      </c>
      <c r="M119" s="1168" t="s">
        <v>88</v>
      </c>
      <c r="N119" s="219">
        <v>5998.5</v>
      </c>
      <c r="O119" s="219">
        <v>399562.69999999995</v>
      </c>
      <c r="P119" s="140">
        <v>62981.7</v>
      </c>
      <c r="Q119" s="219">
        <v>1325.9</v>
      </c>
      <c r="R119" s="211">
        <v>7909.5999999999995</v>
      </c>
      <c r="S119" s="135">
        <f t="shared" si="16"/>
        <v>886610.29999999981</v>
      </c>
      <c r="U119" s="220"/>
    </row>
    <row r="120" spans="1:21" s="214" customFormat="1" ht="15" hidden="1" customHeight="1">
      <c r="A120" s="87" t="s">
        <v>44</v>
      </c>
      <c r="B120" s="130">
        <v>205811.8</v>
      </c>
      <c r="C120" s="128">
        <v>56976.3</v>
      </c>
      <c r="D120" s="130">
        <v>2218.5</v>
      </c>
      <c r="E120" s="130">
        <v>7760.5</v>
      </c>
      <c r="F120" s="130">
        <v>7471.7000000000007</v>
      </c>
      <c r="G120" s="140">
        <v>79.7</v>
      </c>
      <c r="H120" s="211">
        <v>271.5</v>
      </c>
      <c r="I120" s="137">
        <f t="shared" si="14"/>
        <v>280590</v>
      </c>
      <c r="J120" s="140">
        <v>118464.1</v>
      </c>
      <c r="K120" s="130">
        <v>7468.0999999999995</v>
      </c>
      <c r="L120" s="130">
        <f t="shared" si="15"/>
        <v>125932.20000000001</v>
      </c>
      <c r="M120" s="1168" t="s">
        <v>88</v>
      </c>
      <c r="N120" s="219">
        <v>3846.6</v>
      </c>
      <c r="O120" s="219">
        <v>370829.69999999995</v>
      </c>
      <c r="P120" s="140">
        <v>62981.7</v>
      </c>
      <c r="Q120" s="219">
        <v>-3424.7</v>
      </c>
      <c r="R120" s="211">
        <v>8142.1</v>
      </c>
      <c r="S120" s="135">
        <f t="shared" si="16"/>
        <v>848897.6</v>
      </c>
      <c r="U120" s="220"/>
    </row>
    <row r="121" spans="1:21" s="214" customFormat="1" ht="15" hidden="1" customHeight="1">
      <c r="A121" s="87" t="s">
        <v>45</v>
      </c>
      <c r="B121" s="130">
        <v>205754.8</v>
      </c>
      <c r="C121" s="128">
        <v>42545.7</v>
      </c>
      <c r="D121" s="130">
        <v>1712.5</v>
      </c>
      <c r="E121" s="130">
        <v>1034.5999999999999</v>
      </c>
      <c r="F121" s="130">
        <v>3739.7000000000003</v>
      </c>
      <c r="G121" s="140">
        <v>57.6</v>
      </c>
      <c r="H121" s="211">
        <v>313.7</v>
      </c>
      <c r="I121" s="137">
        <f t="shared" si="14"/>
        <v>255158.60000000003</v>
      </c>
      <c r="J121" s="140">
        <v>177698.40000000002</v>
      </c>
      <c r="K121" s="130">
        <v>8995.2999999999993</v>
      </c>
      <c r="L121" s="130">
        <f t="shared" si="15"/>
        <v>186693.7</v>
      </c>
      <c r="M121" s="1168" t="s">
        <v>88</v>
      </c>
      <c r="N121" s="219">
        <v>3846.6</v>
      </c>
      <c r="O121" s="219">
        <v>371231.19999999995</v>
      </c>
      <c r="P121" s="140">
        <v>62981.7</v>
      </c>
      <c r="Q121" s="219">
        <v>-5328</v>
      </c>
      <c r="R121" s="211">
        <v>7997.4</v>
      </c>
      <c r="S121" s="135">
        <f t="shared" si="16"/>
        <v>882581.2</v>
      </c>
      <c r="U121" s="220"/>
    </row>
    <row r="122" spans="1:21" s="214" customFormat="1" ht="15" hidden="1" customHeight="1">
      <c r="A122" s="87" t="s">
        <v>46</v>
      </c>
      <c r="B122" s="130">
        <v>207966.5</v>
      </c>
      <c r="C122" s="128">
        <v>65307.6</v>
      </c>
      <c r="D122" s="130">
        <v>2783.3</v>
      </c>
      <c r="E122" s="130">
        <v>4962.2000000000007</v>
      </c>
      <c r="F122" s="130">
        <v>7575.4</v>
      </c>
      <c r="G122" s="140">
        <v>52.2</v>
      </c>
      <c r="H122" s="211">
        <v>218.9</v>
      </c>
      <c r="I122" s="137">
        <f t="shared" si="14"/>
        <v>288866.10000000003</v>
      </c>
      <c r="J122" s="140">
        <v>132464.29999999999</v>
      </c>
      <c r="K122" s="130">
        <v>11129.4</v>
      </c>
      <c r="L122" s="130">
        <f t="shared" si="15"/>
        <v>143593.69999999998</v>
      </c>
      <c r="M122" s="1168" t="s">
        <v>88</v>
      </c>
      <c r="N122" s="219">
        <v>4059.5</v>
      </c>
      <c r="O122" s="219">
        <v>366147.9</v>
      </c>
      <c r="P122" s="140">
        <v>62981.7</v>
      </c>
      <c r="Q122" s="219">
        <v>-6995.2</v>
      </c>
      <c r="R122" s="211">
        <v>8018.7</v>
      </c>
      <c r="S122" s="135">
        <f t="shared" si="16"/>
        <v>866672.4</v>
      </c>
      <c r="U122" s="220"/>
    </row>
    <row r="123" spans="1:21" s="220" customFormat="1" ht="15" hidden="1" customHeight="1">
      <c r="A123" s="87" t="s">
        <v>47</v>
      </c>
      <c r="B123" s="140">
        <v>201031</v>
      </c>
      <c r="C123" s="219">
        <v>65670.899999999994</v>
      </c>
      <c r="D123" s="140">
        <v>4193</v>
      </c>
      <c r="E123" s="140">
        <v>1516.7</v>
      </c>
      <c r="F123" s="140">
        <v>4666.1000000000004</v>
      </c>
      <c r="G123" s="140">
        <v>54.7</v>
      </c>
      <c r="H123" s="211">
        <v>280.2</v>
      </c>
      <c r="I123" s="140">
        <f t="shared" si="14"/>
        <v>277412.60000000003</v>
      </c>
      <c r="J123" s="140">
        <v>140502.5</v>
      </c>
      <c r="K123" s="140">
        <v>13394.6</v>
      </c>
      <c r="L123" s="140">
        <f t="shared" si="15"/>
        <v>153897.1</v>
      </c>
      <c r="M123" s="1168" t="s">
        <v>88</v>
      </c>
      <c r="N123" s="219">
        <v>3616.6</v>
      </c>
      <c r="O123" s="219">
        <v>380943.4</v>
      </c>
      <c r="P123" s="140">
        <v>62981.7</v>
      </c>
      <c r="Q123" s="219">
        <v>-7091.6</v>
      </c>
      <c r="R123" s="211">
        <v>8182.5999999999995</v>
      </c>
      <c r="S123" s="219">
        <f t="shared" si="16"/>
        <v>879942.4</v>
      </c>
      <c r="T123" s="214"/>
    </row>
    <row r="124" spans="1:21" s="220" customFormat="1" ht="15" hidden="1" customHeight="1">
      <c r="A124" s="87" t="s">
        <v>48</v>
      </c>
      <c r="B124" s="140">
        <v>202480.1</v>
      </c>
      <c r="C124" s="219">
        <v>63902</v>
      </c>
      <c r="D124" s="140">
        <v>3120.3999999999996</v>
      </c>
      <c r="E124" s="140">
        <v>14280.7</v>
      </c>
      <c r="F124" s="140">
        <v>4807.3999999999996</v>
      </c>
      <c r="G124" s="140">
        <v>67.5</v>
      </c>
      <c r="H124" s="211">
        <v>563.79999999999995</v>
      </c>
      <c r="I124" s="140">
        <f t="shared" si="14"/>
        <v>289221.90000000002</v>
      </c>
      <c r="J124" s="140">
        <v>157765.70000000001</v>
      </c>
      <c r="K124" s="140">
        <v>11185.099999999999</v>
      </c>
      <c r="L124" s="140">
        <f t="shared" si="15"/>
        <v>168950.80000000002</v>
      </c>
      <c r="M124" s="1168" t="s">
        <v>88</v>
      </c>
      <c r="N124" s="219">
        <v>3527.8</v>
      </c>
      <c r="O124" s="219">
        <v>382194.3</v>
      </c>
      <c r="P124" s="140">
        <v>62981.7</v>
      </c>
      <c r="Q124" s="219">
        <v>-8333.2000000000007</v>
      </c>
      <c r="R124" s="211">
        <v>10430.4</v>
      </c>
      <c r="S124" s="219">
        <f t="shared" si="16"/>
        <v>908973.70000000007</v>
      </c>
      <c r="T124" s="214"/>
    </row>
    <row r="125" spans="1:21" s="220" customFormat="1" ht="15" hidden="1" customHeight="1">
      <c r="A125" s="87" t="s">
        <v>49</v>
      </c>
      <c r="B125" s="140">
        <v>205821.3</v>
      </c>
      <c r="C125" s="219">
        <v>68293.7</v>
      </c>
      <c r="D125" s="140">
        <v>2717.5</v>
      </c>
      <c r="E125" s="140">
        <v>4330</v>
      </c>
      <c r="F125" s="140">
        <v>5401.4999999999991</v>
      </c>
      <c r="G125" s="140">
        <v>104.6</v>
      </c>
      <c r="H125" s="211">
        <v>723.9</v>
      </c>
      <c r="I125" s="140">
        <f t="shared" si="14"/>
        <v>287392.5</v>
      </c>
      <c r="J125" s="140">
        <v>154764.9</v>
      </c>
      <c r="K125" s="140">
        <v>14064.599999999999</v>
      </c>
      <c r="L125" s="140">
        <f t="shared" si="15"/>
        <v>168829.5</v>
      </c>
      <c r="M125" s="1168" t="s">
        <v>88</v>
      </c>
      <c r="N125" s="219">
        <v>6643.5</v>
      </c>
      <c r="O125" s="219">
        <v>380221.19999999995</v>
      </c>
      <c r="P125" s="140">
        <v>62981.7</v>
      </c>
      <c r="Q125" s="219">
        <v>-9920.7999999999993</v>
      </c>
      <c r="R125" s="211">
        <v>8132.8</v>
      </c>
      <c r="S125" s="219">
        <f t="shared" si="16"/>
        <v>904280.39999999991</v>
      </c>
      <c r="T125" s="214"/>
    </row>
    <row r="126" spans="1:21" s="220" customFormat="1" ht="15" hidden="1" customHeight="1">
      <c r="A126" s="87" t="s">
        <v>50</v>
      </c>
      <c r="B126" s="140">
        <v>211683.7</v>
      </c>
      <c r="C126" s="219">
        <v>82710.8</v>
      </c>
      <c r="D126" s="140">
        <v>2674</v>
      </c>
      <c r="E126" s="140">
        <v>5135.8</v>
      </c>
      <c r="F126" s="140">
        <v>3566.2</v>
      </c>
      <c r="G126" s="140">
        <v>28</v>
      </c>
      <c r="H126" s="211">
        <v>787.6</v>
      </c>
      <c r="I126" s="140">
        <f t="shared" si="14"/>
        <v>306586.09999999998</v>
      </c>
      <c r="J126" s="140">
        <v>152366.70000000001</v>
      </c>
      <c r="K126" s="140">
        <v>14733.599999999997</v>
      </c>
      <c r="L126" s="140">
        <f t="shared" si="15"/>
        <v>167100.30000000002</v>
      </c>
      <c r="M126" s="1168" t="s">
        <v>88</v>
      </c>
      <c r="N126" s="219">
        <v>7533</v>
      </c>
      <c r="O126" s="219">
        <v>383189.69999999995</v>
      </c>
      <c r="P126" s="140">
        <v>62981.7</v>
      </c>
      <c r="Q126" s="219">
        <v>-13851.5</v>
      </c>
      <c r="R126" s="211">
        <v>10207.700000000001</v>
      </c>
      <c r="S126" s="219">
        <f t="shared" si="16"/>
        <v>923746.99999999988</v>
      </c>
      <c r="T126" s="214"/>
    </row>
    <row r="127" spans="1:21" s="220" customFormat="1" ht="15" hidden="1" customHeight="1">
      <c r="A127" s="222"/>
      <c r="B127" s="140"/>
      <c r="C127" s="219"/>
      <c r="D127" s="140"/>
      <c r="E127" s="140"/>
      <c r="F127" s="140"/>
      <c r="G127" s="140"/>
      <c r="H127" s="211"/>
      <c r="I127" s="140"/>
      <c r="J127" s="140"/>
      <c r="K127" s="140"/>
      <c r="L127" s="140"/>
      <c r="M127" s="1168"/>
      <c r="N127" s="219"/>
      <c r="O127" s="219"/>
      <c r="P127" s="140"/>
      <c r="Q127" s="219"/>
      <c r="R127" s="211"/>
      <c r="S127" s="219"/>
      <c r="T127" s="214"/>
    </row>
    <row r="128" spans="1:21" s="220" customFormat="1" ht="15" hidden="1" customHeight="1">
      <c r="A128" s="87" t="s">
        <v>54</v>
      </c>
      <c r="B128" s="140">
        <v>202030.1</v>
      </c>
      <c r="C128" s="219">
        <v>63490.3</v>
      </c>
      <c r="D128" s="140">
        <v>2260.1999999999998</v>
      </c>
      <c r="E128" s="140">
        <v>957</v>
      </c>
      <c r="F128" s="140">
        <v>2464.6999999999998</v>
      </c>
      <c r="G128" s="140">
        <v>33.9</v>
      </c>
      <c r="H128" s="211">
        <v>1652.3</v>
      </c>
      <c r="I128" s="140">
        <f>SUM(B128:H128)</f>
        <v>272888.50000000006</v>
      </c>
      <c r="J128" s="140">
        <v>172496.40000000002</v>
      </c>
      <c r="K128" s="140">
        <v>13216.800000000001</v>
      </c>
      <c r="L128" s="140">
        <f>SUM(J128:K128)</f>
        <v>185713.2</v>
      </c>
      <c r="M128" s="1168" t="s">
        <v>88</v>
      </c>
      <c r="N128" s="219">
        <v>10044</v>
      </c>
      <c r="O128" s="219">
        <v>374224.5</v>
      </c>
      <c r="P128" s="140">
        <v>62981.7</v>
      </c>
      <c r="Q128" s="219">
        <v>-14103.1</v>
      </c>
      <c r="R128" s="211">
        <v>8292.8000000000011</v>
      </c>
      <c r="S128" s="219">
        <f t="shared" si="16"/>
        <v>900041.60000000009</v>
      </c>
      <c r="T128" s="214"/>
    </row>
    <row r="129" spans="1:20" s="220" customFormat="1" ht="15" hidden="1" customHeight="1">
      <c r="A129" s="87" t="s">
        <v>40</v>
      </c>
      <c r="B129" s="140">
        <v>199255.9</v>
      </c>
      <c r="C129" s="219">
        <v>59022.7</v>
      </c>
      <c r="D129" s="140">
        <v>2097</v>
      </c>
      <c r="E129" s="140">
        <v>2284.6999999999998</v>
      </c>
      <c r="F129" s="140">
        <v>2938.3</v>
      </c>
      <c r="G129" s="140">
        <v>32.299999999999997</v>
      </c>
      <c r="H129" s="211">
        <v>613</v>
      </c>
      <c r="I129" s="140">
        <f t="shared" ref="I129:I134" si="17">SUM(B129:H129)</f>
        <v>266243.89999999997</v>
      </c>
      <c r="J129" s="140">
        <v>167665</v>
      </c>
      <c r="K129" s="140">
        <v>14149.8</v>
      </c>
      <c r="L129" s="140">
        <f t="shared" ref="L129:L134" si="18">SUM(J129:K129)</f>
        <v>181814.8</v>
      </c>
      <c r="M129" s="1168" t="s">
        <v>88</v>
      </c>
      <c r="N129" s="219">
        <v>9270.7000000000007</v>
      </c>
      <c r="O129" s="219">
        <v>385806.2</v>
      </c>
      <c r="P129" s="140">
        <v>62981.7</v>
      </c>
      <c r="Q129" s="219">
        <v>-13312</v>
      </c>
      <c r="R129" s="211">
        <f>1240.9+8347.8</f>
        <v>9588.6999999999989</v>
      </c>
      <c r="S129" s="219">
        <f t="shared" si="16"/>
        <v>902393.99999999988</v>
      </c>
      <c r="T129" s="214"/>
    </row>
    <row r="130" spans="1:20" s="220" customFormat="1" ht="15" hidden="1" customHeight="1">
      <c r="A130" s="87" t="s">
        <v>41</v>
      </c>
      <c r="B130" s="140">
        <v>201300.8</v>
      </c>
      <c r="C130" s="219">
        <v>70896.399999999994</v>
      </c>
      <c r="D130" s="140">
        <v>1135.9000000000001</v>
      </c>
      <c r="E130" s="140">
        <v>426.9</v>
      </c>
      <c r="F130" s="140">
        <v>1041.5</v>
      </c>
      <c r="G130" s="140">
        <v>24.6</v>
      </c>
      <c r="H130" s="211">
        <v>1373.4</v>
      </c>
      <c r="I130" s="140">
        <f t="shared" si="17"/>
        <v>276199.5</v>
      </c>
      <c r="J130" s="140">
        <v>151558.6</v>
      </c>
      <c r="K130" s="140">
        <v>9517.2999999999993</v>
      </c>
      <c r="L130" s="140">
        <f t="shared" si="18"/>
        <v>161075.9</v>
      </c>
      <c r="M130" s="1168">
        <v>27200</v>
      </c>
      <c r="N130" s="219">
        <v>6602.2</v>
      </c>
      <c r="O130" s="219">
        <v>396544.3</v>
      </c>
      <c r="P130" s="140">
        <v>62981.7</v>
      </c>
      <c r="Q130" s="219">
        <v>-13903.7</v>
      </c>
      <c r="R130" s="211">
        <f>1098+8346.4+7.5</f>
        <v>9451.9</v>
      </c>
      <c r="S130" s="219">
        <f t="shared" si="16"/>
        <v>926151.8</v>
      </c>
      <c r="T130" s="214"/>
    </row>
    <row r="131" spans="1:20" s="220" customFormat="1" ht="15" hidden="1" customHeight="1">
      <c r="A131" s="87" t="s">
        <v>42</v>
      </c>
      <c r="B131" s="140">
        <v>208491.1</v>
      </c>
      <c r="C131" s="219">
        <v>88908.1</v>
      </c>
      <c r="D131" s="140">
        <v>1749.2</v>
      </c>
      <c r="E131" s="140">
        <v>1280.0999999999999</v>
      </c>
      <c r="F131" s="140">
        <v>3119.1</v>
      </c>
      <c r="G131" s="140">
        <v>29.9</v>
      </c>
      <c r="H131" s="211">
        <v>3474.7</v>
      </c>
      <c r="I131" s="140">
        <f t="shared" si="17"/>
        <v>307052.2</v>
      </c>
      <c r="J131" s="140">
        <v>154586</v>
      </c>
      <c r="K131" s="140">
        <v>9327.7000000000007</v>
      </c>
      <c r="L131" s="140">
        <f t="shared" si="18"/>
        <v>163913.70000000001</v>
      </c>
      <c r="M131" s="1168" t="s">
        <v>88</v>
      </c>
      <c r="N131" s="219">
        <v>6404.9</v>
      </c>
      <c r="O131" s="219">
        <v>398474</v>
      </c>
      <c r="P131" s="140">
        <v>78783.3</v>
      </c>
      <c r="Q131" s="219">
        <v>800</v>
      </c>
      <c r="R131" s="211">
        <f>1060.8+8334.8+4.7</f>
        <v>9400.2999999999993</v>
      </c>
      <c r="S131" s="219">
        <f t="shared" si="16"/>
        <v>964828.40000000014</v>
      </c>
      <c r="T131" s="214"/>
    </row>
    <row r="132" spans="1:20" s="220" customFormat="1" ht="15" hidden="1" customHeight="1">
      <c r="A132" s="87" t="s">
        <v>43</v>
      </c>
      <c r="B132" s="140">
        <v>217664.2</v>
      </c>
      <c r="C132" s="219">
        <v>94855.4</v>
      </c>
      <c r="D132" s="140">
        <v>2191.3000000000002</v>
      </c>
      <c r="E132" s="140">
        <v>297.8</v>
      </c>
      <c r="F132" s="140">
        <v>1750.3</v>
      </c>
      <c r="G132" s="140">
        <v>45</v>
      </c>
      <c r="H132" s="211">
        <v>1633.4</v>
      </c>
      <c r="I132" s="140">
        <f t="shared" si="17"/>
        <v>318437.39999999997</v>
      </c>
      <c r="J132" s="140">
        <v>137527.9</v>
      </c>
      <c r="K132" s="140">
        <v>5877.3</v>
      </c>
      <c r="L132" s="140">
        <f t="shared" si="18"/>
        <v>143405.19999999998</v>
      </c>
      <c r="M132" s="1168" t="s">
        <v>88</v>
      </c>
      <c r="N132" s="219">
        <v>5114.3</v>
      </c>
      <c r="O132" s="219">
        <v>396516</v>
      </c>
      <c r="P132" s="140">
        <v>78783.3</v>
      </c>
      <c r="Q132" s="219">
        <v>3446.2</v>
      </c>
      <c r="R132" s="211">
        <f>1028.6+8275.1+3.5</f>
        <v>9307.2000000000007</v>
      </c>
      <c r="S132" s="219">
        <f t="shared" si="16"/>
        <v>955009.59999999986</v>
      </c>
      <c r="T132" s="214"/>
    </row>
    <row r="133" spans="1:20" s="220" customFormat="1" ht="15" hidden="1" customHeight="1">
      <c r="A133" s="87" t="s">
        <v>44</v>
      </c>
      <c r="B133" s="140">
        <v>223781.8</v>
      </c>
      <c r="C133" s="219">
        <v>100650</v>
      </c>
      <c r="D133" s="140">
        <v>1303.5</v>
      </c>
      <c r="E133" s="140">
        <v>1428.4</v>
      </c>
      <c r="F133" s="140">
        <v>6385</v>
      </c>
      <c r="G133" s="140">
        <v>20.2</v>
      </c>
      <c r="H133" s="211">
        <v>1329.6</v>
      </c>
      <c r="I133" s="140">
        <f t="shared" si="17"/>
        <v>334898.5</v>
      </c>
      <c r="J133" s="140">
        <v>142792.20000000001</v>
      </c>
      <c r="K133" s="140">
        <v>8597.5</v>
      </c>
      <c r="L133" s="140">
        <f t="shared" si="18"/>
        <v>151389.70000000001</v>
      </c>
      <c r="M133" s="1168" t="s">
        <v>88</v>
      </c>
      <c r="N133" s="219">
        <v>2743.8</v>
      </c>
      <c r="O133" s="219">
        <v>397532.8</v>
      </c>
      <c r="P133" s="140">
        <v>78783.3</v>
      </c>
      <c r="Q133" s="219">
        <v>2716.3</v>
      </c>
      <c r="R133" s="211">
        <f>1057.4+8115.5+3615.5</f>
        <v>12788.4</v>
      </c>
      <c r="S133" s="219">
        <f t="shared" si="16"/>
        <v>980852.80000000016</v>
      </c>
      <c r="T133" s="214"/>
    </row>
    <row r="134" spans="1:20" s="220" customFormat="1" ht="15" hidden="1" customHeight="1">
      <c r="A134" s="87" t="s">
        <v>45</v>
      </c>
      <c r="B134" s="140">
        <v>239726</v>
      </c>
      <c r="C134" s="219">
        <v>85589</v>
      </c>
      <c r="D134" s="140">
        <v>1871.9</v>
      </c>
      <c r="E134" s="140">
        <v>5114.6000000000004</v>
      </c>
      <c r="F134" s="140">
        <v>6762.7</v>
      </c>
      <c r="G134" s="140">
        <v>16.100000000000001</v>
      </c>
      <c r="H134" s="211">
        <v>3757.8</v>
      </c>
      <c r="I134" s="140">
        <f t="shared" si="17"/>
        <v>342838.1</v>
      </c>
      <c r="J134" s="140">
        <v>138095.29999999999</v>
      </c>
      <c r="K134" s="140">
        <v>7698.4</v>
      </c>
      <c r="L134" s="140">
        <f t="shared" si="18"/>
        <v>145793.69999999998</v>
      </c>
      <c r="M134" s="1168" t="s">
        <v>88</v>
      </c>
      <c r="N134" s="219">
        <v>9700.7000000000007</v>
      </c>
      <c r="O134" s="219">
        <v>385996.79999999999</v>
      </c>
      <c r="P134" s="140">
        <v>78783.3</v>
      </c>
      <c r="Q134" s="219">
        <v>2458.5</v>
      </c>
      <c r="R134" s="211">
        <f>1203.3+7690.8+2.3</f>
        <v>8896.4</v>
      </c>
      <c r="S134" s="219">
        <f t="shared" si="16"/>
        <v>974467.5</v>
      </c>
      <c r="T134" s="214"/>
    </row>
    <row r="135" spans="1:20" s="220" customFormat="1" ht="15" hidden="1" customHeight="1">
      <c r="A135" s="87" t="s">
        <v>46</v>
      </c>
      <c r="B135" s="140">
        <v>234022.8</v>
      </c>
      <c r="C135" s="219">
        <v>93988.4</v>
      </c>
      <c r="D135" s="140">
        <v>1591.3</v>
      </c>
      <c r="E135" s="140">
        <v>622.79999999999995</v>
      </c>
      <c r="F135" s="140">
        <v>2898.3</v>
      </c>
      <c r="G135" s="140">
        <v>44.9</v>
      </c>
      <c r="H135" s="211">
        <v>4866.3</v>
      </c>
      <c r="I135" s="140">
        <f>SUM(B135:H135)</f>
        <v>338034.79999999993</v>
      </c>
      <c r="J135" s="140">
        <v>137255.5</v>
      </c>
      <c r="K135" s="140">
        <v>13616.9</v>
      </c>
      <c r="L135" s="140">
        <f>SUM(J135:K135)</f>
        <v>150872.4</v>
      </c>
      <c r="M135" s="1168" t="s">
        <v>88</v>
      </c>
      <c r="N135" s="219">
        <v>9573.7999999999993</v>
      </c>
      <c r="O135" s="219">
        <v>379199.7</v>
      </c>
      <c r="P135" s="140">
        <v>78783.3</v>
      </c>
      <c r="Q135" s="219">
        <v>4721.2</v>
      </c>
      <c r="R135" s="211">
        <f>940.7+7960.5+1.6</f>
        <v>8902.8000000000011</v>
      </c>
      <c r="S135" s="219">
        <f t="shared" si="16"/>
        <v>970088</v>
      </c>
      <c r="T135" s="214"/>
    </row>
    <row r="136" spans="1:20" s="220" customFormat="1" ht="15" hidden="1" customHeight="1">
      <c r="A136" s="87" t="s">
        <v>47</v>
      </c>
      <c r="B136" s="140">
        <v>222708</v>
      </c>
      <c r="C136" s="219">
        <v>80783.100000000006</v>
      </c>
      <c r="D136" s="140">
        <v>2407.5</v>
      </c>
      <c r="E136" s="140">
        <v>631.5</v>
      </c>
      <c r="F136" s="140">
        <v>2153.6</v>
      </c>
      <c r="G136" s="140">
        <v>23.3</v>
      </c>
      <c r="H136" s="211">
        <v>969.1</v>
      </c>
      <c r="I136" s="140">
        <f>SUM(B136:H136)</f>
        <v>309676.09999999992</v>
      </c>
      <c r="J136" s="140">
        <v>210768.8</v>
      </c>
      <c r="K136" s="140">
        <v>15246.7</v>
      </c>
      <c r="L136" s="140">
        <f>SUM(J136:K136)</f>
        <v>226015.5</v>
      </c>
      <c r="M136" s="1168" t="s">
        <v>88</v>
      </c>
      <c r="N136" s="219">
        <v>8443.4</v>
      </c>
      <c r="O136" s="219">
        <v>382067.5</v>
      </c>
      <c r="P136" s="140">
        <v>78783.3</v>
      </c>
      <c r="Q136" s="219">
        <v>4209.8999999999996</v>
      </c>
      <c r="R136" s="211">
        <f>1055.6+7861.1+4.1</f>
        <v>8920.8000000000011</v>
      </c>
      <c r="S136" s="219">
        <f t="shared" si="16"/>
        <v>1018116.5</v>
      </c>
      <c r="T136" s="214"/>
    </row>
    <row r="137" spans="1:20" s="220" customFormat="1" ht="15" hidden="1" customHeight="1">
      <c r="A137" s="87" t="s">
        <v>48</v>
      </c>
      <c r="B137" s="140">
        <v>222327.4</v>
      </c>
      <c r="C137" s="219">
        <v>134377.79999999999</v>
      </c>
      <c r="D137" s="140">
        <v>2382.1999999999998</v>
      </c>
      <c r="E137" s="140">
        <v>5301.7</v>
      </c>
      <c r="F137" s="140">
        <v>5743.4</v>
      </c>
      <c r="G137" s="140">
        <v>39.299999999999997</v>
      </c>
      <c r="H137" s="211">
        <v>174.2</v>
      </c>
      <c r="I137" s="140">
        <f>SUM(B137:H137)</f>
        <v>370346</v>
      </c>
      <c r="J137" s="140">
        <v>186852.3</v>
      </c>
      <c r="K137" s="140">
        <v>17798.599999999999</v>
      </c>
      <c r="L137" s="140">
        <f>SUM(J137:K137)</f>
        <v>204650.9</v>
      </c>
      <c r="M137" s="1168" t="s">
        <v>88</v>
      </c>
      <c r="N137" s="219">
        <v>9452.2000000000007</v>
      </c>
      <c r="O137" s="219">
        <v>380171.5</v>
      </c>
      <c r="P137" s="140">
        <v>78783.3</v>
      </c>
      <c r="Q137" s="219">
        <v>8619.5</v>
      </c>
      <c r="R137" s="211">
        <f>1157.5+7920+2.2</f>
        <v>9079.7000000000007</v>
      </c>
      <c r="S137" s="219">
        <f t="shared" si="16"/>
        <v>1061103.0999999999</v>
      </c>
      <c r="T137" s="214"/>
    </row>
    <row r="138" spans="1:20" s="220" customFormat="1" ht="15" hidden="1" customHeight="1">
      <c r="A138" s="87" t="s">
        <v>49</v>
      </c>
      <c r="B138" s="140">
        <v>219197.7</v>
      </c>
      <c r="C138" s="219">
        <v>105839.2</v>
      </c>
      <c r="D138" s="140">
        <v>1576.2</v>
      </c>
      <c r="E138" s="140">
        <v>910.9</v>
      </c>
      <c r="F138" s="140">
        <v>1671.9</v>
      </c>
      <c r="G138" s="140">
        <v>10.8</v>
      </c>
      <c r="H138" s="211">
        <v>1629</v>
      </c>
      <c r="I138" s="140">
        <f>SUM(B138:H138)</f>
        <v>330835.70000000007</v>
      </c>
      <c r="J138" s="140">
        <v>184862.5</v>
      </c>
      <c r="K138" s="140">
        <v>21913.1</v>
      </c>
      <c r="L138" s="140">
        <f>SUM(J138:K138)</f>
        <v>206775.6</v>
      </c>
      <c r="M138" s="1168" t="s">
        <v>88</v>
      </c>
      <c r="N138" s="219">
        <v>9053</v>
      </c>
      <c r="O138" s="219">
        <v>376171.7</v>
      </c>
      <c r="P138" s="140">
        <v>78783.3</v>
      </c>
      <c r="Q138" s="219">
        <v>10345.200000000001</v>
      </c>
      <c r="R138" s="211">
        <f>1071.6+7946.1+1.1</f>
        <v>9018.8000000000011</v>
      </c>
      <c r="S138" s="219">
        <f t="shared" si="16"/>
        <v>1020983.3</v>
      </c>
      <c r="T138" s="214"/>
    </row>
    <row r="139" spans="1:20" s="220" customFormat="1" ht="15" hidden="1" customHeight="1">
      <c r="A139" s="87" t="s">
        <v>50</v>
      </c>
      <c r="B139" s="140">
        <v>227340.9</v>
      </c>
      <c r="C139" s="219">
        <v>120095.4</v>
      </c>
      <c r="D139" s="140">
        <v>1624.7</v>
      </c>
      <c r="E139" s="140">
        <v>1035.0999999999999</v>
      </c>
      <c r="F139" s="140">
        <v>3555.9</v>
      </c>
      <c r="G139" s="140">
        <v>22.9</v>
      </c>
      <c r="H139" s="211">
        <v>1326.1</v>
      </c>
      <c r="I139" s="140">
        <f>SUM(B139:H139)</f>
        <v>355001</v>
      </c>
      <c r="J139" s="140">
        <v>170878.6</v>
      </c>
      <c r="K139" s="140">
        <v>13593.9</v>
      </c>
      <c r="L139" s="140">
        <f>SUM(J139:K139)</f>
        <v>184472.5</v>
      </c>
      <c r="M139" s="1168" t="s">
        <v>88</v>
      </c>
      <c r="N139" s="219">
        <v>9222.6</v>
      </c>
      <c r="O139" s="219">
        <v>372538.8</v>
      </c>
      <c r="P139" s="140">
        <v>82125.3</v>
      </c>
      <c r="Q139" s="219">
        <v>8152.8</v>
      </c>
      <c r="R139" s="211">
        <f>1064.1+10111.9+5977.7</f>
        <v>17153.7</v>
      </c>
      <c r="S139" s="219">
        <f t="shared" si="16"/>
        <v>1028666.7</v>
      </c>
      <c r="T139" s="214"/>
    </row>
    <row r="140" spans="1:20" s="220" customFormat="1" ht="15" hidden="1" customHeight="1">
      <c r="A140" s="87"/>
      <c r="B140" s="140"/>
      <c r="C140" s="219"/>
      <c r="D140" s="140"/>
      <c r="E140" s="140"/>
      <c r="F140" s="140"/>
      <c r="G140" s="140"/>
      <c r="H140" s="211"/>
      <c r="I140" s="140"/>
      <c r="J140" s="140"/>
      <c r="K140" s="140"/>
      <c r="L140" s="140"/>
      <c r="M140" s="1168"/>
      <c r="N140" s="219"/>
      <c r="O140" s="219"/>
      <c r="P140" s="140"/>
      <c r="Q140" s="219"/>
      <c r="R140" s="211"/>
      <c r="S140" s="219"/>
      <c r="T140" s="214"/>
    </row>
    <row r="141" spans="1:20" s="220" customFormat="1" ht="15" hidden="1" customHeight="1">
      <c r="A141" s="87" t="s">
        <v>51</v>
      </c>
      <c r="B141" s="140">
        <v>221881.2</v>
      </c>
      <c r="C141" s="219">
        <v>90284</v>
      </c>
      <c r="D141" s="140">
        <v>1251.9000000000001</v>
      </c>
      <c r="E141" s="140">
        <v>1412.8</v>
      </c>
      <c r="F141" s="140">
        <v>2661.8</v>
      </c>
      <c r="G141" s="140">
        <v>11.2</v>
      </c>
      <c r="H141" s="211">
        <v>309.5</v>
      </c>
      <c r="I141" s="140">
        <f t="shared" ref="I141:I152" si="19">SUM(B141:H141)</f>
        <v>317812.40000000002</v>
      </c>
      <c r="J141" s="140">
        <v>183213.4</v>
      </c>
      <c r="K141" s="140">
        <v>12820.3</v>
      </c>
      <c r="L141" s="140">
        <f t="shared" ref="L141:L152" si="20">SUM(J141:K141)</f>
        <v>196033.69999999998</v>
      </c>
      <c r="M141" s="1168" t="s">
        <v>88</v>
      </c>
      <c r="N141" s="219">
        <v>10502.8</v>
      </c>
      <c r="O141" s="219">
        <v>357331.8</v>
      </c>
      <c r="P141" s="140">
        <v>82125.3</v>
      </c>
      <c r="Q141" s="219">
        <v>11229.7</v>
      </c>
      <c r="R141" s="211">
        <f>1109.7+6687.8+0.8</f>
        <v>7798.3</v>
      </c>
      <c r="S141" s="219">
        <f t="shared" ref="S141:S152" si="21">SUM(I141,L141:O141,R141,P141,Q141)</f>
        <v>982834</v>
      </c>
      <c r="T141" s="214"/>
    </row>
    <row r="142" spans="1:20" s="220" customFormat="1" ht="15" hidden="1" customHeight="1">
      <c r="A142" s="87" t="s">
        <v>52</v>
      </c>
      <c r="B142" s="140">
        <v>223869.8</v>
      </c>
      <c r="C142" s="219">
        <v>128772</v>
      </c>
      <c r="D142" s="140">
        <v>2667.8</v>
      </c>
      <c r="E142" s="140">
        <v>1446.5</v>
      </c>
      <c r="F142" s="140">
        <v>4150.5</v>
      </c>
      <c r="G142" s="140">
        <v>29.4</v>
      </c>
      <c r="H142" s="211">
        <v>410.4</v>
      </c>
      <c r="I142" s="140">
        <f t="shared" si="19"/>
        <v>361346.4</v>
      </c>
      <c r="J142" s="140">
        <v>180351.7</v>
      </c>
      <c r="K142" s="140">
        <v>15679.5</v>
      </c>
      <c r="L142" s="140">
        <f t="shared" si="20"/>
        <v>196031.2</v>
      </c>
      <c r="M142" s="1168" t="s">
        <v>88</v>
      </c>
      <c r="N142" s="219">
        <v>10301.6</v>
      </c>
      <c r="O142" s="219">
        <v>354020.7</v>
      </c>
      <c r="P142" s="140">
        <v>82192</v>
      </c>
      <c r="Q142" s="219">
        <v>10806.9</v>
      </c>
      <c r="R142" s="211">
        <f>1045.4+7527.8+1.2</f>
        <v>8574.4000000000015</v>
      </c>
      <c r="S142" s="219">
        <f t="shared" si="21"/>
        <v>1023273.2000000002</v>
      </c>
      <c r="T142" s="214"/>
    </row>
    <row r="143" spans="1:20" s="220" customFormat="1" ht="15" hidden="1" customHeight="1">
      <c r="A143" s="87" t="s">
        <v>53</v>
      </c>
      <c r="B143" s="140">
        <v>223176.6</v>
      </c>
      <c r="C143" s="219">
        <v>71767.600000000006</v>
      </c>
      <c r="D143" s="140">
        <v>1878.3</v>
      </c>
      <c r="E143" s="140">
        <v>1593.8</v>
      </c>
      <c r="F143" s="140">
        <v>4089.8</v>
      </c>
      <c r="G143" s="140">
        <v>47.4</v>
      </c>
      <c r="H143" s="211">
        <v>243.7</v>
      </c>
      <c r="I143" s="140">
        <f t="shared" si="19"/>
        <v>302797.2</v>
      </c>
      <c r="J143" s="140">
        <v>177861.5</v>
      </c>
      <c r="K143" s="140">
        <v>18845.099999999999</v>
      </c>
      <c r="L143" s="140">
        <f t="shared" si="20"/>
        <v>196706.6</v>
      </c>
      <c r="M143" s="1168" t="s">
        <v>88</v>
      </c>
      <c r="N143" s="219">
        <v>10123.6</v>
      </c>
      <c r="O143" s="219">
        <v>356984.6</v>
      </c>
      <c r="P143" s="140">
        <v>82192</v>
      </c>
      <c r="Q143" s="219">
        <v>13545.7</v>
      </c>
      <c r="R143" s="211">
        <f>1091.7+7442.4+6.9</f>
        <v>8541</v>
      </c>
      <c r="S143" s="219">
        <f t="shared" si="21"/>
        <v>970890.7</v>
      </c>
      <c r="T143" s="214"/>
    </row>
    <row r="144" spans="1:20" s="220" customFormat="1" ht="15" hidden="1" customHeight="1">
      <c r="A144" s="87" t="s">
        <v>603</v>
      </c>
      <c r="B144" s="140">
        <v>238022.8</v>
      </c>
      <c r="C144" s="219">
        <v>72697.2</v>
      </c>
      <c r="D144" s="140">
        <v>1431.1</v>
      </c>
      <c r="E144" s="140">
        <v>3120.4</v>
      </c>
      <c r="F144" s="140">
        <v>4725.5</v>
      </c>
      <c r="G144" s="140">
        <v>18.399999999999999</v>
      </c>
      <c r="H144" s="211">
        <v>403.8</v>
      </c>
      <c r="I144" s="140">
        <f t="shared" si="19"/>
        <v>320419.20000000001</v>
      </c>
      <c r="J144" s="140">
        <v>182040</v>
      </c>
      <c r="K144" s="140">
        <v>16782.099999999999</v>
      </c>
      <c r="L144" s="140">
        <f t="shared" si="20"/>
        <v>198822.1</v>
      </c>
      <c r="M144" s="1168" t="s">
        <v>88</v>
      </c>
      <c r="N144" s="219">
        <v>9306.4</v>
      </c>
      <c r="O144" s="219">
        <v>360084.5</v>
      </c>
      <c r="P144" s="140">
        <v>87845.1</v>
      </c>
      <c r="Q144" s="219">
        <v>5028.8999999999996</v>
      </c>
      <c r="R144" s="211">
        <f>1124.5+8498.8+5.4</f>
        <v>9628.6999999999989</v>
      </c>
      <c r="S144" s="219">
        <f t="shared" si="21"/>
        <v>991134.9</v>
      </c>
      <c r="T144" s="214"/>
    </row>
    <row r="145" spans="1:20" s="220" customFormat="1" ht="15" hidden="1" customHeight="1">
      <c r="A145" s="87" t="s">
        <v>609</v>
      </c>
      <c r="B145" s="140">
        <v>248023.4</v>
      </c>
      <c r="C145" s="219">
        <v>69415.7</v>
      </c>
      <c r="D145" s="140">
        <v>1979.6</v>
      </c>
      <c r="E145" s="140">
        <v>6610</v>
      </c>
      <c r="F145" s="140">
        <v>5097.8999999999996</v>
      </c>
      <c r="G145" s="140">
        <v>48</v>
      </c>
      <c r="H145" s="211">
        <v>588.29999999999995</v>
      </c>
      <c r="I145" s="140">
        <f t="shared" si="19"/>
        <v>331762.89999999997</v>
      </c>
      <c r="J145" s="140">
        <v>187762.3</v>
      </c>
      <c r="K145" s="140">
        <v>18121.8</v>
      </c>
      <c r="L145" s="140">
        <f t="shared" si="20"/>
        <v>205884.09999999998</v>
      </c>
      <c r="M145" s="1168" t="s">
        <v>88</v>
      </c>
      <c r="N145" s="219">
        <v>8857.5</v>
      </c>
      <c r="O145" s="219">
        <v>356222.3</v>
      </c>
      <c r="P145" s="140">
        <v>87845.1</v>
      </c>
      <c r="Q145" s="219">
        <v>7161.4</v>
      </c>
      <c r="R145" s="211">
        <f>1125+7914.2-0.9</f>
        <v>9038.3000000000011</v>
      </c>
      <c r="S145" s="219">
        <f t="shared" si="21"/>
        <v>1006771.6000000001</v>
      </c>
      <c r="T145" s="214"/>
    </row>
    <row r="146" spans="1:20" s="220" customFormat="1" ht="15" hidden="1" customHeight="1">
      <c r="A146" s="87" t="s">
        <v>44</v>
      </c>
      <c r="B146" s="140">
        <v>254961.4</v>
      </c>
      <c r="C146" s="219">
        <v>63611.8</v>
      </c>
      <c r="D146" s="140">
        <v>2089.9</v>
      </c>
      <c r="E146" s="140">
        <v>9771.2999999999993</v>
      </c>
      <c r="F146" s="140">
        <v>3640.6</v>
      </c>
      <c r="G146" s="140">
        <v>62.4</v>
      </c>
      <c r="H146" s="211">
        <v>357.5</v>
      </c>
      <c r="I146" s="140">
        <f t="shared" si="19"/>
        <v>334494.90000000002</v>
      </c>
      <c r="J146" s="140">
        <v>170313</v>
      </c>
      <c r="K146" s="140">
        <v>15899.1</v>
      </c>
      <c r="L146" s="140">
        <f t="shared" si="20"/>
        <v>186212.1</v>
      </c>
      <c r="M146" s="1168" t="s">
        <v>88</v>
      </c>
      <c r="N146" s="219">
        <v>1293.3</v>
      </c>
      <c r="O146" s="219">
        <v>361289.7</v>
      </c>
      <c r="P146" s="140">
        <v>87845.1</v>
      </c>
      <c r="Q146" s="219">
        <v>5626.8</v>
      </c>
      <c r="R146" s="211">
        <f>1101.1+7274.1+6.3</f>
        <v>8381.5</v>
      </c>
      <c r="S146" s="219">
        <f t="shared" si="21"/>
        <v>985143.4</v>
      </c>
      <c r="T146" s="214"/>
    </row>
    <row r="147" spans="1:20" s="220" customFormat="1" ht="15" hidden="1" customHeight="1">
      <c r="A147" s="87" t="s">
        <v>617</v>
      </c>
      <c r="B147" s="140">
        <v>238905.2</v>
      </c>
      <c r="C147" s="219">
        <v>80850</v>
      </c>
      <c r="D147" s="140">
        <v>1992.3</v>
      </c>
      <c r="E147" s="140">
        <v>2711.7</v>
      </c>
      <c r="F147" s="140">
        <v>2932.2</v>
      </c>
      <c r="G147" s="140">
        <v>59.3</v>
      </c>
      <c r="H147" s="211">
        <v>428</v>
      </c>
      <c r="I147" s="140">
        <f t="shared" si="19"/>
        <v>327878.7</v>
      </c>
      <c r="J147" s="140">
        <v>149713.70000000001</v>
      </c>
      <c r="K147" s="140">
        <v>14670.5</v>
      </c>
      <c r="L147" s="140">
        <f t="shared" si="20"/>
        <v>164384.20000000001</v>
      </c>
      <c r="M147" s="1168" t="s">
        <v>88</v>
      </c>
      <c r="N147" s="219">
        <v>1675.7</v>
      </c>
      <c r="O147" s="219">
        <v>356249.3</v>
      </c>
      <c r="P147" s="140">
        <v>87845.1</v>
      </c>
      <c r="Q147" s="219">
        <v>3574.2</v>
      </c>
      <c r="R147" s="211">
        <f>1220.4+7961.3+10.4</f>
        <v>9192.1</v>
      </c>
      <c r="S147" s="219">
        <f t="shared" si="21"/>
        <v>950799.29999999993</v>
      </c>
      <c r="T147" s="214"/>
    </row>
    <row r="148" spans="1:20" s="220" customFormat="1" ht="15" hidden="1" customHeight="1">
      <c r="A148" s="87" t="s">
        <v>621</v>
      </c>
      <c r="B148" s="140">
        <v>230953.7</v>
      </c>
      <c r="C148" s="219">
        <v>89861</v>
      </c>
      <c r="D148" s="140">
        <v>3013.9</v>
      </c>
      <c r="E148" s="140">
        <v>3048.9</v>
      </c>
      <c r="F148" s="140">
        <v>1505.9</v>
      </c>
      <c r="G148" s="140">
        <v>18.2</v>
      </c>
      <c r="H148" s="211">
        <v>333.6</v>
      </c>
      <c r="I148" s="140">
        <f t="shared" si="19"/>
        <v>328735.20000000007</v>
      </c>
      <c r="J148" s="140">
        <v>143623.20000000001</v>
      </c>
      <c r="K148" s="140">
        <v>22600.6</v>
      </c>
      <c r="L148" s="140">
        <f t="shared" si="20"/>
        <v>166223.80000000002</v>
      </c>
      <c r="M148" s="1168" t="s">
        <v>88</v>
      </c>
      <c r="N148" s="219">
        <v>1816.6</v>
      </c>
      <c r="O148" s="219">
        <v>355556.2</v>
      </c>
      <c r="P148" s="140">
        <v>87845.1</v>
      </c>
      <c r="Q148" s="219">
        <v>2386.1</v>
      </c>
      <c r="R148" s="211">
        <f>1256+7135.8+3.3</f>
        <v>8395.0999999999985</v>
      </c>
      <c r="S148" s="219">
        <f t="shared" si="21"/>
        <v>950958.1</v>
      </c>
      <c r="T148" s="214"/>
    </row>
    <row r="149" spans="1:20" s="220" customFormat="1" ht="15" hidden="1" customHeight="1">
      <c r="A149" s="87" t="s">
        <v>47</v>
      </c>
      <c r="B149" s="140">
        <v>216072.1</v>
      </c>
      <c r="C149" s="219">
        <v>79716.800000000003</v>
      </c>
      <c r="D149" s="140">
        <v>3810.3</v>
      </c>
      <c r="E149" s="140">
        <v>5700.2</v>
      </c>
      <c r="F149" s="140">
        <v>8658</v>
      </c>
      <c r="G149" s="140">
        <v>33.1</v>
      </c>
      <c r="H149" s="211">
        <v>323.5</v>
      </c>
      <c r="I149" s="140">
        <f t="shared" si="19"/>
        <v>314314</v>
      </c>
      <c r="J149" s="140">
        <v>160628.9</v>
      </c>
      <c r="K149" s="140">
        <v>19205.5</v>
      </c>
      <c r="L149" s="140">
        <f t="shared" si="20"/>
        <v>179834.4</v>
      </c>
      <c r="M149" s="1168" t="s">
        <v>88</v>
      </c>
      <c r="N149" s="219">
        <v>1252.3</v>
      </c>
      <c r="O149" s="219">
        <v>351304.8</v>
      </c>
      <c r="P149" s="140">
        <v>87845.1</v>
      </c>
      <c r="Q149" s="219">
        <v>643.9</v>
      </c>
      <c r="R149" s="211">
        <f>1274.9+6928.9+5.2</f>
        <v>8209</v>
      </c>
      <c r="S149" s="219">
        <f t="shared" si="21"/>
        <v>943403.5</v>
      </c>
      <c r="T149" s="214"/>
    </row>
    <row r="150" spans="1:20" s="220" customFormat="1" ht="15" hidden="1" customHeight="1">
      <c r="A150" s="87" t="s">
        <v>631</v>
      </c>
      <c r="B150" s="140">
        <v>225234.3</v>
      </c>
      <c r="C150" s="219">
        <v>112668.5</v>
      </c>
      <c r="D150" s="140">
        <v>2770.6</v>
      </c>
      <c r="E150" s="140">
        <v>6435.6</v>
      </c>
      <c r="F150" s="140">
        <v>6415.9</v>
      </c>
      <c r="G150" s="140">
        <v>25.1</v>
      </c>
      <c r="H150" s="211">
        <v>463.8</v>
      </c>
      <c r="I150" s="140">
        <f t="shared" si="19"/>
        <v>354013.79999999993</v>
      </c>
      <c r="J150" s="140">
        <v>149259.9</v>
      </c>
      <c r="K150" s="140">
        <v>22784.400000000001</v>
      </c>
      <c r="L150" s="140">
        <f t="shared" si="20"/>
        <v>172044.3</v>
      </c>
      <c r="M150" s="1168" t="s">
        <v>88</v>
      </c>
      <c r="N150" s="219">
        <v>2211.8000000000002</v>
      </c>
      <c r="O150" s="219">
        <v>349041.3</v>
      </c>
      <c r="P150" s="140">
        <v>87845.1</v>
      </c>
      <c r="Q150" s="219">
        <v>6204.2</v>
      </c>
      <c r="R150" s="211">
        <f>1234.8+6347.4+3.4</f>
        <v>7585.5999999999995</v>
      </c>
      <c r="S150" s="219">
        <f t="shared" si="21"/>
        <v>978946.09999999986</v>
      </c>
      <c r="T150" s="214"/>
    </row>
    <row r="151" spans="1:20" s="220" customFormat="1" ht="15" hidden="1" customHeight="1">
      <c r="A151" s="87" t="s">
        <v>654</v>
      </c>
      <c r="B151" s="140">
        <v>221763.4</v>
      </c>
      <c r="C151" s="219">
        <v>89671.1</v>
      </c>
      <c r="D151" s="140">
        <v>2847.7</v>
      </c>
      <c r="E151" s="140">
        <v>835</v>
      </c>
      <c r="F151" s="140">
        <v>4746.8999999999996</v>
      </c>
      <c r="G151" s="140">
        <v>22</v>
      </c>
      <c r="H151" s="211">
        <v>870.5</v>
      </c>
      <c r="I151" s="140">
        <f t="shared" si="19"/>
        <v>320756.60000000003</v>
      </c>
      <c r="J151" s="140">
        <v>147265.60000000001</v>
      </c>
      <c r="K151" s="140">
        <v>24715</v>
      </c>
      <c r="L151" s="140">
        <f t="shared" si="20"/>
        <v>171980.6</v>
      </c>
      <c r="M151" s="1168" t="s">
        <v>88</v>
      </c>
      <c r="N151" s="219">
        <v>3556.8</v>
      </c>
      <c r="O151" s="219">
        <v>350334.2</v>
      </c>
      <c r="P151" s="140">
        <v>87845.1</v>
      </c>
      <c r="Q151" s="219">
        <v>6887.1</v>
      </c>
      <c r="R151" s="211">
        <f>1411.3+6797.6+13.4</f>
        <v>8222.2999999999993</v>
      </c>
      <c r="S151" s="219">
        <f t="shared" si="21"/>
        <v>949582.70000000007</v>
      </c>
      <c r="T151" s="214"/>
    </row>
    <row r="152" spans="1:20" s="220" customFormat="1" ht="15" hidden="1" customHeight="1">
      <c r="A152" s="87" t="s">
        <v>665</v>
      </c>
      <c r="B152" s="140">
        <v>230723.7</v>
      </c>
      <c r="C152" s="219">
        <v>84351</v>
      </c>
      <c r="D152" s="140">
        <v>2209.5</v>
      </c>
      <c r="E152" s="140">
        <v>1611</v>
      </c>
      <c r="F152" s="140">
        <v>4368.5</v>
      </c>
      <c r="G152" s="140">
        <v>44.5</v>
      </c>
      <c r="H152" s="211">
        <v>1200</v>
      </c>
      <c r="I152" s="140">
        <f t="shared" si="19"/>
        <v>324508.2</v>
      </c>
      <c r="J152" s="140">
        <v>171839.3</v>
      </c>
      <c r="K152" s="140">
        <v>17303.7</v>
      </c>
      <c r="L152" s="140">
        <f t="shared" si="20"/>
        <v>189143</v>
      </c>
      <c r="M152" s="1168" t="s">
        <v>88</v>
      </c>
      <c r="N152" s="219">
        <v>5645.1</v>
      </c>
      <c r="O152" s="219">
        <v>354815.2</v>
      </c>
      <c r="P152" s="140">
        <v>87845.1</v>
      </c>
      <c r="Q152" s="219">
        <v>1265</v>
      </c>
      <c r="R152" s="211">
        <f>1187.7+6374.8+2.4</f>
        <v>7564.9</v>
      </c>
      <c r="S152" s="219">
        <f t="shared" si="21"/>
        <v>970786.5</v>
      </c>
      <c r="T152" s="214"/>
    </row>
    <row r="153" spans="1:20" s="220" customFormat="1" ht="15" hidden="1" customHeight="1">
      <c r="A153" s="87"/>
      <c r="B153" s="140"/>
      <c r="C153" s="219"/>
      <c r="D153" s="140"/>
      <c r="E153" s="140"/>
      <c r="F153" s="140"/>
      <c r="G153" s="140"/>
      <c r="H153" s="211"/>
      <c r="I153" s="140"/>
      <c r="J153" s="140"/>
      <c r="K153" s="140"/>
      <c r="L153" s="140"/>
      <c r="M153" s="1168"/>
      <c r="N153" s="219"/>
      <c r="O153" s="219"/>
      <c r="P153" s="140"/>
      <c r="Q153" s="219"/>
      <c r="R153" s="211"/>
      <c r="S153" s="219"/>
      <c r="T153" s="214"/>
    </row>
    <row r="154" spans="1:20" s="220" customFormat="1" ht="15" hidden="1" customHeight="1">
      <c r="A154" s="87" t="s">
        <v>39</v>
      </c>
      <c r="B154" s="140">
        <v>226455.9</v>
      </c>
      <c r="C154" s="219">
        <v>97415.5</v>
      </c>
      <c r="D154" s="140">
        <v>1524.2</v>
      </c>
      <c r="E154" s="140">
        <v>1365.4</v>
      </c>
      <c r="F154" s="140">
        <v>2402.5</v>
      </c>
      <c r="G154" s="140">
        <v>52.7</v>
      </c>
      <c r="H154" s="211">
        <v>588.70000000000005</v>
      </c>
      <c r="I154" s="140">
        <f t="shared" ref="I154:I165" si="22">SUM(B154:H154)</f>
        <v>329804.90000000008</v>
      </c>
      <c r="J154" s="140">
        <v>140739.1</v>
      </c>
      <c r="K154" s="140">
        <v>16982.3</v>
      </c>
      <c r="L154" s="140">
        <f t="shared" ref="L154:L165" si="23">SUM(J154:K154)</f>
        <v>157721.4</v>
      </c>
      <c r="M154" s="1168" t="s">
        <v>88</v>
      </c>
      <c r="N154" s="219">
        <v>5990</v>
      </c>
      <c r="O154" s="219">
        <v>351129.1</v>
      </c>
      <c r="P154" s="140">
        <v>87845.1</v>
      </c>
      <c r="Q154" s="219">
        <v>545.6</v>
      </c>
      <c r="R154" s="211">
        <f>1258.3+6257+6.2</f>
        <v>7521.5</v>
      </c>
      <c r="S154" s="219">
        <f t="shared" ref="S154:S165" si="24">SUM(I154,L154:O154,R154,P154,Q154)</f>
        <v>940557.6</v>
      </c>
      <c r="T154" s="214"/>
    </row>
    <row r="155" spans="1:20" s="220" customFormat="1" ht="15" hidden="1" customHeight="1">
      <c r="A155" s="87" t="s">
        <v>677</v>
      </c>
      <c r="B155" s="140">
        <v>228222</v>
      </c>
      <c r="C155" s="219">
        <v>82311.3</v>
      </c>
      <c r="D155" s="140">
        <v>2882.1</v>
      </c>
      <c r="E155" s="140">
        <v>10313.200000000001</v>
      </c>
      <c r="F155" s="140">
        <v>9164.2000000000007</v>
      </c>
      <c r="G155" s="140">
        <v>6.9</v>
      </c>
      <c r="H155" s="211">
        <v>948.2</v>
      </c>
      <c r="I155" s="140">
        <f t="shared" si="22"/>
        <v>333847.90000000002</v>
      </c>
      <c r="J155" s="140">
        <v>141698.79999999999</v>
      </c>
      <c r="K155" s="140">
        <v>16637.3</v>
      </c>
      <c r="L155" s="140">
        <f t="shared" si="23"/>
        <v>158336.09999999998</v>
      </c>
      <c r="M155" s="1168" t="s">
        <v>88</v>
      </c>
      <c r="N155" s="219">
        <v>6827.1</v>
      </c>
      <c r="O155" s="219">
        <v>344743.7</v>
      </c>
      <c r="P155" s="140">
        <v>87845.1</v>
      </c>
      <c r="Q155" s="219">
        <v>-398.2</v>
      </c>
      <c r="R155" s="211">
        <f>1188.5+5968.6+4.9</f>
        <v>7162</v>
      </c>
      <c r="S155" s="219">
        <f t="shared" si="24"/>
        <v>938363.70000000007</v>
      </c>
      <c r="T155" s="214"/>
    </row>
    <row r="156" spans="1:20" s="220" customFormat="1" ht="15" hidden="1" customHeight="1">
      <c r="A156" s="87" t="s">
        <v>41</v>
      </c>
      <c r="B156" s="140">
        <v>219964.2</v>
      </c>
      <c r="C156" s="219">
        <v>94301.6</v>
      </c>
      <c r="D156" s="140">
        <v>2734.9</v>
      </c>
      <c r="E156" s="140">
        <v>2510.6999999999998</v>
      </c>
      <c r="F156" s="140">
        <v>2813.9</v>
      </c>
      <c r="G156" s="140">
        <v>26.4</v>
      </c>
      <c r="H156" s="211">
        <v>910.3</v>
      </c>
      <c r="I156" s="140">
        <f t="shared" si="22"/>
        <v>323262.00000000012</v>
      </c>
      <c r="J156" s="140">
        <v>165597.4</v>
      </c>
      <c r="K156" s="140">
        <v>16333.1</v>
      </c>
      <c r="L156" s="140">
        <f t="shared" si="23"/>
        <v>181930.5</v>
      </c>
      <c r="M156" s="1168" t="s">
        <v>88</v>
      </c>
      <c r="N156" s="219">
        <v>5204</v>
      </c>
      <c r="O156" s="219">
        <v>350173.8</v>
      </c>
      <c r="P156" s="140">
        <v>87845.1</v>
      </c>
      <c r="Q156" s="219">
        <v>-3581.8</v>
      </c>
      <c r="R156" s="211">
        <f>1206.1+6336.3+3.2</f>
        <v>7545.5999999999995</v>
      </c>
      <c r="S156" s="219">
        <f t="shared" si="24"/>
        <v>952379.2</v>
      </c>
      <c r="T156" s="214"/>
    </row>
    <row r="157" spans="1:20" s="220" customFormat="1" ht="15" hidden="1" customHeight="1">
      <c r="A157" s="87" t="s">
        <v>692</v>
      </c>
      <c r="B157" s="140">
        <v>230212</v>
      </c>
      <c r="C157" s="219">
        <v>112572.5</v>
      </c>
      <c r="D157" s="140">
        <v>1956.8</v>
      </c>
      <c r="E157" s="140">
        <v>1361.9</v>
      </c>
      <c r="F157" s="140">
        <v>3187.7</v>
      </c>
      <c r="G157" s="140">
        <v>15.2</v>
      </c>
      <c r="H157" s="211">
        <v>438.4</v>
      </c>
      <c r="I157" s="140">
        <f t="shared" si="22"/>
        <v>349744.50000000006</v>
      </c>
      <c r="J157" s="140">
        <v>163066.1</v>
      </c>
      <c r="K157" s="140">
        <v>21294.799999999999</v>
      </c>
      <c r="L157" s="140">
        <f t="shared" si="23"/>
        <v>184360.9</v>
      </c>
      <c r="M157" s="1168" t="s">
        <v>88</v>
      </c>
      <c r="N157" s="219">
        <v>5204</v>
      </c>
      <c r="O157" s="219">
        <v>355049.6</v>
      </c>
      <c r="P157" s="140">
        <v>87845.1</v>
      </c>
      <c r="Q157" s="219">
        <v>-7259.2</v>
      </c>
      <c r="R157" s="211">
        <v>7610.3</v>
      </c>
      <c r="S157" s="219">
        <f t="shared" si="24"/>
        <v>982555.20000000007</v>
      </c>
      <c r="T157" s="214"/>
    </row>
    <row r="158" spans="1:20" s="220" customFormat="1" ht="15" hidden="1" customHeight="1">
      <c r="A158" s="87" t="s">
        <v>701</v>
      </c>
      <c r="B158" s="140">
        <v>230195.9</v>
      </c>
      <c r="C158" s="219">
        <v>105627.9</v>
      </c>
      <c r="D158" s="140">
        <v>2568.1999999999998</v>
      </c>
      <c r="E158" s="140">
        <v>7539.1</v>
      </c>
      <c r="F158" s="140">
        <v>7710.2</v>
      </c>
      <c r="G158" s="140">
        <v>37.6</v>
      </c>
      <c r="H158" s="211">
        <v>798.3</v>
      </c>
      <c r="I158" s="140">
        <f t="shared" si="22"/>
        <v>354477.19999999995</v>
      </c>
      <c r="J158" s="140">
        <v>162441.29999999999</v>
      </c>
      <c r="K158" s="140">
        <v>18544.900000000001</v>
      </c>
      <c r="L158" s="140">
        <f t="shared" si="23"/>
        <v>180986.19999999998</v>
      </c>
      <c r="M158" s="1168" t="s">
        <v>88</v>
      </c>
      <c r="N158" s="219">
        <v>6494.3</v>
      </c>
      <c r="O158" s="219">
        <v>352456.3</v>
      </c>
      <c r="P158" s="140">
        <v>87845.1</v>
      </c>
      <c r="Q158" s="219">
        <v>-5109.2</v>
      </c>
      <c r="R158" s="211">
        <f>1955.5+6113.6+35</f>
        <v>8104.1</v>
      </c>
      <c r="S158" s="219">
        <f t="shared" si="24"/>
        <v>985254</v>
      </c>
      <c r="T158" s="214"/>
    </row>
    <row r="159" spans="1:20" s="220" customFormat="1" ht="15" hidden="1" customHeight="1">
      <c r="A159" s="87" t="s">
        <v>713</v>
      </c>
      <c r="B159" s="140">
        <v>255415.5</v>
      </c>
      <c r="C159" s="219">
        <v>98845.3</v>
      </c>
      <c r="D159" s="140">
        <v>1740</v>
      </c>
      <c r="E159" s="140">
        <v>3186.6</v>
      </c>
      <c r="F159" s="140">
        <v>4307.5</v>
      </c>
      <c r="G159" s="140">
        <v>16.100000000000001</v>
      </c>
      <c r="H159" s="211">
        <v>557.9</v>
      </c>
      <c r="I159" s="140">
        <f t="shared" si="22"/>
        <v>364068.89999999997</v>
      </c>
      <c r="J159" s="140">
        <v>168849</v>
      </c>
      <c r="K159" s="140">
        <v>24468.2</v>
      </c>
      <c r="L159" s="140">
        <f t="shared" si="23"/>
        <v>193317.2</v>
      </c>
      <c r="M159" s="1168" t="s">
        <v>88</v>
      </c>
      <c r="N159" s="219">
        <v>5535.4</v>
      </c>
      <c r="O159" s="219">
        <v>351838.8</v>
      </c>
      <c r="P159" s="140">
        <v>87845.1</v>
      </c>
      <c r="Q159" s="219">
        <v>-2252.6</v>
      </c>
      <c r="R159" s="211">
        <f>1938.5+6025.6+20.7</f>
        <v>7984.8</v>
      </c>
      <c r="S159" s="219">
        <f t="shared" si="24"/>
        <v>1008337.6000000001</v>
      </c>
      <c r="T159" s="214"/>
    </row>
    <row r="160" spans="1:20" s="220" customFormat="1" ht="15" customHeight="1">
      <c r="A160" s="87" t="s">
        <v>730</v>
      </c>
      <c r="B160" s="140">
        <v>265902.59999999998</v>
      </c>
      <c r="C160" s="219">
        <v>101091.2</v>
      </c>
      <c r="D160" s="140">
        <v>2646.6</v>
      </c>
      <c r="E160" s="140">
        <v>6715.9</v>
      </c>
      <c r="F160" s="140">
        <v>5193.3</v>
      </c>
      <c r="G160" s="140">
        <v>8.4</v>
      </c>
      <c r="H160" s="211">
        <v>772.4</v>
      </c>
      <c r="I160" s="140">
        <f t="shared" si="22"/>
        <v>382330.4</v>
      </c>
      <c r="J160" s="140">
        <v>160363.6</v>
      </c>
      <c r="K160" s="140">
        <v>21791.599999999999</v>
      </c>
      <c r="L160" s="140">
        <f t="shared" si="23"/>
        <v>182155.2</v>
      </c>
      <c r="M160" s="1168" t="s">
        <v>88</v>
      </c>
      <c r="N160" s="219">
        <v>4201.3999999999996</v>
      </c>
      <c r="O160" s="219">
        <v>346787.6</v>
      </c>
      <c r="P160" s="140">
        <v>87845.1</v>
      </c>
      <c r="Q160" s="219">
        <v>-1465.7</v>
      </c>
      <c r="R160" s="211">
        <f>1168.8+6628.3+40.1</f>
        <v>7837.2000000000007</v>
      </c>
      <c r="S160" s="219">
        <f t="shared" si="24"/>
        <v>1009691.2000000001</v>
      </c>
      <c r="T160" s="214"/>
    </row>
    <row r="161" spans="1:20" s="220" customFormat="1" ht="15" customHeight="1">
      <c r="A161" s="87" t="s">
        <v>46</v>
      </c>
      <c r="B161" s="140">
        <v>259211.2</v>
      </c>
      <c r="C161" s="219">
        <v>96485.6</v>
      </c>
      <c r="D161" s="140">
        <v>3581.1</v>
      </c>
      <c r="E161" s="140">
        <v>678.2</v>
      </c>
      <c r="F161" s="140">
        <v>4709.8</v>
      </c>
      <c r="G161" s="140">
        <v>5.4</v>
      </c>
      <c r="H161" s="211">
        <v>2762.9</v>
      </c>
      <c r="I161" s="140">
        <f t="shared" si="22"/>
        <v>367434.20000000007</v>
      </c>
      <c r="J161" s="140">
        <v>159090.79999999999</v>
      </c>
      <c r="K161" s="140">
        <v>13209.3</v>
      </c>
      <c r="L161" s="140">
        <f t="shared" si="23"/>
        <v>172300.09999999998</v>
      </c>
      <c r="M161" s="1168" t="s">
        <v>88</v>
      </c>
      <c r="N161" s="219">
        <v>4932.5</v>
      </c>
      <c r="O161" s="219">
        <v>340352.3</v>
      </c>
      <c r="P161" s="140">
        <v>88281.600000000006</v>
      </c>
      <c r="Q161" s="219">
        <v>-2656.6</v>
      </c>
      <c r="R161" s="211">
        <f>6114.2+15.1+1235.7</f>
        <v>7365</v>
      </c>
      <c r="S161" s="219">
        <f t="shared" si="24"/>
        <v>978009.10000000009</v>
      </c>
      <c r="T161" s="214"/>
    </row>
    <row r="162" spans="1:20" s="220" customFormat="1" ht="15" customHeight="1">
      <c r="A162" s="87" t="s">
        <v>47</v>
      </c>
      <c r="B162" s="140">
        <v>254499.1</v>
      </c>
      <c r="C162" s="219">
        <v>124775.9</v>
      </c>
      <c r="D162" s="140">
        <v>3523.6</v>
      </c>
      <c r="E162" s="140">
        <v>834</v>
      </c>
      <c r="F162" s="140">
        <v>4926.1000000000004</v>
      </c>
      <c r="G162" s="140">
        <v>3.6</v>
      </c>
      <c r="H162" s="211">
        <v>1138.3</v>
      </c>
      <c r="I162" s="140">
        <f t="shared" si="22"/>
        <v>389700.59999999992</v>
      </c>
      <c r="J162" s="140">
        <v>165324.79999999999</v>
      </c>
      <c r="K162" s="140">
        <v>21183.599999999999</v>
      </c>
      <c r="L162" s="140">
        <f t="shared" si="23"/>
        <v>186508.4</v>
      </c>
      <c r="M162" s="1168" t="s">
        <v>88</v>
      </c>
      <c r="N162" s="219">
        <v>5791.3</v>
      </c>
      <c r="O162" s="219">
        <v>338994.5</v>
      </c>
      <c r="P162" s="140">
        <v>88281.7</v>
      </c>
      <c r="Q162" s="219">
        <v>-5027.8</v>
      </c>
      <c r="R162" s="211">
        <f>5752+8.1+1393.1</f>
        <v>7153.2000000000007</v>
      </c>
      <c r="S162" s="219">
        <f t="shared" si="24"/>
        <v>1011401.8999999998</v>
      </c>
      <c r="T162" s="214"/>
    </row>
    <row r="163" spans="1:20" s="220" customFormat="1" ht="15" customHeight="1">
      <c r="A163" s="87" t="s">
        <v>48</v>
      </c>
      <c r="B163" s="140">
        <v>254519.8</v>
      </c>
      <c r="C163" s="219">
        <v>112931.8</v>
      </c>
      <c r="D163" s="140">
        <v>3149.6</v>
      </c>
      <c r="E163" s="140">
        <v>1498.7</v>
      </c>
      <c r="F163" s="140">
        <v>3531.1</v>
      </c>
      <c r="G163" s="140">
        <v>5.2</v>
      </c>
      <c r="H163" s="211">
        <v>1875</v>
      </c>
      <c r="I163" s="140">
        <f t="shared" si="22"/>
        <v>377511.19999999995</v>
      </c>
      <c r="J163" s="140">
        <v>175018.1</v>
      </c>
      <c r="K163" s="140">
        <v>15080.7</v>
      </c>
      <c r="L163" s="140">
        <f t="shared" si="23"/>
        <v>190098.80000000002</v>
      </c>
      <c r="M163" s="1168" t="s">
        <v>88</v>
      </c>
      <c r="N163" s="219">
        <v>7752</v>
      </c>
      <c r="O163" s="219">
        <v>336106.5</v>
      </c>
      <c r="P163" s="140">
        <v>88281.600000000006</v>
      </c>
      <c r="Q163" s="219">
        <v>-148.19999999999999</v>
      </c>
      <c r="R163" s="211">
        <f>5886.8+8.1+1388.8</f>
        <v>7283.7000000000007</v>
      </c>
      <c r="S163" s="219">
        <f t="shared" si="24"/>
        <v>1006885.6</v>
      </c>
      <c r="T163" s="214"/>
    </row>
    <row r="164" spans="1:20" s="220" customFormat="1" ht="15" customHeight="1">
      <c r="A164" s="87" t="s">
        <v>49</v>
      </c>
      <c r="B164" s="140">
        <v>255283.4</v>
      </c>
      <c r="C164" s="219">
        <v>125278.8</v>
      </c>
      <c r="D164" s="140">
        <v>2943.8</v>
      </c>
      <c r="E164" s="140">
        <v>8178.4</v>
      </c>
      <c r="F164" s="140">
        <v>9000.1</v>
      </c>
      <c r="G164" s="140">
        <v>3.2</v>
      </c>
      <c r="H164" s="211">
        <v>1378.3</v>
      </c>
      <c r="I164" s="140">
        <f t="shared" si="22"/>
        <v>402066</v>
      </c>
      <c r="J164" s="140">
        <v>180613.8</v>
      </c>
      <c r="K164" s="140">
        <v>13791.1</v>
      </c>
      <c r="L164" s="140">
        <f t="shared" si="23"/>
        <v>194404.9</v>
      </c>
      <c r="M164" s="1168" t="s">
        <v>88</v>
      </c>
      <c r="N164" s="219">
        <v>10573.9</v>
      </c>
      <c r="O164" s="219">
        <v>330545.8</v>
      </c>
      <c r="P164" s="140">
        <v>88281.600000000006</v>
      </c>
      <c r="Q164" s="219">
        <v>4929</v>
      </c>
      <c r="R164" s="211">
        <f>9209.8+3.1+1507.9</f>
        <v>10720.8</v>
      </c>
      <c r="S164" s="219">
        <f t="shared" si="24"/>
        <v>1041522.0000000001</v>
      </c>
      <c r="T164" s="214"/>
    </row>
    <row r="165" spans="1:20" s="220" customFormat="1" ht="15" customHeight="1">
      <c r="A165" s="87" t="s">
        <v>50</v>
      </c>
      <c r="B165" s="140">
        <v>267512.5</v>
      </c>
      <c r="C165" s="219">
        <v>134302.79999999999</v>
      </c>
      <c r="D165" s="140">
        <v>3575.7</v>
      </c>
      <c r="E165" s="140">
        <v>5995.8</v>
      </c>
      <c r="F165" s="140">
        <v>6509.8</v>
      </c>
      <c r="G165" s="140">
        <v>7.7</v>
      </c>
      <c r="H165" s="211">
        <v>1319.7</v>
      </c>
      <c r="I165" s="140">
        <f t="shared" si="22"/>
        <v>419224</v>
      </c>
      <c r="J165" s="140">
        <v>229057.5</v>
      </c>
      <c r="K165" s="140">
        <v>14016.1</v>
      </c>
      <c r="L165" s="140">
        <f t="shared" si="23"/>
        <v>243073.6</v>
      </c>
      <c r="M165" s="1168" t="s">
        <v>88</v>
      </c>
      <c r="N165" s="219">
        <v>12385</v>
      </c>
      <c r="O165" s="219">
        <v>328508.5</v>
      </c>
      <c r="P165" s="140">
        <v>88281.600000000006</v>
      </c>
      <c r="Q165" s="219">
        <v>5702.3</v>
      </c>
      <c r="R165" s="211">
        <f>8800+6.7+1350.6</f>
        <v>10157.300000000001</v>
      </c>
      <c r="S165" s="219">
        <f t="shared" si="24"/>
        <v>1107332.3</v>
      </c>
      <c r="T165" s="214"/>
    </row>
    <row r="166" spans="1:20" s="220" customFormat="1" ht="15" customHeight="1">
      <c r="A166" s="87"/>
      <c r="B166" s="140"/>
      <c r="C166" s="219"/>
      <c r="D166" s="140"/>
      <c r="E166" s="140"/>
      <c r="F166" s="140"/>
      <c r="G166" s="140"/>
      <c r="H166" s="211"/>
      <c r="I166" s="140"/>
      <c r="J166" s="140"/>
      <c r="K166" s="140"/>
      <c r="L166" s="140"/>
      <c r="M166" s="1168"/>
      <c r="N166" s="219"/>
      <c r="O166" s="219"/>
      <c r="P166" s="140"/>
      <c r="Q166" s="219"/>
      <c r="R166" s="211"/>
      <c r="S166" s="219"/>
      <c r="T166" s="214"/>
    </row>
    <row r="167" spans="1:20" s="220" customFormat="1" ht="15" customHeight="1">
      <c r="A167" s="87" t="s">
        <v>36</v>
      </c>
      <c r="B167" s="140">
        <v>257413.7</v>
      </c>
      <c r="C167" s="219">
        <v>190039</v>
      </c>
      <c r="D167" s="140">
        <v>2479</v>
      </c>
      <c r="E167" s="140">
        <v>5009.2</v>
      </c>
      <c r="F167" s="140">
        <v>5833.8</v>
      </c>
      <c r="G167" s="140">
        <v>2.2000000000000002</v>
      </c>
      <c r="H167" s="211">
        <v>22330.5</v>
      </c>
      <c r="I167" s="140">
        <f>SUM(B167:H167)</f>
        <v>483107.4</v>
      </c>
      <c r="J167" s="140">
        <v>170874</v>
      </c>
      <c r="K167" s="140">
        <v>19271</v>
      </c>
      <c r="L167" s="140">
        <f t="shared" ref="L167:L186" si="25">SUM(J167:K167)</f>
        <v>190145</v>
      </c>
      <c r="M167" s="1168" t="s">
        <v>88</v>
      </c>
      <c r="N167" s="219">
        <v>22328.5</v>
      </c>
      <c r="O167" s="219">
        <v>331895</v>
      </c>
      <c r="P167" s="140">
        <v>88281.600000000006</v>
      </c>
      <c r="Q167" s="219">
        <v>2053.1999999999998</v>
      </c>
      <c r="R167" s="211">
        <f>8276.7+4.6+1360.3</f>
        <v>9641.6</v>
      </c>
      <c r="S167" s="219">
        <f t="shared" ref="S167:S186" si="26">SUM(I167,L167:O167,R167,P167,Q167)</f>
        <v>1127452.3</v>
      </c>
      <c r="T167" s="803"/>
    </row>
    <row r="168" spans="1:20" s="220" customFormat="1" ht="15" customHeight="1">
      <c r="A168" s="87" t="s">
        <v>37</v>
      </c>
      <c r="B168" s="140">
        <v>258459.9</v>
      </c>
      <c r="C168" s="219">
        <v>164896.79999999999</v>
      </c>
      <c r="D168" s="140">
        <v>1876.3999999999999</v>
      </c>
      <c r="E168" s="140">
        <v>4951.3</v>
      </c>
      <c r="F168" s="140">
        <v>6435.3000000000011</v>
      </c>
      <c r="G168" s="140">
        <v>2.2000000000000002</v>
      </c>
      <c r="H168" s="211">
        <v>22811.899999999998</v>
      </c>
      <c r="I168" s="140">
        <f t="shared" ref="I168:I173" si="27">SUM(B168:H168)</f>
        <v>459433.8</v>
      </c>
      <c r="J168" s="140">
        <v>209138</v>
      </c>
      <c r="K168" s="140">
        <v>16971.900000000001</v>
      </c>
      <c r="L168" s="140">
        <f t="shared" si="25"/>
        <v>226109.9</v>
      </c>
      <c r="M168" s="1168" t="s">
        <v>88</v>
      </c>
      <c r="N168" s="219">
        <v>23253.300000000003</v>
      </c>
      <c r="O168" s="219">
        <v>331462.59999999998</v>
      </c>
      <c r="P168" s="140">
        <v>88281.600000000006</v>
      </c>
      <c r="Q168" s="219">
        <v>5368.2</v>
      </c>
      <c r="R168" s="211">
        <f>9494.9+1423.4</f>
        <v>10918.3</v>
      </c>
      <c r="S168" s="219">
        <f t="shared" si="26"/>
        <v>1144827.7</v>
      </c>
      <c r="T168" s="803"/>
    </row>
    <row r="169" spans="1:20" s="220" customFormat="1" ht="15" customHeight="1">
      <c r="A169" s="87" t="s">
        <v>38</v>
      </c>
      <c r="B169" s="140">
        <v>267562.40000000002</v>
      </c>
      <c r="C169" s="219">
        <v>167615</v>
      </c>
      <c r="D169" s="140">
        <v>2634.1</v>
      </c>
      <c r="E169" s="140">
        <v>14379.7</v>
      </c>
      <c r="F169" s="140">
        <v>12223.899999999998</v>
      </c>
      <c r="G169" s="140">
        <v>157.1</v>
      </c>
      <c r="H169" s="211">
        <v>21755.599999999999</v>
      </c>
      <c r="I169" s="140">
        <f t="shared" si="27"/>
        <v>486327.8</v>
      </c>
      <c r="J169" s="140">
        <v>178385.1</v>
      </c>
      <c r="K169" s="140">
        <v>18679.400000000001</v>
      </c>
      <c r="L169" s="140">
        <f t="shared" si="25"/>
        <v>197064.5</v>
      </c>
      <c r="M169" s="1168" t="s">
        <v>88</v>
      </c>
      <c r="N169" s="219">
        <v>24941.399999999998</v>
      </c>
      <c r="O169" s="219">
        <v>327928.2</v>
      </c>
      <c r="P169" s="140">
        <v>88281.600000000006</v>
      </c>
      <c r="Q169" s="219">
        <v>5190.1000000000004</v>
      </c>
      <c r="R169" s="211">
        <f>8059.5+1432.4-15.6</f>
        <v>9476.2999999999993</v>
      </c>
      <c r="S169" s="219">
        <f t="shared" si="26"/>
        <v>1139209.9000000004</v>
      </c>
      <c r="T169" s="803"/>
    </row>
    <row r="170" spans="1:20" s="220" customFormat="1" ht="15" customHeight="1">
      <c r="A170" s="87" t="s">
        <v>602</v>
      </c>
      <c r="B170" s="140">
        <v>269369.5</v>
      </c>
      <c r="C170" s="219">
        <v>160086.1</v>
      </c>
      <c r="D170" s="140">
        <v>2462.2000000000003</v>
      </c>
      <c r="E170" s="140">
        <v>11933.800000000001</v>
      </c>
      <c r="F170" s="140">
        <v>11015.3</v>
      </c>
      <c r="G170" s="140">
        <v>89.2</v>
      </c>
      <c r="H170" s="211">
        <v>27316.7</v>
      </c>
      <c r="I170" s="140">
        <f t="shared" si="27"/>
        <v>482272.8</v>
      </c>
      <c r="J170" s="140">
        <v>173976.19999999998</v>
      </c>
      <c r="K170" s="140">
        <v>24947.8</v>
      </c>
      <c r="L170" s="140">
        <f t="shared" si="25"/>
        <v>198923.99999999997</v>
      </c>
      <c r="M170" s="1168" t="s">
        <v>88</v>
      </c>
      <c r="N170" s="219">
        <v>30930.7</v>
      </c>
      <c r="O170" s="219">
        <v>330300.90000000002</v>
      </c>
      <c r="P170" s="140">
        <v>88281.600000000006</v>
      </c>
      <c r="Q170" s="219">
        <v>828.7</v>
      </c>
      <c r="R170" s="211">
        <f>8116.5-9.7+1427.8</f>
        <v>9534.6</v>
      </c>
      <c r="S170" s="219">
        <f t="shared" si="26"/>
        <v>1141073.3</v>
      </c>
      <c r="T170" s="803"/>
    </row>
    <row r="171" spans="1:20" s="220" customFormat="1" ht="15" customHeight="1">
      <c r="A171" s="87" t="s">
        <v>43</v>
      </c>
      <c r="B171" s="140">
        <v>276838.09999999998</v>
      </c>
      <c r="C171" s="219">
        <v>152045.6</v>
      </c>
      <c r="D171" s="140">
        <v>1629.7999999999997</v>
      </c>
      <c r="E171" s="140">
        <v>11390.6</v>
      </c>
      <c r="F171" s="140">
        <v>13862.1</v>
      </c>
      <c r="G171" s="140">
        <v>29.3</v>
      </c>
      <c r="H171" s="211">
        <v>35984.9</v>
      </c>
      <c r="I171" s="140">
        <f t="shared" si="27"/>
        <v>491780.39999999991</v>
      </c>
      <c r="J171" s="140">
        <v>210015.59999999998</v>
      </c>
      <c r="K171" s="140">
        <v>33505.500000000007</v>
      </c>
      <c r="L171" s="140">
        <f t="shared" si="25"/>
        <v>243521.09999999998</v>
      </c>
      <c r="M171" s="1168" t="s">
        <v>88</v>
      </c>
      <c r="N171" s="219">
        <v>25659</v>
      </c>
      <c r="O171" s="219">
        <v>338545.9</v>
      </c>
      <c r="P171" s="140">
        <v>88281.600000000006</v>
      </c>
      <c r="Q171" s="219">
        <v>-1.9</v>
      </c>
      <c r="R171" s="211">
        <f>1477.6+13323.5-14.9</f>
        <v>14786.2</v>
      </c>
      <c r="S171" s="219">
        <f t="shared" si="26"/>
        <v>1202572.3</v>
      </c>
      <c r="T171" s="803"/>
    </row>
    <row r="172" spans="1:20" s="220" customFormat="1" ht="15" customHeight="1">
      <c r="A172" s="87" t="s">
        <v>44</v>
      </c>
      <c r="B172" s="140">
        <v>301775.5</v>
      </c>
      <c r="C172" s="219">
        <v>101969.20000000001</v>
      </c>
      <c r="D172" s="140">
        <v>2615.3999999999996</v>
      </c>
      <c r="E172" s="140">
        <v>12376</v>
      </c>
      <c r="F172" s="140">
        <v>17691.3</v>
      </c>
      <c r="G172" s="140">
        <v>11</v>
      </c>
      <c r="H172" s="211">
        <v>31187.100000000002</v>
      </c>
      <c r="I172" s="140">
        <f t="shared" si="27"/>
        <v>467625.5</v>
      </c>
      <c r="J172" s="140">
        <v>164709.90000000002</v>
      </c>
      <c r="K172" s="140">
        <v>41120.100000000006</v>
      </c>
      <c r="L172" s="140">
        <f t="shared" si="25"/>
        <v>205830.00000000003</v>
      </c>
      <c r="M172" s="1168" t="s">
        <v>88</v>
      </c>
      <c r="N172" s="219">
        <v>28009</v>
      </c>
      <c r="O172" s="219">
        <v>341304.6</v>
      </c>
      <c r="P172" s="140">
        <v>90657.7</v>
      </c>
      <c r="Q172" s="219">
        <v>-342.1</v>
      </c>
      <c r="R172" s="211">
        <f>1445.2+7960.3+132.5</f>
        <v>9538</v>
      </c>
      <c r="S172" s="219">
        <f t="shared" si="26"/>
        <v>1142622.7</v>
      </c>
      <c r="T172" s="803"/>
    </row>
    <row r="173" spans="1:20" s="220" customFormat="1" ht="15" customHeight="1">
      <c r="A173" s="87" t="s">
        <v>619</v>
      </c>
      <c r="B173" s="140">
        <v>304085.59999999998</v>
      </c>
      <c r="C173" s="219">
        <v>97125.9</v>
      </c>
      <c r="D173" s="140">
        <v>1957.6</v>
      </c>
      <c r="E173" s="140">
        <v>13864.5</v>
      </c>
      <c r="F173" s="140">
        <v>20166.2</v>
      </c>
      <c r="G173" s="140">
        <v>7.9</v>
      </c>
      <c r="H173" s="211">
        <v>30645</v>
      </c>
      <c r="I173" s="140">
        <f t="shared" si="27"/>
        <v>467852.7</v>
      </c>
      <c r="J173" s="140">
        <v>183201.80000000002</v>
      </c>
      <c r="K173" s="140">
        <v>31479.4</v>
      </c>
      <c r="L173" s="140">
        <f t="shared" si="25"/>
        <v>214681.2</v>
      </c>
      <c r="M173" s="1168" t="s">
        <v>88</v>
      </c>
      <c r="N173" s="219">
        <v>30132.1</v>
      </c>
      <c r="O173" s="219">
        <v>343809.9</v>
      </c>
      <c r="P173" s="140">
        <v>90496.5</v>
      </c>
      <c r="Q173" s="219">
        <v>-527.5</v>
      </c>
      <c r="R173" s="211">
        <f>7253.1-24.8+1452.5</f>
        <v>8680.7999999999993</v>
      </c>
      <c r="S173" s="219">
        <f t="shared" si="26"/>
        <v>1155125.7</v>
      </c>
      <c r="T173" s="803"/>
    </row>
    <row r="174" spans="1:20" s="220" customFormat="1" ht="15" customHeight="1">
      <c r="A174" s="87" t="s">
        <v>46</v>
      </c>
      <c r="B174" s="140">
        <v>307668.59999999998</v>
      </c>
      <c r="C174" s="219">
        <v>142342.39999999999</v>
      </c>
      <c r="D174" s="140">
        <v>1440.9</v>
      </c>
      <c r="E174" s="140">
        <v>5930</v>
      </c>
      <c r="F174" s="140">
        <v>19397.8</v>
      </c>
      <c r="G174" s="140">
        <v>16.2</v>
      </c>
      <c r="H174" s="211">
        <v>30509.1</v>
      </c>
      <c r="I174" s="140">
        <f>SUM(B174:H174)</f>
        <v>507305</v>
      </c>
      <c r="J174" s="140">
        <v>179805.90000000002</v>
      </c>
      <c r="K174" s="140">
        <v>23346.299999999996</v>
      </c>
      <c r="L174" s="140">
        <f t="shared" si="25"/>
        <v>203152.2</v>
      </c>
      <c r="M174" s="1168" t="s">
        <v>88</v>
      </c>
      <c r="N174" s="219">
        <v>31170.5</v>
      </c>
      <c r="O174" s="219">
        <v>343249.1</v>
      </c>
      <c r="P174" s="140">
        <v>90496.5</v>
      </c>
      <c r="Q174" s="219">
        <v>-3069.1</v>
      </c>
      <c r="R174" s="211">
        <f>8395.4+1472.9</f>
        <v>9868.2999999999993</v>
      </c>
      <c r="S174" s="219">
        <f t="shared" si="26"/>
        <v>1182172.4999999998</v>
      </c>
      <c r="T174" s="803"/>
    </row>
    <row r="175" spans="1:20" s="220" customFormat="1" ht="15" customHeight="1">
      <c r="A175" s="87" t="s">
        <v>47</v>
      </c>
      <c r="B175" s="140">
        <v>297683.09999999998</v>
      </c>
      <c r="C175" s="219">
        <v>156387.69999999998</v>
      </c>
      <c r="D175" s="140">
        <v>2490.3999999999996</v>
      </c>
      <c r="E175" s="140">
        <v>9305.2999999999993</v>
      </c>
      <c r="F175" s="140">
        <v>25793.7</v>
      </c>
      <c r="G175" s="140">
        <v>6.3</v>
      </c>
      <c r="H175" s="211">
        <v>31699.3</v>
      </c>
      <c r="I175" s="140">
        <f>SUM(B175:H175)</f>
        <v>523365.79999999993</v>
      </c>
      <c r="J175" s="140">
        <v>180754.30000000002</v>
      </c>
      <c r="K175" s="140">
        <v>23565.600000000002</v>
      </c>
      <c r="L175" s="140">
        <f t="shared" si="25"/>
        <v>204319.90000000002</v>
      </c>
      <c r="M175" s="1168" t="s">
        <v>88</v>
      </c>
      <c r="N175" s="219">
        <v>32252.799999999999</v>
      </c>
      <c r="O175" s="219">
        <v>332752.2</v>
      </c>
      <c r="P175" s="140">
        <v>91773</v>
      </c>
      <c r="Q175" s="219">
        <v>-3366.1</v>
      </c>
      <c r="R175" s="211">
        <f>1485.3+10173.2</f>
        <v>11658.5</v>
      </c>
      <c r="S175" s="219">
        <f t="shared" si="26"/>
        <v>1192756.0999999999</v>
      </c>
      <c r="T175" s="803"/>
    </row>
    <row r="176" spans="1:20" s="220" customFormat="1" ht="15" customHeight="1">
      <c r="A176" s="87" t="s">
        <v>48</v>
      </c>
      <c r="B176" s="140">
        <v>289035.90000000002</v>
      </c>
      <c r="C176" s="219">
        <v>161445.5</v>
      </c>
      <c r="D176" s="140">
        <v>1731.9</v>
      </c>
      <c r="E176" s="140">
        <v>8725.2999999999993</v>
      </c>
      <c r="F176" s="140">
        <v>19832.3</v>
      </c>
      <c r="G176" s="140">
        <v>0.7</v>
      </c>
      <c r="H176" s="211">
        <f>2097.6+31650.7</f>
        <v>33748.300000000003</v>
      </c>
      <c r="I176" s="140">
        <f>SUM(B176:H176)</f>
        <v>514519.9</v>
      </c>
      <c r="J176" s="140">
        <v>208945.8</v>
      </c>
      <c r="K176" s="140">
        <v>20303.7</v>
      </c>
      <c r="L176" s="140">
        <f t="shared" si="25"/>
        <v>229249.5</v>
      </c>
      <c r="M176" s="1168" t="s">
        <v>88</v>
      </c>
      <c r="N176" s="219">
        <v>16128.3</v>
      </c>
      <c r="O176" s="219">
        <v>338942.8</v>
      </c>
      <c r="P176" s="140">
        <v>94971.6</v>
      </c>
      <c r="Q176" s="219">
        <v>-1820.2</v>
      </c>
      <c r="R176" s="211">
        <f>17579.4+1513.9</f>
        <v>19093.300000000003</v>
      </c>
      <c r="S176" s="219">
        <f t="shared" si="26"/>
        <v>1211085.2000000002</v>
      </c>
      <c r="T176" s="821"/>
    </row>
    <row r="177" spans="1:20" s="220" customFormat="1" ht="15" customHeight="1">
      <c r="A177" s="87" t="s">
        <v>49</v>
      </c>
      <c r="B177" s="140">
        <v>290455.59999999998</v>
      </c>
      <c r="C177" s="219">
        <v>161605.9</v>
      </c>
      <c r="D177" s="140">
        <v>2342.6999999999998</v>
      </c>
      <c r="E177" s="140">
        <v>9104.7999999999993</v>
      </c>
      <c r="F177" s="140">
        <v>20719.8</v>
      </c>
      <c r="G177" s="140">
        <v>15.7</v>
      </c>
      <c r="H177" s="211">
        <f>1580.2+30565.1</f>
        <v>32145.3</v>
      </c>
      <c r="I177" s="140">
        <f>SUM(B177:H177)</f>
        <v>516389.8</v>
      </c>
      <c r="J177" s="140">
        <v>215045.8</v>
      </c>
      <c r="K177" s="140">
        <v>27672</v>
      </c>
      <c r="L177" s="140">
        <f t="shared" si="25"/>
        <v>242717.8</v>
      </c>
      <c r="M177" s="1168" t="s">
        <v>88</v>
      </c>
      <c r="N177" s="219">
        <v>15512</v>
      </c>
      <c r="O177" s="219">
        <v>336478.4</v>
      </c>
      <c r="P177" s="140">
        <v>94971.6</v>
      </c>
      <c r="Q177" s="219">
        <v>-3812.7</v>
      </c>
      <c r="R177" s="211">
        <f>21257.2+1663.4</f>
        <v>22920.600000000002</v>
      </c>
      <c r="S177" s="219">
        <f t="shared" si="26"/>
        <v>1225177.5000000002</v>
      </c>
      <c r="T177" s="821"/>
    </row>
    <row r="178" spans="1:20" s="220" customFormat="1" ht="15" customHeight="1">
      <c r="A178" s="87" t="s">
        <v>50</v>
      </c>
      <c r="B178" s="140">
        <v>308146.3</v>
      </c>
      <c r="C178" s="219">
        <v>221165.7</v>
      </c>
      <c r="D178" s="140">
        <v>2169.6</v>
      </c>
      <c r="E178" s="140">
        <v>2688.4</v>
      </c>
      <c r="F178" s="140">
        <v>18092.099999999999</v>
      </c>
      <c r="G178" s="140">
        <v>20</v>
      </c>
      <c r="H178" s="211">
        <v>28588.799999999999</v>
      </c>
      <c r="I178" s="140">
        <f>SUM(B178:H178)</f>
        <v>580870.9</v>
      </c>
      <c r="J178" s="140">
        <v>229049.10000000003</v>
      </c>
      <c r="K178" s="140">
        <v>29698.5</v>
      </c>
      <c r="L178" s="140">
        <f t="shared" si="25"/>
        <v>258747.60000000003</v>
      </c>
      <c r="M178" s="1168" t="s">
        <v>88</v>
      </c>
      <c r="N178" s="219">
        <v>17665.900000000001</v>
      </c>
      <c r="O178" s="219">
        <v>338480.6</v>
      </c>
      <c r="P178" s="140">
        <v>93599.2</v>
      </c>
      <c r="Q178" s="219">
        <v>-32439</v>
      </c>
      <c r="R178" s="211">
        <v>16842.400000000001</v>
      </c>
      <c r="S178" s="219">
        <f t="shared" si="26"/>
        <v>1273767.5999999999</v>
      </c>
      <c r="T178" s="821"/>
    </row>
    <row r="179" spans="1:20" s="220" customFormat="1" ht="15" customHeight="1">
      <c r="A179" s="87"/>
      <c r="B179" s="140"/>
      <c r="C179" s="219"/>
      <c r="D179" s="140"/>
      <c r="E179" s="140"/>
      <c r="F179" s="140"/>
      <c r="G179" s="140"/>
      <c r="H179" s="211"/>
      <c r="I179" s="140"/>
      <c r="J179" s="140"/>
      <c r="K179" s="140"/>
      <c r="L179" s="140"/>
      <c r="M179" s="1168"/>
      <c r="N179" s="219"/>
      <c r="O179" s="219"/>
      <c r="P179" s="140"/>
      <c r="Q179" s="219"/>
      <c r="R179" s="211"/>
      <c r="S179" s="219"/>
      <c r="T179" s="821"/>
    </row>
    <row r="180" spans="1:20" s="220" customFormat="1" ht="15" customHeight="1">
      <c r="A180" s="87" t="s">
        <v>671</v>
      </c>
      <c r="B180" s="140">
        <v>293218</v>
      </c>
      <c r="C180" s="219">
        <v>203592.7</v>
      </c>
      <c r="D180" s="140">
        <v>1738.8</v>
      </c>
      <c r="E180" s="140">
        <v>9511.6</v>
      </c>
      <c r="F180" s="140">
        <v>21108.400000000001</v>
      </c>
      <c r="G180" s="140">
        <v>10.4</v>
      </c>
      <c r="H180" s="211">
        <v>31212.600000000002</v>
      </c>
      <c r="I180" s="140">
        <f t="shared" ref="I180:I186" si="28">SUM(B180:H180)</f>
        <v>560392.5</v>
      </c>
      <c r="J180" s="140">
        <v>218313.5</v>
      </c>
      <c r="K180" s="140">
        <v>31606.1</v>
      </c>
      <c r="L180" s="140">
        <f t="shared" si="25"/>
        <v>249919.6</v>
      </c>
      <c r="M180" s="1168" t="s">
        <v>88</v>
      </c>
      <c r="N180" s="219">
        <v>25105.7</v>
      </c>
      <c r="O180" s="219">
        <v>340558</v>
      </c>
      <c r="P180" s="140">
        <v>96208</v>
      </c>
      <c r="Q180" s="219">
        <v>-35433.1</v>
      </c>
      <c r="R180" s="211">
        <v>35369.800000000003</v>
      </c>
      <c r="S180" s="219">
        <f t="shared" si="26"/>
        <v>1272120.4999999998</v>
      </c>
      <c r="T180" s="821"/>
    </row>
    <row r="181" spans="1:20" s="220" customFormat="1" ht="15" customHeight="1">
      <c r="A181" s="932" t="s">
        <v>263</v>
      </c>
      <c r="B181" s="140">
        <v>298489.90000000002</v>
      </c>
      <c r="C181" s="219">
        <v>188388</v>
      </c>
      <c r="D181" s="140">
        <v>3051.2</v>
      </c>
      <c r="E181" s="140">
        <v>9623.2000000000007</v>
      </c>
      <c r="F181" s="140">
        <v>12736.900000000001</v>
      </c>
      <c r="G181" s="140">
        <v>16.2</v>
      </c>
      <c r="H181" s="211">
        <v>32674.300000000003</v>
      </c>
      <c r="I181" s="140">
        <f t="shared" si="28"/>
        <v>544979.70000000007</v>
      </c>
      <c r="J181" s="140">
        <v>218866.3</v>
      </c>
      <c r="K181" s="140">
        <v>34747.900000000009</v>
      </c>
      <c r="L181" s="140">
        <f t="shared" si="25"/>
        <v>253614.2</v>
      </c>
      <c r="M181" s="1168" t="s">
        <v>88</v>
      </c>
      <c r="N181" s="219">
        <v>28298.5</v>
      </c>
      <c r="O181" s="219">
        <v>338999.5</v>
      </c>
      <c r="P181" s="140">
        <v>91888.8</v>
      </c>
      <c r="Q181" s="219">
        <v>-32614.799999999996</v>
      </c>
      <c r="R181" s="211">
        <v>45882.400000000001</v>
      </c>
      <c r="S181" s="219">
        <f t="shared" si="26"/>
        <v>1271048.3</v>
      </c>
      <c r="T181" s="821"/>
    </row>
    <row r="182" spans="1:20" s="140" customFormat="1" ht="15" customHeight="1">
      <c r="A182" s="932" t="s">
        <v>41</v>
      </c>
      <c r="B182" s="140">
        <v>302042.8</v>
      </c>
      <c r="C182" s="219">
        <v>151882.30000000002</v>
      </c>
      <c r="D182" s="140">
        <v>1222.4000000000001</v>
      </c>
      <c r="E182" s="140">
        <v>12465.900000000001</v>
      </c>
      <c r="F182" s="140">
        <v>18559.899999999998</v>
      </c>
      <c r="G182" s="140">
        <v>19.3</v>
      </c>
      <c r="H182" s="211">
        <v>32478.600000000002</v>
      </c>
      <c r="I182" s="140">
        <f t="shared" si="28"/>
        <v>518671.2</v>
      </c>
      <c r="J182" s="140">
        <v>218875.6</v>
      </c>
      <c r="K182" s="140">
        <v>34464.100000000006</v>
      </c>
      <c r="L182" s="140">
        <f t="shared" si="25"/>
        <v>253339.7</v>
      </c>
      <c r="M182" s="1168" t="s">
        <v>88</v>
      </c>
      <c r="N182" s="219">
        <v>25616.3</v>
      </c>
      <c r="O182" s="219">
        <v>334143.8</v>
      </c>
      <c r="P182" s="140">
        <v>94215.9</v>
      </c>
      <c r="Q182" s="219">
        <v>-30409.699999999997</v>
      </c>
      <c r="R182" s="211">
        <v>38915.300000000003</v>
      </c>
      <c r="S182" s="219">
        <f t="shared" si="26"/>
        <v>1234492.5</v>
      </c>
    </row>
    <row r="183" spans="1:20" s="133" customFormat="1" ht="15" customHeight="1">
      <c r="A183" s="932" t="s">
        <v>42</v>
      </c>
      <c r="B183" s="140">
        <v>300253.3</v>
      </c>
      <c r="C183" s="219">
        <v>200369.1</v>
      </c>
      <c r="D183" s="140">
        <v>1233.5</v>
      </c>
      <c r="E183" s="140">
        <v>11112.6</v>
      </c>
      <c r="F183" s="140">
        <v>14744.399999999998</v>
      </c>
      <c r="G183" s="140">
        <v>10.7</v>
      </c>
      <c r="H183" s="211">
        <v>34299.9</v>
      </c>
      <c r="I183" s="140">
        <f t="shared" si="28"/>
        <v>562023.5</v>
      </c>
      <c r="J183" s="140">
        <v>236621.9</v>
      </c>
      <c r="K183" s="140">
        <v>39005</v>
      </c>
      <c r="L183" s="140">
        <f t="shared" si="25"/>
        <v>275626.90000000002</v>
      </c>
      <c r="M183" s="1168" t="s">
        <v>88</v>
      </c>
      <c r="N183" s="219">
        <v>26193</v>
      </c>
      <c r="O183" s="219">
        <v>330829.40000000002</v>
      </c>
      <c r="P183" s="140">
        <v>91604.1</v>
      </c>
      <c r="Q183" s="219">
        <v>-29071.899999999998</v>
      </c>
      <c r="R183" s="211">
        <v>42427.1</v>
      </c>
      <c r="S183" s="219">
        <f t="shared" si="26"/>
        <v>1299632.1000000003</v>
      </c>
    </row>
    <row r="184" spans="1:20" s="133" customFormat="1" ht="15" customHeight="1">
      <c r="A184" s="932" t="s">
        <v>43</v>
      </c>
      <c r="B184" s="140">
        <v>305467.7</v>
      </c>
      <c r="C184" s="219">
        <v>185292.6</v>
      </c>
      <c r="D184" s="140">
        <v>2034.9</v>
      </c>
      <c r="E184" s="140">
        <v>4427.9000000000005</v>
      </c>
      <c r="F184" s="140">
        <v>12533.9</v>
      </c>
      <c r="G184" s="140">
        <v>24.9</v>
      </c>
      <c r="H184" s="211">
        <v>29000.7</v>
      </c>
      <c r="I184" s="140">
        <f t="shared" si="28"/>
        <v>538782.60000000009</v>
      </c>
      <c r="J184" s="140">
        <v>236432.7</v>
      </c>
      <c r="K184" s="140">
        <v>40444.9</v>
      </c>
      <c r="L184" s="140">
        <f t="shared" si="25"/>
        <v>276877.60000000003</v>
      </c>
      <c r="M184" s="1168" t="s">
        <v>88</v>
      </c>
      <c r="N184" s="219">
        <v>22830.3</v>
      </c>
      <c r="O184" s="219">
        <v>325789.2</v>
      </c>
      <c r="P184" s="140">
        <v>94212.9</v>
      </c>
      <c r="Q184" s="219">
        <v>-22006.6</v>
      </c>
      <c r="R184" s="211">
        <v>40454</v>
      </c>
      <c r="S184" s="219">
        <f t="shared" si="26"/>
        <v>1276940</v>
      </c>
    </row>
    <row r="185" spans="1:20" s="133" customFormat="1" ht="15" customHeight="1">
      <c r="A185" s="932" t="s">
        <v>44</v>
      </c>
      <c r="B185" s="140">
        <v>334282.7</v>
      </c>
      <c r="C185" s="219">
        <v>161888.4</v>
      </c>
      <c r="D185" s="140">
        <v>1303.3</v>
      </c>
      <c r="E185" s="140">
        <v>3460.1000000000004</v>
      </c>
      <c r="F185" s="140">
        <v>18483.5</v>
      </c>
      <c r="G185" s="140">
        <v>27.6</v>
      </c>
      <c r="H185" s="211">
        <v>29101.3</v>
      </c>
      <c r="I185" s="140">
        <f t="shared" si="28"/>
        <v>548546.89999999991</v>
      </c>
      <c r="J185" s="140">
        <v>337416.9</v>
      </c>
      <c r="K185" s="140">
        <v>34568.6</v>
      </c>
      <c r="L185" s="140">
        <f t="shared" si="25"/>
        <v>371985.5</v>
      </c>
      <c r="M185" s="1168" t="s">
        <v>88</v>
      </c>
      <c r="N185" s="219">
        <v>18656.7</v>
      </c>
      <c r="O185" s="219">
        <v>328843.90000000002</v>
      </c>
      <c r="P185" s="140">
        <v>91575.7</v>
      </c>
      <c r="Q185" s="219">
        <v>-16742.499999999996</v>
      </c>
      <c r="R185" s="211">
        <v>47971</v>
      </c>
      <c r="S185" s="219">
        <f t="shared" si="26"/>
        <v>1390837.2</v>
      </c>
    </row>
    <row r="186" spans="1:20" s="133" customFormat="1" ht="15" customHeight="1">
      <c r="A186" s="932" t="s">
        <v>619</v>
      </c>
      <c r="B186" s="140">
        <v>333488.59999999998</v>
      </c>
      <c r="C186" s="219">
        <v>188607</v>
      </c>
      <c r="D186" s="140">
        <v>1366.2</v>
      </c>
      <c r="E186" s="140">
        <v>3510.5</v>
      </c>
      <c r="F186" s="140">
        <v>14317</v>
      </c>
      <c r="G186" s="140">
        <v>11.1</v>
      </c>
      <c r="H186" s="211">
        <v>36138.300000000003</v>
      </c>
      <c r="I186" s="140">
        <f t="shared" si="28"/>
        <v>577438.70000000007</v>
      </c>
      <c r="J186" s="140">
        <v>293820.2</v>
      </c>
      <c r="K186" s="140">
        <v>27433.1</v>
      </c>
      <c r="L186" s="140">
        <f t="shared" si="25"/>
        <v>321253.3</v>
      </c>
      <c r="M186" s="1168" t="s">
        <v>88</v>
      </c>
      <c r="N186" s="219">
        <v>19369.3</v>
      </c>
      <c r="O186" s="219">
        <v>317759.3</v>
      </c>
      <c r="P186" s="140">
        <v>94213</v>
      </c>
      <c r="Q186" s="219">
        <v>-17726.699999999997</v>
      </c>
      <c r="R186" s="211">
        <v>36351.200000000004</v>
      </c>
      <c r="S186" s="219">
        <f t="shared" si="26"/>
        <v>1348658.1</v>
      </c>
    </row>
    <row r="187" spans="1:20" s="214" customFormat="1">
      <c r="A187" s="760"/>
      <c r="B187" s="223"/>
      <c r="C187" s="219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</row>
    <row r="188" spans="1:20" ht="21.75" customHeight="1">
      <c r="A188" s="782" t="s">
        <v>90</v>
      </c>
      <c r="B188" s="778"/>
      <c r="C188" s="778"/>
      <c r="D188" s="778"/>
      <c r="E188" s="778"/>
      <c r="F188" s="778"/>
      <c r="G188" s="779"/>
      <c r="H188" s="779"/>
      <c r="I188" s="778"/>
      <c r="J188" s="779"/>
      <c r="K188" s="778"/>
      <c r="L188" s="778"/>
      <c r="M188" s="778"/>
      <c r="N188" s="778"/>
      <c r="O188" s="778"/>
      <c r="P188" s="780"/>
      <c r="Q188" s="780"/>
      <c r="R188" s="778"/>
      <c r="S188" s="781"/>
    </row>
    <row r="189" spans="1:20">
      <c r="A189" s="214"/>
      <c r="B189" s="182"/>
      <c r="C189" s="182"/>
      <c r="D189" s="182"/>
      <c r="E189" s="182"/>
      <c r="F189" s="182"/>
      <c r="G189" s="227"/>
      <c r="H189" s="227"/>
      <c r="I189" s="182"/>
      <c r="J189" s="227"/>
      <c r="K189" s="182"/>
      <c r="L189" s="182"/>
      <c r="M189" s="182"/>
      <c r="N189" s="182"/>
      <c r="O189" s="182"/>
      <c r="P189" s="228"/>
      <c r="R189" s="182"/>
      <c r="S189" s="182"/>
    </row>
    <row r="190" spans="1:20">
      <c r="B190" s="182"/>
    </row>
  </sheetData>
  <mergeCells count="4">
    <mergeCell ref="B6:I6"/>
    <mergeCell ref="J6:L6"/>
    <mergeCell ref="B2:R2"/>
    <mergeCell ref="B3:R3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showGridLines="0" view="pageBreakPreview" topLeftCell="A164" zoomScale="80" zoomScaleNormal="100" zoomScaleSheetLayoutView="80" workbookViewId="0">
      <selection activeCell="R198" sqref="R198"/>
    </sheetView>
  </sheetViews>
  <sheetFormatPr defaultColWidth="11.5546875" defaultRowHeight="12.75"/>
  <cols>
    <col min="1" max="1" width="19.6640625" style="69" customWidth="1"/>
    <col min="2" max="2" width="8.77734375" style="69" customWidth="1"/>
    <col min="3" max="3" width="10.44140625" style="69" customWidth="1"/>
    <col min="4" max="4" width="12.77734375" style="69" hidden="1" customWidth="1"/>
    <col min="5" max="5" width="9.77734375" style="69" customWidth="1"/>
    <col min="6" max="6" width="10.77734375" style="69" hidden="1" customWidth="1"/>
    <col min="7" max="7" width="10.77734375" style="69" customWidth="1"/>
    <col min="8" max="8" width="7.77734375" style="69" hidden="1" customWidth="1"/>
    <col min="9" max="9" width="10.77734375" style="69" customWidth="1"/>
    <col min="10" max="10" width="11.88671875" style="69" customWidth="1"/>
    <col min="11" max="12" width="10.77734375" style="69" hidden="1" customWidth="1"/>
    <col min="13" max="13" width="10.77734375" style="69" customWidth="1"/>
    <col min="14" max="15" width="12.5546875" style="69" customWidth="1"/>
    <col min="16" max="16" width="14.109375" style="69" customWidth="1"/>
    <col min="17" max="22" width="10.77734375" style="69" customWidth="1"/>
    <col min="23" max="23" width="23" style="69" customWidth="1"/>
    <col min="24" max="16384" width="11.5546875" style="69"/>
  </cols>
  <sheetData>
    <row r="1" spans="1:23">
      <c r="A1" s="95"/>
      <c r="B1" s="232"/>
      <c r="C1" s="233"/>
      <c r="D1" s="96"/>
      <c r="E1" s="96"/>
      <c r="F1" s="233" t="s">
        <v>152</v>
      </c>
      <c r="G1" s="233"/>
      <c r="H1" s="96"/>
      <c r="I1" s="96"/>
      <c r="J1" s="96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5"/>
    </row>
    <row r="2" spans="1:23" ht="15.75" customHeight="1">
      <c r="A2" s="236" t="s">
        <v>33</v>
      </c>
      <c r="B2" s="1191" t="s">
        <v>325</v>
      </c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1191"/>
      <c r="P2" s="1191"/>
      <c r="Q2" s="1191"/>
      <c r="R2" s="1191"/>
      <c r="S2" s="1191"/>
      <c r="T2" s="1191"/>
      <c r="U2" s="237" t="s">
        <v>151</v>
      </c>
    </row>
    <row r="3" spans="1:23">
      <c r="A3" s="102"/>
      <c r="B3" s="1208" t="s">
        <v>113</v>
      </c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  <c r="O3" s="1208"/>
      <c r="P3" s="1208"/>
      <c r="Q3" s="1208"/>
      <c r="R3" s="1208"/>
      <c r="S3" s="1208"/>
      <c r="T3" s="1208"/>
      <c r="U3" s="238"/>
    </row>
    <row r="4" spans="1:23">
      <c r="A4" s="70"/>
      <c r="B4" s="80"/>
      <c r="C4" s="80"/>
      <c r="D4" s="71"/>
      <c r="E4" s="71"/>
      <c r="F4" s="71"/>
      <c r="G4" s="71"/>
      <c r="H4" s="71"/>
      <c r="I4" s="82"/>
      <c r="J4" s="80"/>
      <c r="K4" s="80"/>
      <c r="L4" s="71"/>
      <c r="M4" s="71"/>
      <c r="N4" s="80"/>
      <c r="O4" s="71"/>
      <c r="P4" s="239"/>
      <c r="Q4" s="70"/>
      <c r="R4" s="70"/>
      <c r="S4" s="80"/>
      <c r="T4" s="71"/>
      <c r="U4" s="80"/>
    </row>
    <row r="5" spans="1:23" ht="15.75" customHeight="1">
      <c r="A5" s="94" t="s">
        <v>165</v>
      </c>
      <c r="B5" s="240" t="s">
        <v>166</v>
      </c>
      <c r="C5" s="241" t="s">
        <v>92</v>
      </c>
      <c r="D5" s="73"/>
      <c r="E5" s="242" t="s">
        <v>169</v>
      </c>
      <c r="F5" s="243"/>
      <c r="G5" s="243"/>
      <c r="H5" s="243"/>
      <c r="I5" s="244"/>
      <c r="J5" s="245" t="s">
        <v>103</v>
      </c>
      <c r="K5" s="245" t="s">
        <v>153</v>
      </c>
      <c r="L5" s="245" t="s">
        <v>153</v>
      </c>
      <c r="M5" s="107" t="s">
        <v>172</v>
      </c>
      <c r="N5" s="115" t="s">
        <v>103</v>
      </c>
      <c r="O5" s="115" t="s">
        <v>103</v>
      </c>
      <c r="P5" s="245" t="s">
        <v>103</v>
      </c>
      <c r="Q5" s="246" t="s">
        <v>103</v>
      </c>
      <c r="R5" s="245" t="s">
        <v>103</v>
      </c>
      <c r="S5" s="115"/>
      <c r="T5" s="107" t="s">
        <v>111</v>
      </c>
      <c r="U5" s="247" t="s">
        <v>74</v>
      </c>
    </row>
    <row r="6" spans="1:23">
      <c r="A6" s="94"/>
      <c r="B6" s="80"/>
      <c r="C6" s="241" t="s">
        <v>167</v>
      </c>
      <c r="D6" s="76"/>
      <c r="E6" s="76"/>
      <c r="F6" s="76"/>
      <c r="G6" s="76"/>
      <c r="H6" s="76"/>
      <c r="I6" s="79"/>
      <c r="J6" s="245" t="s">
        <v>171</v>
      </c>
      <c r="K6" s="245" t="s">
        <v>154</v>
      </c>
      <c r="L6" s="245" t="s">
        <v>154</v>
      </c>
      <c r="M6" s="107" t="s">
        <v>104</v>
      </c>
      <c r="N6" s="115" t="s">
        <v>174</v>
      </c>
      <c r="O6" s="115" t="s">
        <v>104</v>
      </c>
      <c r="P6" s="245" t="s">
        <v>176</v>
      </c>
      <c r="Q6" s="246" t="s">
        <v>177</v>
      </c>
      <c r="R6" s="245" t="s">
        <v>171</v>
      </c>
      <c r="S6" s="115" t="s">
        <v>138</v>
      </c>
      <c r="T6" s="107" t="s">
        <v>28</v>
      </c>
      <c r="U6" s="247" t="s">
        <v>33</v>
      </c>
    </row>
    <row r="7" spans="1:23">
      <c r="A7" s="94"/>
      <c r="B7" s="248"/>
      <c r="C7" s="106" t="s">
        <v>28</v>
      </c>
      <c r="D7" s="100"/>
      <c r="E7" s="249"/>
      <c r="F7" s="109" t="s">
        <v>155</v>
      </c>
      <c r="G7" s="109"/>
      <c r="H7" s="250" t="s">
        <v>1</v>
      </c>
      <c r="I7" s="109"/>
      <c r="J7" s="245" t="s">
        <v>143</v>
      </c>
      <c r="K7" s="245" t="s">
        <v>156</v>
      </c>
      <c r="L7" s="245" t="s">
        <v>156</v>
      </c>
      <c r="M7" s="86" t="s">
        <v>173</v>
      </c>
      <c r="N7" s="115" t="s">
        <v>141</v>
      </c>
      <c r="O7" s="115" t="s">
        <v>118</v>
      </c>
      <c r="P7" s="245" t="s">
        <v>110</v>
      </c>
      <c r="Q7" s="246" t="s">
        <v>106</v>
      </c>
      <c r="R7" s="245" t="s">
        <v>143</v>
      </c>
      <c r="S7" s="113"/>
      <c r="T7" s="71"/>
      <c r="U7" s="80"/>
      <c r="V7" s="251"/>
    </row>
    <row r="8" spans="1:23">
      <c r="A8" s="94"/>
      <c r="B8" s="80"/>
      <c r="C8" s="80"/>
      <c r="D8" s="115" t="s">
        <v>157</v>
      </c>
      <c r="E8" s="241" t="s">
        <v>145</v>
      </c>
      <c r="F8" s="115" t="s">
        <v>158</v>
      </c>
      <c r="G8" s="241" t="s">
        <v>145</v>
      </c>
      <c r="H8" s="86" t="s">
        <v>159</v>
      </c>
      <c r="I8" s="115" t="s">
        <v>9</v>
      </c>
      <c r="J8" s="245"/>
      <c r="K8" s="245" t="s">
        <v>160</v>
      </c>
      <c r="L8" s="245" t="s">
        <v>160</v>
      </c>
      <c r="M8" s="86"/>
      <c r="N8" s="115" t="s">
        <v>175</v>
      </c>
      <c r="O8" s="115"/>
      <c r="P8" s="245" t="s">
        <v>109</v>
      </c>
      <c r="Q8" s="246"/>
      <c r="R8" s="245"/>
      <c r="S8" s="113"/>
      <c r="T8" s="71"/>
      <c r="U8" s="80"/>
      <c r="V8" s="251"/>
    </row>
    <row r="9" spans="1:23">
      <c r="A9" s="252" t="s">
        <v>34</v>
      </c>
      <c r="B9" s="248"/>
      <c r="C9" s="248"/>
      <c r="D9" s="115" t="s">
        <v>161</v>
      </c>
      <c r="E9" s="106" t="s">
        <v>168</v>
      </c>
      <c r="F9" s="115" t="s">
        <v>162</v>
      </c>
      <c r="G9" s="106" t="s">
        <v>170</v>
      </c>
      <c r="H9" s="107" t="s">
        <v>163</v>
      </c>
      <c r="I9" s="80"/>
      <c r="J9" s="245"/>
      <c r="K9" s="245" t="s">
        <v>164</v>
      </c>
      <c r="L9" s="245" t="s">
        <v>164</v>
      </c>
      <c r="M9" s="86"/>
      <c r="N9" s="80"/>
      <c r="O9" s="71"/>
      <c r="P9" s="245"/>
      <c r="Q9" s="70"/>
      <c r="R9" s="245"/>
      <c r="S9" s="80"/>
      <c r="T9" s="71"/>
      <c r="U9" s="80"/>
    </row>
    <row r="10" spans="1:23">
      <c r="A10" s="75"/>
      <c r="B10" s="253"/>
      <c r="C10" s="253"/>
      <c r="D10" s="253"/>
      <c r="E10" s="253"/>
      <c r="F10" s="253"/>
      <c r="G10" s="253"/>
      <c r="H10" s="76"/>
      <c r="I10" s="253"/>
      <c r="J10" s="253"/>
      <c r="K10" s="253"/>
      <c r="L10" s="76"/>
      <c r="M10" s="76"/>
      <c r="N10" s="253"/>
      <c r="O10" s="76"/>
      <c r="P10" s="253"/>
      <c r="Q10" s="75"/>
      <c r="R10" s="75"/>
      <c r="S10" s="253"/>
      <c r="T10" s="76"/>
      <c r="U10" s="253"/>
      <c r="V10" s="254"/>
    </row>
    <row r="11" spans="1:23">
      <c r="A11" s="255"/>
      <c r="B11" s="98"/>
      <c r="C11" s="100"/>
      <c r="D11" s="100"/>
      <c r="E11" s="256"/>
      <c r="F11" s="95"/>
      <c r="G11" s="100"/>
      <c r="H11" s="96"/>
      <c r="I11" s="100"/>
      <c r="J11" s="96"/>
      <c r="K11" s="100"/>
      <c r="L11" s="100"/>
      <c r="M11" s="100"/>
      <c r="N11" s="100"/>
      <c r="O11" s="100"/>
      <c r="P11" s="100"/>
      <c r="Q11" s="96"/>
      <c r="R11" s="100"/>
      <c r="S11" s="100"/>
      <c r="T11" s="98"/>
      <c r="U11" s="100"/>
      <c r="V11" s="251"/>
    </row>
    <row r="12" spans="1:23" hidden="1">
      <c r="A12" s="127" t="s">
        <v>4</v>
      </c>
      <c r="B12" s="952">
        <v>38257.899999999994</v>
      </c>
      <c r="C12" s="954">
        <v>125768.90000000001</v>
      </c>
      <c r="D12" s="954" t="s">
        <v>88</v>
      </c>
      <c r="E12" s="952">
        <v>51000</v>
      </c>
      <c r="F12" s="955"/>
      <c r="G12" s="954">
        <v>7561.0000000000009</v>
      </c>
      <c r="H12" s="953" t="s">
        <v>88</v>
      </c>
      <c r="I12" s="956">
        <v>58561</v>
      </c>
      <c r="J12" s="953">
        <v>1707.3000000000002</v>
      </c>
      <c r="K12" s="954" t="s">
        <v>88</v>
      </c>
      <c r="L12" s="954" t="s">
        <v>88</v>
      </c>
      <c r="M12" s="954">
        <v>12000</v>
      </c>
      <c r="N12" s="951">
        <v>143.80000000000001</v>
      </c>
      <c r="O12" s="951"/>
      <c r="P12" s="954">
        <v>21902.199999999997</v>
      </c>
      <c r="Q12" s="953">
        <v>245161.1</v>
      </c>
      <c r="R12" s="954">
        <v>120.8</v>
      </c>
      <c r="S12" s="954">
        <v>98.2</v>
      </c>
      <c r="T12" s="952">
        <v>58408.4</v>
      </c>
      <c r="U12" s="956">
        <v>562129.6</v>
      </c>
    </row>
    <row r="13" spans="1:23" hidden="1">
      <c r="A13" s="127" t="s">
        <v>5</v>
      </c>
      <c r="B13" s="952">
        <v>68591.900000000009</v>
      </c>
      <c r="C13" s="954">
        <v>155769.00000000003</v>
      </c>
      <c r="D13" s="954" t="s">
        <v>88</v>
      </c>
      <c r="E13" s="952">
        <v>58200</v>
      </c>
      <c r="F13" s="955"/>
      <c r="G13" s="954">
        <v>7161.0000000000009</v>
      </c>
      <c r="H13" s="953" t="s">
        <v>88</v>
      </c>
      <c r="I13" s="956">
        <v>65361</v>
      </c>
      <c r="J13" s="953">
        <v>757.4</v>
      </c>
      <c r="K13" s="954" t="s">
        <v>88</v>
      </c>
      <c r="L13" s="954" t="s">
        <v>88</v>
      </c>
      <c r="M13" s="954">
        <v>10000</v>
      </c>
      <c r="N13" s="951">
        <v>143.80000000000001</v>
      </c>
      <c r="O13" s="951"/>
      <c r="P13" s="954">
        <v>8420.7000000000007</v>
      </c>
      <c r="Q13" s="953">
        <v>303472.59999999998</v>
      </c>
      <c r="R13" s="954">
        <v>497.1</v>
      </c>
      <c r="S13" s="954">
        <v>2391.6999999999998</v>
      </c>
      <c r="T13" s="952">
        <v>73905.5</v>
      </c>
      <c r="U13" s="956">
        <v>689310.7</v>
      </c>
    </row>
    <row r="14" spans="1:23" hidden="1">
      <c r="A14" s="127" t="s">
        <v>7</v>
      </c>
      <c r="B14" s="952">
        <v>64325.80000000001</v>
      </c>
      <c r="C14" s="954">
        <v>162923</v>
      </c>
      <c r="D14" s="954" t="s">
        <v>88</v>
      </c>
      <c r="E14" s="952">
        <v>92120.1</v>
      </c>
      <c r="F14" s="955"/>
      <c r="G14" s="954">
        <v>16984.399999999998</v>
      </c>
      <c r="H14" s="953" t="s">
        <v>88</v>
      </c>
      <c r="I14" s="956">
        <v>109104.5</v>
      </c>
      <c r="J14" s="953">
        <v>278.5</v>
      </c>
      <c r="K14" s="954" t="s">
        <v>88</v>
      </c>
      <c r="L14" s="954" t="s">
        <v>88</v>
      </c>
      <c r="M14" s="954">
        <v>6000</v>
      </c>
      <c r="N14" s="951">
        <v>143.80000000000001</v>
      </c>
      <c r="O14" s="954" t="s">
        <v>88</v>
      </c>
      <c r="P14" s="954">
        <v>8662.2000000000007</v>
      </c>
      <c r="Q14" s="953">
        <v>394556.39999999997</v>
      </c>
      <c r="R14" s="954">
        <v>599.4</v>
      </c>
      <c r="S14" s="954">
        <v>2295.6</v>
      </c>
      <c r="T14" s="952">
        <v>91657.7</v>
      </c>
      <c r="U14" s="956">
        <v>840546.89999999991</v>
      </c>
    </row>
    <row r="15" spans="1:23" hidden="1">
      <c r="A15" s="127" t="s">
        <v>8</v>
      </c>
      <c r="B15" s="957">
        <v>42442.400000000001</v>
      </c>
      <c r="C15" s="959">
        <v>173267.6</v>
      </c>
      <c r="D15" s="959" t="s">
        <v>88</v>
      </c>
      <c r="E15" s="957">
        <v>67500</v>
      </c>
      <c r="F15" s="960"/>
      <c r="G15" s="959">
        <v>16984.399999999998</v>
      </c>
      <c r="H15" s="958" t="s">
        <v>88</v>
      </c>
      <c r="I15" s="961">
        <v>84484.4</v>
      </c>
      <c r="J15" s="958">
        <v>703.9</v>
      </c>
      <c r="K15" s="959" t="s">
        <v>88</v>
      </c>
      <c r="L15" s="959"/>
      <c r="M15" s="962" t="s">
        <v>88</v>
      </c>
      <c r="N15" s="963">
        <v>149.60000000000002</v>
      </c>
      <c r="O15" s="954" t="s">
        <v>88</v>
      </c>
      <c r="P15" s="959">
        <v>3989.9000000000005</v>
      </c>
      <c r="Q15" s="958">
        <v>535251.20000000007</v>
      </c>
      <c r="R15" s="959">
        <v>1021.9</v>
      </c>
      <c r="S15" s="959">
        <v>1772.2</v>
      </c>
      <c r="T15" s="957">
        <v>93665.1</v>
      </c>
      <c r="U15" s="956">
        <v>936748.20000000007</v>
      </c>
      <c r="V15" s="264"/>
      <c r="W15" s="71"/>
    </row>
    <row r="16" spans="1:23" hidden="1">
      <c r="A16" s="127" t="s">
        <v>10</v>
      </c>
      <c r="B16" s="957">
        <v>70772.399999999994</v>
      </c>
      <c r="C16" s="959">
        <v>192680.5</v>
      </c>
      <c r="D16" s="959"/>
      <c r="E16" s="957">
        <v>40889.1</v>
      </c>
      <c r="F16" s="960"/>
      <c r="G16" s="959">
        <v>8135.2000000000007</v>
      </c>
      <c r="H16" s="958"/>
      <c r="I16" s="961">
        <v>49024.3</v>
      </c>
      <c r="J16" s="958">
        <v>2705.2</v>
      </c>
      <c r="K16" s="959"/>
      <c r="L16" s="959"/>
      <c r="M16" s="959">
        <v>6800</v>
      </c>
      <c r="N16" s="963">
        <v>143.80000000000001</v>
      </c>
      <c r="O16" s="954" t="s">
        <v>88</v>
      </c>
      <c r="P16" s="959">
        <v>6830.7999999999993</v>
      </c>
      <c r="Q16" s="958">
        <v>607741.69999999995</v>
      </c>
      <c r="R16" s="959">
        <v>1057.8999999999999</v>
      </c>
      <c r="S16" s="959">
        <v>2595.5</v>
      </c>
      <c r="T16" s="957">
        <v>104332</v>
      </c>
      <c r="U16" s="956">
        <v>1044684.1</v>
      </c>
      <c r="V16" s="264"/>
      <c r="W16" s="71"/>
    </row>
    <row r="17" spans="1:23">
      <c r="A17" s="265" t="s">
        <v>11</v>
      </c>
      <c r="B17" s="952">
        <v>107189</v>
      </c>
      <c r="C17" s="954">
        <v>201411.19999999998</v>
      </c>
      <c r="D17" s="954"/>
      <c r="E17" s="952">
        <v>77019.900000000009</v>
      </c>
      <c r="F17" s="955"/>
      <c r="G17" s="954">
        <v>32000</v>
      </c>
      <c r="H17" s="953"/>
      <c r="I17" s="956">
        <v>109019.90000000001</v>
      </c>
      <c r="J17" s="953">
        <v>539.1</v>
      </c>
      <c r="K17" s="954"/>
      <c r="L17" s="954"/>
      <c r="M17" s="962" t="s">
        <v>88</v>
      </c>
      <c r="N17" s="951">
        <v>143.80000000000001</v>
      </c>
      <c r="O17" s="954" t="s">
        <v>88</v>
      </c>
      <c r="P17" s="954">
        <v>8510.4000000000015</v>
      </c>
      <c r="Q17" s="953">
        <v>645360.89999999979</v>
      </c>
      <c r="R17" s="954">
        <v>2469.1999999999998</v>
      </c>
      <c r="S17" s="954">
        <v>6264.2000000000007</v>
      </c>
      <c r="T17" s="952">
        <v>137109.09999999998</v>
      </c>
      <c r="U17" s="956">
        <v>1218016.7999999998</v>
      </c>
      <c r="V17" s="264"/>
      <c r="W17" s="71"/>
    </row>
    <row r="18" spans="1:23">
      <c r="A18" s="265" t="s">
        <v>13</v>
      </c>
      <c r="B18" s="957">
        <v>146489.79999999999</v>
      </c>
      <c r="C18" s="959">
        <v>199601.19999999998</v>
      </c>
      <c r="D18" s="959"/>
      <c r="E18" s="957">
        <v>87718.9</v>
      </c>
      <c r="F18" s="960"/>
      <c r="G18" s="959">
        <v>59983.8</v>
      </c>
      <c r="H18" s="958"/>
      <c r="I18" s="961">
        <v>147702.70000000001</v>
      </c>
      <c r="J18" s="958">
        <v>34633.199999999997</v>
      </c>
      <c r="K18" s="959"/>
      <c r="L18" s="959"/>
      <c r="M18" s="962" t="s">
        <v>88</v>
      </c>
      <c r="N18" s="963">
        <v>143.80000000000001</v>
      </c>
      <c r="O18" s="959" t="s">
        <v>88</v>
      </c>
      <c r="P18" s="963">
        <v>10820.5</v>
      </c>
      <c r="Q18" s="958">
        <v>702640.60000000009</v>
      </c>
      <c r="R18" s="959">
        <v>3449.3</v>
      </c>
      <c r="S18" s="959">
        <v>12380.1</v>
      </c>
      <c r="T18" s="957">
        <v>142777.19999999998</v>
      </c>
      <c r="U18" s="961">
        <v>1400638.4000000004</v>
      </c>
      <c r="W18" s="71"/>
    </row>
    <row r="19" spans="1:23">
      <c r="A19" s="265" t="s">
        <v>14</v>
      </c>
      <c r="B19" s="952">
        <v>109488.4</v>
      </c>
      <c r="C19" s="954">
        <v>207089</v>
      </c>
      <c r="D19" s="954"/>
      <c r="E19" s="952">
        <v>174940.3</v>
      </c>
      <c r="F19" s="955"/>
      <c r="G19" s="954">
        <v>79868.899999999994</v>
      </c>
      <c r="H19" s="953"/>
      <c r="I19" s="956">
        <v>254809.19999999998</v>
      </c>
      <c r="J19" s="953">
        <v>35319.300000000003</v>
      </c>
      <c r="K19" s="954"/>
      <c r="L19" s="954"/>
      <c r="M19" s="962" t="s">
        <v>88</v>
      </c>
      <c r="N19" s="951">
        <v>143.9</v>
      </c>
      <c r="O19" s="954">
        <v>15884.7</v>
      </c>
      <c r="P19" s="951">
        <v>6512.1</v>
      </c>
      <c r="Q19" s="953">
        <v>673798.99999999988</v>
      </c>
      <c r="R19" s="954">
        <v>27.1</v>
      </c>
      <c r="S19" s="954" t="s">
        <v>88</v>
      </c>
      <c r="T19" s="952">
        <v>152507.69999999998</v>
      </c>
      <c r="U19" s="956">
        <v>1455580.4</v>
      </c>
      <c r="W19" s="71"/>
    </row>
    <row r="20" spans="1:23">
      <c r="A20" s="265" t="s">
        <v>15</v>
      </c>
      <c r="B20" s="952">
        <v>168106.2</v>
      </c>
      <c r="C20" s="954">
        <v>125486.1</v>
      </c>
      <c r="D20" s="954"/>
      <c r="E20" s="952">
        <v>314364.2</v>
      </c>
      <c r="F20" s="955"/>
      <c r="G20" s="954">
        <v>123715.4</v>
      </c>
      <c r="H20" s="953"/>
      <c r="I20" s="956">
        <v>438079.6</v>
      </c>
      <c r="J20" s="953">
        <v>22418.9</v>
      </c>
      <c r="K20" s="954"/>
      <c r="L20" s="954"/>
      <c r="M20" s="962" t="s">
        <v>88</v>
      </c>
      <c r="N20" s="951">
        <v>143.9</v>
      </c>
      <c r="O20" s="954">
        <v>13764.4</v>
      </c>
      <c r="P20" s="951">
        <v>7153.4</v>
      </c>
      <c r="Q20" s="953">
        <v>681245.39999999991</v>
      </c>
      <c r="R20" s="954">
        <v>57.6</v>
      </c>
      <c r="S20" s="954" t="s">
        <v>88</v>
      </c>
      <c r="T20" s="952">
        <v>150240.30000000002</v>
      </c>
      <c r="U20" s="956">
        <v>1606695.8</v>
      </c>
    </row>
    <row r="21" spans="1:23">
      <c r="A21" s="265" t="s">
        <v>669</v>
      </c>
      <c r="B21" s="1026">
        <v>266309.90000000002</v>
      </c>
      <c r="C21" s="1028">
        <v>146133</v>
      </c>
      <c r="D21" s="1028"/>
      <c r="E21" s="1026">
        <v>459750.2</v>
      </c>
      <c r="F21" s="1029"/>
      <c r="G21" s="1028">
        <v>183740.4</v>
      </c>
      <c r="H21" s="1027"/>
      <c r="I21" s="1030">
        <v>643490.6</v>
      </c>
      <c r="J21" s="1027">
        <v>15118.1</v>
      </c>
      <c r="K21" s="1028"/>
      <c r="L21" s="1028"/>
      <c r="M21" s="1037" t="s">
        <v>88</v>
      </c>
      <c r="N21" s="1023">
        <v>1565.3</v>
      </c>
      <c r="O21" s="1028">
        <v>17570.400000000001</v>
      </c>
      <c r="P21" s="1023">
        <v>28742.899999999998</v>
      </c>
      <c r="Q21" s="1027">
        <v>640729.79999999993</v>
      </c>
      <c r="R21" s="1028">
        <v>4937.3999999999996</v>
      </c>
      <c r="S21" s="1028" t="s">
        <v>88</v>
      </c>
      <c r="T21" s="1026">
        <v>157880.9</v>
      </c>
      <c r="U21" s="1030">
        <v>1922478.2999999998</v>
      </c>
    </row>
    <row r="22" spans="1:23">
      <c r="A22" s="266"/>
      <c r="B22" s="257"/>
      <c r="C22" s="258"/>
      <c r="D22" s="258"/>
      <c r="E22" s="257"/>
      <c r="F22" s="259"/>
      <c r="G22" s="258"/>
      <c r="H22" s="260"/>
      <c r="I22" s="262"/>
      <c r="J22" s="260"/>
      <c r="K22" s="258"/>
      <c r="L22" s="258"/>
      <c r="M22" s="258"/>
      <c r="N22" s="80"/>
      <c r="O22" s="258"/>
      <c r="P22" s="258"/>
      <c r="Q22" s="260"/>
      <c r="R22" s="258"/>
      <c r="S22" s="258"/>
      <c r="T22" s="257"/>
      <c r="U22" s="261"/>
    </row>
    <row r="23" spans="1:23" hidden="1">
      <c r="A23" s="266" t="s">
        <v>714</v>
      </c>
      <c r="B23" s="965">
        <v>70940.200000000012</v>
      </c>
      <c r="C23" s="967">
        <v>213236.8</v>
      </c>
      <c r="D23" s="967"/>
      <c r="E23" s="965">
        <v>45604.7</v>
      </c>
      <c r="F23" s="968"/>
      <c r="G23" s="967">
        <v>1729.7</v>
      </c>
      <c r="H23" s="966"/>
      <c r="I23" s="969">
        <v>47334.399999999994</v>
      </c>
      <c r="J23" s="966">
        <v>3984.4</v>
      </c>
      <c r="K23" s="967"/>
      <c r="L23" s="967"/>
      <c r="M23" s="975" t="s">
        <v>88</v>
      </c>
      <c r="N23" s="964">
        <v>143.80000000000001</v>
      </c>
      <c r="O23" s="967" t="s">
        <v>88</v>
      </c>
      <c r="P23" s="967">
        <v>6437.5999999999995</v>
      </c>
      <c r="Q23" s="966">
        <v>635361.4</v>
      </c>
      <c r="R23" s="967">
        <v>1398.2</v>
      </c>
      <c r="S23" s="967">
        <v>3568.7999999999993</v>
      </c>
      <c r="T23" s="965">
        <v>116712.2</v>
      </c>
      <c r="U23" s="969">
        <v>1099117.8</v>
      </c>
      <c r="V23" s="264"/>
      <c r="W23" s="71"/>
    </row>
    <row r="24" spans="1:23" hidden="1">
      <c r="A24" s="266" t="s">
        <v>62</v>
      </c>
      <c r="B24" s="965">
        <v>82287.100000000006</v>
      </c>
      <c r="C24" s="967">
        <v>165969.40000000002</v>
      </c>
      <c r="D24" s="967"/>
      <c r="E24" s="965">
        <v>70934.600000000006</v>
      </c>
      <c r="F24" s="968"/>
      <c r="G24" s="975" t="s">
        <v>88</v>
      </c>
      <c r="H24" s="966"/>
      <c r="I24" s="969">
        <v>70934.600000000006</v>
      </c>
      <c r="J24" s="966">
        <v>1294.8</v>
      </c>
      <c r="K24" s="967"/>
      <c r="L24" s="967"/>
      <c r="M24" s="975" t="s">
        <v>88</v>
      </c>
      <c r="N24" s="967">
        <v>143.80000000000001</v>
      </c>
      <c r="O24" s="967" t="s">
        <v>88</v>
      </c>
      <c r="P24" s="967">
        <v>6575.4</v>
      </c>
      <c r="Q24" s="966">
        <v>642841.19999999995</v>
      </c>
      <c r="R24" s="967">
        <v>1401.7</v>
      </c>
      <c r="S24" s="967">
        <v>4188.9999999999991</v>
      </c>
      <c r="T24" s="965">
        <v>117658.59999999998</v>
      </c>
      <c r="U24" s="969">
        <v>1093295.6000000001</v>
      </c>
      <c r="V24" s="264"/>
      <c r="W24" s="71"/>
    </row>
    <row r="25" spans="1:23" hidden="1">
      <c r="A25" s="266" t="s">
        <v>63</v>
      </c>
      <c r="B25" s="965">
        <v>89608.2</v>
      </c>
      <c r="C25" s="967">
        <v>183463.6</v>
      </c>
      <c r="D25" s="967"/>
      <c r="E25" s="965">
        <v>72499.399999999994</v>
      </c>
      <c r="F25" s="968"/>
      <c r="G25" s="967">
        <v>32000</v>
      </c>
      <c r="H25" s="966"/>
      <c r="I25" s="969">
        <v>104499.4</v>
      </c>
      <c r="J25" s="966">
        <v>582.50000000000011</v>
      </c>
      <c r="K25" s="967"/>
      <c r="L25" s="967"/>
      <c r="M25" s="975" t="s">
        <v>88</v>
      </c>
      <c r="N25" s="967">
        <v>143.80000000000001</v>
      </c>
      <c r="O25" s="967" t="s">
        <v>88</v>
      </c>
      <c r="P25" s="967">
        <v>10400.499999999998</v>
      </c>
      <c r="Q25" s="966">
        <v>664336.10000000009</v>
      </c>
      <c r="R25" s="967">
        <v>2197.5</v>
      </c>
      <c r="S25" s="967">
        <v>5211.5</v>
      </c>
      <c r="T25" s="965">
        <v>122868.89999999998</v>
      </c>
      <c r="U25" s="969">
        <v>1183312</v>
      </c>
      <c r="V25" s="264"/>
      <c r="W25" s="71"/>
    </row>
    <row r="26" spans="1:23" hidden="1">
      <c r="A26" s="266" t="s">
        <v>64</v>
      </c>
      <c r="B26" s="965">
        <v>107189</v>
      </c>
      <c r="C26" s="967">
        <v>201411.19999999998</v>
      </c>
      <c r="D26" s="967"/>
      <c r="E26" s="965">
        <v>77019.900000000009</v>
      </c>
      <c r="F26" s="968"/>
      <c r="G26" s="967">
        <v>32000</v>
      </c>
      <c r="H26" s="966"/>
      <c r="I26" s="969">
        <v>109019.90000000001</v>
      </c>
      <c r="J26" s="966">
        <v>539.1</v>
      </c>
      <c r="K26" s="967"/>
      <c r="L26" s="967"/>
      <c r="M26" s="975" t="s">
        <v>88</v>
      </c>
      <c r="N26" s="964">
        <v>143.80000000000001</v>
      </c>
      <c r="O26" s="967" t="s">
        <v>88</v>
      </c>
      <c r="P26" s="967">
        <v>8510.4000000000015</v>
      </c>
      <c r="Q26" s="966">
        <v>645360.89999999979</v>
      </c>
      <c r="R26" s="967">
        <v>2469.1999999999998</v>
      </c>
      <c r="S26" s="967">
        <v>6264.2000000000007</v>
      </c>
      <c r="T26" s="965">
        <v>137109.09999999998</v>
      </c>
      <c r="U26" s="969">
        <v>1218016.7999999998</v>
      </c>
      <c r="W26" s="71"/>
    </row>
    <row r="27" spans="1:23" hidden="1">
      <c r="A27" s="267"/>
      <c r="B27" s="965"/>
      <c r="C27" s="967"/>
      <c r="D27" s="967"/>
      <c r="E27" s="965"/>
      <c r="F27" s="968"/>
      <c r="G27" s="967"/>
      <c r="H27" s="966"/>
      <c r="I27" s="969"/>
      <c r="J27" s="966"/>
      <c r="K27" s="967"/>
      <c r="L27" s="967"/>
      <c r="M27" s="975"/>
      <c r="N27" s="967"/>
      <c r="O27" s="967"/>
      <c r="P27" s="967"/>
      <c r="Q27" s="966"/>
      <c r="R27" s="967"/>
      <c r="S27" s="967"/>
      <c r="T27" s="965"/>
      <c r="U27" s="969"/>
      <c r="V27" s="264"/>
      <c r="W27" s="71"/>
    </row>
    <row r="28" spans="1:23" hidden="1">
      <c r="A28" s="113" t="s">
        <v>61</v>
      </c>
      <c r="B28" s="965">
        <v>123889.60000000001</v>
      </c>
      <c r="C28" s="967">
        <v>216698.30000000002</v>
      </c>
      <c r="D28" s="967"/>
      <c r="E28" s="965">
        <v>76771.899999999994</v>
      </c>
      <c r="F28" s="968"/>
      <c r="G28" s="967">
        <v>32000</v>
      </c>
      <c r="H28" s="966"/>
      <c r="I28" s="969">
        <v>108771.9</v>
      </c>
      <c r="J28" s="966">
        <v>1314.8</v>
      </c>
      <c r="K28" s="967"/>
      <c r="L28" s="967"/>
      <c r="M28" s="975" t="s">
        <v>88</v>
      </c>
      <c r="N28" s="964">
        <v>143.80000000000001</v>
      </c>
      <c r="O28" s="967" t="s">
        <v>88</v>
      </c>
      <c r="P28" s="967">
        <v>7201.0000000000009</v>
      </c>
      <c r="Q28" s="966">
        <v>649222.69999999995</v>
      </c>
      <c r="R28" s="967">
        <v>3128.7000000000003</v>
      </c>
      <c r="S28" s="967">
        <v>7084.7</v>
      </c>
      <c r="T28" s="965">
        <v>126867.8</v>
      </c>
      <c r="U28" s="969">
        <v>1244323.3</v>
      </c>
      <c r="W28" s="71"/>
    </row>
    <row r="29" spans="1:23" hidden="1">
      <c r="A29" s="113" t="s">
        <v>62</v>
      </c>
      <c r="B29" s="970">
        <v>124507.9</v>
      </c>
      <c r="C29" s="972">
        <v>198408.8</v>
      </c>
      <c r="D29" s="972"/>
      <c r="E29" s="970">
        <v>86709.1</v>
      </c>
      <c r="F29" s="973"/>
      <c r="G29" s="972">
        <v>47500</v>
      </c>
      <c r="H29" s="971"/>
      <c r="I29" s="974">
        <v>134209.1</v>
      </c>
      <c r="J29" s="971">
        <v>1296.5999999999999</v>
      </c>
      <c r="K29" s="972"/>
      <c r="L29" s="972"/>
      <c r="M29" s="975" t="s">
        <v>88</v>
      </c>
      <c r="N29" s="976">
        <v>143.80000000000001</v>
      </c>
      <c r="O29" s="972" t="s">
        <v>88</v>
      </c>
      <c r="P29" s="976">
        <v>12659.7</v>
      </c>
      <c r="Q29" s="971">
        <v>668881.19999999995</v>
      </c>
      <c r="R29" s="972">
        <v>3154.2000000000003</v>
      </c>
      <c r="S29" s="972">
        <v>8706.6</v>
      </c>
      <c r="T29" s="970">
        <v>130308.7</v>
      </c>
      <c r="U29" s="974">
        <v>1282276.5999999999</v>
      </c>
      <c r="W29" s="71"/>
    </row>
    <row r="30" spans="1:23" hidden="1">
      <c r="A30" s="113" t="s">
        <v>63</v>
      </c>
      <c r="B30" s="970">
        <v>121296.9</v>
      </c>
      <c r="C30" s="972">
        <v>193925</v>
      </c>
      <c r="D30" s="972"/>
      <c r="E30" s="970">
        <v>84044.4</v>
      </c>
      <c r="F30" s="973"/>
      <c r="G30" s="972">
        <v>67472</v>
      </c>
      <c r="H30" s="971"/>
      <c r="I30" s="974">
        <v>151516.4</v>
      </c>
      <c r="J30" s="971">
        <v>1373.1</v>
      </c>
      <c r="K30" s="972"/>
      <c r="L30" s="972"/>
      <c r="M30" s="975" t="s">
        <v>88</v>
      </c>
      <c r="N30" s="976">
        <v>743.8</v>
      </c>
      <c r="O30" s="972" t="s">
        <v>88</v>
      </c>
      <c r="P30" s="976">
        <v>14386.1</v>
      </c>
      <c r="Q30" s="971">
        <v>681388.8</v>
      </c>
      <c r="R30" s="972">
        <v>3642.9</v>
      </c>
      <c r="S30" s="972">
        <v>10737</v>
      </c>
      <c r="T30" s="970">
        <v>131441.79999999999</v>
      </c>
      <c r="U30" s="974">
        <v>1310451.8</v>
      </c>
      <c r="W30" s="71"/>
    </row>
    <row r="31" spans="1:23" hidden="1">
      <c r="A31" s="113" t="s">
        <v>50</v>
      </c>
      <c r="B31" s="970">
        <v>146489.79999999999</v>
      </c>
      <c r="C31" s="972">
        <v>199601.19999999998</v>
      </c>
      <c r="D31" s="972"/>
      <c r="E31" s="970">
        <v>87718.9</v>
      </c>
      <c r="F31" s="973"/>
      <c r="G31" s="972">
        <v>59983.8</v>
      </c>
      <c r="H31" s="971"/>
      <c r="I31" s="974">
        <v>147702.70000000001</v>
      </c>
      <c r="J31" s="971">
        <v>34633.199999999997</v>
      </c>
      <c r="K31" s="972"/>
      <c r="L31" s="972"/>
      <c r="M31" s="975" t="s">
        <v>88</v>
      </c>
      <c r="N31" s="976">
        <v>143.80000000000001</v>
      </c>
      <c r="O31" s="972" t="s">
        <v>88</v>
      </c>
      <c r="P31" s="976">
        <v>10820.5</v>
      </c>
      <c r="Q31" s="971">
        <v>702640.60000000009</v>
      </c>
      <c r="R31" s="972">
        <v>3449.3</v>
      </c>
      <c r="S31" s="972">
        <v>12380.1</v>
      </c>
      <c r="T31" s="970">
        <v>142777.19999999998</v>
      </c>
      <c r="U31" s="974">
        <v>1400638.4000000004</v>
      </c>
      <c r="W31" s="71"/>
    </row>
    <row r="32" spans="1:23" hidden="1">
      <c r="A32" s="113"/>
      <c r="B32" s="970"/>
      <c r="C32" s="972"/>
      <c r="D32" s="972"/>
      <c r="E32" s="970"/>
      <c r="F32" s="973"/>
      <c r="G32" s="972"/>
      <c r="H32" s="971"/>
      <c r="I32" s="974"/>
      <c r="J32" s="971"/>
      <c r="K32" s="972"/>
      <c r="L32" s="972"/>
      <c r="M32" s="975"/>
      <c r="N32" s="976"/>
      <c r="O32" s="972"/>
      <c r="P32" s="976"/>
      <c r="Q32" s="971"/>
      <c r="R32" s="972"/>
      <c r="S32" s="972"/>
      <c r="T32" s="970"/>
      <c r="U32" s="974"/>
      <c r="W32" s="71"/>
    </row>
    <row r="33" spans="1:23">
      <c r="A33" s="113" t="s">
        <v>53</v>
      </c>
      <c r="B33" s="965">
        <v>100504.6</v>
      </c>
      <c r="C33" s="967">
        <v>191610</v>
      </c>
      <c r="D33" s="967"/>
      <c r="E33" s="965">
        <v>96138</v>
      </c>
      <c r="F33" s="968"/>
      <c r="G33" s="967">
        <v>60514.5</v>
      </c>
      <c r="H33" s="966"/>
      <c r="I33" s="969">
        <v>156652.5</v>
      </c>
      <c r="J33" s="966">
        <v>37342.1</v>
      </c>
      <c r="K33" s="967"/>
      <c r="L33" s="967"/>
      <c r="M33" s="975" t="s">
        <v>88</v>
      </c>
      <c r="N33" s="964">
        <v>143.9</v>
      </c>
      <c r="O33" s="967" t="s">
        <v>88</v>
      </c>
      <c r="P33" s="964">
        <v>7872.9</v>
      </c>
      <c r="Q33" s="966">
        <v>701498.4</v>
      </c>
      <c r="R33" s="967">
        <v>3910.9</v>
      </c>
      <c r="S33" s="967">
        <v>11531.7</v>
      </c>
      <c r="T33" s="965">
        <v>147970.70000000001</v>
      </c>
      <c r="U33" s="969">
        <v>1359037.6999999997</v>
      </c>
      <c r="W33" s="71"/>
    </row>
    <row r="34" spans="1:23">
      <c r="A34" s="113" t="s">
        <v>44</v>
      </c>
      <c r="B34" s="965">
        <v>94242.5</v>
      </c>
      <c r="C34" s="967">
        <v>192773.59999999998</v>
      </c>
      <c r="D34" s="967"/>
      <c r="E34" s="965">
        <v>108680.9</v>
      </c>
      <c r="F34" s="968"/>
      <c r="G34" s="967">
        <v>58075.3</v>
      </c>
      <c r="H34" s="966"/>
      <c r="I34" s="969">
        <v>166756.20000000001</v>
      </c>
      <c r="J34" s="966">
        <v>32993.1</v>
      </c>
      <c r="K34" s="967"/>
      <c r="L34" s="967"/>
      <c r="M34" s="975" t="s">
        <v>88</v>
      </c>
      <c r="N34" s="964">
        <v>143.9</v>
      </c>
      <c r="O34" s="967" t="s">
        <v>88</v>
      </c>
      <c r="P34" s="964">
        <v>9608.4</v>
      </c>
      <c r="Q34" s="966">
        <v>726225.70000000019</v>
      </c>
      <c r="R34" s="967">
        <v>3822.2</v>
      </c>
      <c r="S34" s="967">
        <v>11508.3</v>
      </c>
      <c r="T34" s="965">
        <v>145228.1</v>
      </c>
      <c r="U34" s="969">
        <v>1383302.0000000002</v>
      </c>
      <c r="W34" s="71"/>
    </row>
    <row r="35" spans="1:23">
      <c r="A35" s="113" t="s">
        <v>47</v>
      </c>
      <c r="B35" s="965">
        <v>105927</v>
      </c>
      <c r="C35" s="967">
        <v>179072.09999999998</v>
      </c>
      <c r="D35" s="967"/>
      <c r="E35" s="965">
        <v>118944.2</v>
      </c>
      <c r="F35" s="968"/>
      <c r="G35" s="967">
        <v>58157.4</v>
      </c>
      <c r="H35" s="966"/>
      <c r="I35" s="969">
        <v>177101.6</v>
      </c>
      <c r="J35" s="966">
        <v>33329.9</v>
      </c>
      <c r="K35" s="967"/>
      <c r="L35" s="967"/>
      <c r="M35" s="975" t="s">
        <v>88</v>
      </c>
      <c r="N35" s="964">
        <v>143.9</v>
      </c>
      <c r="O35" s="967" t="s">
        <v>88</v>
      </c>
      <c r="P35" s="964">
        <v>14945.4</v>
      </c>
      <c r="Q35" s="966">
        <v>721463.29999999993</v>
      </c>
      <c r="R35" s="967">
        <v>3755.9</v>
      </c>
      <c r="S35" s="967">
        <v>11334.8</v>
      </c>
      <c r="T35" s="965">
        <v>152971.70000000001</v>
      </c>
      <c r="U35" s="969">
        <v>1400045.5999999999</v>
      </c>
      <c r="W35" s="71"/>
    </row>
    <row r="36" spans="1:23">
      <c r="A36" s="113" t="s">
        <v>50</v>
      </c>
      <c r="B36" s="965">
        <v>109488.4</v>
      </c>
      <c r="C36" s="967">
        <v>207089</v>
      </c>
      <c r="D36" s="967"/>
      <c r="E36" s="965">
        <v>174940.3</v>
      </c>
      <c r="F36" s="968"/>
      <c r="G36" s="967">
        <v>79868.899999999994</v>
      </c>
      <c r="H36" s="966"/>
      <c r="I36" s="969">
        <v>254809.19999999998</v>
      </c>
      <c r="J36" s="966">
        <v>35319.300000000003</v>
      </c>
      <c r="K36" s="967"/>
      <c r="L36" s="967"/>
      <c r="M36" s="975" t="s">
        <v>88</v>
      </c>
      <c r="N36" s="964">
        <v>143.9</v>
      </c>
      <c r="O36" s="967">
        <v>15884.7</v>
      </c>
      <c r="P36" s="964">
        <v>6512.1</v>
      </c>
      <c r="Q36" s="966">
        <v>673798.99999999988</v>
      </c>
      <c r="R36" s="967">
        <v>27.1</v>
      </c>
      <c r="S36" s="967" t="s">
        <v>88</v>
      </c>
      <c r="T36" s="965">
        <v>152507.69999999998</v>
      </c>
      <c r="U36" s="969">
        <v>1455580.4</v>
      </c>
      <c r="W36" s="71"/>
    </row>
    <row r="37" spans="1:23">
      <c r="A37" s="113"/>
      <c r="B37" s="965"/>
      <c r="C37" s="967"/>
      <c r="D37" s="967"/>
      <c r="E37" s="965"/>
      <c r="F37" s="968"/>
      <c r="G37" s="967"/>
      <c r="H37" s="966"/>
      <c r="I37" s="969"/>
      <c r="J37" s="966"/>
      <c r="K37" s="967"/>
      <c r="L37" s="967"/>
      <c r="M37" s="975"/>
      <c r="N37" s="964"/>
      <c r="O37" s="967"/>
      <c r="P37" s="964"/>
      <c r="Q37" s="966"/>
      <c r="R37" s="967"/>
      <c r="S37" s="967"/>
      <c r="T37" s="965"/>
      <c r="U37" s="969"/>
      <c r="W37" s="71"/>
    </row>
    <row r="38" spans="1:23">
      <c r="A38" s="113" t="s">
        <v>65</v>
      </c>
      <c r="B38" s="965">
        <v>126625.1</v>
      </c>
      <c r="C38" s="967">
        <v>182809.69999999998</v>
      </c>
      <c r="D38" s="967"/>
      <c r="E38" s="965">
        <v>216514.6</v>
      </c>
      <c r="F38" s="968"/>
      <c r="G38" s="967">
        <v>80380.2</v>
      </c>
      <c r="H38" s="966"/>
      <c r="I38" s="969">
        <v>296894.8</v>
      </c>
      <c r="J38" s="966">
        <v>34871.9</v>
      </c>
      <c r="K38" s="967"/>
      <c r="L38" s="967"/>
      <c r="M38" s="975" t="s">
        <v>88</v>
      </c>
      <c r="N38" s="964">
        <v>143.9</v>
      </c>
      <c r="O38" s="967">
        <v>15375.7</v>
      </c>
      <c r="P38" s="964">
        <v>2747.5</v>
      </c>
      <c r="Q38" s="966">
        <v>681597</v>
      </c>
      <c r="R38" s="967">
        <v>22.2</v>
      </c>
      <c r="S38" s="967" t="s">
        <v>88</v>
      </c>
      <c r="T38" s="965">
        <v>146240.29999999999</v>
      </c>
      <c r="U38" s="969">
        <v>1487328.1</v>
      </c>
      <c r="W38" s="71"/>
    </row>
    <row r="39" spans="1:23">
      <c r="A39" s="113" t="s">
        <v>44</v>
      </c>
      <c r="B39" s="965">
        <v>129379.9</v>
      </c>
      <c r="C39" s="967">
        <v>163223.69999999998</v>
      </c>
      <c r="D39" s="967"/>
      <c r="E39" s="965">
        <v>267467.3</v>
      </c>
      <c r="F39" s="968"/>
      <c r="G39" s="967">
        <v>81275.600000000006</v>
      </c>
      <c r="H39" s="966"/>
      <c r="I39" s="969">
        <v>348742.9</v>
      </c>
      <c r="J39" s="966">
        <v>36105</v>
      </c>
      <c r="K39" s="967"/>
      <c r="L39" s="967"/>
      <c r="M39" s="975" t="s">
        <v>88</v>
      </c>
      <c r="N39" s="964">
        <v>143.9</v>
      </c>
      <c r="O39" s="967">
        <v>14150.3</v>
      </c>
      <c r="P39" s="964">
        <v>6407</v>
      </c>
      <c r="Q39" s="966">
        <v>691678.70000000007</v>
      </c>
      <c r="R39" s="967">
        <v>59.2</v>
      </c>
      <c r="S39" s="967" t="s">
        <v>88</v>
      </c>
      <c r="T39" s="965">
        <v>150031.5</v>
      </c>
      <c r="U39" s="969">
        <v>1539922.1</v>
      </c>
      <c r="W39" s="71"/>
    </row>
    <row r="40" spans="1:23">
      <c r="A40" s="113" t="s">
        <v>47</v>
      </c>
      <c r="B40" s="965">
        <v>154229.70000000001</v>
      </c>
      <c r="C40" s="967">
        <v>129120.3</v>
      </c>
      <c r="D40" s="967"/>
      <c r="E40" s="965">
        <v>298096.40000000002</v>
      </c>
      <c r="F40" s="968"/>
      <c r="G40" s="967">
        <v>92142</v>
      </c>
      <c r="H40" s="966"/>
      <c r="I40" s="969">
        <v>390238.4</v>
      </c>
      <c r="J40" s="966">
        <v>31521.1</v>
      </c>
      <c r="K40" s="967"/>
      <c r="L40" s="967"/>
      <c r="M40" s="975" t="s">
        <v>88</v>
      </c>
      <c r="N40" s="964">
        <v>143.9</v>
      </c>
      <c r="O40" s="967">
        <v>14042.6</v>
      </c>
      <c r="P40" s="964">
        <v>11225.4</v>
      </c>
      <c r="Q40" s="966">
        <v>701069.10000000009</v>
      </c>
      <c r="R40" s="967">
        <v>15.5</v>
      </c>
      <c r="S40" s="967" t="s">
        <v>88</v>
      </c>
      <c r="T40" s="965">
        <v>148132.30000000002</v>
      </c>
      <c r="U40" s="969">
        <v>1579738.3</v>
      </c>
    </row>
    <row r="41" spans="1:23">
      <c r="A41" s="113" t="s">
        <v>50</v>
      </c>
      <c r="B41" s="965">
        <v>168106.2</v>
      </c>
      <c r="C41" s="967">
        <v>125486.1</v>
      </c>
      <c r="D41" s="967"/>
      <c r="E41" s="965">
        <v>314364.2</v>
      </c>
      <c r="F41" s="968"/>
      <c r="G41" s="967">
        <v>123715.4</v>
      </c>
      <c r="H41" s="966"/>
      <c r="I41" s="969">
        <v>438079.6</v>
      </c>
      <c r="J41" s="966">
        <v>22418.9</v>
      </c>
      <c r="K41" s="967"/>
      <c r="L41" s="967"/>
      <c r="M41" s="975" t="s">
        <v>88</v>
      </c>
      <c r="N41" s="964">
        <v>143.9</v>
      </c>
      <c r="O41" s="967">
        <v>13764.4</v>
      </c>
      <c r="P41" s="964">
        <v>7153.4</v>
      </c>
      <c r="Q41" s="966">
        <v>681245.39999999991</v>
      </c>
      <c r="R41" s="967">
        <v>57.6</v>
      </c>
      <c r="S41" s="967" t="s">
        <v>88</v>
      </c>
      <c r="T41" s="965">
        <v>150240.30000000002</v>
      </c>
      <c r="U41" s="969">
        <v>1606695.8</v>
      </c>
    </row>
    <row r="42" spans="1:23">
      <c r="A42" s="113"/>
      <c r="B42" s="952"/>
      <c r="C42" s="954"/>
      <c r="D42" s="954"/>
      <c r="E42" s="952"/>
      <c r="F42" s="955"/>
      <c r="G42" s="954"/>
      <c r="H42" s="953"/>
      <c r="I42" s="956"/>
      <c r="J42" s="953"/>
      <c r="K42" s="954"/>
      <c r="L42" s="954"/>
      <c r="M42" s="962"/>
      <c r="N42" s="951"/>
      <c r="O42" s="954"/>
      <c r="P42" s="951"/>
      <c r="Q42" s="953"/>
      <c r="R42" s="954"/>
      <c r="S42" s="954"/>
      <c r="T42" s="952"/>
      <c r="U42" s="956"/>
    </row>
    <row r="43" spans="1:23" s="88" customFormat="1">
      <c r="A43" s="113" t="s">
        <v>66</v>
      </c>
      <c r="B43" s="1013">
        <v>199136.1</v>
      </c>
      <c r="C43" s="1015">
        <v>118563.4</v>
      </c>
      <c r="D43" s="1015"/>
      <c r="E43" s="1013">
        <v>388693.7</v>
      </c>
      <c r="F43" s="1016"/>
      <c r="G43" s="1015">
        <v>86137.600000000006</v>
      </c>
      <c r="H43" s="1014"/>
      <c r="I43" s="1017">
        <v>474831.30000000005</v>
      </c>
      <c r="J43" s="1014">
        <v>27491.7</v>
      </c>
      <c r="K43" s="1015"/>
      <c r="L43" s="1015"/>
      <c r="M43" s="1018" t="s">
        <v>88</v>
      </c>
      <c r="N43" s="1012">
        <v>143.9</v>
      </c>
      <c r="O43" s="1015">
        <v>12075.7</v>
      </c>
      <c r="P43" s="1012">
        <v>6792.1</v>
      </c>
      <c r="Q43" s="1014">
        <v>617340.1</v>
      </c>
      <c r="R43" s="1015">
        <v>58.6</v>
      </c>
      <c r="S43" s="1015" t="s">
        <v>88</v>
      </c>
      <c r="T43" s="1013">
        <v>158925.4</v>
      </c>
      <c r="U43" s="1017">
        <v>1615358.2999999998</v>
      </c>
      <c r="V43" s="69"/>
      <c r="W43" s="268"/>
    </row>
    <row r="44" spans="1:23">
      <c r="A44" s="113" t="s">
        <v>62</v>
      </c>
      <c r="B44" s="1013">
        <v>178854.1</v>
      </c>
      <c r="C44" s="1015">
        <v>153908.6</v>
      </c>
      <c r="D44" s="1015"/>
      <c r="E44" s="1013">
        <v>399492.8</v>
      </c>
      <c r="F44" s="1016"/>
      <c r="G44" s="1015">
        <v>121468.7</v>
      </c>
      <c r="H44" s="1014"/>
      <c r="I44" s="1017">
        <v>520961.5</v>
      </c>
      <c r="J44" s="1014">
        <v>23740.2</v>
      </c>
      <c r="K44" s="1015"/>
      <c r="L44" s="1015"/>
      <c r="M44" s="1018" t="s">
        <v>88</v>
      </c>
      <c r="N44" s="1012">
        <v>143.9</v>
      </c>
      <c r="O44" s="1015">
        <v>20972</v>
      </c>
      <c r="P44" s="1012">
        <v>13560.699999999999</v>
      </c>
      <c r="Q44" s="1014">
        <v>662282</v>
      </c>
      <c r="R44" s="1015">
        <v>33.299999999999997</v>
      </c>
      <c r="S44" s="1015" t="s">
        <v>88</v>
      </c>
      <c r="T44" s="1013">
        <v>178845.80000000002</v>
      </c>
      <c r="U44" s="1017">
        <v>1753302.1</v>
      </c>
      <c r="W44" s="71"/>
    </row>
    <row r="45" spans="1:23">
      <c r="A45" s="113" t="s">
        <v>63</v>
      </c>
      <c r="B45" s="1013">
        <v>191230.3</v>
      </c>
      <c r="C45" s="1015">
        <v>141770</v>
      </c>
      <c r="D45" s="1015"/>
      <c r="E45" s="1013">
        <v>369923.1</v>
      </c>
      <c r="F45" s="1016"/>
      <c r="G45" s="1015">
        <v>180815.7</v>
      </c>
      <c r="H45" s="1014"/>
      <c r="I45" s="1017">
        <v>550738.80000000005</v>
      </c>
      <c r="J45" s="1014">
        <v>23937.200000000001</v>
      </c>
      <c r="K45" s="1015"/>
      <c r="L45" s="1015"/>
      <c r="M45" s="1018" t="s">
        <v>88</v>
      </c>
      <c r="N45" s="1012">
        <v>143.9</v>
      </c>
      <c r="O45" s="1015">
        <v>18656.8</v>
      </c>
      <c r="P45" s="1012">
        <v>28013</v>
      </c>
      <c r="Q45" s="1014">
        <v>679714.1</v>
      </c>
      <c r="R45" s="1015">
        <v>56.1</v>
      </c>
      <c r="S45" s="1015" t="s">
        <v>88</v>
      </c>
      <c r="T45" s="1013">
        <v>171542.39999999999</v>
      </c>
      <c r="U45" s="1017">
        <v>1805802.6</v>
      </c>
      <c r="W45" s="71"/>
    </row>
    <row r="46" spans="1:23">
      <c r="A46" s="113" t="s">
        <v>64</v>
      </c>
      <c r="B46" s="1026">
        <v>266309.90000000002</v>
      </c>
      <c r="C46" s="1028">
        <v>146133</v>
      </c>
      <c r="D46" s="1028"/>
      <c r="E46" s="1026">
        <v>459750.2</v>
      </c>
      <c r="F46" s="1029"/>
      <c r="G46" s="1028">
        <v>183740.4</v>
      </c>
      <c r="H46" s="1027"/>
      <c r="I46" s="1030">
        <v>643490.6</v>
      </c>
      <c r="J46" s="1027">
        <v>15118.1</v>
      </c>
      <c r="K46" s="1028"/>
      <c r="L46" s="1028"/>
      <c r="M46" s="1037" t="s">
        <v>88</v>
      </c>
      <c r="N46" s="1023">
        <v>1565.3</v>
      </c>
      <c r="O46" s="1028">
        <v>17570.400000000001</v>
      </c>
      <c r="P46" s="1023">
        <v>28742.899999999998</v>
      </c>
      <c r="Q46" s="1027">
        <v>640729.79999999993</v>
      </c>
      <c r="R46" s="1028">
        <v>4937.3999999999996</v>
      </c>
      <c r="S46" s="1028" t="s">
        <v>88</v>
      </c>
      <c r="T46" s="1026">
        <v>157880.9</v>
      </c>
      <c r="U46" s="1030">
        <v>1922478.2999999998</v>
      </c>
      <c r="W46" s="71"/>
    </row>
    <row r="47" spans="1:23">
      <c r="A47" s="113"/>
      <c r="B47" s="1013"/>
      <c r="C47" s="1015"/>
      <c r="D47" s="1015"/>
      <c r="E47" s="1013"/>
      <c r="F47" s="1016"/>
      <c r="G47" s="1015"/>
      <c r="H47" s="1014"/>
      <c r="I47" s="1017"/>
      <c r="J47" s="1014"/>
      <c r="K47" s="1015"/>
      <c r="L47" s="1015"/>
      <c r="M47" s="1018"/>
      <c r="N47" s="1012"/>
      <c r="O47" s="1015"/>
      <c r="P47" s="1012"/>
      <c r="Q47" s="1014"/>
      <c r="R47" s="1015"/>
      <c r="S47" s="1015"/>
      <c r="T47" s="1013"/>
      <c r="U47" s="1017"/>
      <c r="W47" s="71"/>
    </row>
    <row r="48" spans="1:23">
      <c r="A48" s="113" t="s">
        <v>684</v>
      </c>
      <c r="B48" s="1013">
        <v>231832.1</v>
      </c>
      <c r="C48" s="1015">
        <v>169526.8</v>
      </c>
      <c r="D48" s="1015"/>
      <c r="E48" s="1013">
        <v>190476.2</v>
      </c>
      <c r="F48" s="1016"/>
      <c r="G48" s="1015">
        <v>525581.19999999995</v>
      </c>
      <c r="H48" s="1014"/>
      <c r="I48" s="1017">
        <v>716057.39999999991</v>
      </c>
      <c r="J48" s="1014">
        <v>13580.5</v>
      </c>
      <c r="K48" s="1015"/>
      <c r="L48" s="1015"/>
      <c r="M48" s="1018" t="s">
        <v>88</v>
      </c>
      <c r="N48" s="1012">
        <v>1565.3</v>
      </c>
      <c r="O48" s="1015">
        <v>20391.400000000001</v>
      </c>
      <c r="P48" s="1012">
        <v>16012.599999999999</v>
      </c>
      <c r="Q48" s="1014">
        <v>664852.69999999995</v>
      </c>
      <c r="R48" s="1015">
        <v>5422.5</v>
      </c>
      <c r="S48" s="1015" t="s">
        <v>88</v>
      </c>
      <c r="T48" s="1013">
        <v>175376.30000000002</v>
      </c>
      <c r="U48" s="1017">
        <v>2014617.5999999999</v>
      </c>
      <c r="W48" s="71"/>
    </row>
    <row r="49" spans="1:23">
      <c r="A49" s="113" t="s">
        <v>44</v>
      </c>
      <c r="B49" s="1013">
        <v>210837.9</v>
      </c>
      <c r="C49" s="1015">
        <v>172314.9</v>
      </c>
      <c r="D49" s="1015"/>
      <c r="E49" s="1013">
        <v>166476</v>
      </c>
      <c r="F49" s="1016"/>
      <c r="G49" s="1015">
        <v>632641.9</v>
      </c>
      <c r="H49" s="1014"/>
      <c r="I49" s="1017">
        <v>799117.9</v>
      </c>
      <c r="J49" s="1014">
        <v>46166.7</v>
      </c>
      <c r="K49" s="1015"/>
      <c r="L49" s="1015"/>
      <c r="M49" s="1018" t="s">
        <v>88</v>
      </c>
      <c r="N49" s="1012">
        <v>1844.6</v>
      </c>
      <c r="O49" s="1015">
        <v>28326</v>
      </c>
      <c r="P49" s="1012">
        <v>24385.8</v>
      </c>
      <c r="Q49" s="1014">
        <v>702433.3</v>
      </c>
      <c r="R49" s="1015">
        <v>5533.2</v>
      </c>
      <c r="S49" s="1015" t="s">
        <v>88</v>
      </c>
      <c r="T49" s="1013">
        <v>179099.69999999998</v>
      </c>
      <c r="U49" s="1017">
        <v>2170060</v>
      </c>
      <c r="W49" s="71"/>
    </row>
    <row r="50" spans="1:23">
      <c r="A50" s="113"/>
      <c r="B50" s="952"/>
      <c r="C50" s="954"/>
      <c r="D50" s="954"/>
      <c r="E50" s="952"/>
      <c r="F50" s="955"/>
      <c r="G50" s="954"/>
      <c r="H50" s="953"/>
      <c r="I50" s="956"/>
      <c r="J50" s="953"/>
      <c r="K50" s="954"/>
      <c r="L50" s="954"/>
      <c r="M50" s="954"/>
      <c r="N50" s="951"/>
      <c r="O50" s="954"/>
      <c r="P50" s="954"/>
      <c r="Q50" s="953"/>
      <c r="R50" s="954"/>
      <c r="S50" s="954"/>
      <c r="T50" s="952"/>
      <c r="U50" s="956"/>
    </row>
    <row r="51" spans="1:23" hidden="1">
      <c r="A51" s="113" t="s">
        <v>60</v>
      </c>
      <c r="B51" s="978">
        <v>29458.6</v>
      </c>
      <c r="C51" s="980">
        <v>95638.2</v>
      </c>
      <c r="D51" s="980" t="s">
        <v>88</v>
      </c>
      <c r="E51" s="978">
        <v>38700</v>
      </c>
      <c r="F51" s="981"/>
      <c r="G51" s="980">
        <v>1722.3000000000002</v>
      </c>
      <c r="H51" s="979" t="s">
        <v>88</v>
      </c>
      <c r="I51" s="982">
        <v>40422.300000000003</v>
      </c>
      <c r="J51" s="979">
        <v>1361.2000000000003</v>
      </c>
      <c r="K51" s="980" t="s">
        <v>88</v>
      </c>
      <c r="L51" s="980" t="s">
        <v>88</v>
      </c>
      <c r="M51" s="983" t="s">
        <v>88</v>
      </c>
      <c r="N51" s="977">
        <v>93.800000000000011</v>
      </c>
      <c r="O51" s="980" t="s">
        <v>88</v>
      </c>
      <c r="P51" s="980">
        <v>9478.2000000000007</v>
      </c>
      <c r="Q51" s="979">
        <v>203604.30000000002</v>
      </c>
      <c r="R51" s="980">
        <v>77.900000000000006</v>
      </c>
      <c r="S51" s="980">
        <v>2744.5</v>
      </c>
      <c r="T51" s="978">
        <v>52891.7</v>
      </c>
      <c r="U51" s="982">
        <v>435770.7</v>
      </c>
    </row>
    <row r="52" spans="1:23" hidden="1">
      <c r="A52" s="113" t="s">
        <v>40</v>
      </c>
      <c r="B52" s="978">
        <v>27942.799999999999</v>
      </c>
      <c r="C52" s="980">
        <v>103195.6</v>
      </c>
      <c r="D52" s="980" t="s">
        <v>88</v>
      </c>
      <c r="E52" s="978">
        <v>40809.599999999999</v>
      </c>
      <c r="F52" s="981"/>
      <c r="G52" s="980">
        <v>4587.3</v>
      </c>
      <c r="H52" s="979" t="s">
        <v>88</v>
      </c>
      <c r="I52" s="982">
        <v>45396.9</v>
      </c>
      <c r="J52" s="979">
        <v>2594.4</v>
      </c>
      <c r="K52" s="980" t="s">
        <v>88</v>
      </c>
      <c r="L52" s="980" t="s">
        <v>88</v>
      </c>
      <c r="M52" s="983" t="s">
        <v>88</v>
      </c>
      <c r="N52" s="977">
        <v>93.800000000000011</v>
      </c>
      <c r="O52" s="980" t="s">
        <v>88</v>
      </c>
      <c r="P52" s="980">
        <v>9086.2000000000007</v>
      </c>
      <c r="Q52" s="979">
        <v>201806.80000000002</v>
      </c>
      <c r="R52" s="980">
        <v>106.1</v>
      </c>
      <c r="S52" s="980">
        <v>2744.5</v>
      </c>
      <c r="T52" s="978">
        <v>53495.299999999996</v>
      </c>
      <c r="U52" s="982">
        <v>446462.39999999997</v>
      </c>
    </row>
    <row r="53" spans="1:23" hidden="1">
      <c r="A53" s="113" t="s">
        <v>41</v>
      </c>
      <c r="B53" s="978">
        <v>32231.1</v>
      </c>
      <c r="C53" s="980">
        <v>116002.2</v>
      </c>
      <c r="D53" s="980" t="s">
        <v>88</v>
      </c>
      <c r="E53" s="978">
        <v>40309.599999999999</v>
      </c>
      <c r="F53" s="981"/>
      <c r="G53" s="980">
        <v>5016.8</v>
      </c>
      <c r="H53" s="979" t="s">
        <v>88</v>
      </c>
      <c r="I53" s="982">
        <v>45326.400000000001</v>
      </c>
      <c r="J53" s="979">
        <v>2484.6</v>
      </c>
      <c r="K53" s="980" t="s">
        <v>88</v>
      </c>
      <c r="L53" s="980" t="s">
        <v>88</v>
      </c>
      <c r="M53" s="980">
        <v>3000</v>
      </c>
      <c r="N53" s="977">
        <v>93.800000000000011</v>
      </c>
      <c r="O53" s="980" t="s">
        <v>88</v>
      </c>
      <c r="P53" s="980">
        <v>9777.6999999999989</v>
      </c>
      <c r="Q53" s="979">
        <v>207158.69999999998</v>
      </c>
      <c r="R53" s="980">
        <v>105.1</v>
      </c>
      <c r="S53" s="980">
        <v>2744.5</v>
      </c>
      <c r="T53" s="978">
        <v>51541.7</v>
      </c>
      <c r="U53" s="982">
        <v>470465.8</v>
      </c>
    </row>
    <row r="54" spans="1:23" hidden="1">
      <c r="A54" s="113" t="s">
        <v>42</v>
      </c>
      <c r="B54" s="978">
        <v>30843.999999999996</v>
      </c>
      <c r="C54" s="980">
        <v>109956.69999999998</v>
      </c>
      <c r="D54" s="980" t="s">
        <v>88</v>
      </c>
      <c r="E54" s="978">
        <v>39609.599999999999</v>
      </c>
      <c r="F54" s="981"/>
      <c r="G54" s="980">
        <v>5016.8</v>
      </c>
      <c r="H54" s="979" t="s">
        <v>88</v>
      </c>
      <c r="I54" s="982">
        <v>44626.400000000001</v>
      </c>
      <c r="J54" s="979">
        <v>2405.1</v>
      </c>
      <c r="K54" s="980" t="s">
        <v>88</v>
      </c>
      <c r="L54" s="980" t="s">
        <v>88</v>
      </c>
      <c r="M54" s="983" t="s">
        <v>88</v>
      </c>
      <c r="N54" s="977">
        <v>93.800000000000011</v>
      </c>
      <c r="O54" s="980" t="s">
        <v>88</v>
      </c>
      <c r="P54" s="980">
        <v>9205.9999999999982</v>
      </c>
      <c r="Q54" s="979">
        <v>210154.59999999998</v>
      </c>
      <c r="R54" s="980">
        <v>104.3</v>
      </c>
      <c r="S54" s="980">
        <v>2611.6</v>
      </c>
      <c r="T54" s="978">
        <v>51934.400000000001</v>
      </c>
      <c r="U54" s="982">
        <v>461936.89999999997</v>
      </c>
    </row>
    <row r="55" spans="1:23" hidden="1">
      <c r="A55" s="113" t="s">
        <v>43</v>
      </c>
      <c r="B55" s="978">
        <v>31834.199999999997</v>
      </c>
      <c r="C55" s="980">
        <v>103309.4</v>
      </c>
      <c r="D55" s="980" t="s">
        <v>88</v>
      </c>
      <c r="E55" s="978">
        <v>35805.4</v>
      </c>
      <c r="F55" s="981"/>
      <c r="G55" s="980">
        <v>5016.8</v>
      </c>
      <c r="H55" s="979" t="s">
        <v>88</v>
      </c>
      <c r="I55" s="982">
        <v>40822.200000000004</v>
      </c>
      <c r="J55" s="979">
        <v>2293.6999999999998</v>
      </c>
      <c r="K55" s="980" t="s">
        <v>88</v>
      </c>
      <c r="L55" s="980" t="s">
        <v>88</v>
      </c>
      <c r="M55" s="980">
        <v>5000</v>
      </c>
      <c r="N55" s="977">
        <v>93.800000000000011</v>
      </c>
      <c r="O55" s="980" t="s">
        <v>88</v>
      </c>
      <c r="P55" s="980">
        <v>9617.4</v>
      </c>
      <c r="Q55" s="979">
        <v>212551.30000000002</v>
      </c>
      <c r="R55" s="980">
        <v>104.4</v>
      </c>
      <c r="S55" s="980">
        <v>63</v>
      </c>
      <c r="T55" s="978">
        <v>52136.4</v>
      </c>
      <c r="U55" s="982">
        <v>457825.80000000005</v>
      </c>
    </row>
    <row r="56" spans="1:23" hidden="1">
      <c r="A56" s="113" t="s">
        <v>44</v>
      </c>
      <c r="B56" s="978">
        <v>30304.6</v>
      </c>
      <c r="C56" s="980">
        <v>111373.8</v>
      </c>
      <c r="D56" s="980" t="s">
        <v>88</v>
      </c>
      <c r="E56" s="978">
        <v>36005.4</v>
      </c>
      <c r="F56" s="981"/>
      <c r="G56" s="980">
        <v>5016.8</v>
      </c>
      <c r="H56" s="979" t="s">
        <v>88</v>
      </c>
      <c r="I56" s="982">
        <v>41022.200000000004</v>
      </c>
      <c r="J56" s="979">
        <v>2277.1999999999998</v>
      </c>
      <c r="K56" s="980" t="s">
        <v>88</v>
      </c>
      <c r="L56" s="980" t="s">
        <v>88</v>
      </c>
      <c r="M56" s="983" t="s">
        <v>88</v>
      </c>
      <c r="N56" s="977">
        <v>93.800000000000011</v>
      </c>
      <c r="O56" s="980" t="s">
        <v>88</v>
      </c>
      <c r="P56" s="980">
        <v>12825.8</v>
      </c>
      <c r="Q56" s="979">
        <v>224473.10000000003</v>
      </c>
      <c r="R56" s="980">
        <v>101.8</v>
      </c>
      <c r="S56" s="980">
        <v>67.8</v>
      </c>
      <c r="T56" s="978">
        <v>53126.900000000009</v>
      </c>
      <c r="U56" s="982">
        <v>475667</v>
      </c>
    </row>
    <row r="57" spans="1:23" hidden="1">
      <c r="A57" s="113" t="s">
        <v>45</v>
      </c>
      <c r="B57" s="978">
        <v>32386.9</v>
      </c>
      <c r="C57" s="980">
        <v>103087.9</v>
      </c>
      <c r="D57" s="980" t="s">
        <v>88</v>
      </c>
      <c r="E57" s="978">
        <v>29689.5</v>
      </c>
      <c r="F57" s="981"/>
      <c r="G57" s="980">
        <v>6465.3000000000011</v>
      </c>
      <c r="H57" s="979" t="s">
        <v>88</v>
      </c>
      <c r="I57" s="982">
        <v>36154.800000000003</v>
      </c>
      <c r="J57" s="979">
        <v>2215.1</v>
      </c>
      <c r="K57" s="980" t="s">
        <v>88</v>
      </c>
      <c r="L57" s="980" t="s">
        <v>88</v>
      </c>
      <c r="M57" s="983" t="s">
        <v>88</v>
      </c>
      <c r="N57" s="977">
        <v>93.800000000000011</v>
      </c>
      <c r="O57" s="980" t="s">
        <v>88</v>
      </c>
      <c r="P57" s="980">
        <v>23886.999999999996</v>
      </c>
      <c r="Q57" s="979">
        <v>232509.5</v>
      </c>
      <c r="R57" s="980">
        <v>102.39999999999999</v>
      </c>
      <c r="S57" s="980">
        <v>67.400000000000006</v>
      </c>
      <c r="T57" s="978">
        <v>55619</v>
      </c>
      <c r="U57" s="982">
        <v>486123.80000000005</v>
      </c>
    </row>
    <row r="58" spans="1:23" hidden="1">
      <c r="A58" s="113" t="s">
        <v>46</v>
      </c>
      <c r="B58" s="978">
        <v>28845</v>
      </c>
      <c r="C58" s="980">
        <v>113713.59999999999</v>
      </c>
      <c r="D58" s="980" t="s">
        <v>88</v>
      </c>
      <c r="E58" s="978">
        <v>29200</v>
      </c>
      <c r="F58" s="981"/>
      <c r="G58" s="980">
        <v>6751.5000000000009</v>
      </c>
      <c r="H58" s="979" t="s">
        <v>88</v>
      </c>
      <c r="I58" s="982">
        <v>35951.5</v>
      </c>
      <c r="J58" s="979">
        <v>2128.9</v>
      </c>
      <c r="K58" s="980" t="s">
        <v>88</v>
      </c>
      <c r="L58" s="980" t="s">
        <v>88</v>
      </c>
      <c r="M58" s="983" t="s">
        <v>88</v>
      </c>
      <c r="N58" s="977">
        <v>124.30000000000001</v>
      </c>
      <c r="O58" s="980" t="s">
        <v>88</v>
      </c>
      <c r="P58" s="980">
        <v>30258.5</v>
      </c>
      <c r="Q58" s="979">
        <v>236193.3</v>
      </c>
      <c r="R58" s="980">
        <v>90.899999999999991</v>
      </c>
      <c r="S58" s="980">
        <v>0</v>
      </c>
      <c r="T58" s="978">
        <v>58532.799999999996</v>
      </c>
      <c r="U58" s="982">
        <v>505838.8</v>
      </c>
    </row>
    <row r="59" spans="1:23" hidden="1">
      <c r="A59" s="113" t="s">
        <v>47</v>
      </c>
      <c r="B59" s="978">
        <v>30396.6</v>
      </c>
      <c r="C59" s="980">
        <v>134420.80000000002</v>
      </c>
      <c r="D59" s="980" t="s">
        <v>88</v>
      </c>
      <c r="E59" s="978">
        <v>36500</v>
      </c>
      <c r="F59" s="981"/>
      <c r="G59" s="980">
        <v>7561.0000000000009</v>
      </c>
      <c r="H59" s="979" t="s">
        <v>88</v>
      </c>
      <c r="I59" s="982">
        <v>44061</v>
      </c>
      <c r="J59" s="979">
        <v>1842</v>
      </c>
      <c r="K59" s="980" t="s">
        <v>88</v>
      </c>
      <c r="L59" s="980" t="s">
        <v>88</v>
      </c>
      <c r="M59" s="983" t="s">
        <v>88</v>
      </c>
      <c r="N59" s="977">
        <v>143.80000000000001</v>
      </c>
      <c r="O59" s="980" t="s">
        <v>88</v>
      </c>
      <c r="P59" s="980">
        <v>31527.8</v>
      </c>
      <c r="Q59" s="979">
        <v>240293.89999999997</v>
      </c>
      <c r="R59" s="980">
        <v>93</v>
      </c>
      <c r="S59" s="980">
        <v>273</v>
      </c>
      <c r="T59" s="978">
        <v>59577.4</v>
      </c>
      <c r="U59" s="982">
        <v>542629.29999999993</v>
      </c>
    </row>
    <row r="60" spans="1:23" hidden="1">
      <c r="A60" s="113" t="s">
        <v>48</v>
      </c>
      <c r="B60" s="978">
        <v>32910.1</v>
      </c>
      <c r="C60" s="980">
        <v>124242.09999999999</v>
      </c>
      <c r="D60" s="980" t="s">
        <v>88</v>
      </c>
      <c r="E60" s="978">
        <v>35500</v>
      </c>
      <c r="F60" s="981"/>
      <c r="G60" s="980">
        <v>7561.0000000000009</v>
      </c>
      <c r="H60" s="979" t="s">
        <v>88</v>
      </c>
      <c r="I60" s="982">
        <v>43061</v>
      </c>
      <c r="J60" s="979">
        <v>1854.3000000000002</v>
      </c>
      <c r="K60" s="980" t="s">
        <v>88</v>
      </c>
      <c r="L60" s="980" t="s">
        <v>88</v>
      </c>
      <c r="M60" s="983" t="s">
        <v>88</v>
      </c>
      <c r="N60" s="977">
        <v>143.80000000000001</v>
      </c>
      <c r="O60" s="980" t="s">
        <v>88</v>
      </c>
      <c r="P60" s="980">
        <v>27692.1</v>
      </c>
      <c r="Q60" s="979">
        <v>251835.69999999998</v>
      </c>
      <c r="R60" s="980">
        <v>129.9</v>
      </c>
      <c r="S60" s="980">
        <v>311.2</v>
      </c>
      <c r="T60" s="978">
        <v>62132.599999999991</v>
      </c>
      <c r="U60" s="982">
        <v>544312.80000000005</v>
      </c>
    </row>
    <row r="61" spans="1:23" hidden="1">
      <c r="A61" s="113" t="s">
        <v>49</v>
      </c>
      <c r="B61" s="978">
        <v>30964.199999999997</v>
      </c>
      <c r="C61" s="980">
        <v>129104.30000000002</v>
      </c>
      <c r="D61" s="980" t="s">
        <v>88</v>
      </c>
      <c r="E61" s="978">
        <v>42000</v>
      </c>
      <c r="F61" s="981"/>
      <c r="G61" s="980">
        <v>7561.0000000000009</v>
      </c>
      <c r="H61" s="979" t="s">
        <v>88</v>
      </c>
      <c r="I61" s="982">
        <v>49561</v>
      </c>
      <c r="J61" s="979">
        <v>1805.8000000000002</v>
      </c>
      <c r="K61" s="980" t="s">
        <v>88</v>
      </c>
      <c r="L61" s="980" t="s">
        <v>88</v>
      </c>
      <c r="M61" s="980">
        <v>1000</v>
      </c>
      <c r="N61" s="977">
        <v>143.80000000000001</v>
      </c>
      <c r="O61" s="980" t="s">
        <v>88</v>
      </c>
      <c r="P61" s="980">
        <v>24637.599999999999</v>
      </c>
      <c r="Q61" s="979">
        <v>250369.30000000002</v>
      </c>
      <c r="R61" s="980">
        <v>126.60000000000001</v>
      </c>
      <c r="S61" s="980">
        <v>352.9</v>
      </c>
      <c r="T61" s="978">
        <v>61264.400000000009</v>
      </c>
      <c r="U61" s="982">
        <v>549329.9</v>
      </c>
    </row>
    <row r="62" spans="1:23" hidden="1">
      <c r="A62" s="113" t="s">
        <v>50</v>
      </c>
      <c r="B62" s="978">
        <v>38257.899999999994</v>
      </c>
      <c r="C62" s="980">
        <v>125768.90000000001</v>
      </c>
      <c r="D62" s="980" t="s">
        <v>88</v>
      </c>
      <c r="E62" s="978">
        <v>51000</v>
      </c>
      <c r="F62" s="981"/>
      <c r="G62" s="980">
        <v>7561.0000000000009</v>
      </c>
      <c r="H62" s="979" t="s">
        <v>88</v>
      </c>
      <c r="I62" s="982">
        <v>58561</v>
      </c>
      <c r="J62" s="979">
        <v>1707.3000000000002</v>
      </c>
      <c r="K62" s="980" t="s">
        <v>88</v>
      </c>
      <c r="L62" s="980" t="s">
        <v>88</v>
      </c>
      <c r="M62" s="980">
        <v>12000</v>
      </c>
      <c r="N62" s="977">
        <v>143.80000000000001</v>
      </c>
      <c r="O62" s="980" t="s">
        <v>88</v>
      </c>
      <c r="P62" s="980">
        <v>21902.199999999997</v>
      </c>
      <c r="Q62" s="979">
        <v>245161.1</v>
      </c>
      <c r="R62" s="980">
        <v>120.8</v>
      </c>
      <c r="S62" s="980">
        <v>98.2</v>
      </c>
      <c r="T62" s="978">
        <v>58408.4</v>
      </c>
      <c r="U62" s="982">
        <v>562129.6</v>
      </c>
    </row>
    <row r="63" spans="1:23" hidden="1">
      <c r="A63" s="142"/>
      <c r="B63" s="952"/>
      <c r="C63" s="954"/>
      <c r="D63" s="954"/>
      <c r="E63" s="952"/>
      <c r="F63" s="955"/>
      <c r="G63" s="954"/>
      <c r="H63" s="953"/>
      <c r="I63" s="956"/>
      <c r="J63" s="953"/>
      <c r="K63" s="954"/>
      <c r="L63" s="954"/>
      <c r="M63" s="954"/>
      <c r="N63" s="951"/>
      <c r="O63" s="954"/>
      <c r="P63" s="954"/>
      <c r="Q63" s="953"/>
      <c r="R63" s="954"/>
      <c r="S63" s="954"/>
      <c r="T63" s="952"/>
      <c r="U63" s="956"/>
    </row>
    <row r="64" spans="1:23" hidden="1">
      <c r="A64" s="113" t="s">
        <v>59</v>
      </c>
      <c r="B64" s="985">
        <v>42070.7</v>
      </c>
      <c r="C64" s="987">
        <v>116140.49999999999</v>
      </c>
      <c r="D64" s="987" t="s">
        <v>88</v>
      </c>
      <c r="E64" s="985">
        <v>47900</v>
      </c>
      <c r="F64" s="988"/>
      <c r="G64" s="987">
        <v>7161.0000000000009</v>
      </c>
      <c r="H64" s="986" t="s">
        <v>88</v>
      </c>
      <c r="I64" s="989">
        <v>55061</v>
      </c>
      <c r="J64" s="986">
        <v>1638.8999999999999</v>
      </c>
      <c r="K64" s="987" t="s">
        <v>88</v>
      </c>
      <c r="L64" s="987" t="s">
        <v>88</v>
      </c>
      <c r="M64" s="987">
        <v>15000</v>
      </c>
      <c r="N64" s="984">
        <v>143.80000000000001</v>
      </c>
      <c r="O64" s="987" t="s">
        <v>88</v>
      </c>
      <c r="P64" s="987">
        <v>19756.399999999998</v>
      </c>
      <c r="Q64" s="986">
        <v>242298.69999999998</v>
      </c>
      <c r="R64" s="987">
        <v>116.7</v>
      </c>
      <c r="S64" s="987">
        <v>282.7</v>
      </c>
      <c r="T64" s="985">
        <v>62630.200000000004</v>
      </c>
      <c r="U64" s="989">
        <v>555139.6</v>
      </c>
    </row>
    <row r="65" spans="1:22" hidden="1">
      <c r="A65" s="113" t="s">
        <v>40</v>
      </c>
      <c r="B65" s="985">
        <v>39810.300000000003</v>
      </c>
      <c r="C65" s="987">
        <v>117864.69999999998</v>
      </c>
      <c r="D65" s="987" t="s">
        <v>88</v>
      </c>
      <c r="E65" s="985">
        <v>54900</v>
      </c>
      <c r="F65" s="988"/>
      <c r="G65" s="987">
        <v>7161.0000000000009</v>
      </c>
      <c r="H65" s="986" t="s">
        <v>88</v>
      </c>
      <c r="I65" s="989">
        <v>62061</v>
      </c>
      <c r="J65" s="986">
        <v>1538.3</v>
      </c>
      <c r="K65" s="987" t="s">
        <v>88</v>
      </c>
      <c r="L65" s="987" t="s">
        <v>88</v>
      </c>
      <c r="M65" s="987">
        <v>10000</v>
      </c>
      <c r="N65" s="984">
        <v>143.80000000000001</v>
      </c>
      <c r="O65" s="987" t="s">
        <v>88</v>
      </c>
      <c r="P65" s="987">
        <v>15966.599999999999</v>
      </c>
      <c r="Q65" s="986">
        <v>245776.80000000002</v>
      </c>
      <c r="R65" s="987">
        <v>130.70000000000002</v>
      </c>
      <c r="S65" s="987">
        <v>235.39999999999998</v>
      </c>
      <c r="T65" s="985">
        <v>64085.1</v>
      </c>
      <c r="U65" s="989">
        <v>557612.70000000007</v>
      </c>
    </row>
    <row r="66" spans="1:22" hidden="1">
      <c r="A66" s="113" t="s">
        <v>41</v>
      </c>
      <c r="B66" s="985">
        <v>33561.4</v>
      </c>
      <c r="C66" s="987">
        <v>120440.8</v>
      </c>
      <c r="D66" s="987" t="s">
        <v>88</v>
      </c>
      <c r="E66" s="985">
        <v>59092.7</v>
      </c>
      <c r="F66" s="988"/>
      <c r="G66" s="987">
        <v>7161.0000000000009</v>
      </c>
      <c r="H66" s="986" t="s">
        <v>88</v>
      </c>
      <c r="I66" s="989">
        <v>66253.7</v>
      </c>
      <c r="J66" s="986">
        <v>1427.8999999999999</v>
      </c>
      <c r="K66" s="987" t="s">
        <v>88</v>
      </c>
      <c r="L66" s="987" t="s">
        <v>88</v>
      </c>
      <c r="M66" s="987">
        <v>8300</v>
      </c>
      <c r="N66" s="984">
        <v>143.80000000000001</v>
      </c>
      <c r="O66" s="987" t="s">
        <v>88</v>
      </c>
      <c r="P66" s="987">
        <v>12670.300000000001</v>
      </c>
      <c r="Q66" s="986">
        <v>255547.6</v>
      </c>
      <c r="R66" s="987">
        <v>126.7</v>
      </c>
      <c r="S66" s="987">
        <v>87.1</v>
      </c>
      <c r="T66" s="985">
        <v>62039.899999999987</v>
      </c>
      <c r="U66" s="989">
        <v>560599.19999999995</v>
      </c>
    </row>
    <row r="67" spans="1:22" hidden="1">
      <c r="A67" s="113" t="s">
        <v>42</v>
      </c>
      <c r="B67" s="985">
        <v>38063.1</v>
      </c>
      <c r="C67" s="987">
        <v>126001.60000000001</v>
      </c>
      <c r="D67" s="987" t="s">
        <v>88</v>
      </c>
      <c r="E67" s="985">
        <v>59192.7</v>
      </c>
      <c r="F67" s="988"/>
      <c r="G67" s="987">
        <v>7161.0000000000009</v>
      </c>
      <c r="H67" s="986" t="s">
        <v>88</v>
      </c>
      <c r="I67" s="989">
        <v>66353.7</v>
      </c>
      <c r="J67" s="986">
        <v>1368.9</v>
      </c>
      <c r="K67" s="987" t="s">
        <v>88</v>
      </c>
      <c r="L67" s="987" t="s">
        <v>88</v>
      </c>
      <c r="M67" s="987">
        <v>1800</v>
      </c>
      <c r="N67" s="984">
        <v>143.80000000000001</v>
      </c>
      <c r="O67" s="987" t="s">
        <v>88</v>
      </c>
      <c r="P67" s="987">
        <v>11233.4</v>
      </c>
      <c r="Q67" s="986">
        <v>257451.09999999998</v>
      </c>
      <c r="R67" s="987">
        <v>152.1</v>
      </c>
      <c r="S67" s="987">
        <v>306</v>
      </c>
      <c r="T67" s="985">
        <v>64693.30000000001</v>
      </c>
      <c r="U67" s="989">
        <v>567567</v>
      </c>
    </row>
    <row r="68" spans="1:22" hidden="1">
      <c r="A68" s="113" t="s">
        <v>43</v>
      </c>
      <c r="B68" s="985">
        <v>38901.699999999997</v>
      </c>
      <c r="C68" s="987">
        <v>123079.29999999999</v>
      </c>
      <c r="D68" s="987" t="s">
        <v>88</v>
      </c>
      <c r="E68" s="985">
        <v>63192.7</v>
      </c>
      <c r="F68" s="988"/>
      <c r="G68" s="987">
        <v>7161.0000000000009</v>
      </c>
      <c r="H68" s="986" t="s">
        <v>88</v>
      </c>
      <c r="I68" s="989">
        <v>70353.7</v>
      </c>
      <c r="J68" s="986">
        <v>1262.3999999999999</v>
      </c>
      <c r="K68" s="987" t="s">
        <v>88</v>
      </c>
      <c r="L68" s="987" t="s">
        <v>88</v>
      </c>
      <c r="M68" s="994" t="s">
        <v>88</v>
      </c>
      <c r="N68" s="984">
        <v>143.80000000000001</v>
      </c>
      <c r="O68" s="987" t="s">
        <v>88</v>
      </c>
      <c r="P68" s="987">
        <v>9977.6</v>
      </c>
      <c r="Q68" s="986">
        <v>263722.7</v>
      </c>
      <c r="R68" s="987">
        <v>146.30000000000001</v>
      </c>
      <c r="S68" s="987">
        <v>626.5</v>
      </c>
      <c r="T68" s="985">
        <v>65782.200000000012</v>
      </c>
      <c r="U68" s="989">
        <v>573996.19999999995</v>
      </c>
    </row>
    <row r="69" spans="1:22" hidden="1">
      <c r="A69" s="113" t="s">
        <v>44</v>
      </c>
      <c r="B69" s="985">
        <v>51105.600000000006</v>
      </c>
      <c r="C69" s="987">
        <v>125767.2</v>
      </c>
      <c r="D69" s="987" t="s">
        <v>88</v>
      </c>
      <c r="E69" s="985">
        <v>60667.8</v>
      </c>
      <c r="F69" s="988"/>
      <c r="G69" s="987">
        <v>7161.0000000000009</v>
      </c>
      <c r="H69" s="986" t="s">
        <v>88</v>
      </c>
      <c r="I69" s="989">
        <v>67828.800000000003</v>
      </c>
      <c r="J69" s="986">
        <v>2038.4999999999995</v>
      </c>
      <c r="K69" s="987" t="s">
        <v>88</v>
      </c>
      <c r="L69" s="987" t="s">
        <v>88</v>
      </c>
      <c r="M69" s="994" t="s">
        <v>88</v>
      </c>
      <c r="N69" s="984">
        <v>143.80000000000001</v>
      </c>
      <c r="O69" s="987" t="s">
        <v>88</v>
      </c>
      <c r="P69" s="987">
        <v>10418.4</v>
      </c>
      <c r="Q69" s="986">
        <v>268644.39999999997</v>
      </c>
      <c r="R69" s="987">
        <v>142.10000000000002</v>
      </c>
      <c r="S69" s="987">
        <v>827.7</v>
      </c>
      <c r="T69" s="985">
        <v>65041.5</v>
      </c>
      <c r="U69" s="989">
        <v>591957.99999999988</v>
      </c>
    </row>
    <row r="70" spans="1:22" s="88" customFormat="1" hidden="1">
      <c r="A70" s="113" t="s">
        <v>45</v>
      </c>
      <c r="B70" s="990">
        <v>37025.5</v>
      </c>
      <c r="C70" s="992">
        <v>119354.19999999998</v>
      </c>
      <c r="D70" s="992" t="s">
        <v>88</v>
      </c>
      <c r="E70" s="990">
        <v>66000</v>
      </c>
      <c r="F70" s="993"/>
      <c r="G70" s="992">
        <v>7161.0000000000009</v>
      </c>
      <c r="H70" s="991" t="s">
        <v>88</v>
      </c>
      <c r="I70" s="989">
        <v>73161</v>
      </c>
      <c r="J70" s="991">
        <v>1065.8000000000002</v>
      </c>
      <c r="K70" s="992" t="s">
        <v>88</v>
      </c>
      <c r="L70" s="992" t="s">
        <v>88</v>
      </c>
      <c r="M70" s="994" t="s">
        <v>88</v>
      </c>
      <c r="N70" s="995">
        <v>143.80000000000001</v>
      </c>
      <c r="O70" s="987" t="s">
        <v>88</v>
      </c>
      <c r="P70" s="992">
        <v>14158.899999999998</v>
      </c>
      <c r="Q70" s="991">
        <v>272667.09999999998</v>
      </c>
      <c r="R70" s="992">
        <v>429.20000000000005</v>
      </c>
      <c r="S70" s="992">
        <v>838.30000000000007</v>
      </c>
      <c r="T70" s="990">
        <v>66477.399999999994</v>
      </c>
      <c r="U70" s="989">
        <v>585321.19999999995</v>
      </c>
      <c r="V70" s="69"/>
    </row>
    <row r="71" spans="1:22" s="88" customFormat="1" hidden="1">
      <c r="A71" s="113" t="s">
        <v>46</v>
      </c>
      <c r="B71" s="990">
        <v>40222.799999999996</v>
      </c>
      <c r="C71" s="992">
        <v>126943.29999999999</v>
      </c>
      <c r="D71" s="992" t="s">
        <v>88</v>
      </c>
      <c r="E71" s="990">
        <v>64700</v>
      </c>
      <c r="F71" s="993"/>
      <c r="G71" s="992">
        <v>7161.0000000000009</v>
      </c>
      <c r="H71" s="991" t="s">
        <v>88</v>
      </c>
      <c r="I71" s="989">
        <v>71861</v>
      </c>
      <c r="J71" s="991">
        <v>1005.8</v>
      </c>
      <c r="K71" s="992" t="s">
        <v>88</v>
      </c>
      <c r="L71" s="992" t="s">
        <v>88</v>
      </c>
      <c r="M71" s="994" t="s">
        <v>88</v>
      </c>
      <c r="N71" s="995">
        <v>143.80000000000001</v>
      </c>
      <c r="O71" s="987" t="s">
        <v>88</v>
      </c>
      <c r="P71" s="992">
        <v>16330.099999999999</v>
      </c>
      <c r="Q71" s="991">
        <v>275045.7</v>
      </c>
      <c r="R71" s="992">
        <v>405.20000000000005</v>
      </c>
      <c r="S71" s="992">
        <v>1129.6999999999998</v>
      </c>
      <c r="T71" s="990">
        <v>66356.100000000006</v>
      </c>
      <c r="U71" s="989">
        <v>599443.49999999988</v>
      </c>
      <c r="V71" s="69"/>
    </row>
    <row r="72" spans="1:22" hidden="1">
      <c r="A72" s="113" t="s">
        <v>47</v>
      </c>
      <c r="B72" s="985">
        <v>49397.799999999996</v>
      </c>
      <c r="C72" s="987">
        <v>125532.20000000001</v>
      </c>
      <c r="D72" s="987" t="s">
        <v>88</v>
      </c>
      <c r="E72" s="985">
        <v>70575.100000000006</v>
      </c>
      <c r="F72" s="988"/>
      <c r="G72" s="987">
        <v>7161.0000000000009</v>
      </c>
      <c r="H72" s="986" t="s">
        <v>88</v>
      </c>
      <c r="I72" s="989">
        <v>77736.100000000006</v>
      </c>
      <c r="J72" s="986">
        <v>987.1</v>
      </c>
      <c r="K72" s="987" t="s">
        <v>88</v>
      </c>
      <c r="L72" s="987" t="s">
        <v>88</v>
      </c>
      <c r="M72" s="994" t="s">
        <v>88</v>
      </c>
      <c r="N72" s="984">
        <v>143.80000000000001</v>
      </c>
      <c r="O72" s="987" t="s">
        <v>88</v>
      </c>
      <c r="P72" s="987">
        <v>13687.800000000001</v>
      </c>
      <c r="Q72" s="986">
        <v>286416.09999999998</v>
      </c>
      <c r="R72" s="987">
        <v>396.70000000000005</v>
      </c>
      <c r="S72" s="987">
        <v>1665.4999999999998</v>
      </c>
      <c r="T72" s="985">
        <v>67884.500000000015</v>
      </c>
      <c r="U72" s="989">
        <v>623847.59999999986</v>
      </c>
    </row>
    <row r="73" spans="1:22" hidden="1">
      <c r="A73" s="113" t="s">
        <v>48</v>
      </c>
      <c r="B73" s="985">
        <v>45854.5</v>
      </c>
      <c r="C73" s="987">
        <v>124128.7</v>
      </c>
      <c r="D73" s="987" t="s">
        <v>88</v>
      </c>
      <c r="E73" s="985">
        <v>71989.8</v>
      </c>
      <c r="F73" s="988"/>
      <c r="G73" s="987">
        <v>7161.0000000000009</v>
      </c>
      <c r="H73" s="986" t="s">
        <v>88</v>
      </c>
      <c r="I73" s="989">
        <v>79150.8</v>
      </c>
      <c r="J73" s="986">
        <v>926.2</v>
      </c>
      <c r="K73" s="987" t="s">
        <v>88</v>
      </c>
      <c r="L73" s="987" t="s">
        <v>88</v>
      </c>
      <c r="M73" s="994" t="s">
        <v>88</v>
      </c>
      <c r="N73" s="984">
        <v>143.80000000000001</v>
      </c>
      <c r="O73" s="987" t="s">
        <v>88</v>
      </c>
      <c r="P73" s="987">
        <v>12217.300000000001</v>
      </c>
      <c r="Q73" s="986">
        <v>294320.7</v>
      </c>
      <c r="R73" s="987">
        <v>295.3</v>
      </c>
      <c r="S73" s="987">
        <v>1750.3999999999999</v>
      </c>
      <c r="T73" s="985">
        <v>69995.5</v>
      </c>
      <c r="U73" s="989">
        <v>628783.20000000007</v>
      </c>
    </row>
    <row r="74" spans="1:22" hidden="1">
      <c r="A74" s="113" t="s">
        <v>49</v>
      </c>
      <c r="B74" s="985">
        <v>50102.299999999996</v>
      </c>
      <c r="C74" s="987">
        <v>130034.9</v>
      </c>
      <c r="D74" s="987" t="s">
        <v>88</v>
      </c>
      <c r="E74" s="985">
        <v>60028.5</v>
      </c>
      <c r="F74" s="988"/>
      <c r="G74" s="987">
        <v>7161.0000000000009</v>
      </c>
      <c r="H74" s="986" t="s">
        <v>88</v>
      </c>
      <c r="I74" s="989">
        <v>67189.5</v>
      </c>
      <c r="J74" s="986">
        <v>846.5</v>
      </c>
      <c r="K74" s="987" t="s">
        <v>88</v>
      </c>
      <c r="L74" s="987" t="s">
        <v>88</v>
      </c>
      <c r="M74" s="987">
        <v>5500</v>
      </c>
      <c r="N74" s="984">
        <v>143.80000000000001</v>
      </c>
      <c r="O74" s="987" t="s">
        <v>88</v>
      </c>
      <c r="P74" s="987">
        <v>9735.8999999999978</v>
      </c>
      <c r="Q74" s="986">
        <v>305076.30000000005</v>
      </c>
      <c r="R74" s="987">
        <v>277</v>
      </c>
      <c r="S74" s="987">
        <v>2165.7999999999997</v>
      </c>
      <c r="T74" s="985">
        <v>71142</v>
      </c>
      <c r="U74" s="989">
        <v>642214</v>
      </c>
    </row>
    <row r="75" spans="1:22" hidden="1">
      <c r="A75" s="113" t="s">
        <v>50</v>
      </c>
      <c r="B75" s="985">
        <v>68591.900000000009</v>
      </c>
      <c r="C75" s="987">
        <v>155769.00000000003</v>
      </c>
      <c r="D75" s="987" t="s">
        <v>88</v>
      </c>
      <c r="E75" s="985">
        <v>58200</v>
      </c>
      <c r="F75" s="988"/>
      <c r="G75" s="987">
        <v>7161.0000000000009</v>
      </c>
      <c r="H75" s="986" t="s">
        <v>88</v>
      </c>
      <c r="I75" s="989">
        <v>65361</v>
      </c>
      <c r="J75" s="986">
        <v>757.4</v>
      </c>
      <c r="K75" s="987" t="s">
        <v>88</v>
      </c>
      <c r="L75" s="987" t="s">
        <v>88</v>
      </c>
      <c r="M75" s="987">
        <v>10000</v>
      </c>
      <c r="N75" s="984">
        <v>143.80000000000001</v>
      </c>
      <c r="O75" s="987" t="s">
        <v>88</v>
      </c>
      <c r="P75" s="987">
        <v>8420.7000000000007</v>
      </c>
      <c r="Q75" s="986">
        <v>303472.59999999998</v>
      </c>
      <c r="R75" s="987">
        <v>497.1</v>
      </c>
      <c r="S75" s="987">
        <v>2391.6999999999998</v>
      </c>
      <c r="T75" s="985">
        <v>73905.5</v>
      </c>
      <c r="U75" s="989">
        <v>689310.7</v>
      </c>
    </row>
    <row r="76" spans="1:22" hidden="1">
      <c r="A76" s="113"/>
      <c r="B76" s="952"/>
      <c r="C76" s="954"/>
      <c r="D76" s="954"/>
      <c r="E76" s="952"/>
      <c r="F76" s="955"/>
      <c r="G76" s="954"/>
      <c r="H76" s="953"/>
      <c r="I76" s="956"/>
      <c r="J76" s="953"/>
      <c r="K76" s="954"/>
      <c r="L76" s="954"/>
      <c r="M76" s="954"/>
      <c r="N76" s="951"/>
      <c r="O76" s="954"/>
      <c r="P76" s="954"/>
      <c r="Q76" s="953"/>
      <c r="R76" s="954"/>
      <c r="S76" s="954"/>
      <c r="T76" s="952"/>
      <c r="U76" s="956"/>
    </row>
    <row r="77" spans="1:22" hidden="1">
      <c r="A77" s="113" t="s">
        <v>58</v>
      </c>
      <c r="B77" s="997">
        <v>59023.4</v>
      </c>
      <c r="C77" s="999">
        <v>153536.5</v>
      </c>
      <c r="D77" s="999" t="s">
        <v>88</v>
      </c>
      <c r="E77" s="997">
        <v>57000</v>
      </c>
      <c r="F77" s="1000"/>
      <c r="G77" s="999">
        <v>7161.0000000000009</v>
      </c>
      <c r="H77" s="998" t="s">
        <v>88</v>
      </c>
      <c r="I77" s="1001">
        <v>64161</v>
      </c>
      <c r="J77" s="998">
        <v>797.8</v>
      </c>
      <c r="K77" s="999" t="s">
        <v>88</v>
      </c>
      <c r="L77" s="999" t="s">
        <v>88</v>
      </c>
      <c r="M77" s="999">
        <v>21364</v>
      </c>
      <c r="N77" s="996">
        <v>143.80000000000001</v>
      </c>
      <c r="O77" s="999" t="s">
        <v>88</v>
      </c>
      <c r="P77" s="999">
        <v>6748.0999999999995</v>
      </c>
      <c r="Q77" s="998">
        <v>301198.90000000002</v>
      </c>
      <c r="R77" s="999">
        <v>363.6</v>
      </c>
      <c r="S77" s="999">
        <v>1341.7</v>
      </c>
      <c r="T77" s="997">
        <v>79819.100000000006</v>
      </c>
      <c r="U77" s="1001">
        <v>688497.89999999991</v>
      </c>
    </row>
    <row r="78" spans="1:22" hidden="1">
      <c r="A78" s="113" t="s">
        <v>40</v>
      </c>
      <c r="B78" s="997">
        <v>58807.9</v>
      </c>
      <c r="C78" s="999">
        <v>157687.9</v>
      </c>
      <c r="D78" s="999" t="s">
        <v>88</v>
      </c>
      <c r="E78" s="997">
        <v>57000</v>
      </c>
      <c r="F78" s="1000"/>
      <c r="G78" s="999">
        <v>7161.0000000000009</v>
      </c>
      <c r="H78" s="998" t="s">
        <v>88</v>
      </c>
      <c r="I78" s="1001">
        <v>64161</v>
      </c>
      <c r="J78" s="998">
        <v>726.1</v>
      </c>
      <c r="K78" s="999" t="s">
        <v>88</v>
      </c>
      <c r="L78" s="999" t="s">
        <v>88</v>
      </c>
      <c r="M78" s="999">
        <v>14000</v>
      </c>
      <c r="N78" s="996">
        <v>143.80000000000001</v>
      </c>
      <c r="O78" s="999" t="s">
        <v>88</v>
      </c>
      <c r="P78" s="999">
        <v>6518.1</v>
      </c>
      <c r="Q78" s="998">
        <v>312038.00000000006</v>
      </c>
      <c r="R78" s="999">
        <v>457.29999999999995</v>
      </c>
      <c r="S78" s="999">
        <v>1449.1</v>
      </c>
      <c r="T78" s="997">
        <v>79395.3</v>
      </c>
      <c r="U78" s="1001">
        <v>695384.50000000012</v>
      </c>
    </row>
    <row r="79" spans="1:22" hidden="1">
      <c r="A79" s="113" t="s">
        <v>41</v>
      </c>
      <c r="B79" s="997">
        <v>41604.9</v>
      </c>
      <c r="C79" s="999">
        <v>155722.80000000005</v>
      </c>
      <c r="D79" s="999" t="s">
        <v>88</v>
      </c>
      <c r="E79" s="997">
        <v>72183.7</v>
      </c>
      <c r="F79" s="1000"/>
      <c r="G79" s="999">
        <v>7161.0000000000009</v>
      </c>
      <c r="H79" s="998" t="s">
        <v>88</v>
      </c>
      <c r="I79" s="1001">
        <v>79344.7</v>
      </c>
      <c r="J79" s="998">
        <v>616.69999999999993</v>
      </c>
      <c r="K79" s="999" t="s">
        <v>88</v>
      </c>
      <c r="L79" s="999" t="s">
        <v>88</v>
      </c>
      <c r="M79" s="999">
        <v>22100.6</v>
      </c>
      <c r="N79" s="996">
        <v>143.80000000000001</v>
      </c>
      <c r="O79" s="999" t="s">
        <v>88</v>
      </c>
      <c r="P79" s="999">
        <v>6398.5000000000009</v>
      </c>
      <c r="Q79" s="998">
        <v>322743.2</v>
      </c>
      <c r="R79" s="999">
        <v>462.8</v>
      </c>
      <c r="S79" s="999">
        <v>1619.6000000000001</v>
      </c>
      <c r="T79" s="997">
        <v>78099.699999999983</v>
      </c>
      <c r="U79" s="1001">
        <v>708857.29999999993</v>
      </c>
    </row>
    <row r="80" spans="1:22" hidden="1">
      <c r="A80" s="113" t="s">
        <v>42</v>
      </c>
      <c r="B80" s="997">
        <v>57956.399999999994</v>
      </c>
      <c r="C80" s="999">
        <v>148851.90000000002</v>
      </c>
      <c r="D80" s="999" t="s">
        <v>88</v>
      </c>
      <c r="E80" s="997">
        <v>65991.899999999994</v>
      </c>
      <c r="F80" s="1000"/>
      <c r="G80" s="999">
        <v>7161.0000000000009</v>
      </c>
      <c r="H80" s="998" t="s">
        <v>88</v>
      </c>
      <c r="I80" s="1001">
        <v>73152.899999999994</v>
      </c>
      <c r="J80" s="998">
        <v>533.5</v>
      </c>
      <c r="K80" s="999" t="s">
        <v>88</v>
      </c>
      <c r="L80" s="999" t="s">
        <v>88</v>
      </c>
      <c r="M80" s="999">
        <v>8800.2999999999993</v>
      </c>
      <c r="N80" s="996">
        <v>143.80000000000001</v>
      </c>
      <c r="O80" s="999" t="s">
        <v>88</v>
      </c>
      <c r="P80" s="999">
        <v>6248.5</v>
      </c>
      <c r="Q80" s="998">
        <v>331088.7</v>
      </c>
      <c r="R80" s="999">
        <v>429.1</v>
      </c>
      <c r="S80" s="999">
        <v>1527.5</v>
      </c>
      <c r="T80" s="997">
        <v>77830.200000000012</v>
      </c>
      <c r="U80" s="1001">
        <v>706562.8</v>
      </c>
    </row>
    <row r="81" spans="1:23" hidden="1">
      <c r="A81" s="113" t="s">
        <v>43</v>
      </c>
      <c r="B81" s="997">
        <v>34285.599999999999</v>
      </c>
      <c r="C81" s="999">
        <v>136564.19999999998</v>
      </c>
      <c r="D81" s="999" t="s">
        <v>88</v>
      </c>
      <c r="E81" s="997">
        <v>70497.5</v>
      </c>
      <c r="F81" s="1000"/>
      <c r="G81" s="999">
        <v>16160.999999999998</v>
      </c>
      <c r="H81" s="998" t="s">
        <v>88</v>
      </c>
      <c r="I81" s="1001">
        <v>86658.5</v>
      </c>
      <c r="J81" s="998">
        <v>506.4</v>
      </c>
      <c r="K81" s="999" t="s">
        <v>88</v>
      </c>
      <c r="L81" s="999" t="s">
        <v>88</v>
      </c>
      <c r="M81" s="1002" t="s">
        <v>88</v>
      </c>
      <c r="N81" s="996">
        <v>143.80000000000001</v>
      </c>
      <c r="O81" s="999" t="s">
        <v>88</v>
      </c>
      <c r="P81" s="999">
        <v>8239.9</v>
      </c>
      <c r="Q81" s="998">
        <v>336254</v>
      </c>
      <c r="R81" s="999">
        <v>595.79999999999995</v>
      </c>
      <c r="S81" s="999">
        <v>1637.3</v>
      </c>
      <c r="T81" s="997">
        <v>78673.199999999983</v>
      </c>
      <c r="U81" s="1001">
        <v>683558.7</v>
      </c>
    </row>
    <row r="82" spans="1:23" hidden="1">
      <c r="A82" s="113" t="s">
        <v>44</v>
      </c>
      <c r="B82" s="997">
        <v>40914.600000000006</v>
      </c>
      <c r="C82" s="999">
        <v>139243.59999999998</v>
      </c>
      <c r="D82" s="999" t="s">
        <v>88</v>
      </c>
      <c r="E82" s="997">
        <v>62840.5</v>
      </c>
      <c r="F82" s="1000"/>
      <c r="G82" s="999">
        <v>16160.999999999998</v>
      </c>
      <c r="H82" s="998" t="s">
        <v>88</v>
      </c>
      <c r="I82" s="1001">
        <v>79001.5</v>
      </c>
      <c r="J82" s="998">
        <v>451.90000000000003</v>
      </c>
      <c r="K82" s="999" t="s">
        <v>88</v>
      </c>
      <c r="L82" s="999" t="s">
        <v>88</v>
      </c>
      <c r="M82" s="1002" t="s">
        <v>88</v>
      </c>
      <c r="N82" s="996">
        <v>143.80000000000001</v>
      </c>
      <c r="O82" s="999" t="s">
        <v>88</v>
      </c>
      <c r="P82" s="999">
        <v>9769</v>
      </c>
      <c r="Q82" s="998">
        <v>358165.3</v>
      </c>
      <c r="R82" s="999">
        <v>512.09999999999991</v>
      </c>
      <c r="S82" s="999">
        <v>1954.1</v>
      </c>
      <c r="T82" s="997">
        <v>82945.7</v>
      </c>
      <c r="U82" s="1001">
        <v>713101.59999999986</v>
      </c>
    </row>
    <row r="83" spans="1:23" hidden="1">
      <c r="A83" s="113" t="s">
        <v>45</v>
      </c>
      <c r="B83" s="997">
        <v>41064.700000000004</v>
      </c>
      <c r="C83" s="999">
        <v>148565.79999999999</v>
      </c>
      <c r="D83" s="999" t="s">
        <v>88</v>
      </c>
      <c r="E83" s="997">
        <v>60717.5</v>
      </c>
      <c r="F83" s="1000"/>
      <c r="G83" s="999">
        <v>16160.999999999998</v>
      </c>
      <c r="H83" s="998" t="s">
        <v>88</v>
      </c>
      <c r="I83" s="1001">
        <v>76878.5</v>
      </c>
      <c r="J83" s="998">
        <v>424</v>
      </c>
      <c r="K83" s="999" t="s">
        <v>88</v>
      </c>
      <c r="L83" s="999" t="s">
        <v>88</v>
      </c>
      <c r="M83" s="1002" t="s">
        <v>88</v>
      </c>
      <c r="N83" s="996">
        <v>143.80000000000001</v>
      </c>
      <c r="O83" s="999" t="s">
        <v>88</v>
      </c>
      <c r="P83" s="999">
        <v>24217.7</v>
      </c>
      <c r="Q83" s="998">
        <v>359737.30000000005</v>
      </c>
      <c r="R83" s="999">
        <v>677.2</v>
      </c>
      <c r="S83" s="999">
        <v>1928.9</v>
      </c>
      <c r="T83" s="997">
        <v>80987.3</v>
      </c>
      <c r="U83" s="1001">
        <v>734625.20000000007</v>
      </c>
    </row>
    <row r="84" spans="1:23" hidden="1">
      <c r="A84" s="113" t="s">
        <v>46</v>
      </c>
      <c r="B84" s="997">
        <v>48266.3</v>
      </c>
      <c r="C84" s="999">
        <v>137763</v>
      </c>
      <c r="D84" s="999" t="s">
        <v>88</v>
      </c>
      <c r="E84" s="997">
        <v>71082</v>
      </c>
      <c r="F84" s="1000"/>
      <c r="G84" s="999">
        <v>16160.999999999998</v>
      </c>
      <c r="H84" s="998" t="s">
        <v>88</v>
      </c>
      <c r="I84" s="1001">
        <v>87243</v>
      </c>
      <c r="J84" s="998">
        <v>404.8</v>
      </c>
      <c r="K84" s="999" t="s">
        <v>88</v>
      </c>
      <c r="L84" s="999" t="s">
        <v>88</v>
      </c>
      <c r="M84" s="1002" t="s">
        <v>88</v>
      </c>
      <c r="N84" s="996">
        <v>143.80000000000001</v>
      </c>
      <c r="O84" s="999" t="s">
        <v>88</v>
      </c>
      <c r="P84" s="999">
        <v>24152.2</v>
      </c>
      <c r="Q84" s="998">
        <v>371931.59999999992</v>
      </c>
      <c r="R84" s="999">
        <v>678.59999999999991</v>
      </c>
      <c r="S84" s="999">
        <v>1955.9</v>
      </c>
      <c r="T84" s="997">
        <v>80627.299999999988</v>
      </c>
      <c r="U84" s="1001">
        <v>753166.5</v>
      </c>
    </row>
    <row r="85" spans="1:23" hidden="1">
      <c r="A85" s="113" t="s">
        <v>47</v>
      </c>
      <c r="B85" s="997">
        <v>46143</v>
      </c>
      <c r="C85" s="999">
        <v>135528.9</v>
      </c>
      <c r="D85" s="999" t="s">
        <v>88</v>
      </c>
      <c r="E85" s="997">
        <v>81448.100000000006</v>
      </c>
      <c r="F85" s="1000"/>
      <c r="G85" s="999">
        <v>16160.999999999998</v>
      </c>
      <c r="H85" s="998" t="s">
        <v>88</v>
      </c>
      <c r="I85" s="1001">
        <v>97609.1</v>
      </c>
      <c r="J85" s="998">
        <v>357.49999999999994</v>
      </c>
      <c r="K85" s="999" t="s">
        <v>88</v>
      </c>
      <c r="L85" s="999" t="s">
        <v>88</v>
      </c>
      <c r="M85" s="999">
        <v>2000</v>
      </c>
      <c r="N85" s="996">
        <v>143.80000000000001</v>
      </c>
      <c r="O85" s="999" t="s">
        <v>88</v>
      </c>
      <c r="P85" s="999">
        <v>21134.6</v>
      </c>
      <c r="Q85" s="998">
        <v>380490.19999999995</v>
      </c>
      <c r="R85" s="999">
        <v>647.79999999999995</v>
      </c>
      <c r="S85" s="999">
        <v>2067.8000000000002</v>
      </c>
      <c r="T85" s="997">
        <v>80095.800000000017</v>
      </c>
      <c r="U85" s="1001">
        <v>766218.5</v>
      </c>
    </row>
    <row r="86" spans="1:23" hidden="1">
      <c r="A86" s="113" t="s">
        <v>48</v>
      </c>
      <c r="B86" s="997">
        <v>32112.5</v>
      </c>
      <c r="C86" s="999">
        <v>148423.1</v>
      </c>
      <c r="D86" s="999" t="s">
        <v>88</v>
      </c>
      <c r="E86" s="997">
        <v>92104.2</v>
      </c>
      <c r="F86" s="1000"/>
      <c r="G86" s="999">
        <v>16160.999999999998</v>
      </c>
      <c r="H86" s="998" t="s">
        <v>88</v>
      </c>
      <c r="I86" s="1001">
        <v>108265.2</v>
      </c>
      <c r="J86" s="998">
        <v>293.59999999999997</v>
      </c>
      <c r="K86" s="999" t="s">
        <v>88</v>
      </c>
      <c r="L86" s="999" t="s">
        <v>88</v>
      </c>
      <c r="M86" s="1002" t="s">
        <v>88</v>
      </c>
      <c r="N86" s="996">
        <v>143.80000000000001</v>
      </c>
      <c r="O86" s="999" t="s">
        <v>88</v>
      </c>
      <c r="P86" s="999">
        <v>17126</v>
      </c>
      <c r="Q86" s="998">
        <v>387153.49999999994</v>
      </c>
      <c r="R86" s="999">
        <v>656.2</v>
      </c>
      <c r="S86" s="999">
        <v>1983.4</v>
      </c>
      <c r="T86" s="997">
        <v>82538.900000000009</v>
      </c>
      <c r="U86" s="1001">
        <v>778696.2</v>
      </c>
    </row>
    <row r="87" spans="1:23" hidden="1">
      <c r="A87" s="113" t="s">
        <v>49</v>
      </c>
      <c r="B87" s="997">
        <v>47866.7</v>
      </c>
      <c r="C87" s="999">
        <v>150072.59999999998</v>
      </c>
      <c r="D87" s="999" t="s">
        <v>88</v>
      </c>
      <c r="E87" s="997">
        <v>90996.2</v>
      </c>
      <c r="F87" s="1000"/>
      <c r="G87" s="999">
        <v>16160.999999999998</v>
      </c>
      <c r="H87" s="998" t="s">
        <v>88</v>
      </c>
      <c r="I87" s="1001">
        <v>107157.2</v>
      </c>
      <c r="J87" s="998">
        <v>266.90000000000003</v>
      </c>
      <c r="K87" s="999" t="s">
        <v>88</v>
      </c>
      <c r="L87" s="999" t="s">
        <v>88</v>
      </c>
      <c r="M87" s="1002" t="s">
        <v>88</v>
      </c>
      <c r="N87" s="996">
        <v>143.80000000000001</v>
      </c>
      <c r="O87" s="999" t="s">
        <v>88</v>
      </c>
      <c r="P87" s="999">
        <v>12767.9</v>
      </c>
      <c r="Q87" s="998">
        <v>389884.4</v>
      </c>
      <c r="R87" s="999">
        <v>620.79999999999995</v>
      </c>
      <c r="S87" s="999">
        <v>2119.6999999999998</v>
      </c>
      <c r="T87" s="997">
        <v>82958.499999999985</v>
      </c>
      <c r="U87" s="1001">
        <v>793858.5</v>
      </c>
    </row>
    <row r="88" spans="1:23" hidden="1">
      <c r="A88" s="113" t="s">
        <v>50</v>
      </c>
      <c r="B88" s="997">
        <v>64325.80000000001</v>
      </c>
      <c r="C88" s="999">
        <v>162923</v>
      </c>
      <c r="D88" s="999" t="s">
        <v>88</v>
      </c>
      <c r="E88" s="997">
        <v>92120.1</v>
      </c>
      <c r="F88" s="1000"/>
      <c r="G88" s="999">
        <v>16984.399999999998</v>
      </c>
      <c r="H88" s="998" t="s">
        <v>88</v>
      </c>
      <c r="I88" s="1001">
        <v>109104.5</v>
      </c>
      <c r="J88" s="998">
        <v>278.5</v>
      </c>
      <c r="K88" s="999" t="s">
        <v>88</v>
      </c>
      <c r="L88" s="999" t="s">
        <v>88</v>
      </c>
      <c r="M88" s="999">
        <v>6000</v>
      </c>
      <c r="N88" s="996">
        <v>143.80000000000001</v>
      </c>
      <c r="O88" s="999" t="s">
        <v>88</v>
      </c>
      <c r="P88" s="999">
        <v>8662.2000000000007</v>
      </c>
      <c r="Q88" s="998">
        <v>394556.39999999997</v>
      </c>
      <c r="R88" s="999">
        <v>599.4</v>
      </c>
      <c r="S88" s="999">
        <v>2295.6</v>
      </c>
      <c r="T88" s="997">
        <v>91657.7</v>
      </c>
      <c r="U88" s="1001">
        <v>840546.89999999991</v>
      </c>
    </row>
    <row r="89" spans="1:23" hidden="1">
      <c r="A89" s="113"/>
      <c r="B89" s="952"/>
      <c r="C89" s="954"/>
      <c r="D89" s="954"/>
      <c r="E89" s="952"/>
      <c r="F89" s="955"/>
      <c r="G89" s="954"/>
      <c r="H89" s="953"/>
      <c r="I89" s="956"/>
      <c r="J89" s="953"/>
      <c r="K89" s="954"/>
      <c r="L89" s="954"/>
      <c r="M89" s="954"/>
      <c r="N89" s="951"/>
      <c r="O89" s="954"/>
      <c r="P89" s="954"/>
      <c r="Q89" s="953"/>
      <c r="R89" s="954"/>
      <c r="S89" s="954"/>
      <c r="T89" s="952"/>
      <c r="U89" s="956"/>
    </row>
    <row r="90" spans="1:23" s="88" customFormat="1" hidden="1">
      <c r="A90" s="113" t="s">
        <v>57</v>
      </c>
      <c r="B90" s="1005">
        <v>59951.9</v>
      </c>
      <c r="C90" s="1007">
        <v>152646.00000000003</v>
      </c>
      <c r="D90" s="1007" t="s">
        <v>88</v>
      </c>
      <c r="E90" s="1005">
        <v>103137.60000000001</v>
      </c>
      <c r="F90" s="1008"/>
      <c r="G90" s="1007">
        <v>16984.399999999998</v>
      </c>
      <c r="H90" s="1006" t="s">
        <v>88</v>
      </c>
      <c r="I90" s="1009">
        <v>120122</v>
      </c>
      <c r="J90" s="1006">
        <v>815.1</v>
      </c>
      <c r="K90" s="1007" t="s">
        <v>88</v>
      </c>
      <c r="L90" s="1007" t="s">
        <v>88</v>
      </c>
      <c r="M90" s="1007">
        <v>4500</v>
      </c>
      <c r="N90" s="1011">
        <v>143.80000000000001</v>
      </c>
      <c r="O90" s="1003" t="s">
        <v>88</v>
      </c>
      <c r="P90" s="1007">
        <v>7586.4</v>
      </c>
      <c r="Q90" s="1006">
        <v>396132.5</v>
      </c>
      <c r="R90" s="1007">
        <v>588.79999999999995</v>
      </c>
      <c r="S90" s="1007">
        <v>2330.3000000000002</v>
      </c>
      <c r="T90" s="1005">
        <v>91202.5</v>
      </c>
      <c r="U90" s="1004">
        <v>836019.3</v>
      </c>
      <c r="V90" s="69"/>
      <c r="W90" s="268"/>
    </row>
    <row r="91" spans="1:23" s="88" customFormat="1" hidden="1">
      <c r="A91" s="113" t="s">
        <v>40</v>
      </c>
      <c r="B91" s="1005">
        <v>43718.9</v>
      </c>
      <c r="C91" s="1007">
        <v>149996.80000000002</v>
      </c>
      <c r="D91" s="1007" t="s">
        <v>88</v>
      </c>
      <c r="E91" s="1005">
        <v>113042.3</v>
      </c>
      <c r="F91" s="1008"/>
      <c r="G91" s="1007">
        <v>16984.399999999998</v>
      </c>
      <c r="H91" s="1006" t="s">
        <v>88</v>
      </c>
      <c r="I91" s="1009">
        <v>130026.7</v>
      </c>
      <c r="J91" s="1006">
        <v>757.4</v>
      </c>
      <c r="K91" s="1007" t="s">
        <v>88</v>
      </c>
      <c r="L91" s="1007" t="s">
        <v>88</v>
      </c>
      <c r="M91" s="1007">
        <v>2923</v>
      </c>
      <c r="N91" s="1011">
        <v>143.80000000000001</v>
      </c>
      <c r="O91" s="1003" t="s">
        <v>88</v>
      </c>
      <c r="P91" s="1007">
        <v>7224.9000000000005</v>
      </c>
      <c r="Q91" s="1006">
        <v>409113.09999999992</v>
      </c>
      <c r="R91" s="1007">
        <v>508.4</v>
      </c>
      <c r="S91" s="1007">
        <v>2408</v>
      </c>
      <c r="T91" s="1005">
        <v>94963</v>
      </c>
      <c r="U91" s="1004">
        <v>841784</v>
      </c>
      <c r="V91" s="69"/>
      <c r="W91" s="268"/>
    </row>
    <row r="92" spans="1:23" s="88" customFormat="1" hidden="1">
      <c r="A92" s="113" t="s">
        <v>41</v>
      </c>
      <c r="B92" s="1005">
        <v>53520.800000000003</v>
      </c>
      <c r="C92" s="1007">
        <v>143485.69999999995</v>
      </c>
      <c r="D92" s="1007" t="s">
        <v>88</v>
      </c>
      <c r="E92" s="1005">
        <v>102581.9</v>
      </c>
      <c r="F92" s="1008"/>
      <c r="G92" s="1007">
        <v>16984.399999999998</v>
      </c>
      <c r="H92" s="1006" t="s">
        <v>88</v>
      </c>
      <c r="I92" s="1009">
        <v>119566.29999999999</v>
      </c>
      <c r="J92" s="1006">
        <v>975.1</v>
      </c>
      <c r="K92" s="1007" t="s">
        <v>88</v>
      </c>
      <c r="L92" s="1007" t="s">
        <v>88</v>
      </c>
      <c r="M92" s="1007">
        <v>5491.5</v>
      </c>
      <c r="N92" s="1011">
        <v>143.80000000000001</v>
      </c>
      <c r="O92" s="1003" t="s">
        <v>88</v>
      </c>
      <c r="P92" s="1007">
        <v>6451</v>
      </c>
      <c r="Q92" s="1006">
        <v>423693.89999999997</v>
      </c>
      <c r="R92" s="1007">
        <v>599</v>
      </c>
      <c r="S92" s="1007">
        <v>1881.4</v>
      </c>
      <c r="T92" s="1005">
        <v>89764.200000000012</v>
      </c>
      <c r="U92" s="1004">
        <v>845572.7</v>
      </c>
      <c r="V92" s="69"/>
      <c r="W92" s="268"/>
    </row>
    <row r="93" spans="1:23" s="88" customFormat="1" hidden="1">
      <c r="A93" s="113" t="s">
        <v>42</v>
      </c>
      <c r="B93" s="1005">
        <v>47387.9</v>
      </c>
      <c r="C93" s="1007">
        <v>142072.69999999998</v>
      </c>
      <c r="D93" s="1007" t="s">
        <v>88</v>
      </c>
      <c r="E93" s="1005">
        <v>104981.70000000001</v>
      </c>
      <c r="F93" s="1008"/>
      <c r="G93" s="1007">
        <v>16984.399999999998</v>
      </c>
      <c r="H93" s="1006" t="s">
        <v>88</v>
      </c>
      <c r="I93" s="1009">
        <v>121966.1</v>
      </c>
      <c r="J93" s="1006">
        <v>825.19999999999993</v>
      </c>
      <c r="K93" s="1007" t="s">
        <v>88</v>
      </c>
      <c r="L93" s="1007" t="s">
        <v>88</v>
      </c>
      <c r="M93" s="1010" t="s">
        <v>88</v>
      </c>
      <c r="N93" s="1011">
        <v>143.80000000000001</v>
      </c>
      <c r="O93" s="1003" t="s">
        <v>88</v>
      </c>
      <c r="P93" s="1007">
        <v>5040.1000000000013</v>
      </c>
      <c r="Q93" s="1006">
        <v>432601.19999999995</v>
      </c>
      <c r="R93" s="1007">
        <v>583.59999999999991</v>
      </c>
      <c r="S93" s="1007">
        <v>1897</v>
      </c>
      <c r="T93" s="1005">
        <v>87475.7</v>
      </c>
      <c r="U93" s="1004">
        <v>839993.29999999981</v>
      </c>
      <c r="V93" s="69"/>
      <c r="W93" s="268"/>
    </row>
    <row r="94" spans="1:23" s="88" customFormat="1" hidden="1">
      <c r="A94" s="113" t="s">
        <v>43</v>
      </c>
      <c r="B94" s="1005">
        <v>43445.600000000006</v>
      </c>
      <c r="C94" s="1007">
        <v>136429.60000000003</v>
      </c>
      <c r="D94" s="1007" t="s">
        <v>88</v>
      </c>
      <c r="E94" s="1005">
        <v>107255.79999999999</v>
      </c>
      <c r="F94" s="1008"/>
      <c r="G94" s="1007">
        <v>16984.399999999998</v>
      </c>
      <c r="H94" s="1006" t="s">
        <v>88</v>
      </c>
      <c r="I94" s="1009">
        <v>124240.19999999998</v>
      </c>
      <c r="J94" s="1006">
        <v>2888.5</v>
      </c>
      <c r="K94" s="1007" t="s">
        <v>88</v>
      </c>
      <c r="L94" s="1007" t="s">
        <v>88</v>
      </c>
      <c r="M94" s="1010" t="s">
        <v>88</v>
      </c>
      <c r="N94" s="1011">
        <v>143.80000000000001</v>
      </c>
      <c r="O94" s="1003" t="s">
        <v>88</v>
      </c>
      <c r="P94" s="1007">
        <v>4953.6000000000013</v>
      </c>
      <c r="Q94" s="1006">
        <v>451161.8</v>
      </c>
      <c r="R94" s="1007">
        <v>631.5</v>
      </c>
      <c r="S94" s="1007">
        <v>1878.1000000000001</v>
      </c>
      <c r="T94" s="1005">
        <v>89516.2</v>
      </c>
      <c r="U94" s="1004">
        <v>855288.89999999991</v>
      </c>
      <c r="V94" s="69"/>
      <c r="W94" s="268"/>
    </row>
    <row r="95" spans="1:23" s="88" customFormat="1" hidden="1">
      <c r="A95" s="113" t="s">
        <v>44</v>
      </c>
      <c r="B95" s="1005">
        <v>45520.2</v>
      </c>
      <c r="C95" s="1007">
        <v>129712.2</v>
      </c>
      <c r="D95" s="1007" t="s">
        <v>88</v>
      </c>
      <c r="E95" s="1005">
        <v>100456.5</v>
      </c>
      <c r="F95" s="1008"/>
      <c r="G95" s="1007">
        <v>16984.399999999998</v>
      </c>
      <c r="H95" s="1006" t="s">
        <v>88</v>
      </c>
      <c r="I95" s="1009">
        <v>117440.9</v>
      </c>
      <c r="J95" s="1006">
        <v>2808.8</v>
      </c>
      <c r="K95" s="1007" t="s">
        <v>88</v>
      </c>
      <c r="L95" s="1007" t="s">
        <v>88</v>
      </c>
      <c r="M95" s="1010" t="s">
        <v>88</v>
      </c>
      <c r="N95" s="1011">
        <v>182.10000000000002</v>
      </c>
      <c r="O95" s="1003" t="s">
        <v>88</v>
      </c>
      <c r="P95" s="1007">
        <v>5128.5000000000009</v>
      </c>
      <c r="Q95" s="1006">
        <v>479838.10000000003</v>
      </c>
      <c r="R95" s="1007">
        <v>597.5</v>
      </c>
      <c r="S95" s="1007">
        <v>1906.3</v>
      </c>
      <c r="T95" s="1005">
        <v>88915.099999999991</v>
      </c>
      <c r="U95" s="1004">
        <v>872049.70000000007</v>
      </c>
      <c r="V95" s="69"/>
      <c r="W95" s="268"/>
    </row>
    <row r="96" spans="1:23" s="88" customFormat="1" hidden="1">
      <c r="A96" s="113" t="s">
        <v>45</v>
      </c>
      <c r="B96" s="1005">
        <v>44413</v>
      </c>
      <c r="C96" s="1007">
        <v>136658.50000000003</v>
      </c>
      <c r="D96" s="1007" t="s">
        <v>88</v>
      </c>
      <c r="E96" s="1005">
        <v>102556.5</v>
      </c>
      <c r="F96" s="1008"/>
      <c r="G96" s="1007">
        <v>16984.399999999998</v>
      </c>
      <c r="H96" s="1006" t="s">
        <v>88</v>
      </c>
      <c r="I96" s="1009">
        <v>119540.9</v>
      </c>
      <c r="J96" s="1006">
        <v>2847.5</v>
      </c>
      <c r="K96" s="1007" t="s">
        <v>88</v>
      </c>
      <c r="L96" s="1007" t="s">
        <v>88</v>
      </c>
      <c r="M96" s="1010" t="s">
        <v>88</v>
      </c>
      <c r="N96" s="1011">
        <v>176.8</v>
      </c>
      <c r="O96" s="1003" t="s">
        <v>88</v>
      </c>
      <c r="P96" s="1007">
        <v>8143.5</v>
      </c>
      <c r="Q96" s="1006">
        <v>494390.3</v>
      </c>
      <c r="R96" s="1007">
        <v>599.99999999999989</v>
      </c>
      <c r="S96" s="1007">
        <v>1772.2</v>
      </c>
      <c r="T96" s="1005">
        <v>90493.500000000015</v>
      </c>
      <c r="U96" s="1004">
        <v>899036.2</v>
      </c>
      <c r="V96" s="69"/>
      <c r="W96" s="268"/>
    </row>
    <row r="97" spans="1:23" s="88" customFormat="1" hidden="1">
      <c r="A97" s="113" t="s">
        <v>46</v>
      </c>
      <c r="B97" s="1005">
        <v>55812.700000000004</v>
      </c>
      <c r="C97" s="1007">
        <v>137401.50000000003</v>
      </c>
      <c r="D97" s="1007" t="s">
        <v>88</v>
      </c>
      <c r="E97" s="1005">
        <v>87200</v>
      </c>
      <c r="F97" s="1008"/>
      <c r="G97" s="1007">
        <v>16984.399999999998</v>
      </c>
      <c r="H97" s="1006" t="s">
        <v>88</v>
      </c>
      <c r="I97" s="1009">
        <v>104184.4</v>
      </c>
      <c r="J97" s="1006">
        <v>2747.4</v>
      </c>
      <c r="K97" s="1007" t="s">
        <v>88</v>
      </c>
      <c r="L97" s="1007" t="s">
        <v>88</v>
      </c>
      <c r="M97" s="1010" t="s">
        <v>88</v>
      </c>
      <c r="N97" s="1011">
        <v>143.80000000000001</v>
      </c>
      <c r="O97" s="1003" t="s">
        <v>88</v>
      </c>
      <c r="P97" s="1007">
        <v>10437.800000000001</v>
      </c>
      <c r="Q97" s="1006">
        <v>510245.60000000003</v>
      </c>
      <c r="R97" s="1007">
        <v>573.4</v>
      </c>
      <c r="S97" s="1007">
        <v>1772.2</v>
      </c>
      <c r="T97" s="1005">
        <v>92092.599999999991</v>
      </c>
      <c r="U97" s="1004">
        <v>915411.4</v>
      </c>
      <c r="V97" s="69"/>
      <c r="W97" s="268"/>
    </row>
    <row r="98" spans="1:23" s="88" customFormat="1" hidden="1">
      <c r="A98" s="113" t="s">
        <v>47</v>
      </c>
      <c r="B98" s="1005">
        <v>50929.899999999994</v>
      </c>
      <c r="C98" s="1007">
        <v>129686.30000000002</v>
      </c>
      <c r="D98" s="1007" t="s">
        <v>88</v>
      </c>
      <c r="E98" s="1005">
        <v>90000</v>
      </c>
      <c r="F98" s="1008"/>
      <c r="G98" s="1007">
        <v>16984.399999999998</v>
      </c>
      <c r="H98" s="1006" t="s">
        <v>88</v>
      </c>
      <c r="I98" s="1009">
        <v>106984.4</v>
      </c>
      <c r="J98" s="1006">
        <v>2724.8</v>
      </c>
      <c r="K98" s="1007" t="s">
        <v>88</v>
      </c>
      <c r="L98" s="1007" t="s">
        <v>88</v>
      </c>
      <c r="M98" s="1010" t="s">
        <v>88</v>
      </c>
      <c r="N98" s="1011">
        <v>143.80000000000001</v>
      </c>
      <c r="O98" s="1003" t="s">
        <v>88</v>
      </c>
      <c r="P98" s="1007">
        <v>8462.1</v>
      </c>
      <c r="Q98" s="1006">
        <v>518751.39999999997</v>
      </c>
      <c r="R98" s="1007">
        <v>1019.5999999999999</v>
      </c>
      <c r="S98" s="1007">
        <v>1772.2</v>
      </c>
      <c r="T98" s="1005">
        <v>89726.5</v>
      </c>
      <c r="U98" s="1004">
        <v>910200.99999999988</v>
      </c>
      <c r="V98" s="69"/>
      <c r="W98" s="268"/>
    </row>
    <row r="99" spans="1:23" s="88" customFormat="1" hidden="1">
      <c r="A99" s="113" t="s">
        <v>48</v>
      </c>
      <c r="B99" s="1005">
        <v>41834.400000000001</v>
      </c>
      <c r="C99" s="1007">
        <v>138503.9</v>
      </c>
      <c r="D99" s="1007" t="s">
        <v>88</v>
      </c>
      <c r="E99" s="1005">
        <v>88400</v>
      </c>
      <c r="F99" s="1008"/>
      <c r="G99" s="1007">
        <v>16984.399999999998</v>
      </c>
      <c r="H99" s="1006" t="s">
        <v>88</v>
      </c>
      <c r="I99" s="1009">
        <v>105384.4</v>
      </c>
      <c r="J99" s="1006">
        <v>2606.7000000000003</v>
      </c>
      <c r="K99" s="1007" t="s">
        <v>88</v>
      </c>
      <c r="L99" s="1007"/>
      <c r="M99" s="1010" t="s">
        <v>88</v>
      </c>
      <c r="N99" s="1011">
        <v>143.80000000000001</v>
      </c>
      <c r="O99" s="1003" t="s">
        <v>88</v>
      </c>
      <c r="P99" s="1007">
        <v>4955.6000000000004</v>
      </c>
      <c r="Q99" s="1006">
        <v>536472.80000000005</v>
      </c>
      <c r="R99" s="1007">
        <v>994.09999999999991</v>
      </c>
      <c r="S99" s="1007">
        <v>1772.2</v>
      </c>
      <c r="T99" s="1005">
        <v>93636.5</v>
      </c>
      <c r="U99" s="1004">
        <v>926304.39999999991</v>
      </c>
      <c r="V99" s="69"/>
      <c r="W99" s="268"/>
    </row>
    <row r="100" spans="1:23" s="88" customFormat="1" hidden="1">
      <c r="A100" s="113" t="s">
        <v>49</v>
      </c>
      <c r="B100" s="1005">
        <v>37170.9</v>
      </c>
      <c r="C100" s="1007">
        <v>156380.9</v>
      </c>
      <c r="D100" s="1007" t="s">
        <v>88</v>
      </c>
      <c r="E100" s="1005">
        <v>77900</v>
      </c>
      <c r="F100" s="1008"/>
      <c r="G100" s="1007">
        <v>16984.399999999998</v>
      </c>
      <c r="H100" s="1006" t="s">
        <v>88</v>
      </c>
      <c r="I100" s="1009">
        <v>94884.4</v>
      </c>
      <c r="J100" s="1006">
        <v>2405</v>
      </c>
      <c r="K100" s="1007" t="s">
        <v>88</v>
      </c>
      <c r="L100" s="1007"/>
      <c r="M100" s="1010" t="s">
        <v>88</v>
      </c>
      <c r="N100" s="1011">
        <v>155.10000000000002</v>
      </c>
      <c r="O100" s="1003" t="s">
        <v>88</v>
      </c>
      <c r="P100" s="1007">
        <v>6904.0000000000009</v>
      </c>
      <c r="Q100" s="1006">
        <v>542412.6</v>
      </c>
      <c r="R100" s="1007">
        <v>1003.0999999999999</v>
      </c>
      <c r="S100" s="1007">
        <v>1772.2</v>
      </c>
      <c r="T100" s="1005">
        <v>96851.9</v>
      </c>
      <c r="U100" s="1004">
        <v>939940.09999999986</v>
      </c>
      <c r="V100" s="69"/>
      <c r="W100" s="268"/>
    </row>
    <row r="101" spans="1:23" s="88" customFormat="1" hidden="1">
      <c r="A101" s="113" t="s">
        <v>50</v>
      </c>
      <c r="B101" s="1005">
        <v>42442.400000000001</v>
      </c>
      <c r="C101" s="1007">
        <v>173267.6</v>
      </c>
      <c r="D101" s="1007" t="s">
        <v>88</v>
      </c>
      <c r="E101" s="1005">
        <v>67500</v>
      </c>
      <c r="F101" s="1008"/>
      <c r="G101" s="1007">
        <v>16984.399999999998</v>
      </c>
      <c r="H101" s="1006" t="s">
        <v>88</v>
      </c>
      <c r="I101" s="1009">
        <v>84484.4</v>
      </c>
      <c r="J101" s="1006">
        <v>703.9</v>
      </c>
      <c r="K101" s="1007" t="s">
        <v>88</v>
      </c>
      <c r="L101" s="1007"/>
      <c r="M101" s="1010" t="s">
        <v>88</v>
      </c>
      <c r="N101" s="1011">
        <v>149.60000000000002</v>
      </c>
      <c r="O101" s="1003" t="s">
        <v>88</v>
      </c>
      <c r="P101" s="1007">
        <v>3989.9000000000005</v>
      </c>
      <c r="Q101" s="1006">
        <v>535251.20000000007</v>
      </c>
      <c r="R101" s="1007">
        <v>1021.9</v>
      </c>
      <c r="S101" s="1007">
        <v>1772.2</v>
      </c>
      <c r="T101" s="1005">
        <v>93665.1</v>
      </c>
      <c r="U101" s="1004">
        <v>936748.20000000007</v>
      </c>
      <c r="V101" s="69"/>
      <c r="W101" s="268"/>
    </row>
    <row r="102" spans="1:23" s="88" customFormat="1" hidden="1">
      <c r="A102" s="113"/>
      <c r="B102" s="952"/>
      <c r="C102" s="954"/>
      <c r="D102" s="954"/>
      <c r="E102" s="952"/>
      <c r="F102" s="955"/>
      <c r="G102" s="954"/>
      <c r="H102" s="953"/>
      <c r="I102" s="956"/>
      <c r="J102" s="953"/>
      <c r="K102" s="954"/>
      <c r="L102" s="954"/>
      <c r="M102" s="962"/>
      <c r="N102" s="951"/>
      <c r="O102" s="954"/>
      <c r="P102" s="951"/>
      <c r="Q102" s="953"/>
      <c r="R102" s="954"/>
      <c r="S102" s="954"/>
      <c r="T102" s="952"/>
      <c r="U102" s="956"/>
      <c r="V102" s="69"/>
      <c r="W102" s="268"/>
    </row>
    <row r="103" spans="1:23" s="88" customFormat="1" hidden="1">
      <c r="A103" s="113" t="s">
        <v>56</v>
      </c>
      <c r="B103" s="1031">
        <v>37203.199999999997</v>
      </c>
      <c r="C103" s="1033">
        <v>179393.09999999998</v>
      </c>
      <c r="D103" s="1033" t="s">
        <v>88</v>
      </c>
      <c r="E103" s="1031">
        <v>68423</v>
      </c>
      <c r="F103" s="1034"/>
      <c r="G103" s="1033">
        <v>16984.399999999998</v>
      </c>
      <c r="H103" s="1032" t="s">
        <v>88</v>
      </c>
      <c r="I103" s="1035">
        <v>85407.4</v>
      </c>
      <c r="J103" s="1032">
        <v>2799.5</v>
      </c>
      <c r="K103" s="1033" t="s">
        <v>88</v>
      </c>
      <c r="L103" s="1033"/>
      <c r="M103" s="1033">
        <v>1000</v>
      </c>
      <c r="N103" s="1039">
        <v>144</v>
      </c>
      <c r="O103" s="1028" t="s">
        <v>88</v>
      </c>
      <c r="P103" s="1033">
        <v>3853</v>
      </c>
      <c r="Q103" s="1032">
        <v>535283.4</v>
      </c>
      <c r="R103" s="1033">
        <v>1011.8</v>
      </c>
      <c r="S103" s="1033">
        <v>1338.6</v>
      </c>
      <c r="T103" s="1031">
        <v>101777.1</v>
      </c>
      <c r="U103" s="1030">
        <v>949211.1</v>
      </c>
      <c r="V103" s="69"/>
      <c r="W103" s="268"/>
    </row>
    <row r="104" spans="1:23" s="88" customFormat="1" hidden="1">
      <c r="A104" s="113" t="s">
        <v>40</v>
      </c>
      <c r="B104" s="1031">
        <v>49656.6</v>
      </c>
      <c r="C104" s="1033">
        <v>179987.70000000004</v>
      </c>
      <c r="D104" s="1033" t="s">
        <v>88</v>
      </c>
      <c r="E104" s="1031">
        <v>64566.7</v>
      </c>
      <c r="F104" s="1034"/>
      <c r="G104" s="1033">
        <v>16984.399999999998</v>
      </c>
      <c r="H104" s="1032" t="s">
        <v>88</v>
      </c>
      <c r="I104" s="1035">
        <v>81551.099999999991</v>
      </c>
      <c r="J104" s="1032">
        <v>2703.8999999999996</v>
      </c>
      <c r="K104" s="1033" t="s">
        <v>88</v>
      </c>
      <c r="L104" s="1033" t="s">
        <v>88</v>
      </c>
      <c r="M104" s="1037" t="s">
        <v>88</v>
      </c>
      <c r="N104" s="1039">
        <v>143.80000000000001</v>
      </c>
      <c r="O104" s="1028" t="s">
        <v>88</v>
      </c>
      <c r="P104" s="1033">
        <v>8092.7000000000007</v>
      </c>
      <c r="Q104" s="1032">
        <v>533379.9</v>
      </c>
      <c r="R104" s="1033">
        <v>953.59999999999991</v>
      </c>
      <c r="S104" s="1033">
        <v>1338.6</v>
      </c>
      <c r="T104" s="1031">
        <v>102098.80000000002</v>
      </c>
      <c r="U104" s="1030">
        <v>959906.70000000007</v>
      </c>
      <c r="V104" s="69"/>
      <c r="W104" s="268"/>
    </row>
    <row r="105" spans="1:23" s="88" customFormat="1" hidden="1">
      <c r="A105" s="113" t="s">
        <v>41</v>
      </c>
      <c r="B105" s="1031">
        <v>40488</v>
      </c>
      <c r="C105" s="1033">
        <v>180705.5</v>
      </c>
      <c r="D105" s="1033" t="s">
        <v>88</v>
      </c>
      <c r="E105" s="1031">
        <v>55766.7</v>
      </c>
      <c r="F105" s="1034"/>
      <c r="G105" s="1033">
        <v>16984.399999999998</v>
      </c>
      <c r="H105" s="1032" t="s">
        <v>88</v>
      </c>
      <c r="I105" s="1035">
        <v>72751.099999999991</v>
      </c>
      <c r="J105" s="1032">
        <v>4440</v>
      </c>
      <c r="K105" s="1033" t="s">
        <v>88</v>
      </c>
      <c r="L105" s="1033" t="s">
        <v>88</v>
      </c>
      <c r="M105" s="1037" t="s">
        <v>88</v>
      </c>
      <c r="N105" s="1039">
        <v>143.80000000000001</v>
      </c>
      <c r="O105" s="1028" t="s">
        <v>88</v>
      </c>
      <c r="P105" s="1033">
        <v>7050.4</v>
      </c>
      <c r="Q105" s="1032">
        <v>548581.4</v>
      </c>
      <c r="R105" s="1033">
        <v>943.39999999999986</v>
      </c>
      <c r="S105" s="1033">
        <v>1013.7</v>
      </c>
      <c r="T105" s="1031">
        <v>102893.5</v>
      </c>
      <c r="U105" s="1030">
        <v>959010.79999999993</v>
      </c>
      <c r="V105" s="69"/>
      <c r="W105" s="268"/>
    </row>
    <row r="106" spans="1:23" s="88" customFormat="1" hidden="1">
      <c r="A106" s="113" t="s">
        <v>42</v>
      </c>
      <c r="B106" s="1031">
        <v>42844.5</v>
      </c>
      <c r="C106" s="1033">
        <v>176724.7</v>
      </c>
      <c r="D106" s="1033" t="s">
        <v>88</v>
      </c>
      <c r="E106" s="1031">
        <v>51260.5</v>
      </c>
      <c r="F106" s="1034"/>
      <c r="G106" s="1033">
        <v>16984.399999999998</v>
      </c>
      <c r="H106" s="1032" t="s">
        <v>88</v>
      </c>
      <c r="I106" s="1035">
        <v>68244.899999999994</v>
      </c>
      <c r="J106" s="1032">
        <v>3389.2</v>
      </c>
      <c r="K106" s="1033" t="s">
        <v>88</v>
      </c>
      <c r="L106" s="1033" t="s">
        <v>88</v>
      </c>
      <c r="M106" s="1037" t="s">
        <v>88</v>
      </c>
      <c r="N106" s="1039">
        <v>143.80000000000001</v>
      </c>
      <c r="O106" s="1028" t="s">
        <v>88</v>
      </c>
      <c r="P106" s="1033">
        <v>7608.4</v>
      </c>
      <c r="Q106" s="1032">
        <v>555013.19999999995</v>
      </c>
      <c r="R106" s="1033">
        <v>916.8</v>
      </c>
      <c r="S106" s="1033">
        <v>707.2</v>
      </c>
      <c r="T106" s="1031">
        <v>97361.7</v>
      </c>
      <c r="U106" s="1030">
        <v>952954.39999999991</v>
      </c>
      <c r="V106" s="69"/>
      <c r="W106" s="268"/>
    </row>
    <row r="107" spans="1:23" s="88" customFormat="1" hidden="1">
      <c r="A107" s="113" t="s">
        <v>43</v>
      </c>
      <c r="B107" s="1031">
        <v>47326.100000000006</v>
      </c>
      <c r="C107" s="1033">
        <v>151792.70000000001</v>
      </c>
      <c r="D107" s="1033" t="s">
        <v>88</v>
      </c>
      <c r="E107" s="1031">
        <v>58816.7</v>
      </c>
      <c r="F107" s="1034"/>
      <c r="G107" s="1033">
        <v>7984.4000000000015</v>
      </c>
      <c r="H107" s="1032" t="s">
        <v>88</v>
      </c>
      <c r="I107" s="1035">
        <v>66801.100000000006</v>
      </c>
      <c r="J107" s="1032">
        <v>3532.8</v>
      </c>
      <c r="K107" s="1033" t="s">
        <v>88</v>
      </c>
      <c r="L107" s="1033" t="s">
        <v>88</v>
      </c>
      <c r="M107" s="1037" t="s">
        <v>88</v>
      </c>
      <c r="N107" s="1039">
        <v>143.80000000000001</v>
      </c>
      <c r="O107" s="1028" t="s">
        <v>88</v>
      </c>
      <c r="P107" s="1033">
        <v>7326</v>
      </c>
      <c r="Q107" s="1032">
        <v>582018</v>
      </c>
      <c r="R107" s="1033">
        <v>992.1</v>
      </c>
      <c r="S107" s="1033">
        <v>707.2</v>
      </c>
      <c r="T107" s="1031">
        <v>98204.3</v>
      </c>
      <c r="U107" s="1030">
        <v>958844.1</v>
      </c>
      <c r="V107" s="69"/>
      <c r="W107" s="268"/>
    </row>
    <row r="108" spans="1:23" s="88" customFormat="1" hidden="1">
      <c r="A108" s="113" t="s">
        <v>44</v>
      </c>
      <c r="B108" s="1031">
        <v>47629.5</v>
      </c>
      <c r="C108" s="1033">
        <v>156569.30000000002</v>
      </c>
      <c r="D108" s="1033" t="s">
        <v>88</v>
      </c>
      <c r="E108" s="1031">
        <v>55116.7</v>
      </c>
      <c r="F108" s="1034"/>
      <c r="G108" s="1033">
        <v>7984.4000000000015</v>
      </c>
      <c r="H108" s="1032" t="s">
        <v>88</v>
      </c>
      <c r="I108" s="1035">
        <v>63101.1</v>
      </c>
      <c r="J108" s="1032">
        <v>1893.2999999999997</v>
      </c>
      <c r="K108" s="1033" t="s">
        <v>88</v>
      </c>
      <c r="L108" s="1033" t="s">
        <v>88</v>
      </c>
      <c r="M108" s="1037" t="s">
        <v>88</v>
      </c>
      <c r="N108" s="1039">
        <v>143.80000000000001</v>
      </c>
      <c r="O108" s="1028" t="s">
        <v>88</v>
      </c>
      <c r="P108" s="1033">
        <v>7559.2</v>
      </c>
      <c r="Q108" s="1032">
        <v>604996.69999999995</v>
      </c>
      <c r="R108" s="1033">
        <v>1005.8</v>
      </c>
      <c r="S108" s="1033">
        <v>720.40000000000009</v>
      </c>
      <c r="T108" s="1031">
        <v>98897.700000000012</v>
      </c>
      <c r="U108" s="1030">
        <v>982516.8</v>
      </c>
      <c r="V108" s="69"/>
      <c r="W108" s="268"/>
    </row>
    <row r="109" spans="1:23" s="88" customFormat="1" hidden="1">
      <c r="A109" s="113" t="s">
        <v>45</v>
      </c>
      <c r="B109" s="1031">
        <v>54157.700000000004</v>
      </c>
      <c r="C109" s="1033">
        <v>164800.70000000001</v>
      </c>
      <c r="D109" s="1033" t="s">
        <v>88</v>
      </c>
      <c r="E109" s="1031">
        <v>44500</v>
      </c>
      <c r="F109" s="1034"/>
      <c r="G109" s="1033">
        <v>7984.4000000000015</v>
      </c>
      <c r="H109" s="1032" t="s">
        <v>88</v>
      </c>
      <c r="I109" s="1035">
        <v>52484.4</v>
      </c>
      <c r="J109" s="1032">
        <v>1808.3</v>
      </c>
      <c r="K109" s="1033" t="s">
        <v>88</v>
      </c>
      <c r="L109" s="1033" t="s">
        <v>88</v>
      </c>
      <c r="M109" s="1037" t="s">
        <v>88</v>
      </c>
      <c r="N109" s="1039">
        <v>143.80000000000001</v>
      </c>
      <c r="O109" s="1028" t="s">
        <v>88</v>
      </c>
      <c r="P109" s="1033">
        <v>7626.8000000000011</v>
      </c>
      <c r="Q109" s="1032">
        <v>604339.89999999991</v>
      </c>
      <c r="R109" s="1033">
        <v>993.4</v>
      </c>
      <c r="S109" s="1033">
        <v>1436</v>
      </c>
      <c r="T109" s="1031">
        <v>105901.29999999999</v>
      </c>
      <c r="U109" s="1030">
        <v>993692.29999999981</v>
      </c>
      <c r="V109" s="69"/>
      <c r="W109" s="268"/>
    </row>
    <row r="110" spans="1:23" s="88" customFormat="1" hidden="1">
      <c r="A110" s="113" t="s">
        <v>46</v>
      </c>
      <c r="B110" s="1031">
        <v>48398</v>
      </c>
      <c r="C110" s="1033">
        <v>173543.9</v>
      </c>
      <c r="D110" s="1033" t="s">
        <v>88</v>
      </c>
      <c r="E110" s="1031">
        <v>36600</v>
      </c>
      <c r="F110" s="1034"/>
      <c r="G110" s="1033">
        <v>8135.2000000000007</v>
      </c>
      <c r="H110" s="1032" t="s">
        <v>88</v>
      </c>
      <c r="I110" s="1035">
        <v>44735.199999999997</v>
      </c>
      <c r="J110" s="1032">
        <v>1745.0000000000002</v>
      </c>
      <c r="K110" s="1033" t="s">
        <v>88</v>
      </c>
      <c r="L110" s="1033" t="s">
        <v>88</v>
      </c>
      <c r="M110" s="1037" t="s">
        <v>88</v>
      </c>
      <c r="N110" s="1039">
        <v>143.80000000000001</v>
      </c>
      <c r="O110" s="1028" t="s">
        <v>88</v>
      </c>
      <c r="P110" s="1033">
        <v>14765.100000000002</v>
      </c>
      <c r="Q110" s="1032">
        <v>612138.79999999993</v>
      </c>
      <c r="R110" s="1033">
        <v>1013</v>
      </c>
      <c r="S110" s="1033">
        <v>1209.8</v>
      </c>
      <c r="T110" s="1031">
        <v>109545.90000000002</v>
      </c>
      <c r="U110" s="1030">
        <v>1007238.4999999999</v>
      </c>
      <c r="V110" s="69"/>
      <c r="W110" s="268"/>
    </row>
    <row r="111" spans="1:23" s="88" customFormat="1" hidden="1">
      <c r="A111" s="113" t="s">
        <v>47</v>
      </c>
      <c r="B111" s="1031">
        <v>53964.800000000003</v>
      </c>
      <c r="C111" s="1033">
        <v>166098.70000000001</v>
      </c>
      <c r="D111" s="1033" t="s">
        <v>88</v>
      </c>
      <c r="E111" s="1031">
        <v>30031.599999999999</v>
      </c>
      <c r="F111" s="1034"/>
      <c r="G111" s="1033">
        <v>8135.2000000000007</v>
      </c>
      <c r="H111" s="1032" t="s">
        <v>88</v>
      </c>
      <c r="I111" s="1035">
        <v>38166.800000000003</v>
      </c>
      <c r="J111" s="1032">
        <v>1624.9</v>
      </c>
      <c r="K111" s="1033" t="s">
        <v>88</v>
      </c>
      <c r="L111" s="1033" t="s">
        <v>88</v>
      </c>
      <c r="M111" s="1037" t="s">
        <v>88</v>
      </c>
      <c r="N111" s="1039">
        <v>143.80000000000001</v>
      </c>
      <c r="O111" s="1028" t="s">
        <v>88</v>
      </c>
      <c r="P111" s="1033">
        <v>11946.1</v>
      </c>
      <c r="Q111" s="1032">
        <v>609515.30000000005</v>
      </c>
      <c r="R111" s="1033">
        <v>1059.5</v>
      </c>
      <c r="S111" s="1033">
        <v>1351.6000000000001</v>
      </c>
      <c r="T111" s="1031">
        <v>104052.1</v>
      </c>
      <c r="U111" s="1030">
        <v>987923.6</v>
      </c>
      <c r="V111" s="69"/>
      <c r="W111" s="268"/>
    </row>
    <row r="112" spans="1:23" s="88" customFormat="1" hidden="1">
      <c r="A112" s="113" t="s">
        <v>48</v>
      </c>
      <c r="B112" s="1031">
        <v>61350.6</v>
      </c>
      <c r="C112" s="1033">
        <v>164341.09999999998</v>
      </c>
      <c r="D112" s="1033" t="s">
        <v>88</v>
      </c>
      <c r="E112" s="1031">
        <v>26100</v>
      </c>
      <c r="F112" s="1034"/>
      <c r="G112" s="1033">
        <v>8135.2000000000007</v>
      </c>
      <c r="H112" s="1032" t="s">
        <v>88</v>
      </c>
      <c r="I112" s="1035">
        <v>34235.199999999997</v>
      </c>
      <c r="J112" s="1032">
        <v>1560.3000000000002</v>
      </c>
      <c r="K112" s="1033" t="s">
        <v>88</v>
      </c>
      <c r="L112" s="1033" t="s">
        <v>88</v>
      </c>
      <c r="M112" s="1037" t="s">
        <v>88</v>
      </c>
      <c r="N112" s="1039">
        <v>143.80000000000001</v>
      </c>
      <c r="O112" s="1028" t="s">
        <v>88</v>
      </c>
      <c r="P112" s="1033">
        <v>8718.3000000000029</v>
      </c>
      <c r="Q112" s="1032">
        <v>619879.4</v>
      </c>
      <c r="R112" s="1033">
        <v>1087.2</v>
      </c>
      <c r="S112" s="1033">
        <v>1399.5</v>
      </c>
      <c r="T112" s="1031">
        <v>108219.30000000003</v>
      </c>
      <c r="U112" s="1030">
        <v>1000934.7</v>
      </c>
      <c r="V112" s="69"/>
      <c r="W112" s="268"/>
    </row>
    <row r="113" spans="1:23" s="88" customFormat="1" hidden="1">
      <c r="A113" s="113" t="s">
        <v>49</v>
      </c>
      <c r="B113" s="1031">
        <v>59708.5</v>
      </c>
      <c r="C113" s="1033">
        <v>176416</v>
      </c>
      <c r="D113" s="1033"/>
      <c r="E113" s="1031">
        <v>27729.7</v>
      </c>
      <c r="F113" s="1034"/>
      <c r="G113" s="1033">
        <v>8135.2000000000007</v>
      </c>
      <c r="H113" s="1032"/>
      <c r="I113" s="1035">
        <v>35864.9</v>
      </c>
      <c r="J113" s="1032">
        <v>2708.2000000000003</v>
      </c>
      <c r="K113" s="1033"/>
      <c r="L113" s="1033"/>
      <c r="M113" s="1037" t="s">
        <v>88</v>
      </c>
      <c r="N113" s="1039">
        <v>143.80000000000001</v>
      </c>
      <c r="O113" s="1028" t="s">
        <v>88</v>
      </c>
      <c r="P113" s="1033">
        <v>7511.3</v>
      </c>
      <c r="Q113" s="1032">
        <v>620920.70000000007</v>
      </c>
      <c r="R113" s="1033">
        <v>1050.6000000000001</v>
      </c>
      <c r="S113" s="1033">
        <v>2250.8999999999996</v>
      </c>
      <c r="T113" s="1031">
        <v>102848.40000000001</v>
      </c>
      <c r="U113" s="1030">
        <v>1009423.3000000002</v>
      </c>
      <c r="V113" s="69"/>
      <c r="W113" s="268"/>
    </row>
    <row r="114" spans="1:23" s="88" customFormat="1" hidden="1">
      <c r="A114" s="113" t="s">
        <v>50</v>
      </c>
      <c r="B114" s="1031">
        <v>70772.399999999994</v>
      </c>
      <c r="C114" s="1033">
        <v>192680.5</v>
      </c>
      <c r="D114" s="1033"/>
      <c r="E114" s="1031">
        <v>40889.1</v>
      </c>
      <c r="F114" s="1034"/>
      <c r="G114" s="1033">
        <v>8135.2000000000007</v>
      </c>
      <c r="H114" s="1032"/>
      <c r="I114" s="1035">
        <v>49024.3</v>
      </c>
      <c r="J114" s="1032">
        <v>2705.2</v>
      </c>
      <c r="K114" s="1033"/>
      <c r="L114" s="1033"/>
      <c r="M114" s="1033">
        <v>6800</v>
      </c>
      <c r="N114" s="1039">
        <v>143.80000000000001</v>
      </c>
      <c r="O114" s="1028" t="s">
        <v>88</v>
      </c>
      <c r="P114" s="1033">
        <v>6830.7999999999993</v>
      </c>
      <c r="Q114" s="1032">
        <v>607741.69999999995</v>
      </c>
      <c r="R114" s="1033">
        <v>1057.8999999999999</v>
      </c>
      <c r="S114" s="1033">
        <v>2595.5</v>
      </c>
      <c r="T114" s="1031">
        <v>104332</v>
      </c>
      <c r="U114" s="1030">
        <v>1044684.1</v>
      </c>
      <c r="V114" s="69"/>
      <c r="W114" s="268"/>
    </row>
    <row r="115" spans="1:23" s="88" customFormat="1" hidden="1">
      <c r="A115" s="113"/>
      <c r="B115" s="1031"/>
      <c r="C115" s="1033"/>
      <c r="D115" s="1033"/>
      <c r="E115" s="1031"/>
      <c r="F115" s="1034"/>
      <c r="G115" s="1033"/>
      <c r="H115" s="1032"/>
      <c r="I115" s="1035"/>
      <c r="J115" s="1032"/>
      <c r="K115" s="1033"/>
      <c r="L115" s="1033"/>
      <c r="M115" s="1033"/>
      <c r="N115" s="1039"/>
      <c r="O115" s="1028" t="s">
        <v>88</v>
      </c>
      <c r="P115" s="1033"/>
      <c r="Q115" s="1032"/>
      <c r="R115" s="1033"/>
      <c r="S115" s="1033"/>
      <c r="T115" s="1031"/>
      <c r="U115" s="1030"/>
      <c r="V115" s="69"/>
      <c r="W115" s="268"/>
    </row>
    <row r="116" spans="1:23" hidden="1">
      <c r="A116" s="113" t="s">
        <v>55</v>
      </c>
      <c r="B116" s="1026">
        <v>59768</v>
      </c>
      <c r="C116" s="1028">
        <v>209039.9</v>
      </c>
      <c r="D116" s="1028"/>
      <c r="E116" s="1026">
        <v>51678.3</v>
      </c>
      <c r="F116" s="1029"/>
      <c r="G116" s="1028">
        <v>1824.3000000000002</v>
      </c>
      <c r="H116" s="1027"/>
      <c r="I116" s="1030">
        <v>53502.600000000006</v>
      </c>
      <c r="J116" s="1027">
        <v>2402.6000000000004</v>
      </c>
      <c r="K116" s="1028"/>
      <c r="L116" s="1028"/>
      <c r="M116" s="1037" t="s">
        <v>88</v>
      </c>
      <c r="N116" s="1023">
        <v>143.80000000000001</v>
      </c>
      <c r="O116" s="1028" t="s">
        <v>88</v>
      </c>
      <c r="P116" s="1028">
        <v>6110</v>
      </c>
      <c r="Q116" s="1027">
        <v>617850</v>
      </c>
      <c r="R116" s="1028">
        <v>1099.5999999999999</v>
      </c>
      <c r="S116" s="1028">
        <v>1555.1000000000001</v>
      </c>
      <c r="T116" s="1026">
        <v>117737.8</v>
      </c>
      <c r="U116" s="1030">
        <v>1069209.3999999999</v>
      </c>
      <c r="W116" s="71"/>
    </row>
    <row r="117" spans="1:23" hidden="1">
      <c r="A117" s="113" t="s">
        <v>40</v>
      </c>
      <c r="B117" s="1026">
        <v>69316.900000000023</v>
      </c>
      <c r="C117" s="1028">
        <v>227852.4</v>
      </c>
      <c r="D117" s="1028"/>
      <c r="E117" s="1026">
        <v>49039.7</v>
      </c>
      <c r="F117" s="1029"/>
      <c r="G117" s="1028">
        <v>1824.3000000000002</v>
      </c>
      <c r="H117" s="1027"/>
      <c r="I117" s="1030">
        <v>50864</v>
      </c>
      <c r="J117" s="1027">
        <v>4047.7</v>
      </c>
      <c r="K117" s="1028"/>
      <c r="L117" s="1028"/>
      <c r="M117" s="1037" t="s">
        <v>88</v>
      </c>
      <c r="N117" s="1023">
        <v>143.80000000000001</v>
      </c>
      <c r="O117" s="1028" t="s">
        <v>88</v>
      </c>
      <c r="P117" s="1028">
        <v>5840.6</v>
      </c>
      <c r="Q117" s="1027">
        <v>620206.30000000005</v>
      </c>
      <c r="R117" s="1028">
        <v>1413.7</v>
      </c>
      <c r="S117" s="1028">
        <v>2719</v>
      </c>
      <c r="T117" s="1026">
        <v>122278.39999999999</v>
      </c>
      <c r="U117" s="1030">
        <v>1104682.8</v>
      </c>
      <c r="W117" s="71"/>
    </row>
    <row r="118" spans="1:23" hidden="1">
      <c r="A118" s="113" t="s">
        <v>41</v>
      </c>
      <c r="B118" s="1026">
        <v>70940.200000000012</v>
      </c>
      <c r="C118" s="1028">
        <v>213236.8</v>
      </c>
      <c r="D118" s="1028"/>
      <c r="E118" s="1026">
        <v>45604.7</v>
      </c>
      <c r="F118" s="1029"/>
      <c r="G118" s="1028">
        <v>1729.7</v>
      </c>
      <c r="H118" s="1027"/>
      <c r="I118" s="1030">
        <v>47334.399999999994</v>
      </c>
      <c r="J118" s="1027">
        <v>3984.4</v>
      </c>
      <c r="K118" s="1028"/>
      <c r="L118" s="1028"/>
      <c r="M118" s="1037" t="s">
        <v>88</v>
      </c>
      <c r="N118" s="1023">
        <v>143.80000000000001</v>
      </c>
      <c r="O118" s="1028" t="s">
        <v>88</v>
      </c>
      <c r="P118" s="1028">
        <v>6437.5999999999995</v>
      </c>
      <c r="Q118" s="1027">
        <v>635361.4</v>
      </c>
      <c r="R118" s="1028">
        <v>1398.2</v>
      </c>
      <c r="S118" s="1028">
        <v>3568.7999999999993</v>
      </c>
      <c r="T118" s="1026">
        <v>116712.2</v>
      </c>
      <c r="U118" s="1030">
        <v>1099117.8</v>
      </c>
      <c r="W118" s="71"/>
    </row>
    <row r="119" spans="1:23" hidden="1">
      <c r="A119" s="113" t="s">
        <v>42</v>
      </c>
      <c r="B119" s="1026">
        <v>69833.600000000006</v>
      </c>
      <c r="C119" s="1028">
        <v>209200.40000000002</v>
      </c>
      <c r="D119" s="1028"/>
      <c r="E119" s="1026">
        <v>40828.699999999997</v>
      </c>
      <c r="F119" s="1029"/>
      <c r="G119" s="1028">
        <v>1729.7</v>
      </c>
      <c r="H119" s="1027"/>
      <c r="I119" s="1030">
        <v>42558.399999999994</v>
      </c>
      <c r="J119" s="1027">
        <v>3837.2999999999997</v>
      </c>
      <c r="K119" s="1028"/>
      <c r="L119" s="1028"/>
      <c r="M119" s="1037" t="s">
        <v>88</v>
      </c>
      <c r="N119" s="1028">
        <v>143.80000000000001</v>
      </c>
      <c r="O119" s="1028" t="s">
        <v>88</v>
      </c>
      <c r="P119" s="1028">
        <v>5931.9</v>
      </c>
      <c r="Q119" s="1027">
        <v>634407.29999999993</v>
      </c>
      <c r="R119" s="1028">
        <v>1390.7999999999997</v>
      </c>
      <c r="S119" s="1028">
        <v>3808.8999999999996</v>
      </c>
      <c r="T119" s="1026">
        <v>109225.3</v>
      </c>
      <c r="U119" s="1030">
        <v>1080337.7</v>
      </c>
      <c r="W119" s="71"/>
    </row>
    <row r="120" spans="1:23" hidden="1">
      <c r="A120" s="113" t="s">
        <v>43</v>
      </c>
      <c r="B120" s="1026">
        <v>71624.399999999994</v>
      </c>
      <c r="C120" s="1028">
        <v>185038.30000000002</v>
      </c>
      <c r="D120" s="1028"/>
      <c r="E120" s="1026">
        <v>66612.3</v>
      </c>
      <c r="F120" s="1029"/>
      <c r="G120" s="1028">
        <v>1729.7</v>
      </c>
      <c r="H120" s="1027"/>
      <c r="I120" s="1030">
        <v>68342</v>
      </c>
      <c r="J120" s="1027">
        <v>1350.2</v>
      </c>
      <c r="K120" s="1028"/>
      <c r="L120" s="1028"/>
      <c r="M120" s="1037" t="s">
        <v>88</v>
      </c>
      <c r="N120" s="1028">
        <v>143.80000000000001</v>
      </c>
      <c r="O120" s="1028" t="s">
        <v>88</v>
      </c>
      <c r="P120" s="1028">
        <v>6208.8</v>
      </c>
      <c r="Q120" s="1027">
        <v>637217.20000000007</v>
      </c>
      <c r="R120" s="1028">
        <v>1390.6999999999998</v>
      </c>
      <c r="S120" s="1028">
        <v>3956.1000000000004</v>
      </c>
      <c r="T120" s="1026">
        <v>115090.29999999997</v>
      </c>
      <c r="U120" s="1030">
        <v>1090361.8</v>
      </c>
      <c r="W120" s="71"/>
    </row>
    <row r="121" spans="1:23" hidden="1">
      <c r="A121" s="113" t="s">
        <v>44</v>
      </c>
      <c r="B121" s="1026">
        <v>82287.100000000006</v>
      </c>
      <c r="C121" s="1028">
        <v>165969.40000000002</v>
      </c>
      <c r="D121" s="1028"/>
      <c r="E121" s="1026">
        <v>70934.600000000006</v>
      </c>
      <c r="F121" s="1029"/>
      <c r="G121" s="1037" t="s">
        <v>88</v>
      </c>
      <c r="H121" s="1027"/>
      <c r="I121" s="1030">
        <v>70934.600000000006</v>
      </c>
      <c r="J121" s="1027">
        <v>1294.8</v>
      </c>
      <c r="K121" s="1028"/>
      <c r="L121" s="1028"/>
      <c r="M121" s="1037" t="s">
        <v>88</v>
      </c>
      <c r="N121" s="1028">
        <v>143.80000000000001</v>
      </c>
      <c r="O121" s="1028" t="s">
        <v>88</v>
      </c>
      <c r="P121" s="1028">
        <v>6575.4</v>
      </c>
      <c r="Q121" s="1027">
        <v>642841.19999999995</v>
      </c>
      <c r="R121" s="1028">
        <v>1401.7</v>
      </c>
      <c r="S121" s="1028">
        <v>4188.9999999999991</v>
      </c>
      <c r="T121" s="1026">
        <v>117658.59999999998</v>
      </c>
      <c r="U121" s="1030">
        <v>1093295.6000000001</v>
      </c>
      <c r="W121" s="71"/>
    </row>
    <row r="122" spans="1:23" hidden="1">
      <c r="A122" s="113" t="s">
        <v>45</v>
      </c>
      <c r="B122" s="1026">
        <v>66009.399999999994</v>
      </c>
      <c r="C122" s="1028">
        <v>190726</v>
      </c>
      <c r="D122" s="1028"/>
      <c r="E122" s="1026">
        <v>68965.3</v>
      </c>
      <c r="F122" s="1029"/>
      <c r="G122" s="1028">
        <v>32000</v>
      </c>
      <c r="H122" s="1027"/>
      <c r="I122" s="1030">
        <v>100965.3</v>
      </c>
      <c r="J122" s="1027">
        <v>581.5</v>
      </c>
      <c r="K122" s="1028"/>
      <c r="L122" s="1028"/>
      <c r="M122" s="1037" t="s">
        <v>88</v>
      </c>
      <c r="N122" s="1028">
        <v>143.80000000000001</v>
      </c>
      <c r="O122" s="1028" t="s">
        <v>88</v>
      </c>
      <c r="P122" s="1028">
        <v>5439.7999999999993</v>
      </c>
      <c r="Q122" s="1027">
        <v>653311.6</v>
      </c>
      <c r="R122" s="1028">
        <v>1754.2</v>
      </c>
      <c r="S122" s="1028">
        <v>4389.8999999999996</v>
      </c>
      <c r="T122" s="1026">
        <v>124818.29999999999</v>
      </c>
      <c r="U122" s="1030">
        <v>1148139.7999999998</v>
      </c>
      <c r="W122" s="71"/>
    </row>
    <row r="123" spans="1:23" hidden="1">
      <c r="A123" s="113" t="s">
        <v>46</v>
      </c>
      <c r="B123" s="1026">
        <v>90164.499999999985</v>
      </c>
      <c r="C123" s="1028">
        <v>185728.7</v>
      </c>
      <c r="D123" s="1028"/>
      <c r="E123" s="1026">
        <v>64477.700000000012</v>
      </c>
      <c r="F123" s="1029"/>
      <c r="G123" s="1028">
        <v>32000</v>
      </c>
      <c r="H123" s="1027"/>
      <c r="I123" s="1030">
        <v>96477.700000000012</v>
      </c>
      <c r="J123" s="1027">
        <v>608.6</v>
      </c>
      <c r="K123" s="1028"/>
      <c r="L123" s="1028"/>
      <c r="M123" s="1037" t="s">
        <v>88</v>
      </c>
      <c r="N123" s="1028">
        <v>143.80000000000001</v>
      </c>
      <c r="O123" s="1028" t="s">
        <v>88</v>
      </c>
      <c r="P123" s="1028">
        <v>6425.8</v>
      </c>
      <c r="Q123" s="1027">
        <v>653711.90000000014</v>
      </c>
      <c r="R123" s="1028">
        <v>1758.2</v>
      </c>
      <c r="S123" s="1028">
        <v>4691.6000000000004</v>
      </c>
      <c r="T123" s="1026">
        <v>122671.39999999998</v>
      </c>
      <c r="U123" s="1030">
        <v>1162382.2</v>
      </c>
      <c r="W123" s="71"/>
    </row>
    <row r="124" spans="1:23" hidden="1">
      <c r="A124" s="113" t="s">
        <v>47</v>
      </c>
      <c r="B124" s="1026">
        <v>89608.2</v>
      </c>
      <c r="C124" s="1028">
        <v>183463.6</v>
      </c>
      <c r="D124" s="1028"/>
      <c r="E124" s="1026">
        <v>72499.399999999994</v>
      </c>
      <c r="F124" s="1029"/>
      <c r="G124" s="1028">
        <v>32000</v>
      </c>
      <c r="H124" s="1027"/>
      <c r="I124" s="1030">
        <v>104499.4</v>
      </c>
      <c r="J124" s="1027">
        <v>582.50000000000011</v>
      </c>
      <c r="K124" s="1028"/>
      <c r="L124" s="1028"/>
      <c r="M124" s="1037" t="s">
        <v>88</v>
      </c>
      <c r="N124" s="1028">
        <v>143.80000000000001</v>
      </c>
      <c r="O124" s="1028" t="s">
        <v>88</v>
      </c>
      <c r="P124" s="1028">
        <v>10400.499999999998</v>
      </c>
      <c r="Q124" s="1027">
        <v>664336.10000000009</v>
      </c>
      <c r="R124" s="1028">
        <v>2197.5</v>
      </c>
      <c r="S124" s="1028">
        <v>5211.5</v>
      </c>
      <c r="T124" s="1026">
        <v>122868.89999999998</v>
      </c>
      <c r="U124" s="1030">
        <v>1183312</v>
      </c>
      <c r="W124" s="71"/>
    </row>
    <row r="125" spans="1:23" hidden="1">
      <c r="A125" s="113" t="s">
        <v>48</v>
      </c>
      <c r="B125" s="1026">
        <v>88154.3</v>
      </c>
      <c r="C125" s="1028">
        <v>183935.00000000006</v>
      </c>
      <c r="D125" s="1028"/>
      <c r="E125" s="1026">
        <v>76413.2</v>
      </c>
      <c r="F125" s="1029"/>
      <c r="G125" s="1028">
        <v>32000</v>
      </c>
      <c r="H125" s="1027"/>
      <c r="I125" s="1030">
        <v>108413.2</v>
      </c>
      <c r="J125" s="1027">
        <v>620.80000000000018</v>
      </c>
      <c r="K125" s="1028"/>
      <c r="L125" s="1028"/>
      <c r="M125" s="1037" t="s">
        <v>88</v>
      </c>
      <c r="N125" s="1023">
        <v>143.80000000000001</v>
      </c>
      <c r="O125" s="1028" t="s">
        <v>88</v>
      </c>
      <c r="P125" s="1028">
        <v>9512.7999999999993</v>
      </c>
      <c r="Q125" s="1027">
        <v>657024.99999999988</v>
      </c>
      <c r="R125" s="1028">
        <v>2357.1999999999998</v>
      </c>
      <c r="S125" s="1028">
        <v>5438.3</v>
      </c>
      <c r="T125" s="1026">
        <v>123466.2</v>
      </c>
      <c r="U125" s="1030">
        <v>1179066.5999999999</v>
      </c>
      <c r="W125" s="71"/>
    </row>
    <row r="126" spans="1:23" hidden="1">
      <c r="A126" s="113" t="s">
        <v>49</v>
      </c>
      <c r="B126" s="1026">
        <v>95868.200000000012</v>
      </c>
      <c r="C126" s="1028">
        <v>190482.5</v>
      </c>
      <c r="D126" s="1028"/>
      <c r="E126" s="1026">
        <v>75312.800000000003</v>
      </c>
      <c r="F126" s="1029"/>
      <c r="G126" s="1028">
        <v>32000</v>
      </c>
      <c r="H126" s="1027"/>
      <c r="I126" s="1030">
        <v>107312.8</v>
      </c>
      <c r="J126" s="1027">
        <v>606.1</v>
      </c>
      <c r="K126" s="1028"/>
      <c r="L126" s="1028"/>
      <c r="M126" s="1037" t="s">
        <v>88</v>
      </c>
      <c r="N126" s="1023">
        <v>143.80000000000001</v>
      </c>
      <c r="O126" s="1028" t="s">
        <v>88</v>
      </c>
      <c r="P126" s="1028">
        <v>8979.4999999999982</v>
      </c>
      <c r="Q126" s="1027">
        <v>652523.49999999977</v>
      </c>
      <c r="R126" s="1028">
        <v>2366.6</v>
      </c>
      <c r="S126" s="1028">
        <v>5739.6</v>
      </c>
      <c r="T126" s="1026">
        <v>124340.40000000001</v>
      </c>
      <c r="U126" s="1030">
        <v>1188362.9999999998</v>
      </c>
      <c r="W126" s="71"/>
    </row>
    <row r="127" spans="1:23" hidden="1">
      <c r="A127" s="113" t="s">
        <v>50</v>
      </c>
      <c r="B127" s="1026">
        <v>107189</v>
      </c>
      <c r="C127" s="1028">
        <v>201411.19999999998</v>
      </c>
      <c r="D127" s="1028"/>
      <c r="E127" s="1026">
        <v>77019.900000000009</v>
      </c>
      <c r="F127" s="1029"/>
      <c r="G127" s="1028">
        <v>32000</v>
      </c>
      <c r="H127" s="1027"/>
      <c r="I127" s="1030">
        <v>109019.90000000001</v>
      </c>
      <c r="J127" s="1027">
        <v>539.1</v>
      </c>
      <c r="K127" s="1028"/>
      <c r="L127" s="1028"/>
      <c r="M127" s="1037" t="s">
        <v>88</v>
      </c>
      <c r="N127" s="1023">
        <v>143.80000000000001</v>
      </c>
      <c r="O127" s="1028" t="s">
        <v>88</v>
      </c>
      <c r="P127" s="1028">
        <v>8510.4000000000015</v>
      </c>
      <c r="Q127" s="1027">
        <v>645360.89999999979</v>
      </c>
      <c r="R127" s="1028">
        <v>2469.1999999999998</v>
      </c>
      <c r="S127" s="1028">
        <v>6264.2000000000007</v>
      </c>
      <c r="T127" s="1026">
        <v>137109.09999999998</v>
      </c>
      <c r="U127" s="1030">
        <v>1218016.7999999998</v>
      </c>
      <c r="W127" s="71"/>
    </row>
    <row r="128" spans="1:23" hidden="1">
      <c r="A128" s="142"/>
      <c r="B128" s="1026"/>
      <c r="C128" s="1028"/>
      <c r="D128" s="1028"/>
      <c r="E128" s="1026"/>
      <c r="F128" s="1029"/>
      <c r="G128" s="1028"/>
      <c r="H128" s="1027"/>
      <c r="I128" s="1030"/>
      <c r="J128" s="1027"/>
      <c r="K128" s="1028"/>
      <c r="L128" s="1028"/>
      <c r="M128" s="1037"/>
      <c r="N128" s="1023"/>
      <c r="O128" s="1028"/>
      <c r="P128" s="1028"/>
      <c r="Q128" s="1027"/>
      <c r="R128" s="1028"/>
      <c r="S128" s="1028"/>
      <c r="T128" s="1026"/>
      <c r="U128" s="1030"/>
      <c r="W128" s="71"/>
    </row>
    <row r="129" spans="1:23" hidden="1">
      <c r="A129" s="113" t="s">
        <v>54</v>
      </c>
      <c r="B129" s="1026">
        <v>88530.199999999983</v>
      </c>
      <c r="C129" s="1028">
        <v>212478.30000000002</v>
      </c>
      <c r="D129" s="1028"/>
      <c r="E129" s="1026">
        <v>76779.500000000015</v>
      </c>
      <c r="F129" s="1029"/>
      <c r="G129" s="1028">
        <v>32000</v>
      </c>
      <c r="H129" s="1027"/>
      <c r="I129" s="1030">
        <v>108779.50000000001</v>
      </c>
      <c r="J129" s="1027">
        <v>541.4</v>
      </c>
      <c r="K129" s="1028"/>
      <c r="L129" s="1028"/>
      <c r="M129" s="1037" t="s">
        <v>88</v>
      </c>
      <c r="N129" s="1023">
        <v>143.80000000000001</v>
      </c>
      <c r="O129" s="1028" t="s">
        <v>88</v>
      </c>
      <c r="P129" s="1028">
        <v>8185.9</v>
      </c>
      <c r="Q129" s="1027">
        <v>649711</v>
      </c>
      <c r="R129" s="1028">
        <v>2774.6</v>
      </c>
      <c r="S129" s="1028">
        <v>6858.6</v>
      </c>
      <c r="T129" s="1026">
        <v>136343.29999999999</v>
      </c>
      <c r="U129" s="1030">
        <v>1214346.6000000003</v>
      </c>
      <c r="W129" s="71"/>
    </row>
    <row r="130" spans="1:23" hidden="1">
      <c r="A130" s="113" t="s">
        <v>40</v>
      </c>
      <c r="B130" s="1026">
        <v>87493.3</v>
      </c>
      <c r="C130" s="1028">
        <v>231189.1</v>
      </c>
      <c r="D130" s="1028"/>
      <c r="E130" s="1026">
        <v>80164</v>
      </c>
      <c r="F130" s="1029"/>
      <c r="G130" s="1028">
        <v>32000</v>
      </c>
      <c r="H130" s="1027"/>
      <c r="I130" s="1030">
        <v>112164</v>
      </c>
      <c r="J130" s="1027">
        <v>543.20000000000005</v>
      </c>
      <c r="K130" s="1028"/>
      <c r="L130" s="1028"/>
      <c r="M130" s="1037" t="s">
        <v>88</v>
      </c>
      <c r="N130" s="1023">
        <v>143.80000000000001</v>
      </c>
      <c r="O130" s="1028" t="s">
        <v>88</v>
      </c>
      <c r="P130" s="1028">
        <v>7817.3</v>
      </c>
      <c r="Q130" s="1027">
        <v>649569.5</v>
      </c>
      <c r="R130" s="1028">
        <v>3027.2999999999997</v>
      </c>
      <c r="S130" s="1028">
        <v>6812.1</v>
      </c>
      <c r="T130" s="1026">
        <v>138722.20000000001</v>
      </c>
      <c r="U130" s="1030">
        <v>1237481.8</v>
      </c>
      <c r="W130" s="71"/>
    </row>
    <row r="131" spans="1:23" hidden="1">
      <c r="A131" s="113" t="s">
        <v>41</v>
      </c>
      <c r="B131" s="1026">
        <v>123889.60000000001</v>
      </c>
      <c r="C131" s="1028">
        <v>216698.30000000002</v>
      </c>
      <c r="D131" s="1028"/>
      <c r="E131" s="1026">
        <v>76771.899999999994</v>
      </c>
      <c r="F131" s="1029"/>
      <c r="G131" s="1028">
        <v>32000</v>
      </c>
      <c r="H131" s="1027"/>
      <c r="I131" s="1030">
        <v>108771.9</v>
      </c>
      <c r="J131" s="1027">
        <v>1314.8</v>
      </c>
      <c r="K131" s="1028"/>
      <c r="L131" s="1028"/>
      <c r="M131" s="1037" t="s">
        <v>88</v>
      </c>
      <c r="N131" s="1023">
        <v>143.80000000000001</v>
      </c>
      <c r="O131" s="1028" t="s">
        <v>88</v>
      </c>
      <c r="P131" s="1028">
        <v>7201.0000000000009</v>
      </c>
      <c r="Q131" s="1027">
        <v>649222.69999999995</v>
      </c>
      <c r="R131" s="1028">
        <v>3128.7000000000003</v>
      </c>
      <c r="S131" s="1028">
        <v>7084.7</v>
      </c>
      <c r="T131" s="1026">
        <v>126867.8</v>
      </c>
      <c r="U131" s="1030">
        <v>1244323.3</v>
      </c>
      <c r="W131" s="71"/>
    </row>
    <row r="132" spans="1:23" hidden="1">
      <c r="A132" s="113" t="s">
        <v>42</v>
      </c>
      <c r="B132" s="1026">
        <v>111667</v>
      </c>
      <c r="C132" s="1028">
        <v>226514.2</v>
      </c>
      <c r="D132" s="1028"/>
      <c r="E132" s="1026">
        <v>90431.1</v>
      </c>
      <c r="F132" s="1029"/>
      <c r="G132" s="1028">
        <v>47500</v>
      </c>
      <c r="H132" s="1027"/>
      <c r="I132" s="1030">
        <v>137931.1</v>
      </c>
      <c r="J132" s="1027">
        <v>2342.1</v>
      </c>
      <c r="K132" s="1028"/>
      <c r="L132" s="1028"/>
      <c r="M132" s="1037" t="s">
        <v>88</v>
      </c>
      <c r="N132" s="1023">
        <v>143.80000000000001</v>
      </c>
      <c r="O132" s="1028" t="s">
        <v>88</v>
      </c>
      <c r="P132" s="1023">
        <v>7117.4</v>
      </c>
      <c r="Q132" s="1027">
        <v>648133.5</v>
      </c>
      <c r="R132" s="1028">
        <v>3057.1000000000004</v>
      </c>
      <c r="S132" s="1028">
        <v>7365.1</v>
      </c>
      <c r="T132" s="1026">
        <v>129603.4</v>
      </c>
      <c r="U132" s="1030">
        <v>1273874.7000000002</v>
      </c>
      <c r="W132" s="71"/>
    </row>
    <row r="133" spans="1:23" ht="15.75" hidden="1">
      <c r="A133" s="113" t="s">
        <v>43</v>
      </c>
      <c r="B133" s="1026">
        <v>123191.3</v>
      </c>
      <c r="C133" s="1028">
        <v>199401.80000000002</v>
      </c>
      <c r="D133" s="1028"/>
      <c r="E133" s="1026">
        <v>83583.8</v>
      </c>
      <c r="F133" s="1029"/>
      <c r="G133" s="1028">
        <v>47500</v>
      </c>
      <c r="H133" s="1027"/>
      <c r="I133" s="1030">
        <v>131083.79999999999</v>
      </c>
      <c r="J133" s="1027">
        <v>1330.6</v>
      </c>
      <c r="K133" s="1028"/>
      <c r="L133" s="1028"/>
      <c r="M133" s="1037" t="s">
        <v>88</v>
      </c>
      <c r="N133" s="1023">
        <v>143.80000000000001</v>
      </c>
      <c r="O133" s="1028" t="s">
        <v>88</v>
      </c>
      <c r="P133" s="1023">
        <v>9306.6999999999989</v>
      </c>
      <c r="Q133" s="1027">
        <v>649603.09999999986</v>
      </c>
      <c r="R133" s="1028">
        <v>3066.6</v>
      </c>
      <c r="S133" s="1028">
        <v>8125.1</v>
      </c>
      <c r="T133" s="1026">
        <v>130693.20000000001</v>
      </c>
      <c r="U133" s="1030">
        <v>1255946</v>
      </c>
      <c r="V133"/>
      <c r="W133" s="71"/>
    </row>
    <row r="134" spans="1:23" s="88" customFormat="1" hidden="1">
      <c r="A134" s="113" t="s">
        <v>44</v>
      </c>
      <c r="B134" s="1031">
        <v>124507.9</v>
      </c>
      <c r="C134" s="1033">
        <v>198408.8</v>
      </c>
      <c r="D134" s="1033"/>
      <c r="E134" s="1031">
        <v>86709.1</v>
      </c>
      <c r="F134" s="1034"/>
      <c r="G134" s="1033">
        <v>47500</v>
      </c>
      <c r="H134" s="1032"/>
      <c r="I134" s="1035">
        <v>134209.1</v>
      </c>
      <c r="J134" s="1032">
        <v>1296.5999999999999</v>
      </c>
      <c r="K134" s="1033"/>
      <c r="L134" s="1033"/>
      <c r="M134" s="1037" t="s">
        <v>88</v>
      </c>
      <c r="N134" s="1039">
        <v>143.80000000000001</v>
      </c>
      <c r="O134" s="1033" t="s">
        <v>88</v>
      </c>
      <c r="P134" s="1039">
        <v>12659.7</v>
      </c>
      <c r="Q134" s="1032">
        <v>668881.19999999995</v>
      </c>
      <c r="R134" s="1033">
        <v>3154.2000000000003</v>
      </c>
      <c r="S134" s="1033">
        <v>8706.6</v>
      </c>
      <c r="T134" s="1031">
        <v>130308.7</v>
      </c>
      <c r="U134" s="1035">
        <v>1282276.5999999999</v>
      </c>
      <c r="W134" s="268"/>
    </row>
    <row r="135" spans="1:23" s="88" customFormat="1" hidden="1">
      <c r="A135" s="113" t="s">
        <v>45</v>
      </c>
      <c r="B135" s="1031">
        <v>118758.7</v>
      </c>
      <c r="C135" s="1033">
        <v>230561</v>
      </c>
      <c r="D135" s="1033"/>
      <c r="E135" s="1031">
        <v>89256.6</v>
      </c>
      <c r="F135" s="1034"/>
      <c r="G135" s="1033">
        <v>47500</v>
      </c>
      <c r="H135" s="1032"/>
      <c r="I135" s="1035">
        <v>136756.6</v>
      </c>
      <c r="J135" s="1032">
        <v>3306.9</v>
      </c>
      <c r="K135" s="1033"/>
      <c r="L135" s="1033"/>
      <c r="M135" s="1037" t="s">
        <v>88</v>
      </c>
      <c r="N135" s="1039">
        <v>143.80000000000001</v>
      </c>
      <c r="O135" s="1033" t="s">
        <v>88</v>
      </c>
      <c r="P135" s="1039">
        <v>16946.900000000001</v>
      </c>
      <c r="Q135" s="1032">
        <v>673331.20000000007</v>
      </c>
      <c r="R135" s="1033">
        <v>3132.8</v>
      </c>
      <c r="S135" s="1033">
        <v>8981.9</v>
      </c>
      <c r="T135" s="1031">
        <v>129612.20000000001</v>
      </c>
      <c r="U135" s="1035">
        <v>1321532</v>
      </c>
      <c r="W135" s="268"/>
    </row>
    <row r="136" spans="1:23" s="88" customFormat="1" hidden="1">
      <c r="A136" s="113" t="s">
        <v>46</v>
      </c>
      <c r="B136" s="1031">
        <v>125182.2</v>
      </c>
      <c r="C136" s="1033">
        <v>193892.9</v>
      </c>
      <c r="D136" s="1033"/>
      <c r="E136" s="1031">
        <v>90001</v>
      </c>
      <c r="F136" s="1034"/>
      <c r="G136" s="1033">
        <v>67163.600000000006</v>
      </c>
      <c r="H136" s="1032"/>
      <c r="I136" s="1035">
        <v>157164.6</v>
      </c>
      <c r="J136" s="1032">
        <v>1421.8</v>
      </c>
      <c r="K136" s="1033"/>
      <c r="L136" s="1033"/>
      <c r="M136" s="1037" t="s">
        <v>88</v>
      </c>
      <c r="N136" s="1039">
        <v>743.8</v>
      </c>
      <c r="O136" s="1033" t="s">
        <v>88</v>
      </c>
      <c r="P136" s="1039">
        <v>16863.599999999999</v>
      </c>
      <c r="Q136" s="1032">
        <v>687709.30000000016</v>
      </c>
      <c r="R136" s="1033">
        <v>3150.3</v>
      </c>
      <c r="S136" s="1033">
        <v>9665.6</v>
      </c>
      <c r="T136" s="1031">
        <v>132711.19999999998</v>
      </c>
      <c r="U136" s="1035">
        <v>1328505.3000000003</v>
      </c>
      <c r="V136" s="269"/>
      <c r="W136" s="268"/>
    </row>
    <row r="137" spans="1:23" s="88" customFormat="1" hidden="1">
      <c r="A137" s="113" t="s">
        <v>47</v>
      </c>
      <c r="B137" s="1031">
        <v>121296.9</v>
      </c>
      <c r="C137" s="1033">
        <v>193925</v>
      </c>
      <c r="D137" s="1033"/>
      <c r="E137" s="1031">
        <v>84044.4</v>
      </c>
      <c r="F137" s="1034"/>
      <c r="G137" s="1033">
        <v>67472</v>
      </c>
      <c r="H137" s="1032"/>
      <c r="I137" s="1035">
        <v>151516.4</v>
      </c>
      <c r="J137" s="1032">
        <v>1373.1</v>
      </c>
      <c r="K137" s="1033"/>
      <c r="L137" s="1033"/>
      <c r="M137" s="1037" t="s">
        <v>88</v>
      </c>
      <c r="N137" s="1039">
        <v>743.8</v>
      </c>
      <c r="O137" s="1033" t="s">
        <v>88</v>
      </c>
      <c r="P137" s="1039">
        <v>14386.1</v>
      </c>
      <c r="Q137" s="1032">
        <v>681388.8</v>
      </c>
      <c r="R137" s="1033">
        <v>3642.9</v>
      </c>
      <c r="S137" s="1033">
        <v>10737</v>
      </c>
      <c r="T137" s="1031">
        <v>131441.79999999999</v>
      </c>
      <c r="U137" s="1035">
        <v>1310451.8</v>
      </c>
      <c r="W137" s="268"/>
    </row>
    <row r="138" spans="1:23" s="88" customFormat="1" hidden="1">
      <c r="A138" s="113" t="s">
        <v>48</v>
      </c>
      <c r="B138" s="1031">
        <v>163764.79999999999</v>
      </c>
      <c r="C138" s="1033">
        <v>190465.19999999998</v>
      </c>
      <c r="D138" s="1033"/>
      <c r="E138" s="1031">
        <v>87147.5</v>
      </c>
      <c r="F138" s="1034"/>
      <c r="G138" s="1033">
        <v>59641.1</v>
      </c>
      <c r="H138" s="1032"/>
      <c r="I138" s="1035">
        <v>146788.6</v>
      </c>
      <c r="J138" s="1032">
        <v>1223.7</v>
      </c>
      <c r="K138" s="1033"/>
      <c r="L138" s="1033"/>
      <c r="M138" s="1037" t="s">
        <v>88</v>
      </c>
      <c r="N138" s="1039">
        <v>143.80000000000001</v>
      </c>
      <c r="O138" s="1033" t="s">
        <v>88</v>
      </c>
      <c r="P138" s="1039">
        <v>11856.800000000001</v>
      </c>
      <c r="Q138" s="1032">
        <v>685366.70000000007</v>
      </c>
      <c r="R138" s="1033">
        <v>3691</v>
      </c>
      <c r="S138" s="1033">
        <v>11343.5</v>
      </c>
      <c r="T138" s="1031">
        <v>133709.9</v>
      </c>
      <c r="U138" s="1035">
        <v>1348354</v>
      </c>
      <c r="W138" s="268"/>
    </row>
    <row r="139" spans="1:23" s="88" customFormat="1" hidden="1">
      <c r="A139" s="113" t="s">
        <v>49</v>
      </c>
      <c r="B139" s="1031">
        <v>136299.4</v>
      </c>
      <c r="C139" s="1033">
        <v>177087.69999999998</v>
      </c>
      <c r="D139" s="1033"/>
      <c r="E139" s="1031">
        <v>94268.7</v>
      </c>
      <c r="F139" s="1034"/>
      <c r="G139" s="1033">
        <v>59813.8</v>
      </c>
      <c r="H139" s="1032"/>
      <c r="I139" s="1035">
        <v>154082.5</v>
      </c>
      <c r="J139" s="1032">
        <v>948.8</v>
      </c>
      <c r="K139" s="1033"/>
      <c r="L139" s="1033"/>
      <c r="M139" s="1037" t="s">
        <v>88</v>
      </c>
      <c r="N139" s="1039">
        <v>143.80000000000001</v>
      </c>
      <c r="O139" s="1033" t="s">
        <v>88</v>
      </c>
      <c r="P139" s="1039">
        <v>10670.3</v>
      </c>
      <c r="Q139" s="1032">
        <v>692725.3</v>
      </c>
      <c r="R139" s="1033">
        <v>3607.1</v>
      </c>
      <c r="S139" s="1033">
        <v>11432.1</v>
      </c>
      <c r="T139" s="1031">
        <v>138458</v>
      </c>
      <c r="U139" s="1035">
        <v>1325455.0000000002</v>
      </c>
      <c r="W139" s="268"/>
    </row>
    <row r="140" spans="1:23" s="88" customFormat="1" hidden="1">
      <c r="A140" s="113" t="s">
        <v>50</v>
      </c>
      <c r="B140" s="1031">
        <v>146489.79999999999</v>
      </c>
      <c r="C140" s="1033">
        <v>199601.19999999998</v>
      </c>
      <c r="D140" s="1033"/>
      <c r="E140" s="1031">
        <v>87718.9</v>
      </c>
      <c r="F140" s="1034"/>
      <c r="G140" s="1033">
        <v>59983.8</v>
      </c>
      <c r="H140" s="1032"/>
      <c r="I140" s="1035">
        <v>147702.70000000001</v>
      </c>
      <c r="J140" s="1032">
        <v>34633.199999999997</v>
      </c>
      <c r="K140" s="1033"/>
      <c r="L140" s="1033"/>
      <c r="M140" s="1037" t="s">
        <v>88</v>
      </c>
      <c r="N140" s="1039">
        <v>143.80000000000001</v>
      </c>
      <c r="O140" s="1033" t="s">
        <v>88</v>
      </c>
      <c r="P140" s="1039">
        <v>10820.5</v>
      </c>
      <c r="Q140" s="1032">
        <v>702640.60000000009</v>
      </c>
      <c r="R140" s="1033">
        <v>3449.3</v>
      </c>
      <c r="S140" s="1033">
        <v>12380.1</v>
      </c>
      <c r="T140" s="1031">
        <v>142777.19999999998</v>
      </c>
      <c r="U140" s="1035">
        <v>1400638.4000000004</v>
      </c>
      <c r="W140" s="268"/>
    </row>
    <row r="141" spans="1:23" s="88" customFormat="1" hidden="1">
      <c r="A141" s="113"/>
      <c r="B141" s="1031"/>
      <c r="C141" s="1033"/>
      <c r="D141" s="1033"/>
      <c r="E141" s="1031"/>
      <c r="F141" s="1034"/>
      <c r="G141" s="1033"/>
      <c r="H141" s="1032"/>
      <c r="I141" s="1035"/>
      <c r="J141" s="1032"/>
      <c r="K141" s="1033"/>
      <c r="L141" s="1033"/>
      <c r="M141" s="1037"/>
      <c r="N141" s="1039"/>
      <c r="O141" s="1033"/>
      <c r="P141" s="1039"/>
      <c r="Q141" s="1032"/>
      <c r="R141" s="1033"/>
      <c r="S141" s="1033"/>
      <c r="T141" s="1031"/>
      <c r="U141" s="1035"/>
      <c r="W141" s="268"/>
    </row>
    <row r="142" spans="1:23" s="88" customFormat="1" hidden="1">
      <c r="A142" s="113" t="s">
        <v>51</v>
      </c>
      <c r="B142" s="1031">
        <v>110540.2</v>
      </c>
      <c r="C142" s="1033">
        <v>189271.09999999998</v>
      </c>
      <c r="D142" s="1033"/>
      <c r="E142" s="1031">
        <v>89081.9</v>
      </c>
      <c r="F142" s="1034"/>
      <c r="G142" s="1033">
        <v>68163.199999999997</v>
      </c>
      <c r="H142" s="1032"/>
      <c r="I142" s="1035">
        <v>157245.09999999998</v>
      </c>
      <c r="J142" s="1032">
        <v>35319</v>
      </c>
      <c r="K142" s="1033"/>
      <c r="L142" s="1033"/>
      <c r="M142" s="1037" t="s">
        <v>88</v>
      </c>
      <c r="N142" s="1039">
        <v>143.80000000000001</v>
      </c>
      <c r="O142" s="1033" t="s">
        <v>88</v>
      </c>
      <c r="P142" s="1039">
        <v>9863.2000000000007</v>
      </c>
      <c r="Q142" s="1032">
        <v>696705.10000000009</v>
      </c>
      <c r="R142" s="1033">
        <v>3291.2</v>
      </c>
      <c r="S142" s="1033">
        <v>13288.6</v>
      </c>
      <c r="T142" s="1031">
        <v>144541.59999999998</v>
      </c>
      <c r="U142" s="1035">
        <v>1360208.9</v>
      </c>
      <c r="W142" s="268"/>
    </row>
    <row r="143" spans="1:23" s="88" customFormat="1" hidden="1">
      <c r="A143" s="113" t="s">
        <v>52</v>
      </c>
      <c r="B143" s="1031">
        <v>154012.4</v>
      </c>
      <c r="C143" s="1033">
        <v>177732</v>
      </c>
      <c r="D143" s="1033"/>
      <c r="E143" s="1031">
        <v>80498.8</v>
      </c>
      <c r="F143" s="1034"/>
      <c r="G143" s="1033">
        <v>60328.4</v>
      </c>
      <c r="H143" s="1032"/>
      <c r="I143" s="1035">
        <v>140827.20000000001</v>
      </c>
      <c r="J143" s="1032">
        <v>37033.800000000003</v>
      </c>
      <c r="K143" s="1033"/>
      <c r="L143" s="1033"/>
      <c r="M143" s="1037" t="s">
        <v>88</v>
      </c>
      <c r="N143" s="1039">
        <v>143.80000000000001</v>
      </c>
      <c r="O143" s="1033" t="s">
        <v>88</v>
      </c>
      <c r="P143" s="1039">
        <v>7557.4999999999991</v>
      </c>
      <c r="Q143" s="1032">
        <v>693320.60000000009</v>
      </c>
      <c r="R143" s="1033">
        <v>3220</v>
      </c>
      <c r="S143" s="1033">
        <v>12871.9</v>
      </c>
      <c r="T143" s="1031">
        <v>147890.69999999998</v>
      </c>
      <c r="U143" s="1035">
        <v>1374609.9</v>
      </c>
      <c r="W143" s="268"/>
    </row>
    <row r="144" spans="1:23" hidden="1">
      <c r="A144" s="113" t="s">
        <v>53</v>
      </c>
      <c r="B144" s="1026">
        <v>100504.6</v>
      </c>
      <c r="C144" s="1028">
        <v>191610</v>
      </c>
      <c r="D144" s="1028"/>
      <c r="E144" s="1026">
        <v>96138</v>
      </c>
      <c r="F144" s="1029"/>
      <c r="G144" s="1028">
        <v>60514.5</v>
      </c>
      <c r="H144" s="1027"/>
      <c r="I144" s="1030">
        <v>156652.5</v>
      </c>
      <c r="J144" s="1027">
        <v>37342.1</v>
      </c>
      <c r="K144" s="1028"/>
      <c r="L144" s="1028"/>
      <c r="M144" s="1037" t="s">
        <v>88</v>
      </c>
      <c r="N144" s="1023">
        <v>143.9</v>
      </c>
      <c r="O144" s="1028" t="s">
        <v>88</v>
      </c>
      <c r="P144" s="1023">
        <v>7872.9</v>
      </c>
      <c r="Q144" s="1027">
        <v>701498.4</v>
      </c>
      <c r="R144" s="1028">
        <v>3910.9</v>
      </c>
      <c r="S144" s="1028">
        <v>11531.7</v>
      </c>
      <c r="T144" s="1026">
        <v>147970.70000000001</v>
      </c>
      <c r="U144" s="1030">
        <v>1359037.6999999997</v>
      </c>
      <c r="W144" s="71"/>
    </row>
    <row r="145" spans="1:23" hidden="1">
      <c r="A145" s="113" t="s">
        <v>603</v>
      </c>
      <c r="B145" s="1026">
        <v>105296.1</v>
      </c>
      <c r="C145" s="1028">
        <v>202405.59999999998</v>
      </c>
      <c r="D145" s="1028"/>
      <c r="E145" s="1026">
        <v>100215.5</v>
      </c>
      <c r="F145" s="1029"/>
      <c r="G145" s="1028">
        <v>52716.1</v>
      </c>
      <c r="H145" s="1027"/>
      <c r="I145" s="1030">
        <v>152931.6</v>
      </c>
      <c r="J145" s="1027">
        <v>35613.199999999997</v>
      </c>
      <c r="K145" s="1028"/>
      <c r="L145" s="1028"/>
      <c r="M145" s="1037" t="s">
        <v>88</v>
      </c>
      <c r="N145" s="1023">
        <v>143.9</v>
      </c>
      <c r="O145" s="1028" t="s">
        <v>88</v>
      </c>
      <c r="P145" s="1023">
        <v>10236.1</v>
      </c>
      <c r="Q145" s="1027">
        <v>717739.2</v>
      </c>
      <c r="R145" s="1028">
        <v>3961.3</v>
      </c>
      <c r="S145" s="1028">
        <v>11607.3</v>
      </c>
      <c r="T145" s="1026">
        <v>146455.59999999998</v>
      </c>
      <c r="U145" s="1030">
        <v>1386389.9</v>
      </c>
      <c r="W145" s="71"/>
    </row>
    <row r="146" spans="1:23" hidden="1">
      <c r="A146" s="113" t="s">
        <v>609</v>
      </c>
      <c r="B146" s="1026">
        <v>94877.4</v>
      </c>
      <c r="C146" s="1028">
        <v>178435.19999999998</v>
      </c>
      <c r="D146" s="1028"/>
      <c r="E146" s="1026">
        <v>114578.6</v>
      </c>
      <c r="F146" s="1029"/>
      <c r="G146" s="1028">
        <v>57887.199999999997</v>
      </c>
      <c r="H146" s="1027"/>
      <c r="I146" s="1030">
        <v>172465.8</v>
      </c>
      <c r="J146" s="1027">
        <v>34736.199999999997</v>
      </c>
      <c r="K146" s="1028"/>
      <c r="L146" s="1028"/>
      <c r="M146" s="1037" t="s">
        <v>88</v>
      </c>
      <c r="N146" s="1023">
        <v>143.9</v>
      </c>
      <c r="O146" s="1028" t="s">
        <v>88</v>
      </c>
      <c r="P146" s="1023">
        <v>11405</v>
      </c>
      <c r="Q146" s="1027">
        <v>723584</v>
      </c>
      <c r="R146" s="1028">
        <v>4189.7000000000007</v>
      </c>
      <c r="S146" s="1028">
        <v>11921.1</v>
      </c>
      <c r="T146" s="1026">
        <v>141880.59999999998</v>
      </c>
      <c r="U146" s="1030">
        <v>1373638.9</v>
      </c>
      <c r="W146" s="71"/>
    </row>
    <row r="147" spans="1:23" hidden="1">
      <c r="A147" s="113" t="s">
        <v>44</v>
      </c>
      <c r="B147" s="1026">
        <v>94242.5</v>
      </c>
      <c r="C147" s="1028">
        <v>192773.59999999998</v>
      </c>
      <c r="D147" s="1028"/>
      <c r="E147" s="1026">
        <v>105680.9</v>
      </c>
      <c r="F147" s="1029"/>
      <c r="G147" s="1028">
        <v>61075.3</v>
      </c>
      <c r="H147" s="1027"/>
      <c r="I147" s="1030">
        <v>166756.20000000001</v>
      </c>
      <c r="J147" s="1027">
        <v>32993.1</v>
      </c>
      <c r="K147" s="1028"/>
      <c r="L147" s="1028"/>
      <c r="M147" s="1037" t="s">
        <v>88</v>
      </c>
      <c r="N147" s="1023">
        <v>143.9</v>
      </c>
      <c r="O147" s="1028" t="s">
        <v>88</v>
      </c>
      <c r="P147" s="1023">
        <v>9608.4</v>
      </c>
      <c r="Q147" s="1027">
        <v>726225.70000000019</v>
      </c>
      <c r="R147" s="1028">
        <v>3822.2</v>
      </c>
      <c r="S147" s="1028">
        <v>11508.3</v>
      </c>
      <c r="T147" s="1026">
        <v>145228.1</v>
      </c>
      <c r="U147" s="1030">
        <v>1383302.0000000002</v>
      </c>
      <c r="W147" s="71"/>
    </row>
    <row r="148" spans="1:23" hidden="1">
      <c r="A148" s="113" t="s">
        <v>617</v>
      </c>
      <c r="B148" s="1026">
        <v>111874.1</v>
      </c>
      <c r="C148" s="1028">
        <v>167511</v>
      </c>
      <c r="D148" s="1028"/>
      <c r="E148" s="1026">
        <v>112827.4</v>
      </c>
      <c r="F148" s="1029"/>
      <c r="G148" s="1028">
        <v>57754.6</v>
      </c>
      <c r="H148" s="1027"/>
      <c r="I148" s="1030">
        <v>170582</v>
      </c>
      <c r="J148" s="1027">
        <v>34184.1</v>
      </c>
      <c r="K148" s="1028"/>
      <c r="L148" s="1028"/>
      <c r="M148" s="1037" t="s">
        <v>88</v>
      </c>
      <c r="N148" s="1023">
        <v>143.9</v>
      </c>
      <c r="O148" s="1028" t="s">
        <v>88</v>
      </c>
      <c r="P148" s="1023">
        <v>13290.2</v>
      </c>
      <c r="Q148" s="1027">
        <v>723934.6</v>
      </c>
      <c r="R148" s="1028">
        <v>3822.1</v>
      </c>
      <c r="S148" s="1028">
        <v>11352.9</v>
      </c>
      <c r="T148" s="1026">
        <v>152462.39999999999</v>
      </c>
      <c r="U148" s="1030">
        <v>1389157.2999999998</v>
      </c>
      <c r="W148" s="71"/>
    </row>
    <row r="149" spans="1:23" hidden="1">
      <c r="A149" s="113" t="s">
        <v>623</v>
      </c>
      <c r="B149" s="1026">
        <v>118047</v>
      </c>
      <c r="C149" s="1028">
        <v>188311.69999999998</v>
      </c>
      <c r="D149" s="1028"/>
      <c r="E149" s="1026">
        <v>112931</v>
      </c>
      <c r="F149" s="1029"/>
      <c r="G149" s="1028">
        <v>57957.3</v>
      </c>
      <c r="H149" s="1027"/>
      <c r="I149" s="1030">
        <v>170888.3</v>
      </c>
      <c r="J149" s="1027">
        <v>33864.5</v>
      </c>
      <c r="K149" s="1028"/>
      <c r="L149" s="1028"/>
      <c r="M149" s="1037" t="s">
        <v>88</v>
      </c>
      <c r="N149" s="1023">
        <v>143.9</v>
      </c>
      <c r="O149" s="1028" t="s">
        <v>88</v>
      </c>
      <c r="P149" s="1023">
        <v>13085</v>
      </c>
      <c r="Q149" s="1027">
        <v>724096.3</v>
      </c>
      <c r="R149" s="1028">
        <v>3846.9</v>
      </c>
      <c r="S149" s="1028">
        <v>11334.8</v>
      </c>
      <c r="T149" s="1026">
        <v>150480.79999999999</v>
      </c>
      <c r="U149" s="1030">
        <v>1414099.2</v>
      </c>
      <c r="W149" s="71"/>
    </row>
    <row r="150" spans="1:23" hidden="1">
      <c r="A150" s="113" t="s">
        <v>47</v>
      </c>
      <c r="B150" s="1026">
        <v>105927</v>
      </c>
      <c r="C150" s="1028">
        <v>179072.09999999998</v>
      </c>
      <c r="D150" s="1028"/>
      <c r="E150" s="1026">
        <v>118944.2</v>
      </c>
      <c r="F150" s="1029"/>
      <c r="G150" s="1028">
        <v>58157.4</v>
      </c>
      <c r="H150" s="1027"/>
      <c r="I150" s="1030">
        <v>177101.6</v>
      </c>
      <c r="J150" s="1027">
        <v>33329.9</v>
      </c>
      <c r="K150" s="1028"/>
      <c r="L150" s="1028"/>
      <c r="M150" s="1037" t="s">
        <v>88</v>
      </c>
      <c r="N150" s="1023">
        <v>143.9</v>
      </c>
      <c r="O150" s="1028" t="s">
        <v>88</v>
      </c>
      <c r="P150" s="1023">
        <v>14945.4</v>
      </c>
      <c r="Q150" s="1027">
        <v>721463.29999999993</v>
      </c>
      <c r="R150" s="1028">
        <v>3755.9</v>
      </c>
      <c r="S150" s="1028">
        <v>11334.8</v>
      </c>
      <c r="T150" s="1026">
        <v>152971.70000000001</v>
      </c>
      <c r="U150" s="1030">
        <v>1400045.5999999999</v>
      </c>
      <c r="W150" s="71"/>
    </row>
    <row r="151" spans="1:23" hidden="1">
      <c r="A151" s="113" t="s">
        <v>631</v>
      </c>
      <c r="B151" s="1026">
        <v>140473.9</v>
      </c>
      <c r="C151" s="1028">
        <v>167200.69999999998</v>
      </c>
      <c r="D151" s="1028"/>
      <c r="E151" s="1026">
        <v>135892.29999999999</v>
      </c>
      <c r="F151" s="1029"/>
      <c r="G151" s="1028">
        <v>58368.800000000003</v>
      </c>
      <c r="H151" s="1027"/>
      <c r="I151" s="1030">
        <v>194261.09999999998</v>
      </c>
      <c r="J151" s="1027">
        <v>34898.800000000003</v>
      </c>
      <c r="K151" s="1028"/>
      <c r="L151" s="1028"/>
      <c r="M151" s="1037" t="s">
        <v>88</v>
      </c>
      <c r="N151" s="1023">
        <v>143.9</v>
      </c>
      <c r="O151" s="1028" t="s">
        <v>88</v>
      </c>
      <c r="P151" s="1023">
        <v>10298.5</v>
      </c>
      <c r="Q151" s="1027">
        <v>713833.3</v>
      </c>
      <c r="R151" s="1028">
        <v>4663.1000000000004</v>
      </c>
      <c r="S151" s="1028">
        <v>11334.8</v>
      </c>
      <c r="T151" s="1026">
        <v>152906.5</v>
      </c>
      <c r="U151" s="1030">
        <v>1430014.6000000003</v>
      </c>
      <c r="W151" s="71"/>
    </row>
    <row r="152" spans="1:23" hidden="1">
      <c r="A152" s="113" t="s">
        <v>654</v>
      </c>
      <c r="B152" s="1026">
        <v>117089.5</v>
      </c>
      <c r="C152" s="1028">
        <v>182736.59999999998</v>
      </c>
      <c r="D152" s="1028"/>
      <c r="E152" s="1026">
        <v>151945</v>
      </c>
      <c r="F152" s="1029"/>
      <c r="G152" s="1028">
        <v>70789.2</v>
      </c>
      <c r="H152" s="1027"/>
      <c r="I152" s="1030">
        <v>222734.2</v>
      </c>
      <c r="J152" s="1027">
        <v>41431.199999999997</v>
      </c>
      <c r="K152" s="1028"/>
      <c r="L152" s="1028"/>
      <c r="M152" s="1037" t="s">
        <v>88</v>
      </c>
      <c r="N152" s="1023">
        <v>143.9</v>
      </c>
      <c r="O152" s="1028">
        <v>16573.400000000001</v>
      </c>
      <c r="P152" s="1023">
        <v>10107.1</v>
      </c>
      <c r="Q152" s="1027">
        <v>693308.8</v>
      </c>
      <c r="R152" s="1028">
        <v>8.3000000000000007</v>
      </c>
      <c r="S152" s="1028" t="s">
        <v>88</v>
      </c>
      <c r="T152" s="1026">
        <v>145046.9</v>
      </c>
      <c r="U152" s="1030">
        <v>1429179.9000000001</v>
      </c>
      <c r="W152" s="71"/>
    </row>
    <row r="153" spans="1:23" hidden="1">
      <c r="A153" s="113" t="s">
        <v>666</v>
      </c>
      <c r="B153" s="1026">
        <v>109488.4</v>
      </c>
      <c r="C153" s="1028">
        <v>207089</v>
      </c>
      <c r="D153" s="1028"/>
      <c r="E153" s="1026">
        <v>174940.3</v>
      </c>
      <c r="F153" s="1029"/>
      <c r="G153" s="1028">
        <v>79868.899999999994</v>
      </c>
      <c r="H153" s="1027"/>
      <c r="I153" s="1030">
        <v>254809.19999999998</v>
      </c>
      <c r="J153" s="1027">
        <v>35319.300000000003</v>
      </c>
      <c r="K153" s="1028"/>
      <c r="L153" s="1028"/>
      <c r="M153" s="1037" t="s">
        <v>88</v>
      </c>
      <c r="N153" s="1023">
        <v>143.9</v>
      </c>
      <c r="O153" s="1028">
        <v>15884.7</v>
      </c>
      <c r="P153" s="1023">
        <v>6512.1</v>
      </c>
      <c r="Q153" s="1027">
        <v>673798.99999999988</v>
      </c>
      <c r="R153" s="1028">
        <v>27.1</v>
      </c>
      <c r="S153" s="1028" t="s">
        <v>88</v>
      </c>
      <c r="T153" s="1026">
        <v>152507.69999999998</v>
      </c>
      <c r="U153" s="1030">
        <v>1455580.4</v>
      </c>
      <c r="W153" s="71"/>
    </row>
    <row r="154" spans="1:23" hidden="1">
      <c r="A154" s="113"/>
      <c r="B154" s="1026"/>
      <c r="C154" s="1028"/>
      <c r="D154" s="1028"/>
      <c r="E154" s="1026"/>
      <c r="F154" s="1029"/>
      <c r="G154" s="1028"/>
      <c r="H154" s="1027"/>
      <c r="I154" s="1030"/>
      <c r="J154" s="1027"/>
      <c r="K154" s="1028"/>
      <c r="L154" s="1028"/>
      <c r="M154" s="1037"/>
      <c r="N154" s="1023"/>
      <c r="O154" s="1028"/>
      <c r="P154" s="1023"/>
      <c r="Q154" s="1027"/>
      <c r="R154" s="1028"/>
      <c r="S154" s="1028"/>
      <c r="T154" s="1026"/>
      <c r="U154" s="1030"/>
      <c r="W154" s="71"/>
    </row>
    <row r="155" spans="1:23" hidden="1">
      <c r="A155" s="113" t="s">
        <v>39</v>
      </c>
      <c r="B155" s="1026">
        <v>125686.39999999999</v>
      </c>
      <c r="C155" s="1028">
        <v>163636.69999999998</v>
      </c>
      <c r="D155" s="1028"/>
      <c r="E155" s="1026">
        <v>189318.8</v>
      </c>
      <c r="F155" s="1029"/>
      <c r="G155" s="1028">
        <v>77215.199999999997</v>
      </c>
      <c r="H155" s="1027"/>
      <c r="I155" s="1030">
        <v>266534</v>
      </c>
      <c r="J155" s="1027">
        <v>34968.699999999997</v>
      </c>
      <c r="K155" s="1028"/>
      <c r="L155" s="1028"/>
      <c r="M155" s="1037" t="s">
        <v>88</v>
      </c>
      <c r="N155" s="1023">
        <v>143.9</v>
      </c>
      <c r="O155" s="1028">
        <v>15940.4</v>
      </c>
      <c r="P155" s="1023">
        <v>2962.7000000000003</v>
      </c>
      <c r="Q155" s="1027">
        <v>688051.4</v>
      </c>
      <c r="R155" s="1028">
        <v>67.400000000000006</v>
      </c>
      <c r="S155" s="1028" t="s">
        <v>88</v>
      </c>
      <c r="T155" s="1026">
        <v>149273.9</v>
      </c>
      <c r="U155" s="1030">
        <v>1447265.4999999998</v>
      </c>
      <c r="W155" s="71"/>
    </row>
    <row r="156" spans="1:23" hidden="1">
      <c r="A156" s="113" t="s">
        <v>677</v>
      </c>
      <c r="B156" s="1026">
        <v>113786.6</v>
      </c>
      <c r="C156" s="1028">
        <v>178520.4</v>
      </c>
      <c r="D156" s="1028"/>
      <c r="E156" s="1026">
        <v>203350.39999999999</v>
      </c>
      <c r="F156" s="1029"/>
      <c r="G156" s="1028">
        <v>79380.5</v>
      </c>
      <c r="H156" s="1027"/>
      <c r="I156" s="1030">
        <v>282730.90000000002</v>
      </c>
      <c r="J156" s="1027">
        <v>33693</v>
      </c>
      <c r="K156" s="1028"/>
      <c r="L156" s="1028"/>
      <c r="M156" s="1037" t="s">
        <v>88</v>
      </c>
      <c r="N156" s="1023">
        <v>143.9</v>
      </c>
      <c r="O156" s="1028">
        <v>16326.6</v>
      </c>
      <c r="P156" s="1023">
        <v>3447.3</v>
      </c>
      <c r="Q156" s="1027">
        <v>683272.6</v>
      </c>
      <c r="R156" s="1028">
        <v>24.4</v>
      </c>
      <c r="S156" s="1028" t="s">
        <v>88</v>
      </c>
      <c r="T156" s="1026">
        <v>148538.80000000002</v>
      </c>
      <c r="U156" s="1030">
        <v>1460484.5</v>
      </c>
      <c r="W156" s="71"/>
    </row>
    <row r="157" spans="1:23" hidden="1">
      <c r="A157" s="113" t="s">
        <v>65</v>
      </c>
      <c r="B157" s="1026">
        <v>126625.1</v>
      </c>
      <c r="C157" s="1028">
        <v>182809.69999999998</v>
      </c>
      <c r="D157" s="1028"/>
      <c r="E157" s="1026">
        <v>216514.6</v>
      </c>
      <c r="F157" s="1029"/>
      <c r="G157" s="1028">
        <v>80380.2</v>
      </c>
      <c r="H157" s="1027"/>
      <c r="I157" s="1030">
        <v>296894.8</v>
      </c>
      <c r="J157" s="1027">
        <v>34871.9</v>
      </c>
      <c r="K157" s="1028"/>
      <c r="L157" s="1028"/>
      <c r="M157" s="1037" t="s">
        <v>88</v>
      </c>
      <c r="N157" s="1023">
        <v>143.9</v>
      </c>
      <c r="O157" s="1028">
        <v>15375.7</v>
      </c>
      <c r="P157" s="1023">
        <v>2747.5</v>
      </c>
      <c r="Q157" s="1027">
        <v>681597</v>
      </c>
      <c r="R157" s="1028">
        <v>22.2</v>
      </c>
      <c r="S157" s="1028" t="s">
        <v>88</v>
      </c>
      <c r="T157" s="1026">
        <v>146240.29999999999</v>
      </c>
      <c r="U157" s="1030">
        <v>1487328.1</v>
      </c>
      <c r="W157" s="71"/>
    </row>
    <row r="158" spans="1:23" hidden="1">
      <c r="A158" s="113" t="s">
        <v>692</v>
      </c>
      <c r="B158" s="1026">
        <v>142222.20000000001</v>
      </c>
      <c r="C158" s="1028">
        <v>157788.59999999998</v>
      </c>
      <c r="D158" s="1028"/>
      <c r="E158" s="1026">
        <v>237046.39999999999</v>
      </c>
      <c r="F158" s="1029"/>
      <c r="G158" s="1028">
        <v>82538.3</v>
      </c>
      <c r="H158" s="1027"/>
      <c r="I158" s="1030">
        <v>319584.7</v>
      </c>
      <c r="J158" s="1027">
        <v>38504</v>
      </c>
      <c r="K158" s="1028"/>
      <c r="L158" s="1028"/>
      <c r="M158" s="1037" t="s">
        <v>88</v>
      </c>
      <c r="N158" s="1023">
        <v>143.9</v>
      </c>
      <c r="O158" s="1028">
        <v>15556.5</v>
      </c>
      <c r="P158" s="1023">
        <v>6565.9</v>
      </c>
      <c r="Q158" s="1027">
        <v>671075.69999999995</v>
      </c>
      <c r="R158" s="1028">
        <v>46.2</v>
      </c>
      <c r="S158" s="1028" t="s">
        <v>88</v>
      </c>
      <c r="T158" s="1026">
        <v>143569</v>
      </c>
      <c r="U158" s="1030">
        <v>1495056.7</v>
      </c>
      <c r="W158" s="71"/>
    </row>
    <row r="159" spans="1:23" hidden="1">
      <c r="A159" s="113" t="s">
        <v>700</v>
      </c>
      <c r="B159" s="1026">
        <v>144268.4</v>
      </c>
      <c r="C159" s="1028">
        <v>155604.4</v>
      </c>
      <c r="D159" s="1028"/>
      <c r="E159" s="1026">
        <v>241098.8</v>
      </c>
      <c r="F159" s="1029"/>
      <c r="G159" s="1028">
        <v>81282.899999999994</v>
      </c>
      <c r="H159" s="1027"/>
      <c r="I159" s="1030">
        <v>322381.69999999995</v>
      </c>
      <c r="J159" s="1027">
        <v>40862.700000000004</v>
      </c>
      <c r="K159" s="1028"/>
      <c r="L159" s="1028"/>
      <c r="M159" s="1037" t="s">
        <v>88</v>
      </c>
      <c r="N159" s="1023">
        <v>143.9</v>
      </c>
      <c r="O159" s="1028">
        <v>14944.9</v>
      </c>
      <c r="P159" s="1023">
        <v>7283.9</v>
      </c>
      <c r="Q159" s="1027">
        <v>679604.1</v>
      </c>
      <c r="R159" s="1028">
        <v>56.4</v>
      </c>
      <c r="S159" s="1028" t="s">
        <v>88</v>
      </c>
      <c r="T159" s="1026">
        <v>144948.4</v>
      </c>
      <c r="U159" s="1030">
        <v>1510098.7999999998</v>
      </c>
      <c r="W159" s="71"/>
    </row>
    <row r="160" spans="1:23" hidden="1">
      <c r="A160" s="113" t="s">
        <v>711</v>
      </c>
      <c r="B160" s="1026">
        <v>129379.9</v>
      </c>
      <c r="C160" s="1028">
        <v>163223.69999999998</v>
      </c>
      <c r="D160" s="1028"/>
      <c r="E160" s="1026">
        <v>267467.3</v>
      </c>
      <c r="F160" s="1029"/>
      <c r="G160" s="1028">
        <v>81275.600000000006</v>
      </c>
      <c r="H160" s="1027"/>
      <c r="I160" s="1030">
        <v>348742.9</v>
      </c>
      <c r="J160" s="1027">
        <v>36105</v>
      </c>
      <c r="K160" s="1028"/>
      <c r="L160" s="1028"/>
      <c r="M160" s="1037" t="s">
        <v>88</v>
      </c>
      <c r="N160" s="1023">
        <v>143.9</v>
      </c>
      <c r="O160" s="1028">
        <v>14150.3</v>
      </c>
      <c r="P160" s="1023">
        <v>6407</v>
      </c>
      <c r="Q160" s="1027">
        <v>691678.70000000007</v>
      </c>
      <c r="R160" s="1028">
        <v>59.2</v>
      </c>
      <c r="S160" s="1028" t="s">
        <v>88</v>
      </c>
      <c r="T160" s="1026">
        <v>150031.5</v>
      </c>
      <c r="U160" s="1030">
        <v>1539922.1</v>
      </c>
      <c r="W160" s="71"/>
    </row>
    <row r="161" spans="1:23">
      <c r="A161" s="113" t="s">
        <v>730</v>
      </c>
      <c r="B161" s="1026">
        <v>138307</v>
      </c>
      <c r="C161" s="1028">
        <v>141680.69999999998</v>
      </c>
      <c r="D161" s="1028"/>
      <c r="E161" s="1026">
        <v>277335.3</v>
      </c>
      <c r="F161" s="1029"/>
      <c r="G161" s="1028">
        <v>88634.5</v>
      </c>
      <c r="H161" s="1027"/>
      <c r="I161" s="1030">
        <v>365969.8</v>
      </c>
      <c r="J161" s="1027">
        <v>36494.9</v>
      </c>
      <c r="K161" s="1028"/>
      <c r="L161" s="1028"/>
      <c r="M161" s="1037" t="s">
        <v>88</v>
      </c>
      <c r="N161" s="1023">
        <v>143.9</v>
      </c>
      <c r="O161" s="1028">
        <v>13589.4</v>
      </c>
      <c r="P161" s="1023">
        <v>11319</v>
      </c>
      <c r="Q161" s="1027">
        <v>684407.50000000012</v>
      </c>
      <c r="R161" s="1028">
        <v>35</v>
      </c>
      <c r="S161" s="1028" t="s">
        <v>88</v>
      </c>
      <c r="T161" s="1026">
        <v>144775.1</v>
      </c>
      <c r="U161" s="1030">
        <v>1536722.3000000003</v>
      </c>
      <c r="W161" s="71"/>
    </row>
    <row r="162" spans="1:23">
      <c r="A162" s="113" t="s">
        <v>46</v>
      </c>
      <c r="B162" s="1026">
        <v>124082.3</v>
      </c>
      <c r="C162" s="1028">
        <v>127492.8</v>
      </c>
      <c r="D162" s="1028"/>
      <c r="E162" s="1026">
        <v>280601.3</v>
      </c>
      <c r="F162" s="1029"/>
      <c r="G162" s="1028">
        <v>88999.1</v>
      </c>
      <c r="H162" s="1027"/>
      <c r="I162" s="1030">
        <v>369600.4</v>
      </c>
      <c r="J162" s="1027">
        <v>31396.799999999999</v>
      </c>
      <c r="K162" s="1028"/>
      <c r="L162" s="1028"/>
      <c r="M162" s="1037" t="s">
        <v>88</v>
      </c>
      <c r="N162" s="1023">
        <v>143.9</v>
      </c>
      <c r="O162" s="1028">
        <v>14875.5</v>
      </c>
      <c r="P162" s="1023">
        <v>10283.199999999999</v>
      </c>
      <c r="Q162" s="1027">
        <v>708720.59999999986</v>
      </c>
      <c r="R162" s="1028">
        <v>26.9</v>
      </c>
      <c r="S162" s="1028" t="s">
        <v>88</v>
      </c>
      <c r="T162" s="1026">
        <v>147338.6</v>
      </c>
      <c r="U162" s="1030">
        <v>1533961</v>
      </c>
      <c r="W162" s="71"/>
    </row>
    <row r="163" spans="1:23">
      <c r="A163" s="113" t="s">
        <v>47</v>
      </c>
      <c r="B163" s="1026">
        <v>154229.70000000001</v>
      </c>
      <c r="C163" s="1028">
        <v>129120.3</v>
      </c>
      <c r="D163" s="1028"/>
      <c r="E163" s="1026">
        <v>298096.40000000002</v>
      </c>
      <c r="F163" s="1029"/>
      <c r="G163" s="1028">
        <v>92142</v>
      </c>
      <c r="H163" s="1027"/>
      <c r="I163" s="1030">
        <v>390238.4</v>
      </c>
      <c r="J163" s="1027">
        <v>31521.1</v>
      </c>
      <c r="K163" s="1028"/>
      <c r="L163" s="1028"/>
      <c r="M163" s="1037" t="s">
        <v>88</v>
      </c>
      <c r="N163" s="1023">
        <v>143.9</v>
      </c>
      <c r="O163" s="1028">
        <v>14042.6</v>
      </c>
      <c r="P163" s="1023">
        <v>11225.4</v>
      </c>
      <c r="Q163" s="1027">
        <v>701069.10000000009</v>
      </c>
      <c r="R163" s="1028">
        <v>15.5</v>
      </c>
      <c r="S163" s="1028" t="s">
        <v>88</v>
      </c>
      <c r="T163" s="1026">
        <v>148132.30000000002</v>
      </c>
      <c r="U163" s="1030">
        <v>1579738.3</v>
      </c>
      <c r="W163" s="71"/>
    </row>
    <row r="164" spans="1:23">
      <c r="A164" s="113" t="s">
        <v>48</v>
      </c>
      <c r="B164" s="1026">
        <v>146344.5</v>
      </c>
      <c r="C164" s="1028">
        <v>127832.20000000001</v>
      </c>
      <c r="D164" s="1028"/>
      <c r="E164" s="1026">
        <v>293040.5</v>
      </c>
      <c r="F164" s="1029"/>
      <c r="G164" s="1028">
        <v>98106.9</v>
      </c>
      <c r="H164" s="1027"/>
      <c r="I164" s="1030">
        <v>391147.4</v>
      </c>
      <c r="J164" s="1027">
        <v>31803.599999999999</v>
      </c>
      <c r="K164" s="1028"/>
      <c r="L164" s="1028"/>
      <c r="M164" s="1037" t="s">
        <v>88</v>
      </c>
      <c r="N164" s="1023">
        <v>143.9</v>
      </c>
      <c r="O164" s="1028">
        <v>14408.8</v>
      </c>
      <c r="P164" s="1023">
        <v>9095.2999999999993</v>
      </c>
      <c r="Q164" s="1027">
        <v>696485.7</v>
      </c>
      <c r="R164" s="1028">
        <v>21</v>
      </c>
      <c r="S164" s="1028" t="s">
        <v>88</v>
      </c>
      <c r="T164" s="1026">
        <v>151905.09999999998</v>
      </c>
      <c r="U164" s="1030">
        <v>1569187.5</v>
      </c>
      <c r="W164" s="71"/>
    </row>
    <row r="165" spans="1:23">
      <c r="A165" s="113" t="s">
        <v>49</v>
      </c>
      <c r="B165" s="1026">
        <v>161572.70000000001</v>
      </c>
      <c r="C165" s="1028">
        <v>143745.9</v>
      </c>
      <c r="D165" s="1028"/>
      <c r="E165" s="1026">
        <v>293755.09999999998</v>
      </c>
      <c r="F165" s="1029"/>
      <c r="G165" s="1028">
        <v>110568.9</v>
      </c>
      <c r="H165" s="1027"/>
      <c r="I165" s="1030">
        <v>404324</v>
      </c>
      <c r="J165" s="1027">
        <v>32075.599999999999</v>
      </c>
      <c r="K165" s="1028"/>
      <c r="L165" s="1028"/>
      <c r="M165" s="1037" t="s">
        <v>88</v>
      </c>
      <c r="N165" s="1023">
        <v>143.9</v>
      </c>
      <c r="O165" s="1028">
        <v>13750</v>
      </c>
      <c r="P165" s="1023">
        <v>6969.3</v>
      </c>
      <c r="Q165" s="1027">
        <v>691431.8</v>
      </c>
      <c r="R165" s="1028">
        <v>13.3</v>
      </c>
      <c r="S165" s="1028" t="s">
        <v>88</v>
      </c>
      <c r="T165" s="1026">
        <v>148273.30000000002</v>
      </c>
      <c r="U165" s="1030">
        <v>1602299.8000000003</v>
      </c>
      <c r="W165" s="71"/>
    </row>
    <row r="166" spans="1:23">
      <c r="A166" s="113" t="s">
        <v>50</v>
      </c>
      <c r="B166" s="1026">
        <v>168106.2</v>
      </c>
      <c r="C166" s="1028">
        <v>125486.1</v>
      </c>
      <c r="D166" s="1028"/>
      <c r="E166" s="1026">
        <v>314364.2</v>
      </c>
      <c r="F166" s="1029"/>
      <c r="G166" s="1028">
        <v>123715.4</v>
      </c>
      <c r="H166" s="1027"/>
      <c r="I166" s="1030">
        <v>438079.6</v>
      </c>
      <c r="J166" s="1027">
        <v>22418.9</v>
      </c>
      <c r="K166" s="1028"/>
      <c r="L166" s="1028"/>
      <c r="M166" s="1037" t="s">
        <v>88</v>
      </c>
      <c r="N166" s="1023">
        <v>143.9</v>
      </c>
      <c r="O166" s="1028">
        <v>13764.4</v>
      </c>
      <c r="P166" s="1023">
        <v>7153.4</v>
      </c>
      <c r="Q166" s="1027">
        <v>681245.39999999991</v>
      </c>
      <c r="R166" s="1028">
        <v>57.6</v>
      </c>
      <c r="S166" s="1028" t="s">
        <v>88</v>
      </c>
      <c r="T166" s="1026">
        <v>150240.30000000002</v>
      </c>
      <c r="U166" s="1030">
        <v>1606695.8</v>
      </c>
      <c r="W166" s="71"/>
    </row>
    <row r="167" spans="1:23">
      <c r="A167" s="113"/>
      <c r="B167" s="1026"/>
      <c r="C167" s="1028"/>
      <c r="D167" s="1028"/>
      <c r="E167" s="1026"/>
      <c r="F167" s="1029"/>
      <c r="G167" s="1028"/>
      <c r="H167" s="1027"/>
      <c r="I167" s="1030"/>
      <c r="J167" s="1027"/>
      <c r="K167" s="1028"/>
      <c r="L167" s="1028"/>
      <c r="M167" s="1037"/>
      <c r="N167" s="1023"/>
      <c r="O167" s="1028"/>
      <c r="P167" s="1023"/>
      <c r="Q167" s="1027"/>
      <c r="R167" s="1028"/>
      <c r="S167" s="1028"/>
      <c r="T167" s="1026"/>
      <c r="U167" s="1030"/>
      <c r="W167" s="71"/>
    </row>
    <row r="168" spans="1:23">
      <c r="A168" s="113" t="s">
        <v>36</v>
      </c>
      <c r="B168" s="1026">
        <v>202930.4</v>
      </c>
      <c r="C168" s="1028">
        <v>119719.5</v>
      </c>
      <c r="D168" s="1028"/>
      <c r="E168" s="1026">
        <v>316719.59999999998</v>
      </c>
      <c r="F168" s="1029"/>
      <c r="G168" s="1028">
        <v>118107.4</v>
      </c>
      <c r="H168" s="1027"/>
      <c r="I168" s="1030">
        <v>434827</v>
      </c>
      <c r="J168" s="1027">
        <v>22950.1</v>
      </c>
      <c r="K168" s="1028"/>
      <c r="L168" s="1028"/>
      <c r="M168" s="1037" t="s">
        <v>88</v>
      </c>
      <c r="N168" s="1023">
        <v>143.9</v>
      </c>
      <c r="O168" s="1028">
        <v>13374.6</v>
      </c>
      <c r="P168" s="1023">
        <v>5295</v>
      </c>
      <c r="Q168" s="1027">
        <v>674949.6</v>
      </c>
      <c r="R168" s="1028">
        <v>38.9</v>
      </c>
      <c r="S168" s="1028" t="s">
        <v>88</v>
      </c>
      <c r="T168" s="1026">
        <v>152866.4</v>
      </c>
      <c r="U168" s="1030">
        <v>1627095.4</v>
      </c>
      <c r="W168" s="71"/>
    </row>
    <row r="169" spans="1:23">
      <c r="A169" s="113" t="s">
        <v>37</v>
      </c>
      <c r="B169" s="1026">
        <v>194502.8</v>
      </c>
      <c r="C169" s="1028">
        <v>121679.2</v>
      </c>
      <c r="D169" s="1028"/>
      <c r="E169" s="1026">
        <v>335742.9</v>
      </c>
      <c r="F169" s="1029"/>
      <c r="G169" s="1028">
        <v>127594.2</v>
      </c>
      <c r="H169" s="1027"/>
      <c r="I169" s="1030">
        <v>463337.10000000003</v>
      </c>
      <c r="J169" s="1027">
        <v>22831.7</v>
      </c>
      <c r="K169" s="1028"/>
      <c r="L169" s="1028"/>
      <c r="M169" s="1037" t="s">
        <v>88</v>
      </c>
      <c r="N169" s="1023">
        <v>143.9</v>
      </c>
      <c r="O169" s="1028">
        <v>12807</v>
      </c>
      <c r="P169" s="1023">
        <v>4352</v>
      </c>
      <c r="Q169" s="1027">
        <v>626353.9</v>
      </c>
      <c r="R169" s="1028">
        <v>63.3</v>
      </c>
      <c r="S169" s="1028" t="s">
        <v>88</v>
      </c>
      <c r="T169" s="1026">
        <v>167536.1</v>
      </c>
      <c r="U169" s="1030">
        <v>1613607.0000000002</v>
      </c>
      <c r="W169" s="71"/>
    </row>
    <row r="170" spans="1:23">
      <c r="A170" s="113" t="s">
        <v>38</v>
      </c>
      <c r="B170" s="1026">
        <v>199136.1</v>
      </c>
      <c r="C170" s="1028">
        <v>118563.4</v>
      </c>
      <c r="D170" s="1028"/>
      <c r="E170" s="1026">
        <v>388693.7</v>
      </c>
      <c r="F170" s="1029"/>
      <c r="G170" s="1028">
        <v>86137.600000000006</v>
      </c>
      <c r="H170" s="1027"/>
      <c r="I170" s="1030">
        <v>474831.30000000005</v>
      </c>
      <c r="J170" s="1027">
        <v>27491.7</v>
      </c>
      <c r="K170" s="1028"/>
      <c r="L170" s="1028"/>
      <c r="M170" s="1037" t="s">
        <v>88</v>
      </c>
      <c r="N170" s="1023">
        <v>143.9</v>
      </c>
      <c r="O170" s="1028">
        <v>12075.7</v>
      </c>
      <c r="P170" s="1023">
        <v>6792.1</v>
      </c>
      <c r="Q170" s="1027">
        <v>617340.1</v>
      </c>
      <c r="R170" s="1028">
        <v>58.6</v>
      </c>
      <c r="S170" s="1028" t="s">
        <v>88</v>
      </c>
      <c r="T170" s="1026">
        <v>158925.4</v>
      </c>
      <c r="U170" s="1030">
        <v>1615358.2999999998</v>
      </c>
      <c r="W170" s="71"/>
    </row>
    <row r="171" spans="1:23">
      <c r="A171" s="113" t="s">
        <v>42</v>
      </c>
      <c r="B171" s="1026">
        <v>200171.5</v>
      </c>
      <c r="C171" s="1028">
        <v>129511.5</v>
      </c>
      <c r="D171" s="1028"/>
      <c r="E171" s="1026">
        <v>404380.6</v>
      </c>
      <c r="F171" s="1029"/>
      <c r="G171" s="1028">
        <v>88658.2</v>
      </c>
      <c r="H171" s="1027"/>
      <c r="I171" s="1030">
        <v>493038.8</v>
      </c>
      <c r="J171" s="1027">
        <v>27570.400000000001</v>
      </c>
      <c r="K171" s="1028"/>
      <c r="L171" s="1028"/>
      <c r="M171" s="1037" t="s">
        <v>88</v>
      </c>
      <c r="N171" s="1023">
        <v>143.9</v>
      </c>
      <c r="O171" s="1028">
        <v>11535.3</v>
      </c>
      <c r="P171" s="1023">
        <v>5659.7000000000007</v>
      </c>
      <c r="Q171" s="1027">
        <v>613806.30000000005</v>
      </c>
      <c r="R171" s="1028">
        <v>45.9</v>
      </c>
      <c r="S171" s="1028" t="s">
        <v>88</v>
      </c>
      <c r="T171" s="1026">
        <v>158404.70000000001</v>
      </c>
      <c r="U171" s="1030">
        <v>1639888</v>
      </c>
      <c r="W171" s="71"/>
    </row>
    <row r="172" spans="1:23">
      <c r="A172" s="266" t="s">
        <v>606</v>
      </c>
      <c r="B172" s="1026">
        <v>180261.7</v>
      </c>
      <c r="C172" s="1028">
        <v>151431</v>
      </c>
      <c r="D172" s="1028"/>
      <c r="E172" s="1026">
        <v>413725.4</v>
      </c>
      <c r="F172" s="1029"/>
      <c r="G172" s="1028">
        <v>97970.4</v>
      </c>
      <c r="H172" s="1027"/>
      <c r="I172" s="1030">
        <v>511695.80000000005</v>
      </c>
      <c r="J172" s="1027">
        <v>27651.599999999999</v>
      </c>
      <c r="K172" s="1028"/>
      <c r="L172" s="1028"/>
      <c r="M172" s="1037" t="s">
        <v>88</v>
      </c>
      <c r="N172" s="1023">
        <v>143.9</v>
      </c>
      <c r="O172" s="1028">
        <v>13004.5</v>
      </c>
      <c r="P172" s="1023">
        <v>7570.3</v>
      </c>
      <c r="Q172" s="1027">
        <v>626225.70000000007</v>
      </c>
      <c r="R172" s="1028">
        <v>19.5</v>
      </c>
      <c r="S172" s="1028" t="s">
        <v>88</v>
      </c>
      <c r="T172" s="1026">
        <v>183099.6</v>
      </c>
      <c r="U172" s="1030">
        <v>1701103.6</v>
      </c>
      <c r="W172" s="71"/>
    </row>
    <row r="173" spans="1:23">
      <c r="A173" s="113" t="s">
        <v>62</v>
      </c>
      <c r="B173" s="1026">
        <v>178854.1</v>
      </c>
      <c r="C173" s="1028">
        <v>153908.6</v>
      </c>
      <c r="D173" s="1028"/>
      <c r="E173" s="1026">
        <v>399492.8</v>
      </c>
      <c r="F173" s="1029"/>
      <c r="G173" s="1028">
        <v>121468.7</v>
      </c>
      <c r="H173" s="1027"/>
      <c r="I173" s="1030">
        <v>520961.5</v>
      </c>
      <c r="J173" s="1027">
        <v>23740.2</v>
      </c>
      <c r="K173" s="1028"/>
      <c r="L173" s="1028"/>
      <c r="M173" s="1037" t="s">
        <v>88</v>
      </c>
      <c r="N173" s="1023">
        <v>143.9</v>
      </c>
      <c r="O173" s="1028">
        <v>20972</v>
      </c>
      <c r="P173" s="1023">
        <v>13560.699999999999</v>
      </c>
      <c r="Q173" s="1027">
        <v>662282</v>
      </c>
      <c r="R173" s="1028">
        <v>33.299999999999997</v>
      </c>
      <c r="S173" s="1028" t="s">
        <v>88</v>
      </c>
      <c r="T173" s="1026">
        <v>178845.80000000002</v>
      </c>
      <c r="U173" s="1030">
        <v>1753302.1</v>
      </c>
      <c r="W173" s="71"/>
    </row>
    <row r="174" spans="1:23">
      <c r="A174" s="113" t="s">
        <v>614</v>
      </c>
      <c r="B174" s="1026">
        <v>141325.9</v>
      </c>
      <c r="C174" s="1028">
        <v>174635.9</v>
      </c>
      <c r="D174" s="1028"/>
      <c r="E174" s="1026">
        <v>372059.4</v>
      </c>
      <c r="F174" s="1029"/>
      <c r="G174" s="1028">
        <v>145041.70000000001</v>
      </c>
      <c r="H174" s="1027"/>
      <c r="I174" s="1030">
        <v>517101.10000000003</v>
      </c>
      <c r="J174" s="1027">
        <v>23391.200000000001</v>
      </c>
      <c r="K174" s="1028"/>
      <c r="L174" s="1028"/>
      <c r="M174" s="1037" t="s">
        <v>88</v>
      </c>
      <c r="N174" s="1023">
        <v>143.9</v>
      </c>
      <c r="O174" s="1028">
        <v>20017.5</v>
      </c>
      <c r="P174" s="1023">
        <v>14063.9</v>
      </c>
      <c r="Q174" s="1027">
        <v>680704.39999999991</v>
      </c>
      <c r="R174" s="1028">
        <v>41.9</v>
      </c>
      <c r="S174" s="1028" t="s">
        <v>88</v>
      </c>
      <c r="T174" s="1026">
        <v>166516.5</v>
      </c>
      <c r="U174" s="1030">
        <v>1737942.1999999997</v>
      </c>
      <c r="W174" s="71"/>
    </row>
    <row r="175" spans="1:23">
      <c r="A175" s="113" t="s">
        <v>620</v>
      </c>
      <c r="B175" s="1026">
        <v>181041.7</v>
      </c>
      <c r="C175" s="1028">
        <v>138260</v>
      </c>
      <c r="D175" s="1028"/>
      <c r="E175" s="1026">
        <v>374084.6</v>
      </c>
      <c r="F175" s="1029"/>
      <c r="G175" s="1028">
        <v>160072.20000000001</v>
      </c>
      <c r="H175" s="1027"/>
      <c r="I175" s="1030">
        <v>534156.80000000005</v>
      </c>
      <c r="J175" s="1027">
        <v>23622.699999999997</v>
      </c>
      <c r="K175" s="1028"/>
      <c r="L175" s="1028"/>
      <c r="M175" s="1037" t="s">
        <v>88</v>
      </c>
      <c r="N175" s="1023">
        <v>143.9</v>
      </c>
      <c r="O175" s="1028">
        <v>19415.099999999999</v>
      </c>
      <c r="P175" s="1023">
        <v>19583.199999999997</v>
      </c>
      <c r="Q175" s="1027">
        <v>684776.79999999993</v>
      </c>
      <c r="R175" s="1028">
        <v>39.299999999999997</v>
      </c>
      <c r="S175" s="1028" t="s">
        <v>88</v>
      </c>
      <c r="T175" s="1026">
        <v>165429.9</v>
      </c>
      <c r="U175" s="1030">
        <v>1766469.3999999997</v>
      </c>
      <c r="W175" s="71"/>
    </row>
    <row r="176" spans="1:23">
      <c r="A176" s="113" t="s">
        <v>63</v>
      </c>
      <c r="B176" s="1026">
        <v>191230.3</v>
      </c>
      <c r="C176" s="1028">
        <v>141770</v>
      </c>
      <c r="D176" s="1028"/>
      <c r="E176" s="1026">
        <v>369923.1</v>
      </c>
      <c r="F176" s="1029"/>
      <c r="G176" s="1028">
        <v>180815.7</v>
      </c>
      <c r="H176" s="1027"/>
      <c r="I176" s="1030">
        <v>550738.80000000005</v>
      </c>
      <c r="J176" s="1027">
        <v>23937.200000000001</v>
      </c>
      <c r="K176" s="1028"/>
      <c r="L176" s="1028"/>
      <c r="M176" s="1037" t="s">
        <v>88</v>
      </c>
      <c r="N176" s="1023">
        <v>143.9</v>
      </c>
      <c r="O176" s="1028">
        <v>18656.8</v>
      </c>
      <c r="P176" s="1023">
        <v>28013</v>
      </c>
      <c r="Q176" s="1027">
        <v>679714.1</v>
      </c>
      <c r="R176" s="1028">
        <v>56.1</v>
      </c>
      <c r="S176" s="1028" t="s">
        <v>88</v>
      </c>
      <c r="T176" s="1026">
        <v>171542.39999999999</v>
      </c>
      <c r="U176" s="1030">
        <v>1805802.6</v>
      </c>
      <c r="W176" s="71"/>
    </row>
    <row r="177" spans="1:23">
      <c r="A177" s="113" t="s">
        <v>632</v>
      </c>
      <c r="B177" s="1026">
        <v>203957.4</v>
      </c>
      <c r="C177" s="1028">
        <v>177748.69999999998</v>
      </c>
      <c r="D177" s="1028"/>
      <c r="E177" s="1026">
        <v>387614.4</v>
      </c>
      <c r="F177" s="1029"/>
      <c r="G177" s="1028">
        <v>163077.1</v>
      </c>
      <c r="H177" s="1027"/>
      <c r="I177" s="1030">
        <v>550691.5</v>
      </c>
      <c r="J177" s="1027">
        <v>23856.199999999997</v>
      </c>
      <c r="K177" s="1028"/>
      <c r="L177" s="1028"/>
      <c r="M177" s="1037" t="s">
        <v>88</v>
      </c>
      <c r="N177" s="1023">
        <v>1565.3</v>
      </c>
      <c r="O177" s="1028">
        <v>18162.099999999999</v>
      </c>
      <c r="P177" s="1023">
        <v>29772.5</v>
      </c>
      <c r="Q177" s="1027">
        <v>688611.4</v>
      </c>
      <c r="R177" s="1028">
        <v>47.7</v>
      </c>
      <c r="S177" s="1028" t="s">
        <v>88</v>
      </c>
      <c r="T177" s="1026">
        <v>162135.29999999999</v>
      </c>
      <c r="U177" s="1030">
        <v>1856548.1</v>
      </c>
      <c r="W177" s="71"/>
    </row>
    <row r="178" spans="1:23">
      <c r="A178" s="113" t="s">
        <v>653</v>
      </c>
      <c r="B178" s="1026">
        <v>203178.4</v>
      </c>
      <c r="C178" s="1028">
        <v>160268.69999999998</v>
      </c>
      <c r="D178" s="1028"/>
      <c r="E178" s="1026">
        <v>393437.6</v>
      </c>
      <c r="F178" s="1029"/>
      <c r="G178" s="1028">
        <v>178743.5</v>
      </c>
      <c r="H178" s="1027"/>
      <c r="I178" s="1030">
        <v>572181.1</v>
      </c>
      <c r="J178" s="1027">
        <v>18562.900000000001</v>
      </c>
      <c r="K178" s="1028"/>
      <c r="L178" s="1028"/>
      <c r="M178" s="1037" t="s">
        <v>88</v>
      </c>
      <c r="N178" s="1023">
        <v>1565.3</v>
      </c>
      <c r="O178" s="1028">
        <v>17541.8</v>
      </c>
      <c r="P178" s="1023">
        <v>33803.800000000003</v>
      </c>
      <c r="Q178" s="1027">
        <v>690623.29999999993</v>
      </c>
      <c r="R178" s="1028">
        <v>4522.3</v>
      </c>
      <c r="S178" s="1028" t="s">
        <v>88</v>
      </c>
      <c r="T178" s="1026">
        <v>159671.9</v>
      </c>
      <c r="U178" s="1030">
        <v>1861919.5</v>
      </c>
      <c r="W178" s="71"/>
    </row>
    <row r="179" spans="1:23">
      <c r="A179" s="113" t="s">
        <v>64</v>
      </c>
      <c r="B179" s="1026">
        <v>266309.90000000002</v>
      </c>
      <c r="C179" s="1028">
        <v>146133</v>
      </c>
      <c r="D179" s="1028"/>
      <c r="E179" s="1026">
        <v>459750.2</v>
      </c>
      <c r="F179" s="1029"/>
      <c r="G179" s="1028">
        <v>183740.4</v>
      </c>
      <c r="H179" s="1027"/>
      <c r="I179" s="1030">
        <v>643490.6</v>
      </c>
      <c r="J179" s="1027">
        <v>15118.1</v>
      </c>
      <c r="K179" s="1028"/>
      <c r="L179" s="1028"/>
      <c r="M179" s="1037" t="s">
        <v>88</v>
      </c>
      <c r="N179" s="1023">
        <v>1565.3</v>
      </c>
      <c r="O179" s="1028">
        <v>17570.400000000001</v>
      </c>
      <c r="P179" s="1023">
        <v>28742.899999999998</v>
      </c>
      <c r="Q179" s="1027">
        <v>640729.79999999993</v>
      </c>
      <c r="R179" s="1028">
        <v>4937.3999999999996</v>
      </c>
      <c r="S179" s="1028" t="s">
        <v>88</v>
      </c>
      <c r="T179" s="1026">
        <v>157880.9</v>
      </c>
      <c r="U179" s="1030">
        <v>1922478.2999999998</v>
      </c>
      <c r="W179" s="71"/>
    </row>
    <row r="180" spans="1:23">
      <c r="A180" s="113"/>
      <c r="B180" s="1026"/>
      <c r="C180" s="1028"/>
      <c r="D180" s="1028"/>
      <c r="E180" s="1026"/>
      <c r="F180" s="1029"/>
      <c r="G180" s="1028"/>
      <c r="H180" s="1027"/>
      <c r="I180" s="1030"/>
      <c r="J180" s="1027"/>
      <c r="K180" s="1028"/>
      <c r="L180" s="1028"/>
      <c r="M180" s="1037"/>
      <c r="N180" s="1023"/>
      <c r="O180" s="1028"/>
      <c r="P180" s="1023"/>
      <c r="Q180" s="1027"/>
      <c r="R180" s="1028"/>
      <c r="S180" s="1028"/>
      <c r="T180" s="1026"/>
      <c r="U180" s="1030"/>
      <c r="W180" s="71"/>
    </row>
    <row r="181" spans="1:23">
      <c r="A181" s="113" t="s">
        <v>671</v>
      </c>
      <c r="B181" s="1026">
        <v>265989.60000000003</v>
      </c>
      <c r="C181" s="1028">
        <v>141128.9</v>
      </c>
      <c r="D181" s="1028"/>
      <c r="E181" s="1026">
        <v>221097</v>
      </c>
      <c r="F181" s="1029"/>
      <c r="G181" s="1028">
        <v>441080.9</v>
      </c>
      <c r="H181" s="1027"/>
      <c r="I181" s="1030">
        <v>662177.9</v>
      </c>
      <c r="J181" s="1027">
        <v>15117.9</v>
      </c>
      <c r="K181" s="1028"/>
      <c r="L181" s="1028"/>
      <c r="M181" s="1037" t="s">
        <v>88</v>
      </c>
      <c r="N181" s="1023">
        <v>1565.2999999999997</v>
      </c>
      <c r="O181" s="1028">
        <v>20479.199999999997</v>
      </c>
      <c r="P181" s="1023">
        <v>25405.200000000001</v>
      </c>
      <c r="Q181" s="1027">
        <v>641733.69999999984</v>
      </c>
      <c r="R181" s="1028">
        <v>4778.2</v>
      </c>
      <c r="S181" s="1028" t="s">
        <v>88</v>
      </c>
      <c r="T181" s="1026">
        <v>161736.6</v>
      </c>
      <c r="U181" s="1030">
        <v>1940112.4999999998</v>
      </c>
      <c r="W181" s="71"/>
    </row>
    <row r="182" spans="1:23">
      <c r="A182" s="113" t="s">
        <v>263</v>
      </c>
      <c r="B182" s="1026">
        <v>257789.6</v>
      </c>
      <c r="C182" s="1028">
        <v>163882</v>
      </c>
      <c r="D182" s="1028"/>
      <c r="E182" s="1026">
        <v>261769.9</v>
      </c>
      <c r="F182" s="1029"/>
      <c r="G182" s="1028">
        <v>427499.9</v>
      </c>
      <c r="H182" s="1027"/>
      <c r="I182" s="1030">
        <v>689269.8</v>
      </c>
      <c r="J182" s="1027">
        <v>13644.6</v>
      </c>
      <c r="K182" s="1028"/>
      <c r="L182" s="1028"/>
      <c r="M182" s="1037" t="s">
        <v>88</v>
      </c>
      <c r="N182" s="1023">
        <v>1565.2999999999997</v>
      </c>
      <c r="O182" s="1028">
        <v>19821.5</v>
      </c>
      <c r="P182" s="1023">
        <v>17279.900000000001</v>
      </c>
      <c r="Q182" s="1027">
        <v>670182.19999999995</v>
      </c>
      <c r="R182" s="1028">
        <v>4731.8</v>
      </c>
      <c r="S182" s="1028" t="s">
        <v>88</v>
      </c>
      <c r="T182" s="1026">
        <v>166599.5</v>
      </c>
      <c r="U182" s="1030">
        <v>2004766.2</v>
      </c>
      <c r="W182" s="71"/>
    </row>
    <row r="183" spans="1:23">
      <c r="A183" s="113" t="s">
        <v>41</v>
      </c>
      <c r="B183" s="1026">
        <v>231832.1</v>
      </c>
      <c r="C183" s="1028">
        <v>169526.8</v>
      </c>
      <c r="D183" s="1028"/>
      <c r="E183" s="1026">
        <v>190476.2</v>
      </c>
      <c r="F183" s="1029"/>
      <c r="G183" s="1028">
        <v>525581.19999999995</v>
      </c>
      <c r="H183" s="1027"/>
      <c r="I183" s="1030">
        <v>716057.39999999991</v>
      </c>
      <c r="J183" s="1027">
        <v>13580.5</v>
      </c>
      <c r="K183" s="1028"/>
      <c r="L183" s="1028"/>
      <c r="M183" s="1037" t="s">
        <v>88</v>
      </c>
      <c r="N183" s="1023">
        <v>1565.3</v>
      </c>
      <c r="O183" s="1028">
        <v>20391.400000000001</v>
      </c>
      <c r="P183" s="1023">
        <v>16012.599999999999</v>
      </c>
      <c r="Q183" s="1027">
        <v>664852.69999999995</v>
      </c>
      <c r="R183" s="1028">
        <v>5422.5</v>
      </c>
      <c r="S183" s="1028" t="s">
        <v>88</v>
      </c>
      <c r="T183" s="1026">
        <v>175376.30000000002</v>
      </c>
      <c r="U183" s="1030">
        <v>2014617.5999999999</v>
      </c>
      <c r="W183" s="71"/>
    </row>
    <row r="184" spans="1:23">
      <c r="A184" s="113" t="s">
        <v>42</v>
      </c>
      <c r="B184" s="1026">
        <v>260475.90000000002</v>
      </c>
      <c r="C184" s="1028">
        <v>156930.4</v>
      </c>
      <c r="D184" s="1028"/>
      <c r="E184" s="1026">
        <v>178953.9</v>
      </c>
      <c r="F184" s="1029"/>
      <c r="G184" s="1028">
        <v>565799.20000000007</v>
      </c>
      <c r="H184" s="1027"/>
      <c r="I184" s="1030">
        <v>744753.10000000009</v>
      </c>
      <c r="J184" s="1027">
        <v>14179.3</v>
      </c>
      <c r="K184" s="1028"/>
      <c r="L184" s="1028"/>
      <c r="M184" s="1037" t="s">
        <v>88</v>
      </c>
      <c r="N184" s="1023">
        <v>1565.2999999999997</v>
      </c>
      <c r="O184" s="1028">
        <v>20749.300000000003</v>
      </c>
      <c r="P184" s="1023">
        <v>14485.4</v>
      </c>
      <c r="Q184" s="1027">
        <v>672574</v>
      </c>
      <c r="R184" s="1028">
        <v>4964</v>
      </c>
      <c r="S184" s="1028" t="s">
        <v>88</v>
      </c>
      <c r="T184" s="1026">
        <v>168402.3</v>
      </c>
      <c r="U184" s="1030">
        <v>2059079.0000000002</v>
      </c>
      <c r="W184" s="71"/>
    </row>
    <row r="185" spans="1:23">
      <c r="A185" s="113" t="s">
        <v>43</v>
      </c>
      <c r="B185" s="1026">
        <v>246384.2</v>
      </c>
      <c r="C185" s="1028">
        <v>154515.69999999998</v>
      </c>
      <c r="D185" s="1028"/>
      <c r="E185" s="1026">
        <v>173648.49999999997</v>
      </c>
      <c r="F185" s="1029"/>
      <c r="G185" s="1028">
        <v>598577.59999999986</v>
      </c>
      <c r="H185" s="1027"/>
      <c r="I185" s="1030">
        <v>772226.09999999986</v>
      </c>
      <c r="J185" s="1027">
        <v>15486.099999999999</v>
      </c>
      <c r="K185" s="1028"/>
      <c r="L185" s="1028"/>
      <c r="M185" s="1037" t="s">
        <v>88</v>
      </c>
      <c r="N185" s="1023">
        <v>1565.2999999999997</v>
      </c>
      <c r="O185" s="1028">
        <v>25493.300000000003</v>
      </c>
      <c r="P185" s="1023">
        <v>14812.3</v>
      </c>
      <c r="Q185" s="1027">
        <v>661350</v>
      </c>
      <c r="R185" s="1028">
        <v>5359.7</v>
      </c>
      <c r="S185" s="1028" t="s">
        <v>88</v>
      </c>
      <c r="T185" s="1026">
        <v>163714.19999999998</v>
      </c>
      <c r="U185" s="1030">
        <v>2060906.9000000001</v>
      </c>
      <c r="W185" s="71"/>
    </row>
    <row r="186" spans="1:23">
      <c r="A186" s="113" t="s">
        <v>44</v>
      </c>
      <c r="B186" s="1026">
        <v>210837.9</v>
      </c>
      <c r="C186" s="1028">
        <v>172314.9</v>
      </c>
      <c r="D186" s="1028"/>
      <c r="E186" s="1026">
        <v>166476</v>
      </c>
      <c r="F186" s="1029"/>
      <c r="G186" s="1028">
        <v>632641.9</v>
      </c>
      <c r="H186" s="1027"/>
      <c r="I186" s="1030">
        <v>799117.9</v>
      </c>
      <c r="J186" s="1027">
        <v>46166.7</v>
      </c>
      <c r="K186" s="1028"/>
      <c r="L186" s="1028"/>
      <c r="M186" s="1037" t="s">
        <v>88</v>
      </c>
      <c r="N186" s="1023">
        <v>1844.6</v>
      </c>
      <c r="O186" s="1028">
        <v>28326</v>
      </c>
      <c r="P186" s="1023">
        <v>24385.8</v>
      </c>
      <c r="Q186" s="1027">
        <v>702433.3</v>
      </c>
      <c r="R186" s="1028">
        <v>5533.2</v>
      </c>
      <c r="S186" s="1028" t="s">
        <v>88</v>
      </c>
      <c r="T186" s="1026">
        <v>179099.69999999998</v>
      </c>
      <c r="U186" s="1030">
        <v>2170060</v>
      </c>
      <c r="W186" s="71"/>
    </row>
    <row r="187" spans="1:23" s="1051" customFormat="1">
      <c r="A187" s="1059" t="s">
        <v>619</v>
      </c>
      <c r="B187" s="1065">
        <v>240147.20000000001</v>
      </c>
      <c r="C187" s="1067">
        <f>158214.6+96.8+46.5</f>
        <v>158357.9</v>
      </c>
      <c r="D187" s="1067"/>
      <c r="E187" s="1065">
        <v>156893.79999999999</v>
      </c>
      <c r="F187" s="1029"/>
      <c r="G187" s="1067">
        <v>645741.4</v>
      </c>
      <c r="H187" s="1066"/>
      <c r="I187" s="1068">
        <f t="shared" ref="I187" si="0">SUM(D187:H187)</f>
        <v>802635.2</v>
      </c>
      <c r="J187" s="1066">
        <f>45788.4+595.4</f>
        <v>46383.8</v>
      </c>
      <c r="K187" s="1067"/>
      <c r="L187" s="1067"/>
      <c r="M187" s="1037" t="s">
        <v>88</v>
      </c>
      <c r="N187" s="1056">
        <v>1844.6</v>
      </c>
      <c r="O187" s="1067">
        <v>27547.1</v>
      </c>
      <c r="P187" s="1056">
        <f>109.8+26879.2+66</f>
        <v>27055</v>
      </c>
      <c r="Q187" s="1066">
        <f>1349.2+648.3+1+445+727075.3</f>
        <v>729518.8</v>
      </c>
      <c r="R187" s="1067">
        <v>5486.6</v>
      </c>
      <c r="S187" s="1067" t="s">
        <v>88</v>
      </c>
      <c r="T187" s="1065">
        <f>180760.5-2709.4</f>
        <v>178051.1</v>
      </c>
      <c r="U187" s="1068">
        <f t="shared" ref="U187" si="1">SUM(B187:C187,I187:T187)</f>
        <v>2217027.3000000003</v>
      </c>
      <c r="W187" s="1053"/>
    </row>
    <row r="188" spans="1:23">
      <c r="A188" s="113"/>
      <c r="B188" s="257"/>
      <c r="C188" s="258"/>
      <c r="D188" s="258"/>
      <c r="E188" s="257"/>
      <c r="F188" s="259"/>
      <c r="G188" s="258"/>
      <c r="H188" s="260"/>
      <c r="I188" s="261"/>
      <c r="J188" s="260"/>
      <c r="K188" s="258"/>
      <c r="L188" s="258"/>
      <c r="M188" s="262"/>
      <c r="N188" s="80"/>
      <c r="O188" s="258"/>
      <c r="P188" s="80"/>
      <c r="Q188" s="260"/>
      <c r="R188" s="258"/>
      <c r="S188" s="258"/>
      <c r="T188" s="257"/>
      <c r="U188" s="261"/>
      <c r="W188" s="71"/>
    </row>
    <row r="189" spans="1:23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8"/>
      <c r="W189" s="139"/>
    </row>
    <row r="190" spans="1:23">
      <c r="A190" s="270" t="s">
        <v>641</v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22"/>
    </row>
    <row r="191" spans="1:23">
      <c r="B191" s="271"/>
      <c r="U191" s="132"/>
    </row>
    <row r="192" spans="1:23">
      <c r="B192" s="69" t="s">
        <v>116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5" verticalDpi="4294967295" r:id="rId1"/>
  <colBreaks count="1" manualBreakCount="1">
    <brk id="2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3"/>
  <sheetViews>
    <sheetView showGridLines="0" view="pageBreakPreview" topLeftCell="A46" zoomScale="80" zoomScaleNormal="100" zoomScaleSheetLayoutView="80" workbookViewId="0">
      <selection activeCell="C40" sqref="C40"/>
    </sheetView>
  </sheetViews>
  <sheetFormatPr defaultColWidth="8.88671875" defaultRowHeight="12.75"/>
  <cols>
    <col min="1" max="1" width="23.5546875" style="69" customWidth="1"/>
    <col min="2" max="2" width="11.5546875" style="69" bestFit="1" customWidth="1"/>
    <col min="3" max="3" width="10.109375" style="69" customWidth="1"/>
    <col min="4" max="4" width="11.33203125" style="69" customWidth="1"/>
    <col min="5" max="5" width="8.109375" style="69" bestFit="1" customWidth="1"/>
    <col min="6" max="7" width="8.109375" style="69" customWidth="1"/>
    <col min="8" max="9" width="10.21875" style="69" bestFit="1" customWidth="1"/>
    <col min="10" max="10" width="9.44140625" style="69" bestFit="1" customWidth="1"/>
    <col min="11" max="11" width="8.6640625" style="69" bestFit="1" customWidth="1"/>
    <col min="12" max="12" width="10.109375" style="69" bestFit="1" customWidth="1"/>
    <col min="13" max="13" width="8.6640625" style="69" bestFit="1" customWidth="1"/>
    <col min="14" max="14" width="10.77734375" style="69" bestFit="1" customWidth="1"/>
    <col min="15" max="15" width="8.77734375" style="145" bestFit="1" customWidth="1"/>
    <col min="16" max="16" width="9.88671875" style="145" bestFit="1" customWidth="1"/>
    <col min="17" max="17" width="7.33203125" style="302" bestFit="1" customWidth="1"/>
    <col min="18" max="18" width="8.6640625" style="145" bestFit="1" customWidth="1"/>
    <col min="19" max="19" width="11.5546875" style="145" bestFit="1" customWidth="1"/>
    <col min="20" max="20" width="12" style="69" bestFit="1" customWidth="1"/>
    <col min="21" max="16384" width="8.88671875" style="69"/>
  </cols>
  <sheetData>
    <row r="1" spans="1:22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272"/>
      <c r="R1" s="66"/>
      <c r="S1" s="273"/>
    </row>
    <row r="2" spans="1:22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1"/>
      <c r="P2" s="81"/>
      <c r="Q2" s="220"/>
      <c r="R2" s="81"/>
      <c r="S2" s="114"/>
    </row>
    <row r="3" spans="1:22">
      <c r="A3" s="70"/>
      <c r="B3" s="274" t="s">
        <v>140</v>
      </c>
      <c r="C3" s="71"/>
      <c r="D3" s="71"/>
      <c r="E3" s="71"/>
      <c r="F3" s="71"/>
      <c r="G3" s="71"/>
      <c r="H3" s="71"/>
      <c r="I3" s="71"/>
      <c r="J3" s="71"/>
      <c r="K3" s="71"/>
      <c r="L3" s="86" t="s">
        <v>0</v>
      </c>
      <c r="M3" s="86"/>
      <c r="N3" s="71"/>
      <c r="O3" s="81"/>
      <c r="P3" s="72" t="s">
        <v>0</v>
      </c>
      <c r="Q3" s="220"/>
      <c r="R3" s="81"/>
      <c r="S3" s="275" t="s">
        <v>179</v>
      </c>
    </row>
    <row r="4" spans="1:22">
      <c r="A4" s="1209" t="s">
        <v>325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1210"/>
      <c r="R4" s="1210"/>
      <c r="S4" s="1211"/>
    </row>
    <row r="5" spans="1:22">
      <c r="A5" s="1209" t="s">
        <v>113</v>
      </c>
      <c r="B5" s="1210"/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  <c r="O5" s="1210"/>
      <c r="P5" s="1210"/>
      <c r="Q5" s="1210"/>
      <c r="R5" s="1210"/>
      <c r="S5" s="1211"/>
    </row>
    <row r="6" spans="1:22">
      <c r="A6" s="87" t="s">
        <v>0</v>
      </c>
      <c r="B6" s="107" t="s">
        <v>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81"/>
      <c r="P6" s="81"/>
      <c r="Q6" s="220"/>
      <c r="R6" s="81"/>
      <c r="S6" s="114"/>
    </row>
    <row r="7" spans="1:22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77"/>
      <c r="Q7" s="190"/>
      <c r="R7" s="77"/>
      <c r="S7" s="276"/>
      <c r="T7" s="254"/>
      <c r="U7" s="254"/>
      <c r="V7" s="254"/>
    </row>
    <row r="8" spans="1:22">
      <c r="A8" s="95"/>
      <c r="B8" s="277"/>
      <c r="C8" s="277"/>
      <c r="D8" s="277"/>
      <c r="E8" s="1212" t="s">
        <v>190</v>
      </c>
      <c r="F8" s="1213"/>
      <c r="G8" s="1214"/>
      <c r="H8" s="100"/>
      <c r="I8" s="100"/>
      <c r="J8" s="100"/>
      <c r="K8" s="100"/>
      <c r="L8" s="100"/>
      <c r="M8" s="100"/>
      <c r="N8" s="96"/>
      <c r="O8" s="278"/>
      <c r="P8" s="278"/>
      <c r="Q8" s="279"/>
      <c r="R8" s="278"/>
      <c r="S8" s="278"/>
    </row>
    <row r="9" spans="1:22">
      <c r="A9" s="94" t="s">
        <v>165</v>
      </c>
      <c r="B9" s="106" t="s">
        <v>185</v>
      </c>
      <c r="C9" s="106" t="s">
        <v>186</v>
      </c>
      <c r="D9" s="106" t="s">
        <v>29</v>
      </c>
      <c r="E9" s="1215"/>
      <c r="F9" s="1216"/>
      <c r="G9" s="1217"/>
      <c r="H9" s="106" t="s">
        <v>111</v>
      </c>
      <c r="I9" s="115" t="s">
        <v>111</v>
      </c>
      <c r="J9" s="115" t="s">
        <v>194</v>
      </c>
      <c r="K9" s="246" t="s">
        <v>197</v>
      </c>
      <c r="L9" s="115" t="s">
        <v>146</v>
      </c>
      <c r="M9" s="115" t="s">
        <v>197</v>
      </c>
      <c r="N9" s="107" t="s">
        <v>199</v>
      </c>
      <c r="O9" s="115" t="s">
        <v>200</v>
      </c>
      <c r="P9" s="115" t="s">
        <v>138</v>
      </c>
      <c r="Q9" s="193" t="s">
        <v>201</v>
      </c>
      <c r="R9" s="115" t="s">
        <v>111</v>
      </c>
      <c r="S9" s="247" t="s">
        <v>74</v>
      </c>
    </row>
    <row r="10" spans="1:22">
      <c r="A10" s="94"/>
      <c r="B10" s="106" t="s">
        <v>128</v>
      </c>
      <c r="C10" s="106" t="s">
        <v>187</v>
      </c>
      <c r="D10" s="106" t="s">
        <v>188</v>
      </c>
      <c r="E10" s="280"/>
      <c r="F10" s="281"/>
      <c r="G10" s="282"/>
      <c r="H10" s="106" t="s">
        <v>141</v>
      </c>
      <c r="I10" s="115" t="s">
        <v>141</v>
      </c>
      <c r="J10" s="115" t="s">
        <v>195</v>
      </c>
      <c r="K10" s="246" t="s">
        <v>143</v>
      </c>
      <c r="L10" s="115" t="s">
        <v>198</v>
      </c>
      <c r="M10" s="115" t="s">
        <v>143</v>
      </c>
      <c r="N10" s="107" t="s">
        <v>202</v>
      </c>
      <c r="O10" s="115" t="s">
        <v>203</v>
      </c>
      <c r="P10" s="283"/>
      <c r="Q10" s="193" t="s">
        <v>126</v>
      </c>
      <c r="R10" s="115" t="s">
        <v>30</v>
      </c>
      <c r="S10" s="247" t="s">
        <v>140</v>
      </c>
    </row>
    <row r="11" spans="1:22">
      <c r="A11" s="94"/>
      <c r="B11" s="115"/>
      <c r="C11" s="106" t="s">
        <v>128</v>
      </c>
      <c r="D11" s="106" t="s">
        <v>128</v>
      </c>
      <c r="E11" s="106" t="s">
        <v>185</v>
      </c>
      <c r="F11" s="106" t="s">
        <v>186</v>
      </c>
      <c r="G11" s="106" t="s">
        <v>29</v>
      </c>
      <c r="H11" s="106" t="s">
        <v>175</v>
      </c>
      <c r="I11" s="115" t="s">
        <v>175</v>
      </c>
      <c r="J11" s="115" t="s">
        <v>196</v>
      </c>
      <c r="K11" s="246" t="s">
        <v>128</v>
      </c>
      <c r="L11" s="115" t="s">
        <v>128</v>
      </c>
      <c r="M11" s="115" t="s">
        <v>167</v>
      </c>
      <c r="N11" s="284"/>
      <c r="O11" s="283"/>
      <c r="P11" s="285"/>
      <c r="Q11" s="193" t="s">
        <v>204</v>
      </c>
      <c r="R11" s="285"/>
      <c r="S11" s="285"/>
      <c r="T11" s="254"/>
    </row>
    <row r="12" spans="1:22">
      <c r="A12" s="94" t="s">
        <v>34</v>
      </c>
      <c r="B12" s="80"/>
      <c r="C12" s="80"/>
      <c r="D12" s="112" t="s">
        <v>189</v>
      </c>
      <c r="E12" s="106" t="s">
        <v>128</v>
      </c>
      <c r="F12" s="106" t="s">
        <v>187</v>
      </c>
      <c r="G12" s="106" t="s">
        <v>188</v>
      </c>
      <c r="H12" s="106" t="s">
        <v>191</v>
      </c>
      <c r="I12" s="115" t="s">
        <v>192</v>
      </c>
      <c r="J12" s="115"/>
      <c r="K12" s="115"/>
      <c r="L12" s="115"/>
      <c r="M12" s="115" t="s">
        <v>128</v>
      </c>
      <c r="N12" s="107"/>
      <c r="O12" s="283"/>
      <c r="P12" s="285"/>
      <c r="Q12" s="286"/>
      <c r="R12" s="285"/>
      <c r="S12" s="285"/>
      <c r="T12" s="254"/>
    </row>
    <row r="13" spans="1:22">
      <c r="A13" s="70"/>
      <c r="B13" s="80"/>
      <c r="C13" s="80"/>
      <c r="D13" s="80"/>
      <c r="E13" s="115"/>
      <c r="F13" s="106" t="s">
        <v>128</v>
      </c>
      <c r="G13" s="106" t="s">
        <v>128</v>
      </c>
      <c r="H13" s="112" t="s">
        <v>128</v>
      </c>
      <c r="I13" s="120" t="s">
        <v>193</v>
      </c>
      <c r="J13" s="113" t="s">
        <v>184</v>
      </c>
      <c r="K13" s="80"/>
      <c r="L13" s="115"/>
      <c r="M13" s="115"/>
      <c r="N13" s="107"/>
      <c r="O13" s="283"/>
      <c r="P13" s="285"/>
      <c r="Q13" s="286"/>
      <c r="R13" s="285"/>
      <c r="S13" s="285"/>
    </row>
    <row r="14" spans="1:22">
      <c r="A14" s="75"/>
      <c r="B14" s="253"/>
      <c r="C14" s="253"/>
      <c r="D14" s="253"/>
      <c r="E14" s="253"/>
      <c r="F14" s="253"/>
      <c r="G14" s="253"/>
      <c r="H14" s="253"/>
      <c r="I14" s="104"/>
      <c r="J14" s="253"/>
      <c r="K14" s="253"/>
      <c r="L14" s="253"/>
      <c r="M14" s="253"/>
      <c r="N14" s="76"/>
      <c r="O14" s="287"/>
      <c r="P14" s="287"/>
      <c r="Q14" s="190"/>
      <c r="R14" s="287"/>
      <c r="S14" s="287"/>
      <c r="T14" s="254"/>
    </row>
    <row r="15" spans="1:22">
      <c r="A15" s="7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114"/>
      <c r="P15" s="285"/>
      <c r="Q15" s="288"/>
      <c r="R15" s="81"/>
      <c r="S15" s="278"/>
    </row>
    <row r="16" spans="1:22" hidden="1">
      <c r="A16" s="289" t="s">
        <v>4</v>
      </c>
      <c r="B16" s="261">
        <v>191381.50000000003</v>
      </c>
      <c r="C16" s="261">
        <v>99286.999999999985</v>
      </c>
      <c r="D16" s="261">
        <v>62928.999999999956</v>
      </c>
      <c r="E16" s="261"/>
      <c r="F16" s="261"/>
      <c r="G16" s="261"/>
      <c r="H16" s="261">
        <v>603.5</v>
      </c>
      <c r="I16" s="261">
        <v>550</v>
      </c>
      <c r="J16" s="290" t="s">
        <v>88</v>
      </c>
      <c r="K16" s="261">
        <v>14305</v>
      </c>
      <c r="L16" s="261">
        <v>5052.6000000000004</v>
      </c>
      <c r="M16" s="261">
        <v>24400</v>
      </c>
      <c r="N16" s="261">
        <v>30009.400000000009</v>
      </c>
      <c r="O16" s="291">
        <f>87503.4-45586.6</f>
        <v>41916.799999999996</v>
      </c>
      <c r="P16" s="2">
        <v>18433.2</v>
      </c>
      <c r="Q16" s="140">
        <v>311.60000000000002</v>
      </c>
      <c r="R16" s="294">
        <f>27363.4+45586.6</f>
        <v>72950</v>
      </c>
      <c r="S16" s="292">
        <f t="shared" ref="S16:S21" si="0">SUM(B16:R16)</f>
        <v>562129.59999999986</v>
      </c>
      <c r="T16" s="294"/>
      <c r="U16" s="254"/>
      <c r="V16" s="254"/>
    </row>
    <row r="17" spans="1:25" hidden="1">
      <c r="A17" s="289" t="s">
        <v>5</v>
      </c>
      <c r="B17" s="261">
        <v>226504.30000000002</v>
      </c>
      <c r="C17" s="261">
        <v>116535.90000000001</v>
      </c>
      <c r="D17" s="261">
        <v>81175.299999999988</v>
      </c>
      <c r="E17" s="261"/>
      <c r="F17" s="261"/>
      <c r="G17" s="261"/>
      <c r="H17" s="261">
        <v>1234.8999999999999</v>
      </c>
      <c r="I17" s="261">
        <v>400</v>
      </c>
      <c r="J17" s="290" t="s">
        <v>88</v>
      </c>
      <c r="K17" s="261">
        <v>23913.5</v>
      </c>
      <c r="L17" s="261">
        <v>8608.5999999999985</v>
      </c>
      <c r="M17" s="261">
        <v>33663.599999999999</v>
      </c>
      <c r="N17" s="261">
        <v>36237.599999999999</v>
      </c>
      <c r="O17" s="291">
        <f>111536.2-41841.2</f>
        <v>69695</v>
      </c>
      <c r="P17" s="2">
        <v>21190.100000000002</v>
      </c>
      <c r="Q17" s="140">
        <v>1123.9000000000001</v>
      </c>
      <c r="R17" s="294">
        <f>27186.8+41841.2</f>
        <v>69028</v>
      </c>
      <c r="S17" s="292">
        <f t="shared" si="0"/>
        <v>689310.7</v>
      </c>
      <c r="T17" s="254"/>
      <c r="U17" s="254"/>
      <c r="V17" s="254"/>
    </row>
    <row r="18" spans="1:25" hidden="1">
      <c r="A18" s="289" t="s">
        <v>7</v>
      </c>
      <c r="B18" s="261">
        <v>290409</v>
      </c>
      <c r="C18" s="261">
        <v>143615.40000000002</v>
      </c>
      <c r="D18" s="261">
        <v>89591.3</v>
      </c>
      <c r="E18" s="293">
        <v>2849.9</v>
      </c>
      <c r="F18" s="293">
        <v>1812.4</v>
      </c>
      <c r="G18" s="293">
        <v>0</v>
      </c>
      <c r="H18" s="261">
        <v>1128.8</v>
      </c>
      <c r="I18" s="261">
        <v>530</v>
      </c>
      <c r="J18" s="290" t="s">
        <v>88</v>
      </c>
      <c r="K18" s="261">
        <v>30906.599999999988</v>
      </c>
      <c r="L18" s="261">
        <v>5456.4</v>
      </c>
      <c r="M18" s="261">
        <v>27042.2</v>
      </c>
      <c r="N18" s="261">
        <v>50485.599999999991</v>
      </c>
      <c r="O18" s="291">
        <f>138109.5-40746.7</f>
        <v>97362.8</v>
      </c>
      <c r="P18" s="2">
        <v>22695.399999999998</v>
      </c>
      <c r="Q18" s="140">
        <v>113.79999999999987</v>
      </c>
      <c r="R18" s="294">
        <f>40462.9+40746.7</f>
        <v>81209.600000000006</v>
      </c>
      <c r="S18" s="292">
        <f t="shared" si="0"/>
        <v>845209.20000000007</v>
      </c>
      <c r="T18" s="254"/>
      <c r="U18" s="254"/>
      <c r="V18" s="254"/>
    </row>
    <row r="19" spans="1:25" s="88" customFormat="1" hidden="1">
      <c r="A19" s="289" t="s">
        <v>8</v>
      </c>
      <c r="B19" s="131">
        <v>283537.99999999994</v>
      </c>
      <c r="C19" s="131">
        <v>178588.99999999997</v>
      </c>
      <c r="D19" s="131">
        <v>89107.6</v>
      </c>
      <c r="E19" s="131">
        <v>3654.7</v>
      </c>
      <c r="F19" s="131">
        <v>3786.4</v>
      </c>
      <c r="G19" s="131">
        <v>0</v>
      </c>
      <c r="H19" s="131">
        <v>570.1</v>
      </c>
      <c r="I19" s="131">
        <v>230</v>
      </c>
      <c r="J19" s="131">
        <v>23887.599999999999</v>
      </c>
      <c r="K19" s="131">
        <v>32980.200000000004</v>
      </c>
      <c r="L19" s="131">
        <v>6981.7999999999993</v>
      </c>
      <c r="M19" s="131">
        <v>38665.200000000004</v>
      </c>
      <c r="N19" s="131">
        <v>50036.000000000007</v>
      </c>
      <c r="O19" s="291">
        <f>160199.8-42543.1</f>
        <v>117656.69999999998</v>
      </c>
      <c r="P19" s="2">
        <v>30401</v>
      </c>
      <c r="Q19" s="140">
        <v>617.30000000000041</v>
      </c>
      <c r="R19" s="294">
        <f>40944.6+42543.1</f>
        <v>83487.7</v>
      </c>
      <c r="S19" s="292">
        <f t="shared" si="0"/>
        <v>944189.2999999997</v>
      </c>
      <c r="T19" s="254"/>
      <c r="U19" s="254"/>
      <c r="V19" s="254"/>
      <c r="X19" s="69"/>
      <c r="Y19" s="69"/>
    </row>
    <row r="20" spans="1:25" s="88" customFormat="1" hidden="1">
      <c r="A20" s="289" t="s">
        <v>10</v>
      </c>
      <c r="B20" s="131">
        <v>293628.7</v>
      </c>
      <c r="C20" s="131">
        <v>175495.9</v>
      </c>
      <c r="D20" s="131">
        <v>125922.79999999999</v>
      </c>
      <c r="E20" s="131">
        <v>7559.4</v>
      </c>
      <c r="F20" s="131">
        <v>17126.100000000002</v>
      </c>
      <c r="G20" s="131">
        <v>170.1</v>
      </c>
      <c r="H20" s="131">
        <v>1801.0000000000002</v>
      </c>
      <c r="I20" s="131">
        <v>430</v>
      </c>
      <c r="J20" s="290" t="s">
        <v>88</v>
      </c>
      <c r="K20" s="131">
        <v>33328.200000000004</v>
      </c>
      <c r="L20" s="131">
        <v>9660.5</v>
      </c>
      <c r="M20" s="131">
        <v>32270.799999999999</v>
      </c>
      <c r="N20" s="131">
        <v>62960.799999999996</v>
      </c>
      <c r="O20" s="291">
        <v>162470.70000000001</v>
      </c>
      <c r="P20" s="2">
        <v>20813.100000000002</v>
      </c>
      <c r="Q20" s="140">
        <v>4114.6000000000004</v>
      </c>
      <c r="R20" s="294">
        <v>96931.400000000009</v>
      </c>
      <c r="S20" s="292">
        <f t="shared" si="0"/>
        <v>1044684.1</v>
      </c>
      <c r="T20" s="254"/>
      <c r="U20" s="254"/>
      <c r="V20" s="254"/>
      <c r="X20" s="69"/>
      <c r="Y20" s="69"/>
    </row>
    <row r="21" spans="1:25">
      <c r="A21" s="289" t="s">
        <v>11</v>
      </c>
      <c r="B21" s="261">
        <v>335552.69999999995</v>
      </c>
      <c r="C21" s="261">
        <v>211763.9</v>
      </c>
      <c r="D21" s="261">
        <v>134315.39999999997</v>
      </c>
      <c r="E21" s="261">
        <v>9698.1999999999989</v>
      </c>
      <c r="F21" s="261">
        <v>11803.2</v>
      </c>
      <c r="G21" s="261">
        <v>246.1</v>
      </c>
      <c r="H21" s="261">
        <v>1446.5</v>
      </c>
      <c r="I21" s="261">
        <v>430</v>
      </c>
      <c r="J21" s="290" t="s">
        <v>88</v>
      </c>
      <c r="K21" s="261">
        <v>50992.200000000004</v>
      </c>
      <c r="L21" s="261">
        <v>9056.5</v>
      </c>
      <c r="M21" s="261">
        <v>22059.600000000002</v>
      </c>
      <c r="N21" s="261">
        <v>89787.400000000009</v>
      </c>
      <c r="O21" s="291">
        <v>185759.6</v>
      </c>
      <c r="P21" s="2">
        <v>21766.899999999998</v>
      </c>
      <c r="Q21" s="140">
        <v>-198.70000000000019</v>
      </c>
      <c r="R21" s="294">
        <v>133537.29999999999</v>
      </c>
      <c r="S21" s="292">
        <f t="shared" si="0"/>
        <v>1218016.7999999998</v>
      </c>
      <c r="T21" s="254"/>
      <c r="U21" s="254"/>
      <c r="V21" s="254"/>
    </row>
    <row r="22" spans="1:25">
      <c r="A22" s="289" t="s">
        <v>13</v>
      </c>
      <c r="B22" s="80">
        <v>400562.30000000005</v>
      </c>
      <c r="C22" s="80">
        <v>240784.80000000005</v>
      </c>
      <c r="D22" s="80">
        <v>163209.70000000004</v>
      </c>
      <c r="E22" s="80">
        <v>15905.7</v>
      </c>
      <c r="F22" s="80">
        <v>12998.199999999999</v>
      </c>
      <c r="G22" s="290" t="s">
        <v>88</v>
      </c>
      <c r="H22" s="261">
        <v>1669.5</v>
      </c>
      <c r="I22" s="261">
        <v>230</v>
      </c>
      <c r="J22" s="290" t="s">
        <v>88</v>
      </c>
      <c r="K22" s="71">
        <v>48639.1</v>
      </c>
      <c r="L22" s="261">
        <v>9410.5</v>
      </c>
      <c r="M22" s="261">
        <v>17620.400000000001</v>
      </c>
      <c r="N22" s="261">
        <v>147751.79999999999</v>
      </c>
      <c r="O22" s="81">
        <v>205273.59999999995</v>
      </c>
      <c r="P22" s="2">
        <v>25746.6</v>
      </c>
      <c r="Q22" s="288">
        <v>-2380.1999999999975</v>
      </c>
      <c r="R22" s="81">
        <v>142120.29999999999</v>
      </c>
      <c r="S22" s="285">
        <v>1400638.4000000001</v>
      </c>
      <c r="T22" s="254"/>
      <c r="U22" s="254"/>
      <c r="V22" s="254"/>
    </row>
    <row r="23" spans="1:25">
      <c r="A23" s="289" t="s">
        <v>14</v>
      </c>
      <c r="B23" s="80">
        <v>383820.99999999994</v>
      </c>
      <c r="C23" s="80">
        <v>244640.30000000008</v>
      </c>
      <c r="D23" s="263">
        <v>135171.70000000001</v>
      </c>
      <c r="E23" s="263">
        <v>22882.2</v>
      </c>
      <c r="F23" s="263">
        <v>27827.9</v>
      </c>
      <c r="G23" s="263">
        <v>1256.3</v>
      </c>
      <c r="H23" s="261">
        <v>5303.8</v>
      </c>
      <c r="I23" s="261">
        <v>8529.9000000000015</v>
      </c>
      <c r="J23" s="261">
        <v>19805</v>
      </c>
      <c r="K23" s="71">
        <v>54292.999999999993</v>
      </c>
      <c r="L23" s="261">
        <v>8972.2999999999993</v>
      </c>
      <c r="M23" s="261">
        <v>6801.5</v>
      </c>
      <c r="N23" s="261">
        <v>149973.5</v>
      </c>
      <c r="O23" s="81">
        <v>222014.39999999997</v>
      </c>
      <c r="P23" s="2">
        <v>15971.3</v>
      </c>
      <c r="Q23" s="288">
        <v>-5932.1999999999989</v>
      </c>
      <c r="R23" s="268">
        <v>154248.5</v>
      </c>
      <c r="S23" s="263">
        <f>SUM(B23:R23)</f>
        <v>1455580.4000000001</v>
      </c>
      <c r="T23" s="254"/>
      <c r="U23" s="254"/>
      <c r="V23" s="254"/>
    </row>
    <row r="24" spans="1:25">
      <c r="A24" s="289" t="s">
        <v>15</v>
      </c>
      <c r="B24" s="80">
        <v>473463.40000000014</v>
      </c>
      <c r="C24" s="80">
        <v>235254.40000000002</v>
      </c>
      <c r="D24" s="263">
        <v>93961.800000000017</v>
      </c>
      <c r="E24" s="263">
        <v>24043.8</v>
      </c>
      <c r="F24" s="263">
        <v>20378.800000000003</v>
      </c>
      <c r="G24" s="263">
        <v>985.80000000000007</v>
      </c>
      <c r="H24" s="261">
        <v>2909.7000000000003</v>
      </c>
      <c r="I24" s="261">
        <v>8653</v>
      </c>
      <c r="J24" s="261">
        <v>87064.099999999991</v>
      </c>
      <c r="K24" s="71">
        <v>58899.3</v>
      </c>
      <c r="L24" s="261">
        <v>16378.7</v>
      </c>
      <c r="M24" s="261">
        <v>973.70000000000016</v>
      </c>
      <c r="N24" s="261">
        <v>139935.4</v>
      </c>
      <c r="O24" s="294">
        <v>224498.3</v>
      </c>
      <c r="P24" s="2">
        <v>26055.199999999993</v>
      </c>
      <c r="Q24" s="288">
        <v>-829.10000000000616</v>
      </c>
      <c r="R24" s="268">
        <v>194069.49999999994</v>
      </c>
      <c r="S24" s="263">
        <f>SUM(B24:R24)</f>
        <v>1606695.8</v>
      </c>
      <c r="T24" s="254"/>
      <c r="U24" s="254"/>
      <c r="V24" s="254"/>
    </row>
    <row r="25" spans="1:25">
      <c r="A25" s="289" t="s">
        <v>669</v>
      </c>
      <c r="B25" s="80">
        <f>597211.3+9262.8</f>
        <v>606474.10000000009</v>
      </c>
      <c r="C25" s="80">
        <v>283463</v>
      </c>
      <c r="D25" s="263">
        <f>99981.2+19693.8</f>
        <v>119675</v>
      </c>
      <c r="E25" s="263">
        <f>110.9+31864.7</f>
        <v>31975.600000000002</v>
      </c>
      <c r="F25" s="263">
        <v>34803.1</v>
      </c>
      <c r="G25" s="263">
        <v>923.6</v>
      </c>
      <c r="H25" s="261">
        <v>4126.2</v>
      </c>
      <c r="I25" s="261">
        <v>8711.4</v>
      </c>
      <c r="J25" s="261">
        <v>160080.29999999999</v>
      </c>
      <c r="K25" s="71">
        <f>16746.1+39463.3+10620.1</f>
        <v>66829.5</v>
      </c>
      <c r="L25" s="261">
        <v>19650.5</v>
      </c>
      <c r="M25" s="261">
        <f>714.4+68.2</f>
        <v>782.6</v>
      </c>
      <c r="N25" s="261">
        <v>156052.6</v>
      </c>
      <c r="O25" s="294">
        <v>230717.9</v>
      </c>
      <c r="P25" s="2">
        <v>47407.8</v>
      </c>
      <c r="Q25" s="288">
        <f>19.7+3575.2-683.6-12-3575.8-31.4-4.5</f>
        <v>-712.40000000000043</v>
      </c>
      <c r="R25" s="268">
        <f>64997.9-10620.1-9262.8+1838.7+104563.8</f>
        <v>151517.5</v>
      </c>
      <c r="S25" s="292">
        <f t="shared" ref="S25" si="1">SUM(B25:R25)</f>
        <v>1922478.3000000003</v>
      </c>
      <c r="T25" s="254"/>
      <c r="U25" s="254"/>
      <c r="V25" s="254"/>
    </row>
    <row r="26" spans="1:25" s="1019" customFormat="1" hidden="1">
      <c r="A26" s="289"/>
      <c r="B26" s="1023"/>
      <c r="C26" s="1023"/>
      <c r="D26" s="1039"/>
      <c r="E26" s="1039"/>
      <c r="F26" s="1039"/>
      <c r="G26" s="1039"/>
      <c r="H26" s="1030"/>
      <c r="I26" s="1030"/>
      <c r="J26" s="1030"/>
      <c r="K26" s="1020"/>
      <c r="L26" s="1030"/>
      <c r="M26" s="1030"/>
      <c r="N26" s="1030"/>
      <c r="O26" s="294"/>
      <c r="P26" s="2"/>
      <c r="Q26" s="288"/>
      <c r="R26" s="1036"/>
      <c r="S26" s="292"/>
      <c r="T26" s="1022"/>
      <c r="U26" s="1022"/>
      <c r="V26" s="1022"/>
    </row>
    <row r="27" spans="1:25" hidden="1">
      <c r="A27" s="113" t="s">
        <v>61</v>
      </c>
      <c r="B27" s="80">
        <v>327186.89999999997</v>
      </c>
      <c r="C27" s="80">
        <v>230375.10000000003</v>
      </c>
      <c r="D27" s="80">
        <v>149215.09999999989</v>
      </c>
      <c r="E27" s="80">
        <v>7228.7999999999993</v>
      </c>
      <c r="F27" s="80">
        <v>12602.2</v>
      </c>
      <c r="G27" s="80">
        <v>299.7</v>
      </c>
      <c r="H27" s="261">
        <v>1164.5999999999999</v>
      </c>
      <c r="I27" s="261">
        <v>430</v>
      </c>
      <c r="J27" s="290" t="s">
        <v>88</v>
      </c>
      <c r="K27" s="71">
        <v>44396.2</v>
      </c>
      <c r="L27" s="261">
        <v>7987.7</v>
      </c>
      <c r="M27" s="261">
        <v>28923.399999999998</v>
      </c>
      <c r="N27" s="261">
        <v>100768.70000000001</v>
      </c>
      <c r="O27" s="81">
        <v>189667.8</v>
      </c>
      <c r="P27" s="2">
        <v>16072.599999999999</v>
      </c>
      <c r="Q27" s="288">
        <v>-3172.1999999999994</v>
      </c>
      <c r="R27" s="81">
        <v>131176.70000000001</v>
      </c>
      <c r="S27" s="285">
        <f>SUM(B27:R27)</f>
        <v>1244323.2999999998</v>
      </c>
      <c r="T27" s="254"/>
      <c r="U27" s="254"/>
      <c r="V27" s="254"/>
    </row>
    <row r="28" spans="1:25" hidden="1">
      <c r="A28" s="113" t="s">
        <v>62</v>
      </c>
      <c r="B28" s="80">
        <v>364010.4</v>
      </c>
      <c r="C28" s="80">
        <v>242972.59999999998</v>
      </c>
      <c r="D28" s="80">
        <v>145441.80000000002</v>
      </c>
      <c r="E28" s="80">
        <v>11827.5</v>
      </c>
      <c r="F28" s="80">
        <v>10918.8</v>
      </c>
      <c r="G28" s="290" t="s">
        <v>88</v>
      </c>
      <c r="H28" s="261">
        <v>1983.8</v>
      </c>
      <c r="I28" s="261">
        <v>250</v>
      </c>
      <c r="J28" s="290" t="s">
        <v>88</v>
      </c>
      <c r="K28" s="71">
        <v>46972.9</v>
      </c>
      <c r="L28" s="261">
        <v>8690.2999999999993</v>
      </c>
      <c r="M28" s="261">
        <v>19697.099999999999</v>
      </c>
      <c r="N28" s="261">
        <v>102707.09999999999</v>
      </c>
      <c r="O28" s="81">
        <v>193171.39999999997</v>
      </c>
      <c r="P28" s="2">
        <v>16946.699999999997</v>
      </c>
      <c r="Q28" s="288">
        <v>-3933.8000000000015</v>
      </c>
      <c r="R28" s="81">
        <v>143366.29999999999</v>
      </c>
      <c r="S28" s="285">
        <v>1282276.6000000001</v>
      </c>
      <c r="T28" s="254"/>
      <c r="U28" s="254"/>
      <c r="V28" s="254"/>
    </row>
    <row r="29" spans="1:25" hidden="1">
      <c r="A29" s="113" t="s">
        <v>636</v>
      </c>
      <c r="B29" s="80">
        <v>349378.5</v>
      </c>
      <c r="C29" s="80">
        <v>236491.9</v>
      </c>
      <c r="D29" s="80">
        <v>148158.49999999988</v>
      </c>
      <c r="E29" s="80">
        <v>8632.8000000000011</v>
      </c>
      <c r="F29" s="80">
        <v>11457.199999999999</v>
      </c>
      <c r="G29" s="290" t="s">
        <v>88</v>
      </c>
      <c r="H29" s="261">
        <v>2127.3000000000002</v>
      </c>
      <c r="I29" s="261">
        <v>230</v>
      </c>
      <c r="J29" s="290" t="s">
        <v>88</v>
      </c>
      <c r="K29" s="71">
        <v>52172.800000000003</v>
      </c>
      <c r="L29" s="261">
        <v>9825.5</v>
      </c>
      <c r="M29" s="261">
        <v>14050.2</v>
      </c>
      <c r="N29" s="261">
        <v>123900.5</v>
      </c>
      <c r="O29" s="81">
        <v>193246.40000000002</v>
      </c>
      <c r="P29" s="2">
        <v>23804.1</v>
      </c>
      <c r="Q29" s="288">
        <v>-6415.5000000000018</v>
      </c>
      <c r="R29" s="81">
        <v>163481.60000000001</v>
      </c>
      <c r="S29" s="285">
        <v>1310451.8000000003</v>
      </c>
      <c r="T29" s="254"/>
      <c r="U29" s="254"/>
      <c r="V29" s="254"/>
    </row>
    <row r="30" spans="1:25" hidden="1">
      <c r="A30" s="113" t="s">
        <v>664</v>
      </c>
      <c r="B30" s="80">
        <v>400562.30000000005</v>
      </c>
      <c r="C30" s="80">
        <v>240784.80000000005</v>
      </c>
      <c r="D30" s="80">
        <v>163209.70000000004</v>
      </c>
      <c r="E30" s="80">
        <v>15905.7</v>
      </c>
      <c r="F30" s="80">
        <v>12998.199999999999</v>
      </c>
      <c r="G30" s="290" t="s">
        <v>88</v>
      </c>
      <c r="H30" s="261">
        <v>1669.5</v>
      </c>
      <c r="I30" s="261">
        <v>230</v>
      </c>
      <c r="J30" s="290" t="s">
        <v>88</v>
      </c>
      <c r="K30" s="71">
        <v>48639.1</v>
      </c>
      <c r="L30" s="261">
        <v>9410.5</v>
      </c>
      <c r="M30" s="261">
        <v>17620.400000000001</v>
      </c>
      <c r="N30" s="261">
        <v>147751.79999999999</v>
      </c>
      <c r="O30" s="81">
        <v>205273.59999999995</v>
      </c>
      <c r="P30" s="2">
        <v>25746.6</v>
      </c>
      <c r="Q30" s="288">
        <v>-2380.1999999999975</v>
      </c>
      <c r="R30" s="81">
        <v>142120.29999999999</v>
      </c>
      <c r="S30" s="285">
        <v>1400638.4000000001</v>
      </c>
      <c r="T30" s="254"/>
      <c r="U30" s="254"/>
      <c r="V30" s="254"/>
    </row>
    <row r="31" spans="1:25">
      <c r="A31" s="113"/>
      <c r="B31" s="80"/>
      <c r="C31" s="80"/>
      <c r="D31" s="80"/>
      <c r="E31" s="80"/>
      <c r="F31" s="80"/>
      <c r="G31" s="290"/>
      <c r="H31" s="261"/>
      <c r="I31" s="261"/>
      <c r="J31" s="261"/>
      <c r="K31" s="71"/>
      <c r="L31" s="261"/>
      <c r="M31" s="261"/>
      <c r="N31" s="261"/>
      <c r="O31" s="81"/>
      <c r="P31" s="2"/>
      <c r="Q31" s="288"/>
      <c r="R31" s="81"/>
      <c r="S31" s="285"/>
      <c r="T31" s="254"/>
      <c r="U31" s="254"/>
      <c r="V31" s="254"/>
    </row>
    <row r="32" spans="1:25">
      <c r="A32" s="113" t="s">
        <v>53</v>
      </c>
      <c r="B32" s="80">
        <v>356175.89999999997</v>
      </c>
      <c r="C32" s="80">
        <v>247836.60000000003</v>
      </c>
      <c r="D32" s="80">
        <v>148154.4</v>
      </c>
      <c r="E32" s="80">
        <v>11731.800000000001</v>
      </c>
      <c r="F32" s="80">
        <v>8849.7999999999993</v>
      </c>
      <c r="G32" s="290" t="s">
        <v>88</v>
      </c>
      <c r="H32" s="261">
        <v>1196</v>
      </c>
      <c r="I32" s="261">
        <v>1133.5999999999999</v>
      </c>
      <c r="J32" s="261">
        <v>1123.2</v>
      </c>
      <c r="K32" s="71">
        <v>52869.700000000004</v>
      </c>
      <c r="L32" s="261">
        <v>10155.5</v>
      </c>
      <c r="M32" s="261">
        <v>14779.000000000002</v>
      </c>
      <c r="N32" s="261">
        <v>146198.79999999999</v>
      </c>
      <c r="O32" s="81">
        <v>215597.59999999998</v>
      </c>
      <c r="P32" s="2">
        <v>11497.699999999999</v>
      </c>
      <c r="Q32" s="288">
        <v>-4355.6000000000022</v>
      </c>
      <c r="R32" s="81">
        <v>156675.29999999999</v>
      </c>
      <c r="S32" s="285">
        <v>1359037.6999999997</v>
      </c>
      <c r="T32" s="254"/>
      <c r="U32" s="254"/>
      <c r="V32" s="254"/>
    </row>
    <row r="33" spans="1:22">
      <c r="A33" s="113" t="s">
        <v>44</v>
      </c>
      <c r="B33" s="80">
        <v>370979.79999999987</v>
      </c>
      <c r="C33" s="80">
        <v>256613.29999999993</v>
      </c>
      <c r="D33" s="80">
        <v>135754.29999999996</v>
      </c>
      <c r="E33" s="80">
        <v>11068.599999999999</v>
      </c>
      <c r="F33" s="80">
        <v>14518.000000000002</v>
      </c>
      <c r="G33" s="290" t="s">
        <v>88</v>
      </c>
      <c r="H33" s="261">
        <v>4973.3000000000011</v>
      </c>
      <c r="I33" s="261">
        <v>2203.8000000000002</v>
      </c>
      <c r="J33" s="261">
        <v>20000</v>
      </c>
      <c r="K33" s="71">
        <v>43348.600000000006</v>
      </c>
      <c r="L33" s="261">
        <v>10359.799999999999</v>
      </c>
      <c r="M33" s="261">
        <v>13963.300000000001</v>
      </c>
      <c r="N33" s="261">
        <v>139562.5</v>
      </c>
      <c r="O33" s="81">
        <v>215514.19999999998</v>
      </c>
      <c r="P33" s="2">
        <v>19632</v>
      </c>
      <c r="Q33" s="288">
        <v>-8004.4000000000015</v>
      </c>
      <c r="R33" s="81">
        <v>158401.5</v>
      </c>
      <c r="S33" s="285">
        <v>1383302</v>
      </c>
      <c r="T33" s="254"/>
      <c r="U33" s="254"/>
      <c r="V33" s="254"/>
    </row>
    <row r="34" spans="1:22">
      <c r="A34" s="113" t="s">
        <v>47</v>
      </c>
      <c r="B34" s="80">
        <v>392207.5</v>
      </c>
      <c r="C34" s="80">
        <v>258303</v>
      </c>
      <c r="D34" s="80">
        <v>140973.39999999991</v>
      </c>
      <c r="E34" s="80">
        <v>10390.800000000001</v>
      </c>
      <c r="F34" s="80">
        <v>15110.100000000002</v>
      </c>
      <c r="G34" s="290" t="s">
        <v>88</v>
      </c>
      <c r="H34" s="261">
        <v>4632.1000000000004</v>
      </c>
      <c r="I34" s="261">
        <v>2466.6999999999998</v>
      </c>
      <c r="J34" s="261">
        <v>5849.9</v>
      </c>
      <c r="K34" s="71">
        <v>38020.800000000003</v>
      </c>
      <c r="L34" s="261">
        <v>10291.799999999999</v>
      </c>
      <c r="M34" s="261">
        <v>8875.3000000000011</v>
      </c>
      <c r="N34" s="261">
        <v>135266.6</v>
      </c>
      <c r="O34" s="81">
        <v>215438.7</v>
      </c>
      <c r="P34" s="2">
        <v>26685.299999999996</v>
      </c>
      <c r="Q34" s="288">
        <v>-7733.7000000000016</v>
      </c>
      <c r="R34" s="81">
        <v>168768.2</v>
      </c>
      <c r="S34" s="285">
        <v>1400045.6</v>
      </c>
      <c r="T34" s="254"/>
      <c r="U34" s="254"/>
      <c r="V34" s="254"/>
    </row>
    <row r="35" spans="1:22">
      <c r="A35" s="113" t="s">
        <v>50</v>
      </c>
      <c r="B35" s="80">
        <v>406703.19999999995</v>
      </c>
      <c r="C35" s="80">
        <v>272468.20000000007</v>
      </c>
      <c r="D35" s="263">
        <v>136428</v>
      </c>
      <c r="E35" s="263">
        <v>22882.2</v>
      </c>
      <c r="F35" s="263">
        <v>27827.9</v>
      </c>
      <c r="G35" s="263">
        <v>1256.3</v>
      </c>
      <c r="H35" s="261">
        <v>5303.8</v>
      </c>
      <c r="I35" s="261">
        <v>8529.9000000000015</v>
      </c>
      <c r="J35" s="261">
        <v>19805</v>
      </c>
      <c r="K35" s="71">
        <v>54292.999999999993</v>
      </c>
      <c r="L35" s="261">
        <v>8972.2999999999993</v>
      </c>
      <c r="M35" s="261">
        <v>6801.5</v>
      </c>
      <c r="N35" s="261">
        <v>149973.5</v>
      </c>
      <c r="O35" s="81">
        <v>222014.39999999997</v>
      </c>
      <c r="P35" s="2">
        <v>15971.3</v>
      </c>
      <c r="Q35" s="288">
        <v>-5932.1999999999989</v>
      </c>
      <c r="R35" s="268">
        <v>154248.5</v>
      </c>
      <c r="S35" s="263">
        <v>1455580.4000000001</v>
      </c>
      <c r="T35" s="254"/>
      <c r="U35" s="254"/>
      <c r="V35" s="254"/>
    </row>
    <row r="36" spans="1:22">
      <c r="A36" s="113"/>
      <c r="B36" s="80"/>
      <c r="C36" s="80"/>
      <c r="D36" s="263"/>
      <c r="E36" s="263"/>
      <c r="F36" s="263"/>
      <c r="G36" s="263"/>
      <c r="H36" s="261"/>
      <c r="I36" s="261"/>
      <c r="J36" s="261"/>
      <c r="K36" s="71"/>
      <c r="L36" s="261"/>
      <c r="M36" s="261"/>
      <c r="N36" s="261"/>
      <c r="O36" s="81"/>
      <c r="P36" s="2"/>
      <c r="Q36" s="288"/>
      <c r="R36" s="268"/>
      <c r="S36" s="263"/>
      <c r="T36" s="254"/>
      <c r="U36" s="254"/>
      <c r="V36" s="254"/>
    </row>
    <row r="37" spans="1:22">
      <c r="A37" s="113" t="s">
        <v>65</v>
      </c>
      <c r="B37" s="80">
        <v>396552.5</v>
      </c>
      <c r="C37" s="80">
        <v>276029.99999999994</v>
      </c>
      <c r="D37" s="263">
        <v>119698.69999999998</v>
      </c>
      <c r="E37" s="263">
        <v>17631.5</v>
      </c>
      <c r="F37" s="263">
        <v>29819</v>
      </c>
      <c r="G37" s="263">
        <v>1303.6000000000001</v>
      </c>
      <c r="H37" s="261">
        <v>5382</v>
      </c>
      <c r="I37" s="261">
        <v>8565.2000000000007</v>
      </c>
      <c r="J37" s="261">
        <v>71864.5</v>
      </c>
      <c r="K37" s="71">
        <v>56605</v>
      </c>
      <c r="L37" s="261">
        <v>9451.0000000000018</v>
      </c>
      <c r="M37" s="261">
        <v>7517.2</v>
      </c>
      <c r="N37" s="261">
        <v>148879.5</v>
      </c>
      <c r="O37" s="81">
        <v>222189.39999999997</v>
      </c>
      <c r="P37" s="2">
        <v>11870.400000000001</v>
      </c>
      <c r="Q37" s="288">
        <v>-6615.1000000000049</v>
      </c>
      <c r="R37" s="268">
        <v>159337.79999999999</v>
      </c>
      <c r="S37" s="263">
        <v>1487328.0999999996</v>
      </c>
      <c r="T37" s="254"/>
      <c r="U37" s="254"/>
      <c r="V37" s="254"/>
    </row>
    <row r="38" spans="1:22">
      <c r="A38" s="113" t="s">
        <v>44</v>
      </c>
      <c r="B38" s="80">
        <v>414931.7</v>
      </c>
      <c r="C38" s="80">
        <v>269610.3</v>
      </c>
      <c r="D38" s="263">
        <v>115399.09999999999</v>
      </c>
      <c r="E38" s="263">
        <v>34010.699999999997</v>
      </c>
      <c r="F38" s="263">
        <v>21476.999999999996</v>
      </c>
      <c r="G38" s="263">
        <v>1446.4000000000003</v>
      </c>
      <c r="H38" s="261">
        <v>1924.6000000000001</v>
      </c>
      <c r="I38" s="261">
        <v>8610.4</v>
      </c>
      <c r="J38" s="261">
        <v>101025.7</v>
      </c>
      <c r="K38" s="71">
        <v>47685.400000000009</v>
      </c>
      <c r="L38" s="261">
        <v>17003.600000000002</v>
      </c>
      <c r="M38" s="261">
        <v>2654.6</v>
      </c>
      <c r="N38" s="261">
        <v>143107</v>
      </c>
      <c r="O38" s="292">
        <v>224810.5</v>
      </c>
      <c r="P38" s="2">
        <v>17493.3</v>
      </c>
      <c r="Q38" s="288">
        <v>-6318.3999999999915</v>
      </c>
      <c r="R38" s="268">
        <v>181984.3</v>
      </c>
      <c r="S38" s="263">
        <v>1539922.1</v>
      </c>
      <c r="U38" s="254"/>
      <c r="V38" s="254"/>
    </row>
    <row r="39" spans="1:22">
      <c r="A39" s="113" t="s">
        <v>47</v>
      </c>
      <c r="B39" s="80">
        <v>440229.89999999997</v>
      </c>
      <c r="C39" s="80">
        <v>260904.4</v>
      </c>
      <c r="D39" s="263">
        <v>108028.2</v>
      </c>
      <c r="E39" s="263">
        <v>15867.100000000002</v>
      </c>
      <c r="F39" s="263">
        <v>18024.399999999998</v>
      </c>
      <c r="G39" s="263">
        <v>984.5</v>
      </c>
      <c r="H39" s="261">
        <v>3677.6000000000004</v>
      </c>
      <c r="I39" s="261">
        <v>9113.9</v>
      </c>
      <c r="J39" s="261">
        <v>118763.79999999999</v>
      </c>
      <c r="K39" s="71">
        <v>51358.6</v>
      </c>
      <c r="L39" s="261">
        <v>13416.9</v>
      </c>
      <c r="M39" s="261">
        <v>934</v>
      </c>
      <c r="N39" s="261">
        <v>139965.09999999998</v>
      </c>
      <c r="O39" s="294">
        <v>224794.99999999997</v>
      </c>
      <c r="P39" s="2">
        <v>21976.800000000003</v>
      </c>
      <c r="Q39" s="288">
        <v>-905.90000000000089</v>
      </c>
      <c r="R39" s="268">
        <v>187480</v>
      </c>
      <c r="S39" s="263">
        <v>1579738.3</v>
      </c>
      <c r="U39" s="254"/>
      <c r="V39" s="254"/>
    </row>
    <row r="40" spans="1:22">
      <c r="A40" s="113" t="s">
        <v>50</v>
      </c>
      <c r="B40" s="80">
        <v>497507.20000000013</v>
      </c>
      <c r="C40" s="80">
        <v>255633.2</v>
      </c>
      <c r="D40" s="263">
        <v>94947.60000000002</v>
      </c>
      <c r="E40" s="263">
        <v>24043.8</v>
      </c>
      <c r="F40" s="263">
        <v>20378.800000000003</v>
      </c>
      <c r="G40" s="263">
        <v>985.80000000000007</v>
      </c>
      <c r="H40" s="261">
        <v>2909.7000000000003</v>
      </c>
      <c r="I40" s="261">
        <v>8653</v>
      </c>
      <c r="J40" s="261">
        <v>87064.099999999991</v>
      </c>
      <c r="K40" s="71">
        <v>58899.3</v>
      </c>
      <c r="L40" s="261">
        <v>16378.7</v>
      </c>
      <c r="M40" s="261">
        <v>973.70000000000016</v>
      </c>
      <c r="N40" s="261">
        <v>139935.4</v>
      </c>
      <c r="O40" s="294">
        <v>224498.3</v>
      </c>
      <c r="P40" s="2">
        <v>26055.199999999993</v>
      </c>
      <c r="Q40" s="288">
        <v>-829.10000000000616</v>
      </c>
      <c r="R40" s="268">
        <v>194069.49999999994</v>
      </c>
      <c r="S40" s="263">
        <v>1606695.7999999998</v>
      </c>
      <c r="U40" s="254"/>
      <c r="V40" s="254"/>
    </row>
    <row r="41" spans="1:22">
      <c r="A41" s="113"/>
      <c r="B41" s="80"/>
      <c r="C41" s="80"/>
      <c r="D41" s="263"/>
      <c r="E41" s="263"/>
      <c r="F41" s="263"/>
      <c r="G41" s="263"/>
      <c r="H41" s="261"/>
      <c r="I41" s="261"/>
      <c r="J41" s="261"/>
      <c r="K41" s="71"/>
      <c r="L41" s="261"/>
      <c r="M41" s="261"/>
      <c r="N41" s="261"/>
      <c r="O41" s="294"/>
      <c r="P41" s="2"/>
      <c r="Q41" s="288"/>
      <c r="R41" s="268"/>
      <c r="S41" s="263"/>
      <c r="U41" s="254"/>
      <c r="V41" s="254"/>
    </row>
    <row r="42" spans="1:22">
      <c r="A42" s="113" t="s">
        <v>66</v>
      </c>
      <c r="B42" s="80">
        <v>516686.20000000007</v>
      </c>
      <c r="C42" s="80">
        <v>253722.5</v>
      </c>
      <c r="D42" s="263">
        <v>97050.9</v>
      </c>
      <c r="E42" s="263">
        <v>23270.600000000002</v>
      </c>
      <c r="F42" s="263">
        <v>19964.5</v>
      </c>
      <c r="G42" s="263">
        <v>824.19999999999993</v>
      </c>
      <c r="H42" s="261">
        <v>4699.3</v>
      </c>
      <c r="I42" s="261">
        <v>8556.9</v>
      </c>
      <c r="J42" s="261">
        <v>87865.1</v>
      </c>
      <c r="K42" s="71">
        <v>65740.799999999988</v>
      </c>
      <c r="L42" s="261">
        <v>13207.499999999998</v>
      </c>
      <c r="M42" s="261">
        <v>1005.3000000000001</v>
      </c>
      <c r="N42" s="261">
        <v>150057.70000000001</v>
      </c>
      <c r="O42" s="294">
        <v>229646.59999999998</v>
      </c>
      <c r="P42" s="2">
        <v>19404.099999999999</v>
      </c>
      <c r="Q42" s="288">
        <v>-652.9</v>
      </c>
      <c r="R42" s="268">
        <v>124308.99999999999</v>
      </c>
      <c r="S42" s="292">
        <v>1615358.3000000003</v>
      </c>
      <c r="U42" s="254"/>
      <c r="V42" s="254"/>
    </row>
    <row r="43" spans="1:22">
      <c r="A43" s="113" t="s">
        <v>44</v>
      </c>
      <c r="B43" s="80">
        <v>539270.40000000002</v>
      </c>
      <c r="C43" s="80">
        <v>255875.8</v>
      </c>
      <c r="D43" s="263">
        <v>103650.3</v>
      </c>
      <c r="E43" s="263">
        <v>103085.3</v>
      </c>
      <c r="F43" s="263">
        <v>23391</v>
      </c>
      <c r="G43" s="263">
        <v>744.2</v>
      </c>
      <c r="H43" s="261">
        <v>4639.5</v>
      </c>
      <c r="I43" s="261">
        <v>6586</v>
      </c>
      <c r="J43" s="261">
        <v>75531.600000000006</v>
      </c>
      <c r="K43" s="71">
        <v>55593.1</v>
      </c>
      <c r="L43" s="261">
        <v>13076.1</v>
      </c>
      <c r="M43" s="261">
        <v>992.7</v>
      </c>
      <c r="N43" s="261">
        <v>166549</v>
      </c>
      <c r="O43" s="294">
        <v>229730</v>
      </c>
      <c r="P43" s="2">
        <v>31643.4</v>
      </c>
      <c r="Q43" s="288">
        <v>5523.2999999999975</v>
      </c>
      <c r="R43" s="268">
        <v>137420.40000000002</v>
      </c>
      <c r="S43" s="292">
        <v>1753302.1</v>
      </c>
      <c r="U43" s="254"/>
      <c r="V43" s="254"/>
    </row>
    <row r="44" spans="1:22">
      <c r="A44" s="113" t="s">
        <v>47</v>
      </c>
      <c r="B44" s="80">
        <v>581848.60000000009</v>
      </c>
      <c r="C44" s="80">
        <v>264591.2</v>
      </c>
      <c r="D44" s="263">
        <v>101009.90000000001</v>
      </c>
      <c r="E44" s="263">
        <v>23710</v>
      </c>
      <c r="F44" s="263">
        <v>29580.2</v>
      </c>
      <c r="G44" s="263">
        <v>819.9</v>
      </c>
      <c r="H44" s="261">
        <v>3154.4</v>
      </c>
      <c r="I44" s="261">
        <v>8703.6</v>
      </c>
      <c r="J44" s="261">
        <v>123220.7</v>
      </c>
      <c r="K44" s="71">
        <v>49725.1</v>
      </c>
      <c r="L44" s="261">
        <v>13260.6</v>
      </c>
      <c r="M44" s="261">
        <v>1009.7</v>
      </c>
      <c r="N44" s="261">
        <v>184125.7</v>
      </c>
      <c r="O44" s="294">
        <v>230902.9</v>
      </c>
      <c r="P44" s="2">
        <v>44365</v>
      </c>
      <c r="Q44" s="288">
        <v>-1403.2999999999993</v>
      </c>
      <c r="R44" s="268">
        <v>147178.40000000002</v>
      </c>
      <c r="S44" s="292">
        <v>1805802.6</v>
      </c>
      <c r="U44" s="254"/>
      <c r="V44" s="254"/>
    </row>
    <row r="45" spans="1:22">
      <c r="A45" s="113" t="s">
        <v>50</v>
      </c>
      <c r="B45" s="80">
        <v>606474.10000000009</v>
      </c>
      <c r="C45" s="80">
        <v>283463</v>
      </c>
      <c r="D45" s="263">
        <v>119675</v>
      </c>
      <c r="E45" s="263">
        <v>31975.600000000002</v>
      </c>
      <c r="F45" s="263">
        <v>34803.1</v>
      </c>
      <c r="G45" s="263">
        <v>923.6</v>
      </c>
      <c r="H45" s="261">
        <v>4126.2</v>
      </c>
      <c r="I45" s="261">
        <v>8711.4</v>
      </c>
      <c r="J45" s="261">
        <v>160080.29999999999</v>
      </c>
      <c r="K45" s="71">
        <v>66829.5</v>
      </c>
      <c r="L45" s="261">
        <v>19650.5</v>
      </c>
      <c r="M45" s="261">
        <v>782.6</v>
      </c>
      <c r="N45" s="261">
        <v>156052.6</v>
      </c>
      <c r="O45" s="294">
        <v>230717.9</v>
      </c>
      <c r="P45" s="2">
        <v>47407.8</v>
      </c>
      <c r="Q45" s="288">
        <v>-712.40000000000043</v>
      </c>
      <c r="R45" s="268">
        <v>151517.5</v>
      </c>
      <c r="S45" s="292">
        <v>1922478.3000000003</v>
      </c>
      <c r="U45" s="254"/>
      <c r="V45" s="254"/>
    </row>
    <row r="46" spans="1:22">
      <c r="A46" s="113"/>
      <c r="B46" s="80"/>
      <c r="C46" s="80"/>
      <c r="D46" s="263"/>
      <c r="E46" s="263"/>
      <c r="F46" s="263"/>
      <c r="G46" s="263"/>
      <c r="H46" s="261"/>
      <c r="I46" s="261"/>
      <c r="J46" s="261"/>
      <c r="K46" s="71"/>
      <c r="L46" s="261"/>
      <c r="M46" s="261"/>
      <c r="N46" s="261"/>
      <c r="O46" s="294"/>
      <c r="P46" s="2"/>
      <c r="Q46" s="288"/>
      <c r="R46" s="268"/>
      <c r="S46" s="292"/>
      <c r="U46" s="254"/>
      <c r="V46" s="254"/>
    </row>
    <row r="47" spans="1:22">
      <c r="A47" s="113" t="s">
        <v>684</v>
      </c>
      <c r="B47" s="1041">
        <f>615513.3+12839.6</f>
        <v>628352.9</v>
      </c>
      <c r="C47" s="1041">
        <v>299742.40000000002</v>
      </c>
      <c r="D47" s="1042">
        <f>114174+20897.7</f>
        <v>135071.70000000001</v>
      </c>
      <c r="E47" s="1042">
        <f>40057.8+110.8</f>
        <v>40168.600000000006</v>
      </c>
      <c r="F47" s="1042">
        <v>34318</v>
      </c>
      <c r="G47" s="1042">
        <v>687.3</v>
      </c>
      <c r="H47" s="1043">
        <v>2878.2</v>
      </c>
      <c r="I47" s="1043">
        <v>8758.7999999999993</v>
      </c>
      <c r="J47" s="1043">
        <v>182298.8</v>
      </c>
      <c r="K47" s="1044">
        <f>33417.3+25417.3+7494.6</f>
        <v>66329.200000000012</v>
      </c>
      <c r="L47" s="1043">
        <v>22087.8</v>
      </c>
      <c r="M47" s="1043">
        <f>727.4+16.4</f>
        <v>743.8</v>
      </c>
      <c r="N47" s="1043">
        <v>158712.29999999999</v>
      </c>
      <c r="O47" s="1045">
        <v>242144.9</v>
      </c>
      <c r="P47" s="1046">
        <v>34920.199999999997</v>
      </c>
      <c r="Q47" s="1047">
        <f>26.4+5335.3-590.1-6.3-5348.4-31.4-20.5</f>
        <v>-635.00000000000034</v>
      </c>
      <c r="R47" s="1048">
        <f>69008.2+105101.1+4262.6-12839.6-7494.6</f>
        <v>158037.69999999998</v>
      </c>
      <c r="S47" s="1049">
        <f t="shared" ref="S47" si="2">SUM(B47:R47)</f>
        <v>2014617.6000000001</v>
      </c>
      <c r="U47" s="254"/>
      <c r="V47" s="254"/>
    </row>
    <row r="48" spans="1:22" s="1019" customFormat="1">
      <c r="A48" s="1024" t="s">
        <v>62</v>
      </c>
      <c r="B48" s="1041">
        <f>625318.4+33608.8</f>
        <v>658927.20000000007</v>
      </c>
      <c r="C48" s="1041">
        <v>314557.7</v>
      </c>
      <c r="D48" s="1042">
        <f>105811.3+19743.5</f>
        <v>125554.8</v>
      </c>
      <c r="E48" s="1042">
        <f>25059.9+110.7</f>
        <v>25170.600000000002</v>
      </c>
      <c r="F48" s="1042">
        <v>39256.699999999997</v>
      </c>
      <c r="G48" s="1042">
        <v>558.4</v>
      </c>
      <c r="H48" s="1043">
        <v>3577.9</v>
      </c>
      <c r="I48" s="1043">
        <v>8806</v>
      </c>
      <c r="J48" s="1043">
        <v>286106</v>
      </c>
      <c r="K48" s="1044">
        <f>36546.4+9858.7+10597.4</f>
        <v>57002.500000000007</v>
      </c>
      <c r="L48" s="1043">
        <v>18952.900000000001</v>
      </c>
      <c r="M48" s="1043">
        <f>1083.4+12.1</f>
        <v>1095.5</v>
      </c>
      <c r="N48" s="1043">
        <v>198291.5</v>
      </c>
      <c r="O48" s="1045">
        <v>243166</v>
      </c>
      <c r="P48" s="1046">
        <v>46697.1</v>
      </c>
      <c r="Q48" s="1047">
        <f>50.1+3606.7+900.1-1264.3-906.5-3606.7-31.4-8.4</f>
        <v>-1260.4000000000005</v>
      </c>
      <c r="R48" s="1048">
        <f>78494.8+107357.9+1953.1-33608.8-10597.4</f>
        <v>143599.6</v>
      </c>
      <c r="S48" s="1049">
        <f t="shared" ref="S48" si="3">SUM(B48:R48)</f>
        <v>2170060</v>
      </c>
      <c r="U48" s="1022"/>
      <c r="V48" s="1022"/>
    </row>
    <row r="49" spans="1:22">
      <c r="A49" s="113"/>
      <c r="B49" s="80"/>
      <c r="C49" s="80"/>
      <c r="D49" s="263"/>
      <c r="E49" s="263"/>
      <c r="F49" s="263"/>
      <c r="G49" s="263"/>
      <c r="H49" s="261"/>
      <c r="I49" s="261"/>
      <c r="J49" s="261"/>
      <c r="K49" s="71"/>
      <c r="L49" s="261"/>
      <c r="M49" s="261"/>
      <c r="N49" s="261"/>
      <c r="O49" s="292"/>
      <c r="P49" s="2"/>
      <c r="Q49" s="288"/>
      <c r="R49" s="268"/>
      <c r="S49" s="263"/>
      <c r="T49" s="254"/>
      <c r="U49" s="254"/>
      <c r="V49" s="254"/>
    </row>
    <row r="50" spans="1:22" hidden="1">
      <c r="A50" s="113" t="s">
        <v>60</v>
      </c>
      <c r="B50" s="261">
        <v>147133.20000000001</v>
      </c>
      <c r="C50" s="261">
        <v>85917.499999999985</v>
      </c>
      <c r="D50" s="261">
        <v>43196.1</v>
      </c>
      <c r="E50" s="261"/>
      <c r="F50" s="261"/>
      <c r="G50" s="261"/>
      <c r="H50" s="261">
        <v>644.9</v>
      </c>
      <c r="I50" s="261">
        <v>44</v>
      </c>
      <c r="J50" s="261">
        <v>1804</v>
      </c>
      <c r="K50" s="261">
        <v>8605.0999999999985</v>
      </c>
      <c r="L50" s="261">
        <v>6646.2999999999993</v>
      </c>
      <c r="M50" s="261">
        <v>12638.900000000001</v>
      </c>
      <c r="N50" s="261">
        <v>23113.4</v>
      </c>
      <c r="O50" s="291">
        <f>78188.9-45364</f>
        <v>32824.899999999994</v>
      </c>
      <c r="P50" s="2">
        <v>14695.8</v>
      </c>
      <c r="Q50" s="140">
        <v>-475.59999999999997</v>
      </c>
      <c r="R50" s="294">
        <f>13618.2+45364</f>
        <v>58982.2</v>
      </c>
      <c r="S50" s="292">
        <f t="shared" ref="S50:S91" si="4">SUM(B50:R50)</f>
        <v>435770.70000000007</v>
      </c>
      <c r="T50" s="294"/>
      <c r="U50" s="254"/>
      <c r="V50" s="254"/>
    </row>
    <row r="51" spans="1:22" hidden="1">
      <c r="A51" s="113" t="s">
        <v>40</v>
      </c>
      <c r="B51" s="261">
        <v>146632.79999999993</v>
      </c>
      <c r="C51" s="261">
        <v>88840.799999999988</v>
      </c>
      <c r="D51" s="261">
        <v>51628.89999999998</v>
      </c>
      <c r="E51" s="261"/>
      <c r="F51" s="261"/>
      <c r="G51" s="261"/>
      <c r="H51" s="261">
        <v>1226.8999999999999</v>
      </c>
      <c r="I51" s="261">
        <v>294</v>
      </c>
      <c r="J51" s="261">
        <v>1000</v>
      </c>
      <c r="K51" s="261">
        <v>8390.2000000000007</v>
      </c>
      <c r="L51" s="261">
        <v>5328.1</v>
      </c>
      <c r="M51" s="261">
        <v>13198.7</v>
      </c>
      <c r="N51" s="261">
        <v>21733.699999999997</v>
      </c>
      <c r="O51" s="291">
        <f>78086.5-43265.1</f>
        <v>34821.4</v>
      </c>
      <c r="P51" s="2">
        <v>14327.099999999999</v>
      </c>
      <c r="Q51" s="140">
        <v>-118.10000000000002</v>
      </c>
      <c r="R51" s="294">
        <f>15892.8+43265.1</f>
        <v>59157.899999999994</v>
      </c>
      <c r="S51" s="292">
        <f t="shared" si="4"/>
        <v>446462.39999999991</v>
      </c>
      <c r="T51" s="294"/>
      <c r="U51" s="254"/>
      <c r="V51" s="254"/>
    </row>
    <row r="52" spans="1:22" hidden="1">
      <c r="A52" s="113" t="s">
        <v>41</v>
      </c>
      <c r="B52" s="261">
        <v>158956.1</v>
      </c>
      <c r="C52" s="261">
        <v>88787.5</v>
      </c>
      <c r="D52" s="261">
        <v>59399.799999999988</v>
      </c>
      <c r="E52" s="261"/>
      <c r="F52" s="261"/>
      <c r="G52" s="261"/>
      <c r="H52" s="261">
        <v>798.5</v>
      </c>
      <c r="I52" s="261">
        <v>294</v>
      </c>
      <c r="J52" s="261">
        <v>1000</v>
      </c>
      <c r="K52" s="261">
        <v>8187.2000000000007</v>
      </c>
      <c r="L52" s="261">
        <v>5997.5</v>
      </c>
      <c r="M52" s="261">
        <v>11842.8</v>
      </c>
      <c r="N52" s="261">
        <v>27821.300000000003</v>
      </c>
      <c r="O52" s="291">
        <f>79545.8-44202.7</f>
        <v>35343.100000000006</v>
      </c>
      <c r="P52" s="2">
        <v>14042.7</v>
      </c>
      <c r="Q52" s="140">
        <v>88.30000000000004</v>
      </c>
      <c r="R52" s="294">
        <f>13704.3+44202.7</f>
        <v>57907</v>
      </c>
      <c r="S52" s="292">
        <f t="shared" si="4"/>
        <v>470465.80000000005</v>
      </c>
      <c r="T52" s="294"/>
      <c r="U52" s="254"/>
      <c r="V52" s="254"/>
    </row>
    <row r="53" spans="1:22" hidden="1">
      <c r="A53" s="113" t="s">
        <v>42</v>
      </c>
      <c r="B53" s="261">
        <v>151552.40000000002</v>
      </c>
      <c r="C53" s="261">
        <v>88117.100000000035</v>
      </c>
      <c r="D53" s="261">
        <v>54265.899999999994</v>
      </c>
      <c r="E53" s="261"/>
      <c r="F53" s="261"/>
      <c r="G53" s="261"/>
      <c r="H53" s="261">
        <v>944.89999999999986</v>
      </c>
      <c r="I53" s="261">
        <v>294</v>
      </c>
      <c r="J53" s="261">
        <v>1000</v>
      </c>
      <c r="K53" s="261">
        <v>10565.8</v>
      </c>
      <c r="L53" s="261">
        <v>6503.8</v>
      </c>
      <c r="M53" s="261">
        <v>12215.2</v>
      </c>
      <c r="N53" s="261">
        <v>25249.1</v>
      </c>
      <c r="O53" s="291">
        <f>81909.7-44889.3</f>
        <v>37020.399999999994</v>
      </c>
      <c r="P53" s="2">
        <v>8965.7000000000007</v>
      </c>
      <c r="Q53" s="140">
        <v>183.80000000000004</v>
      </c>
      <c r="R53" s="294">
        <f>20169.5+44889.3</f>
        <v>65058.8</v>
      </c>
      <c r="S53" s="292">
        <f t="shared" si="4"/>
        <v>461936.89999999997</v>
      </c>
      <c r="T53" s="294"/>
      <c r="U53" s="254"/>
      <c r="V53" s="254"/>
    </row>
    <row r="54" spans="1:22" hidden="1">
      <c r="A54" s="113" t="s">
        <v>43</v>
      </c>
      <c r="B54" s="261">
        <v>147094.6</v>
      </c>
      <c r="C54" s="261">
        <v>89354.3</v>
      </c>
      <c r="D54" s="261">
        <v>51391.599999999984</v>
      </c>
      <c r="E54" s="261"/>
      <c r="F54" s="261"/>
      <c r="G54" s="261"/>
      <c r="H54" s="261">
        <v>872.80000000000007</v>
      </c>
      <c r="I54" s="261">
        <v>294</v>
      </c>
      <c r="J54" s="290" t="s">
        <v>88</v>
      </c>
      <c r="K54" s="261">
        <v>12115.5</v>
      </c>
      <c r="L54" s="261">
        <v>4997.4000000000005</v>
      </c>
      <c r="M54" s="261">
        <v>16610.400000000001</v>
      </c>
      <c r="N54" s="261">
        <v>24010.900000000005</v>
      </c>
      <c r="O54" s="291">
        <f>82776.2-45119.4</f>
        <v>37656.799999999996</v>
      </c>
      <c r="P54" s="2">
        <v>10311.200000000001</v>
      </c>
      <c r="Q54" s="140">
        <v>-228.89999999999964</v>
      </c>
      <c r="R54" s="294">
        <f>18225.8+45119.4</f>
        <v>63345.2</v>
      </c>
      <c r="S54" s="292">
        <f t="shared" si="4"/>
        <v>457825.80000000005</v>
      </c>
      <c r="T54" s="294"/>
      <c r="U54" s="254"/>
      <c r="V54" s="254"/>
    </row>
    <row r="55" spans="1:22" hidden="1">
      <c r="A55" s="113" t="s">
        <v>44</v>
      </c>
      <c r="B55" s="261">
        <v>152474.20000000001</v>
      </c>
      <c r="C55" s="261">
        <v>86596.6</v>
      </c>
      <c r="D55" s="261">
        <v>53258.199999999983</v>
      </c>
      <c r="E55" s="261"/>
      <c r="F55" s="261"/>
      <c r="G55" s="261"/>
      <c r="H55" s="261">
        <v>1239</v>
      </c>
      <c r="I55" s="261">
        <v>250</v>
      </c>
      <c r="J55" s="261">
        <v>1474.9</v>
      </c>
      <c r="K55" s="261">
        <v>12477.300000000003</v>
      </c>
      <c r="L55" s="261">
        <v>5614.9</v>
      </c>
      <c r="M55" s="261">
        <v>15336.5</v>
      </c>
      <c r="N55" s="261">
        <v>28737.400000000005</v>
      </c>
      <c r="O55" s="291">
        <f>83065.6-45410.1</f>
        <v>37655.500000000007</v>
      </c>
      <c r="P55" s="2">
        <v>12540</v>
      </c>
      <c r="Q55" s="140">
        <v>518.50000000000023</v>
      </c>
      <c r="R55" s="294">
        <f>22083.9+45410.1</f>
        <v>67494</v>
      </c>
      <c r="S55" s="292">
        <f t="shared" si="4"/>
        <v>475667.00000000006</v>
      </c>
      <c r="T55" s="294"/>
      <c r="U55" s="254"/>
      <c r="V55" s="254"/>
    </row>
    <row r="56" spans="1:22" hidden="1">
      <c r="A56" s="113" t="s">
        <v>45</v>
      </c>
      <c r="B56" s="261">
        <v>157957.39999999997</v>
      </c>
      <c r="C56" s="261">
        <v>90365.2</v>
      </c>
      <c r="D56" s="261">
        <v>53263.299999999959</v>
      </c>
      <c r="E56" s="261"/>
      <c r="F56" s="261"/>
      <c r="G56" s="261"/>
      <c r="H56" s="261">
        <v>635.6</v>
      </c>
      <c r="I56" s="261">
        <v>844</v>
      </c>
      <c r="J56" s="261">
        <v>2806.3</v>
      </c>
      <c r="K56" s="261">
        <v>12129.999999999996</v>
      </c>
      <c r="L56" s="261">
        <v>5507.2999999999993</v>
      </c>
      <c r="M56" s="261">
        <v>15168.7</v>
      </c>
      <c r="N56" s="261">
        <v>28529.1</v>
      </c>
      <c r="O56" s="291">
        <f>85342.685-46220.7</f>
        <v>39121.985000000001</v>
      </c>
      <c r="P56" s="2">
        <v>13785.399999999998</v>
      </c>
      <c r="Q56" s="140">
        <v>-33.999999999999993</v>
      </c>
      <c r="R56" s="294">
        <f>19822.8+46220.7</f>
        <v>66043.5</v>
      </c>
      <c r="S56" s="292">
        <f t="shared" si="4"/>
        <v>486123.78499999986</v>
      </c>
      <c r="T56" s="294"/>
      <c r="U56" s="254"/>
      <c r="V56" s="254"/>
    </row>
    <row r="57" spans="1:22" hidden="1">
      <c r="A57" s="113" t="s">
        <v>46</v>
      </c>
      <c r="B57" s="261">
        <v>167207</v>
      </c>
      <c r="C57" s="261">
        <v>91903.89999999998</v>
      </c>
      <c r="D57" s="261">
        <v>58606.800000000054</v>
      </c>
      <c r="E57" s="261"/>
      <c r="F57" s="261"/>
      <c r="G57" s="261"/>
      <c r="H57" s="261">
        <v>1006.6</v>
      </c>
      <c r="I57" s="261">
        <v>900</v>
      </c>
      <c r="J57" s="261">
        <v>6000</v>
      </c>
      <c r="K57" s="261">
        <v>14529.100000000002</v>
      </c>
      <c r="L57" s="261">
        <v>4611.7</v>
      </c>
      <c r="M57" s="261">
        <v>14884.099999999999</v>
      </c>
      <c r="N57" s="261">
        <v>27114.2</v>
      </c>
      <c r="O57" s="291">
        <f>85257.7-46140.4</f>
        <v>39117.299999999996</v>
      </c>
      <c r="P57" s="2">
        <v>15193.600000000002</v>
      </c>
      <c r="Q57" s="140">
        <v>-1619.7999999999997</v>
      </c>
      <c r="R57" s="294">
        <f>20243.9+46140.4</f>
        <v>66384.3</v>
      </c>
      <c r="S57" s="292">
        <f t="shared" si="4"/>
        <v>505838.79999999993</v>
      </c>
      <c r="T57" s="294"/>
      <c r="U57" s="254"/>
      <c r="V57" s="254"/>
    </row>
    <row r="58" spans="1:22" hidden="1">
      <c r="A58" s="113" t="s">
        <v>47</v>
      </c>
      <c r="B58" s="261">
        <v>172053.90000000002</v>
      </c>
      <c r="C58" s="261">
        <v>93967.900000000009</v>
      </c>
      <c r="D58" s="261">
        <v>63151.69999999999</v>
      </c>
      <c r="E58" s="261"/>
      <c r="F58" s="261"/>
      <c r="G58" s="261"/>
      <c r="H58" s="261">
        <v>383.4</v>
      </c>
      <c r="I58" s="261">
        <v>550</v>
      </c>
      <c r="J58" s="261">
        <v>10622.1</v>
      </c>
      <c r="K58" s="261">
        <v>12500.700000000004</v>
      </c>
      <c r="L58" s="261">
        <v>4075.7</v>
      </c>
      <c r="M58" s="261">
        <v>32357.599999999999</v>
      </c>
      <c r="N58" s="261">
        <v>27827.299999999996</v>
      </c>
      <c r="O58" s="291">
        <f>85440.5-46326.9</f>
        <v>39113.599999999999</v>
      </c>
      <c r="P58" s="2">
        <v>17031</v>
      </c>
      <c r="Q58" s="140">
        <v>-179.09999999999994</v>
      </c>
      <c r="R58" s="294">
        <f>22846.6+46326.9</f>
        <v>69173.5</v>
      </c>
      <c r="S58" s="292">
        <f t="shared" si="4"/>
        <v>542629.30000000005</v>
      </c>
      <c r="T58" s="294"/>
      <c r="U58" s="254"/>
      <c r="V58" s="254"/>
    </row>
    <row r="59" spans="1:22" hidden="1">
      <c r="A59" s="113" t="s">
        <v>48</v>
      </c>
      <c r="B59" s="261">
        <v>175966.6</v>
      </c>
      <c r="C59" s="261">
        <v>95961.4</v>
      </c>
      <c r="D59" s="261">
        <v>59571.199999999997</v>
      </c>
      <c r="E59" s="261"/>
      <c r="F59" s="261"/>
      <c r="G59" s="261"/>
      <c r="H59" s="261">
        <v>1511.6999999999998</v>
      </c>
      <c r="I59" s="261">
        <v>550</v>
      </c>
      <c r="J59" s="261">
        <v>5778.8</v>
      </c>
      <c r="K59" s="261">
        <v>11713.700000000004</v>
      </c>
      <c r="L59" s="261">
        <v>4883.1000000000004</v>
      </c>
      <c r="M59" s="261">
        <v>29204</v>
      </c>
      <c r="N59" s="261">
        <v>27742.3</v>
      </c>
      <c r="O59" s="291">
        <f>86077.8-46968.7</f>
        <v>39109.100000000006</v>
      </c>
      <c r="P59" s="2">
        <v>19111.300000000003</v>
      </c>
      <c r="Q59" s="140">
        <v>70.899999999999935</v>
      </c>
      <c r="R59" s="294">
        <f>26170+46968.7</f>
        <v>73138.7</v>
      </c>
      <c r="S59" s="292">
        <f t="shared" si="4"/>
        <v>544312.80000000005</v>
      </c>
      <c r="T59" s="294"/>
      <c r="U59" s="254"/>
      <c r="V59" s="254"/>
    </row>
    <row r="60" spans="1:22" hidden="1">
      <c r="A60" s="113" t="s">
        <v>49</v>
      </c>
      <c r="B60" s="261">
        <v>177066</v>
      </c>
      <c r="C60" s="261">
        <v>98628.900000000009</v>
      </c>
      <c r="D60" s="261">
        <v>63066.3</v>
      </c>
      <c r="E60" s="261"/>
      <c r="F60" s="261"/>
      <c r="G60" s="261"/>
      <c r="H60" s="261">
        <v>606.30000000000007</v>
      </c>
      <c r="I60" s="261">
        <v>550</v>
      </c>
      <c r="J60" s="261">
        <v>5508.8</v>
      </c>
      <c r="K60" s="261">
        <v>12718.699999999997</v>
      </c>
      <c r="L60" s="261">
        <v>5170.8999999999996</v>
      </c>
      <c r="M60" s="261">
        <v>22880.800000000003</v>
      </c>
      <c r="N60" s="261">
        <v>29356.899999999998</v>
      </c>
      <c r="O60" s="291">
        <f>86086-46976.3</f>
        <v>39109.699999999997</v>
      </c>
      <c r="P60" s="2">
        <v>20951.600000000006</v>
      </c>
      <c r="Q60" s="140">
        <v>151.6</v>
      </c>
      <c r="R60" s="294">
        <f>26587.1+46976.3</f>
        <v>73563.399999999994</v>
      </c>
      <c r="S60" s="292">
        <f t="shared" si="4"/>
        <v>549329.9</v>
      </c>
      <c r="T60" s="294"/>
      <c r="U60" s="254"/>
      <c r="V60" s="254"/>
    </row>
    <row r="61" spans="1:22" hidden="1">
      <c r="A61" s="113" t="s">
        <v>50</v>
      </c>
      <c r="B61" s="261">
        <v>191381.50000000003</v>
      </c>
      <c r="C61" s="261">
        <v>99286.999999999985</v>
      </c>
      <c r="D61" s="261">
        <v>62928.999999999956</v>
      </c>
      <c r="E61" s="261"/>
      <c r="F61" s="261"/>
      <c r="G61" s="261"/>
      <c r="H61" s="261">
        <v>603.5</v>
      </c>
      <c r="I61" s="261">
        <v>550</v>
      </c>
      <c r="J61" s="290" t="s">
        <v>88</v>
      </c>
      <c r="K61" s="261">
        <v>14305</v>
      </c>
      <c r="L61" s="261">
        <v>5052.6000000000004</v>
      </c>
      <c r="M61" s="261">
        <v>24400</v>
      </c>
      <c r="N61" s="261">
        <v>30009.400000000009</v>
      </c>
      <c r="O61" s="291">
        <f>87503.4-45586.6</f>
        <v>41916.799999999996</v>
      </c>
      <c r="P61" s="2">
        <v>18433.2</v>
      </c>
      <c r="Q61" s="140">
        <v>311.60000000000002</v>
      </c>
      <c r="R61" s="294">
        <f>27363.4+45586.6</f>
        <v>72950</v>
      </c>
      <c r="S61" s="292">
        <f t="shared" si="4"/>
        <v>562129.59999999986</v>
      </c>
      <c r="T61" s="294"/>
      <c r="U61" s="254"/>
      <c r="V61" s="254"/>
    </row>
    <row r="62" spans="1:22" hidden="1">
      <c r="A62" s="142"/>
      <c r="B62" s="261"/>
      <c r="C62" s="261"/>
      <c r="D62" s="261"/>
      <c r="E62" s="261"/>
      <c r="F62" s="261"/>
      <c r="G62" s="261"/>
      <c r="H62" s="261"/>
      <c r="I62" s="261"/>
      <c r="J62" s="290"/>
      <c r="K62" s="261"/>
      <c r="L62" s="261"/>
      <c r="M62" s="261"/>
      <c r="N62" s="261"/>
      <c r="O62" s="291"/>
      <c r="P62" s="2"/>
      <c r="Q62" s="140"/>
      <c r="R62" s="294"/>
      <c r="S62" s="292"/>
      <c r="T62" s="294"/>
      <c r="U62" s="254"/>
      <c r="V62" s="254"/>
    </row>
    <row r="63" spans="1:22" hidden="1">
      <c r="A63" s="113" t="s">
        <v>59</v>
      </c>
      <c r="B63" s="261">
        <v>189029.30000000005</v>
      </c>
      <c r="C63" s="261">
        <v>98272.999999999985</v>
      </c>
      <c r="D63" s="261">
        <v>63087.999999999985</v>
      </c>
      <c r="E63" s="261"/>
      <c r="F63" s="261"/>
      <c r="G63" s="261"/>
      <c r="H63" s="261">
        <v>822.1</v>
      </c>
      <c r="I63" s="261">
        <v>250</v>
      </c>
      <c r="J63" s="290" t="s">
        <v>88</v>
      </c>
      <c r="K63" s="261">
        <v>16240.700000000004</v>
      </c>
      <c r="L63" s="261">
        <v>5416.2999999999993</v>
      </c>
      <c r="M63" s="261">
        <v>20570.199999999997</v>
      </c>
      <c r="N63" s="261">
        <v>27662.7</v>
      </c>
      <c r="O63" s="291">
        <f>87989.5-46077.2</f>
        <v>41912.300000000003</v>
      </c>
      <c r="P63" s="2">
        <v>20037.8</v>
      </c>
      <c r="Q63" s="140">
        <v>-425.29999999999995</v>
      </c>
      <c r="R63" s="294">
        <f>26185.3+46077.2</f>
        <v>72262.5</v>
      </c>
      <c r="S63" s="292">
        <f t="shared" si="4"/>
        <v>555139.60000000009</v>
      </c>
      <c r="T63" s="254"/>
      <c r="U63" s="254"/>
      <c r="V63" s="254"/>
    </row>
    <row r="64" spans="1:22" hidden="1">
      <c r="A64" s="113" t="s">
        <v>40</v>
      </c>
      <c r="B64" s="261">
        <v>185013.2</v>
      </c>
      <c r="C64" s="261">
        <v>100057.7</v>
      </c>
      <c r="D64" s="261">
        <v>63707</v>
      </c>
      <c r="E64" s="261"/>
      <c r="F64" s="261"/>
      <c r="G64" s="261"/>
      <c r="H64" s="261">
        <v>513.09999999999991</v>
      </c>
      <c r="I64" s="261">
        <v>250</v>
      </c>
      <c r="J64" s="290" t="s">
        <v>88</v>
      </c>
      <c r="K64" s="261">
        <v>18072.8</v>
      </c>
      <c r="L64" s="261">
        <v>5613.6</v>
      </c>
      <c r="M64" s="261">
        <v>20922.100000000002</v>
      </c>
      <c r="N64" s="261">
        <v>27916.6</v>
      </c>
      <c r="O64" s="291">
        <f>87793.3-45885.1</f>
        <v>41908.200000000004</v>
      </c>
      <c r="P64" s="2">
        <v>21148.7</v>
      </c>
      <c r="Q64" s="140">
        <v>297.3</v>
      </c>
      <c r="R64" s="294">
        <f>26307.3+45885.1</f>
        <v>72192.399999999994</v>
      </c>
      <c r="S64" s="292">
        <f t="shared" si="4"/>
        <v>557612.69999999995</v>
      </c>
      <c r="T64" s="254"/>
      <c r="U64" s="254"/>
      <c r="V64" s="254"/>
    </row>
    <row r="65" spans="1:25" hidden="1">
      <c r="A65" s="113" t="s">
        <v>41</v>
      </c>
      <c r="B65" s="261">
        <v>193487.00000000003</v>
      </c>
      <c r="C65" s="261">
        <v>99341.599999999991</v>
      </c>
      <c r="D65" s="261">
        <v>67743</v>
      </c>
      <c r="E65" s="261"/>
      <c r="F65" s="261"/>
      <c r="G65" s="261"/>
      <c r="H65" s="261">
        <v>596.49999999999989</v>
      </c>
      <c r="I65" s="261">
        <v>650</v>
      </c>
      <c r="J65" s="290" t="s">
        <v>88</v>
      </c>
      <c r="K65" s="261">
        <v>17668.999999999993</v>
      </c>
      <c r="L65" s="261">
        <v>6239.7999999999993</v>
      </c>
      <c r="M65" s="261">
        <v>17902.900000000001</v>
      </c>
      <c r="N65" s="261">
        <v>28111.9</v>
      </c>
      <c r="O65" s="291">
        <f>95444.8-46286</f>
        <v>49158.8</v>
      </c>
      <c r="P65" s="2">
        <v>10940.9</v>
      </c>
      <c r="Q65" s="140">
        <v>704.4</v>
      </c>
      <c r="R65" s="294">
        <f>21767.4+46286</f>
        <v>68053.399999999994</v>
      </c>
      <c r="S65" s="292">
        <f t="shared" si="4"/>
        <v>560599.20000000007</v>
      </c>
      <c r="T65" s="254"/>
      <c r="U65" s="254"/>
      <c r="V65" s="254"/>
    </row>
    <row r="66" spans="1:25" hidden="1">
      <c r="A66" s="113" t="s">
        <v>42</v>
      </c>
      <c r="B66" s="261">
        <v>188760.3</v>
      </c>
      <c r="C66" s="261">
        <v>102392.59999999999</v>
      </c>
      <c r="D66" s="261">
        <v>69117.299999999974</v>
      </c>
      <c r="E66" s="261"/>
      <c r="F66" s="261"/>
      <c r="G66" s="261"/>
      <c r="H66" s="261">
        <v>473.50000000000006</v>
      </c>
      <c r="I66" s="261">
        <v>250</v>
      </c>
      <c r="J66" s="290" t="s">
        <v>88</v>
      </c>
      <c r="K66" s="261">
        <v>17006.8</v>
      </c>
      <c r="L66" s="261">
        <v>5937.3</v>
      </c>
      <c r="M66" s="261">
        <v>16534.8</v>
      </c>
      <c r="N66" s="261">
        <v>36224.19999999999</v>
      </c>
      <c r="O66" s="291">
        <f>94605-45444.9</f>
        <v>49160.1</v>
      </c>
      <c r="P66" s="2">
        <v>13386.5</v>
      </c>
      <c r="Q66" s="140">
        <v>208.7000000000009</v>
      </c>
      <c r="R66" s="294">
        <f>22670+45444.9</f>
        <v>68114.899999999994</v>
      </c>
      <c r="S66" s="292">
        <f t="shared" si="4"/>
        <v>567566.99999999988</v>
      </c>
      <c r="T66" s="254"/>
      <c r="U66" s="254"/>
      <c r="V66" s="254"/>
    </row>
    <row r="67" spans="1:25" hidden="1">
      <c r="A67" s="113" t="s">
        <v>43</v>
      </c>
      <c r="B67" s="261">
        <v>187407.80000000005</v>
      </c>
      <c r="C67" s="261">
        <v>105164.2</v>
      </c>
      <c r="D67" s="261">
        <v>68803.400000000023</v>
      </c>
      <c r="E67" s="261"/>
      <c r="F67" s="261"/>
      <c r="G67" s="261"/>
      <c r="H67" s="261">
        <v>585.6</v>
      </c>
      <c r="I67" s="261">
        <v>250</v>
      </c>
      <c r="J67" s="290" t="s">
        <v>88</v>
      </c>
      <c r="K67" s="261">
        <v>20411.300000000003</v>
      </c>
      <c r="L67" s="261">
        <v>5181.6000000000004</v>
      </c>
      <c r="M67" s="261">
        <v>18313.5</v>
      </c>
      <c r="N67" s="261">
        <v>34014</v>
      </c>
      <c r="O67" s="291">
        <f>95521.4-44670.9</f>
        <v>50850.499999999993</v>
      </c>
      <c r="P67" s="2">
        <v>12562.6</v>
      </c>
      <c r="Q67" s="140">
        <v>432.6</v>
      </c>
      <c r="R67" s="294">
        <f>25348.2+44670.9</f>
        <v>70019.100000000006</v>
      </c>
      <c r="S67" s="292">
        <f t="shared" si="4"/>
        <v>573996.19999999995</v>
      </c>
      <c r="T67" s="254"/>
      <c r="U67" s="254"/>
      <c r="V67" s="254"/>
    </row>
    <row r="68" spans="1:25" hidden="1">
      <c r="A68" s="113" t="s">
        <v>44</v>
      </c>
      <c r="B68" s="261">
        <v>189677.49999999997</v>
      </c>
      <c r="C68" s="261">
        <v>106663.59999999998</v>
      </c>
      <c r="D68" s="261">
        <v>68982.700000000012</v>
      </c>
      <c r="E68" s="261"/>
      <c r="F68" s="261"/>
      <c r="G68" s="261"/>
      <c r="H68" s="261">
        <v>509.40000000000003</v>
      </c>
      <c r="I68" s="261">
        <v>250</v>
      </c>
      <c r="J68" s="290" t="s">
        <v>88</v>
      </c>
      <c r="K68" s="261">
        <v>21121.899999999998</v>
      </c>
      <c r="L68" s="261">
        <v>7416.3</v>
      </c>
      <c r="M68" s="261">
        <v>16926.8</v>
      </c>
      <c r="N68" s="261">
        <v>37042.699999999997</v>
      </c>
      <c r="O68" s="291">
        <f>104517.3-44164.4</f>
        <v>60352.9</v>
      </c>
      <c r="P68" s="2">
        <v>15173.199999999999</v>
      </c>
      <c r="Q68" s="140">
        <v>890.00000000000023</v>
      </c>
      <c r="R68" s="294">
        <f>22786.6+44164.4</f>
        <v>66951</v>
      </c>
      <c r="S68" s="292">
        <f t="shared" si="4"/>
        <v>591958.00000000012</v>
      </c>
      <c r="T68" s="254"/>
      <c r="U68" s="254"/>
      <c r="V68" s="254"/>
    </row>
    <row r="69" spans="1:25" s="88" customFormat="1" hidden="1">
      <c r="A69" s="113" t="s">
        <v>45</v>
      </c>
      <c r="B69" s="131">
        <v>187572.40000000002</v>
      </c>
      <c r="C69" s="131">
        <v>107222.40000000001</v>
      </c>
      <c r="D69" s="131">
        <v>70338.299999999988</v>
      </c>
      <c r="E69" s="131"/>
      <c r="F69" s="131"/>
      <c r="G69" s="131"/>
      <c r="H69" s="131">
        <v>397.7</v>
      </c>
      <c r="I69" s="131">
        <v>250</v>
      </c>
      <c r="J69" s="290" t="s">
        <v>88</v>
      </c>
      <c r="K69" s="131">
        <v>20394.200000000004</v>
      </c>
      <c r="L69" s="131">
        <v>7058.2</v>
      </c>
      <c r="M69" s="131">
        <v>16754</v>
      </c>
      <c r="N69" s="131">
        <v>31841.699999999997</v>
      </c>
      <c r="O69" s="291">
        <f>105794.9-44451.4</f>
        <v>61343.499999999993</v>
      </c>
      <c r="P69" s="2">
        <v>14673.1</v>
      </c>
      <c r="Q69" s="140">
        <v>615.1000000000007</v>
      </c>
      <c r="R69" s="294">
        <f>22409.2+44451.4</f>
        <v>66860.600000000006</v>
      </c>
      <c r="S69" s="292">
        <f t="shared" si="4"/>
        <v>585321.20000000007</v>
      </c>
      <c r="T69" s="254"/>
      <c r="U69" s="254"/>
      <c r="V69" s="254"/>
      <c r="X69" s="69"/>
      <c r="Y69" s="69"/>
    </row>
    <row r="70" spans="1:25" hidden="1">
      <c r="A70" s="113" t="s">
        <v>46</v>
      </c>
      <c r="B70" s="261">
        <v>196651.80000000002</v>
      </c>
      <c r="C70" s="261">
        <v>105039.89999999998</v>
      </c>
      <c r="D70" s="261">
        <v>71610.799999999988</v>
      </c>
      <c r="E70" s="261"/>
      <c r="F70" s="261"/>
      <c r="G70" s="261"/>
      <c r="H70" s="261">
        <v>571.1</v>
      </c>
      <c r="I70" s="261">
        <v>250</v>
      </c>
      <c r="J70" s="290" t="s">
        <v>88</v>
      </c>
      <c r="K70" s="261">
        <v>20792.5</v>
      </c>
      <c r="L70" s="261">
        <v>7525.7</v>
      </c>
      <c r="M70" s="261">
        <v>15730.4</v>
      </c>
      <c r="N70" s="261">
        <v>34910.100000000006</v>
      </c>
      <c r="O70" s="291">
        <f>107331.1-43279.4</f>
        <v>64051.700000000004</v>
      </c>
      <c r="P70" s="2">
        <v>16460.8</v>
      </c>
      <c r="Q70" s="140">
        <v>434.9</v>
      </c>
      <c r="R70" s="294">
        <f>22134.4+43279.4</f>
        <v>65413.8</v>
      </c>
      <c r="S70" s="292">
        <f t="shared" si="4"/>
        <v>599443.50000000012</v>
      </c>
      <c r="T70" s="254"/>
      <c r="U70" s="254"/>
      <c r="V70" s="254"/>
    </row>
    <row r="71" spans="1:25" hidden="1">
      <c r="A71" s="113" t="s">
        <v>47</v>
      </c>
      <c r="B71" s="261">
        <v>218751.30000000005</v>
      </c>
      <c r="C71" s="261">
        <v>101272.9</v>
      </c>
      <c r="D71" s="261">
        <v>70998.700000000012</v>
      </c>
      <c r="E71" s="261"/>
      <c r="F71" s="261"/>
      <c r="G71" s="261"/>
      <c r="H71" s="261">
        <v>567.19999999999993</v>
      </c>
      <c r="I71" s="261">
        <v>250</v>
      </c>
      <c r="J71" s="290" t="s">
        <v>88</v>
      </c>
      <c r="K71" s="261">
        <v>21198.800000000003</v>
      </c>
      <c r="L71" s="261">
        <v>7648.5000000000009</v>
      </c>
      <c r="M71" s="261">
        <v>14750.699999999999</v>
      </c>
      <c r="N71" s="261">
        <v>37309.800000000003</v>
      </c>
      <c r="O71" s="291">
        <f>107646.3-43385</f>
        <v>64261.3</v>
      </c>
      <c r="P71" s="2">
        <v>18787.999999999996</v>
      </c>
      <c r="Q71" s="140">
        <v>729.79999999999984</v>
      </c>
      <c r="R71" s="294">
        <f>23935.6+43385</f>
        <v>67320.600000000006</v>
      </c>
      <c r="S71" s="292">
        <f t="shared" si="4"/>
        <v>623847.60000000009</v>
      </c>
      <c r="T71" s="254"/>
      <c r="U71" s="254"/>
      <c r="V71" s="254"/>
    </row>
    <row r="72" spans="1:25" hidden="1">
      <c r="A72" s="113" t="s">
        <v>48</v>
      </c>
      <c r="B72" s="261">
        <v>208587.40000000002</v>
      </c>
      <c r="C72" s="261">
        <v>110084.7</v>
      </c>
      <c r="D72" s="261">
        <v>78159.5</v>
      </c>
      <c r="E72" s="261"/>
      <c r="F72" s="261"/>
      <c r="G72" s="261"/>
      <c r="H72" s="261">
        <v>937.19999999999993</v>
      </c>
      <c r="I72" s="261">
        <v>250</v>
      </c>
      <c r="J72" s="290" t="s">
        <v>88</v>
      </c>
      <c r="K72" s="261">
        <v>21230.6</v>
      </c>
      <c r="L72" s="261">
        <v>6992.2999999999993</v>
      </c>
      <c r="M72" s="261">
        <v>11770.199999999999</v>
      </c>
      <c r="N72" s="261">
        <v>37126.300000000003</v>
      </c>
      <c r="O72" s="291">
        <f>107609-43352</f>
        <v>64257</v>
      </c>
      <c r="P72" s="2">
        <v>20748.8</v>
      </c>
      <c r="Q72" s="140">
        <v>-971.89999999999964</v>
      </c>
      <c r="R72" s="294">
        <f>26259.1+43352</f>
        <v>69611.100000000006</v>
      </c>
      <c r="S72" s="292">
        <f t="shared" si="4"/>
        <v>628783.19999999995</v>
      </c>
      <c r="T72" s="254"/>
      <c r="U72" s="254"/>
      <c r="V72" s="254"/>
    </row>
    <row r="73" spans="1:25" hidden="1">
      <c r="A73" s="113" t="s">
        <v>49</v>
      </c>
      <c r="B73" s="261">
        <v>199910.80000000002</v>
      </c>
      <c r="C73" s="261">
        <v>115495.1</v>
      </c>
      <c r="D73" s="261">
        <v>78415.100000000006</v>
      </c>
      <c r="E73" s="261"/>
      <c r="F73" s="261"/>
      <c r="G73" s="261"/>
      <c r="H73" s="261">
        <v>1000.5999999999999</v>
      </c>
      <c r="I73" s="261">
        <v>250</v>
      </c>
      <c r="J73" s="290" t="s">
        <v>88</v>
      </c>
      <c r="K73" s="261">
        <v>23258.600000000002</v>
      </c>
      <c r="L73" s="261">
        <v>9097.2000000000007</v>
      </c>
      <c r="M73" s="261">
        <v>21657.3</v>
      </c>
      <c r="N73" s="261">
        <v>37392.799999999996</v>
      </c>
      <c r="O73" s="291">
        <f>107568.2-43406.7</f>
        <v>64161.5</v>
      </c>
      <c r="P73" s="2">
        <v>22811.799999999996</v>
      </c>
      <c r="Q73" s="140">
        <v>-1843.7999999999995</v>
      </c>
      <c r="R73" s="294">
        <f>27200.3+43406.7</f>
        <v>70607</v>
      </c>
      <c r="S73" s="292">
        <f t="shared" si="4"/>
        <v>642214</v>
      </c>
      <c r="T73" s="254"/>
      <c r="U73" s="254"/>
      <c r="V73" s="254"/>
    </row>
    <row r="74" spans="1:25" hidden="1">
      <c r="A74" s="113" t="s">
        <v>50</v>
      </c>
      <c r="B74" s="261">
        <v>226504.30000000002</v>
      </c>
      <c r="C74" s="261">
        <v>116535.90000000001</v>
      </c>
      <c r="D74" s="261">
        <v>81175.299999999988</v>
      </c>
      <c r="E74" s="261"/>
      <c r="F74" s="261"/>
      <c r="G74" s="261"/>
      <c r="H74" s="261">
        <v>1234.8999999999999</v>
      </c>
      <c r="I74" s="261">
        <v>400</v>
      </c>
      <c r="J74" s="290" t="s">
        <v>88</v>
      </c>
      <c r="K74" s="261">
        <v>23913.5</v>
      </c>
      <c r="L74" s="261">
        <v>8608.5999999999985</v>
      </c>
      <c r="M74" s="261">
        <v>33663.599999999999</v>
      </c>
      <c r="N74" s="261">
        <v>36237.599999999999</v>
      </c>
      <c r="O74" s="291">
        <f>111536.2-41841.2</f>
        <v>69695</v>
      </c>
      <c r="P74" s="2">
        <v>21190.100000000002</v>
      </c>
      <c r="Q74" s="140">
        <v>1123.9000000000001</v>
      </c>
      <c r="R74" s="294">
        <f>27186.8+41841.2</f>
        <v>69028</v>
      </c>
      <c r="S74" s="292">
        <f t="shared" si="4"/>
        <v>689310.7</v>
      </c>
      <c r="T74" s="254"/>
      <c r="U74" s="254"/>
      <c r="V74" s="254"/>
    </row>
    <row r="75" spans="1:25" hidden="1">
      <c r="A75" s="113"/>
      <c r="B75" s="261"/>
      <c r="C75" s="261"/>
      <c r="D75" s="261"/>
      <c r="E75" s="261"/>
      <c r="F75" s="261"/>
      <c r="G75" s="261"/>
      <c r="H75" s="261"/>
      <c r="I75" s="261"/>
      <c r="J75" s="290"/>
      <c r="K75" s="261"/>
      <c r="L75" s="261"/>
      <c r="M75" s="261"/>
      <c r="N75" s="261"/>
      <c r="O75" s="291"/>
      <c r="P75" s="2"/>
      <c r="Q75" s="140"/>
      <c r="R75" s="294"/>
      <c r="S75" s="292"/>
      <c r="T75" s="254"/>
      <c r="U75" s="254"/>
      <c r="V75" s="254"/>
    </row>
    <row r="76" spans="1:25" hidden="1">
      <c r="A76" s="113" t="s">
        <v>58</v>
      </c>
      <c r="B76" s="261">
        <v>226785.69999999995</v>
      </c>
      <c r="C76" s="261">
        <v>115031.49999999999</v>
      </c>
      <c r="D76" s="261">
        <v>83433.399999999994</v>
      </c>
      <c r="E76" s="261"/>
      <c r="F76" s="261"/>
      <c r="G76" s="261"/>
      <c r="H76" s="261">
        <v>1327.3</v>
      </c>
      <c r="I76" s="261">
        <v>700</v>
      </c>
      <c r="J76" s="290" t="s">
        <v>88</v>
      </c>
      <c r="K76" s="261">
        <v>23544.199999999997</v>
      </c>
      <c r="L76" s="261">
        <v>7594.2000000000007</v>
      </c>
      <c r="M76" s="261">
        <v>30691.9</v>
      </c>
      <c r="N76" s="261">
        <v>35732.400000000009</v>
      </c>
      <c r="O76" s="291">
        <f>110726.3-41020</f>
        <v>69706.3</v>
      </c>
      <c r="P76" s="2">
        <v>22144.2</v>
      </c>
      <c r="Q76" s="140">
        <v>1334.9</v>
      </c>
      <c r="R76" s="294">
        <f>29451.9+41020</f>
        <v>70471.899999999994</v>
      </c>
      <c r="S76" s="292">
        <f t="shared" si="4"/>
        <v>688497.9</v>
      </c>
      <c r="T76" s="254"/>
      <c r="U76" s="254"/>
      <c r="V76" s="254"/>
    </row>
    <row r="77" spans="1:25" hidden="1">
      <c r="A77" s="113" t="s">
        <v>40</v>
      </c>
      <c r="B77" s="261">
        <v>230514.80000000008</v>
      </c>
      <c r="C77" s="261">
        <v>116386.20000000003</v>
      </c>
      <c r="D77" s="261">
        <v>83596.400000000023</v>
      </c>
      <c r="E77" s="261"/>
      <c r="F77" s="261"/>
      <c r="G77" s="261"/>
      <c r="H77" s="261">
        <v>1141.8</v>
      </c>
      <c r="I77" s="261">
        <v>700</v>
      </c>
      <c r="J77" s="290" t="s">
        <v>88</v>
      </c>
      <c r="K77" s="261">
        <v>25529</v>
      </c>
      <c r="L77" s="261">
        <v>8040.2999999999993</v>
      </c>
      <c r="M77" s="261">
        <v>30818</v>
      </c>
      <c r="N77" s="261">
        <v>35653.4</v>
      </c>
      <c r="O77" s="291">
        <f>114176.2-40941.4</f>
        <v>73234.799999999988</v>
      </c>
      <c r="P77" s="2">
        <v>15912.8</v>
      </c>
      <c r="Q77" s="140">
        <v>906</v>
      </c>
      <c r="R77" s="294">
        <f>32009.6+40941.4</f>
        <v>72951</v>
      </c>
      <c r="S77" s="292">
        <f t="shared" si="4"/>
        <v>695384.50000000023</v>
      </c>
      <c r="T77" s="254"/>
      <c r="U77" s="254"/>
      <c r="V77" s="254"/>
    </row>
    <row r="78" spans="1:25" hidden="1">
      <c r="A78" s="113" t="s">
        <v>41</v>
      </c>
      <c r="B78" s="261">
        <v>243881.79999999996</v>
      </c>
      <c r="C78" s="261">
        <v>121262.00000000001</v>
      </c>
      <c r="D78" s="261">
        <v>82919.399999999907</v>
      </c>
      <c r="E78" s="261"/>
      <c r="F78" s="261"/>
      <c r="G78" s="261"/>
      <c r="H78" s="261">
        <v>1962.6</v>
      </c>
      <c r="I78" s="261">
        <v>1120</v>
      </c>
      <c r="J78" s="261">
        <v>30.6</v>
      </c>
      <c r="K78" s="261">
        <v>25001.8</v>
      </c>
      <c r="L78" s="261">
        <v>9623.5</v>
      </c>
      <c r="M78" s="261">
        <v>32319.000000000004</v>
      </c>
      <c r="N78" s="261">
        <v>33546.700000000004</v>
      </c>
      <c r="O78" s="291">
        <f>118513.1-41010.8</f>
        <v>77502.3</v>
      </c>
      <c r="P78" s="2">
        <v>10329.4</v>
      </c>
      <c r="Q78" s="140">
        <v>1438.3</v>
      </c>
      <c r="R78" s="294">
        <f>26909.1+41010.8</f>
        <v>67919.899999999994</v>
      </c>
      <c r="S78" s="292">
        <f t="shared" si="4"/>
        <v>708857.29999999993</v>
      </c>
      <c r="T78" s="254"/>
      <c r="U78" s="254"/>
      <c r="V78" s="254"/>
    </row>
    <row r="79" spans="1:25" hidden="1">
      <c r="A79" s="113" t="s">
        <v>42</v>
      </c>
      <c r="B79" s="261">
        <v>235781.09999999998</v>
      </c>
      <c r="C79" s="261">
        <v>124560.40000000004</v>
      </c>
      <c r="D79" s="261">
        <v>81903.400000000009</v>
      </c>
      <c r="E79" s="261"/>
      <c r="F79" s="261"/>
      <c r="G79" s="261"/>
      <c r="H79" s="261">
        <v>1355.6999999999998</v>
      </c>
      <c r="I79" s="261">
        <v>1050</v>
      </c>
      <c r="J79" s="290" t="s">
        <v>88</v>
      </c>
      <c r="K79" s="261">
        <v>26065.900000000005</v>
      </c>
      <c r="L79" s="261">
        <v>9237.9000000000015</v>
      </c>
      <c r="M79" s="261">
        <v>29731.600000000002</v>
      </c>
      <c r="N79" s="261">
        <v>40011.5</v>
      </c>
      <c r="O79" s="291">
        <f>122262.4-41046.1</f>
        <v>81216.299999999988</v>
      </c>
      <c r="P79" s="2">
        <v>5652</v>
      </c>
      <c r="Q79" s="140">
        <v>1642.6000000000006</v>
      </c>
      <c r="R79" s="294">
        <f>27308.3+41046.1</f>
        <v>68354.399999999994</v>
      </c>
      <c r="S79" s="292">
        <f t="shared" si="4"/>
        <v>706562.8</v>
      </c>
      <c r="T79" s="254"/>
      <c r="U79" s="254"/>
      <c r="V79" s="254"/>
    </row>
    <row r="80" spans="1:25" hidden="1">
      <c r="A80" s="113" t="s">
        <v>43</v>
      </c>
      <c r="B80" s="261">
        <v>225789.7</v>
      </c>
      <c r="C80" s="261">
        <v>121514.30000000002</v>
      </c>
      <c r="D80" s="261">
        <v>82362.099999999962</v>
      </c>
      <c r="E80" s="261"/>
      <c r="F80" s="261"/>
      <c r="G80" s="261"/>
      <c r="H80" s="261">
        <v>1393.5</v>
      </c>
      <c r="I80" s="261">
        <v>1550</v>
      </c>
      <c r="J80" s="290" t="s">
        <v>88</v>
      </c>
      <c r="K80" s="261">
        <v>23800.9</v>
      </c>
      <c r="L80" s="261">
        <v>9214.2000000000007</v>
      </c>
      <c r="M80" s="261">
        <v>23896.199999999997</v>
      </c>
      <c r="N80" s="261">
        <v>35952.400000000001</v>
      </c>
      <c r="O80" s="291">
        <f>122472.4-41266.9</f>
        <v>81205.5</v>
      </c>
      <c r="P80" s="2">
        <v>6902.7</v>
      </c>
      <c r="Q80" s="140">
        <v>-550.39999999999941</v>
      </c>
      <c r="R80" s="294">
        <f>29260.7+41266.9</f>
        <v>70527.600000000006</v>
      </c>
      <c r="S80" s="292">
        <f t="shared" si="4"/>
        <v>683558.7</v>
      </c>
      <c r="T80" s="254"/>
      <c r="U80" s="254"/>
      <c r="V80" s="254"/>
    </row>
    <row r="81" spans="1:25" hidden="1">
      <c r="A81" s="113" t="s">
        <v>44</v>
      </c>
      <c r="B81" s="261">
        <v>238376.80000000005</v>
      </c>
      <c r="C81" s="261">
        <v>126025.79999999997</v>
      </c>
      <c r="D81" s="261">
        <v>86114.9</v>
      </c>
      <c r="E81" s="261"/>
      <c r="F81" s="261"/>
      <c r="G81" s="261"/>
      <c r="H81" s="261">
        <v>1492</v>
      </c>
      <c r="I81" s="261">
        <v>1050</v>
      </c>
      <c r="J81" s="290" t="s">
        <v>88</v>
      </c>
      <c r="K81" s="261">
        <v>24223.999999999993</v>
      </c>
      <c r="L81" s="261">
        <v>8547.6000000000022</v>
      </c>
      <c r="M81" s="261">
        <v>24891</v>
      </c>
      <c r="N81" s="261">
        <v>37032.600000000006</v>
      </c>
      <c r="O81" s="291">
        <f>127943.6-42122.6</f>
        <v>85821</v>
      </c>
      <c r="P81" s="2">
        <v>8391.7999999999993</v>
      </c>
      <c r="Q81" s="140">
        <v>181.8</v>
      </c>
      <c r="R81" s="294">
        <f>28829.7+42122.6</f>
        <v>70952.3</v>
      </c>
      <c r="S81" s="292">
        <f t="shared" si="4"/>
        <v>713101.60000000009</v>
      </c>
      <c r="T81" s="254"/>
      <c r="U81" s="254"/>
      <c r="V81" s="254"/>
    </row>
    <row r="82" spans="1:25" s="145" customFormat="1" hidden="1">
      <c r="A82" s="113" t="s">
        <v>45</v>
      </c>
      <c r="B82" s="292">
        <v>246537.7</v>
      </c>
      <c r="C82" s="292">
        <v>129963</v>
      </c>
      <c r="D82" s="292">
        <v>85926.399999999994</v>
      </c>
      <c r="E82" s="292"/>
      <c r="F82" s="292"/>
      <c r="G82" s="292"/>
      <c r="H82" s="292">
        <v>1078.3999999999999</v>
      </c>
      <c r="I82" s="292">
        <v>1450</v>
      </c>
      <c r="J82" s="292">
        <v>127.1</v>
      </c>
      <c r="K82" s="292">
        <v>22486.300000000003</v>
      </c>
      <c r="L82" s="292">
        <v>10740.2</v>
      </c>
      <c r="M82" s="292">
        <v>29026.800000000003</v>
      </c>
      <c r="N82" s="292">
        <v>39069.899999999994</v>
      </c>
      <c r="O82" s="291">
        <f>127254.1-41444.3</f>
        <v>85809.8</v>
      </c>
      <c r="P82" s="2">
        <v>11443.999999999998</v>
      </c>
      <c r="Q82" s="140">
        <v>68.299999999999983</v>
      </c>
      <c r="R82" s="294">
        <f>29453+41444.3</f>
        <v>70897.3</v>
      </c>
      <c r="S82" s="292">
        <f t="shared" si="4"/>
        <v>734625.20000000019</v>
      </c>
      <c r="T82" s="254"/>
      <c r="U82" s="254"/>
      <c r="V82" s="254"/>
      <c r="X82" s="69"/>
      <c r="Y82" s="69"/>
    </row>
    <row r="83" spans="1:25" s="88" customFormat="1" hidden="1">
      <c r="A83" s="113" t="s">
        <v>46</v>
      </c>
      <c r="B83" s="131">
        <v>260957.19999999995</v>
      </c>
      <c r="C83" s="131">
        <v>134263.90000000002</v>
      </c>
      <c r="D83" s="131">
        <v>84036</v>
      </c>
      <c r="E83" s="131"/>
      <c r="F83" s="131"/>
      <c r="G83" s="131"/>
      <c r="H83" s="131">
        <v>1163.6000000000001</v>
      </c>
      <c r="I83" s="131">
        <v>950</v>
      </c>
      <c r="J83" s="131">
        <v>598.6</v>
      </c>
      <c r="K83" s="131">
        <v>23271.4</v>
      </c>
      <c r="L83" s="131">
        <v>8351.2000000000007</v>
      </c>
      <c r="M83" s="131">
        <v>27179.4</v>
      </c>
      <c r="N83" s="131">
        <v>36289.300000000003</v>
      </c>
      <c r="O83" s="291">
        <f>127452.4-41687.3</f>
        <v>85765.099999999991</v>
      </c>
      <c r="P83" s="2">
        <v>13484.4</v>
      </c>
      <c r="Q83" s="140">
        <v>-345.19999999999948</v>
      </c>
      <c r="R83" s="294">
        <f>35514.3+41687.3</f>
        <v>77201.600000000006</v>
      </c>
      <c r="S83" s="292">
        <f t="shared" si="4"/>
        <v>753166.5</v>
      </c>
      <c r="T83" s="254"/>
      <c r="U83" s="254"/>
      <c r="V83" s="254"/>
      <c r="X83" s="69"/>
      <c r="Y83" s="69"/>
    </row>
    <row r="84" spans="1:25" hidden="1">
      <c r="A84" s="113" t="s">
        <v>47</v>
      </c>
      <c r="B84" s="261">
        <v>266036.5</v>
      </c>
      <c r="C84" s="261">
        <v>134944.70000000001</v>
      </c>
      <c r="D84" s="261">
        <v>87639.60000000002</v>
      </c>
      <c r="E84" s="261"/>
      <c r="F84" s="261"/>
      <c r="G84" s="261"/>
      <c r="H84" s="261">
        <v>1671.4000000000003</v>
      </c>
      <c r="I84" s="261">
        <v>550</v>
      </c>
      <c r="J84" s="290" t="s">
        <v>88</v>
      </c>
      <c r="K84" s="261">
        <v>24892.799999999999</v>
      </c>
      <c r="L84" s="261">
        <v>8200.6</v>
      </c>
      <c r="M84" s="261">
        <v>26983.399999999998</v>
      </c>
      <c r="N84" s="261">
        <v>37379.599999999999</v>
      </c>
      <c r="O84" s="291">
        <f>128544.5-42788.1</f>
        <v>85756.4</v>
      </c>
      <c r="P84" s="2">
        <v>15328.399999999998</v>
      </c>
      <c r="Q84" s="140">
        <v>965.1</v>
      </c>
      <c r="R84" s="294">
        <f>33081.9+42788.1</f>
        <v>75870</v>
      </c>
      <c r="S84" s="292">
        <f t="shared" si="4"/>
        <v>766218.5</v>
      </c>
      <c r="T84" s="254"/>
      <c r="U84" s="254"/>
      <c r="V84" s="254"/>
    </row>
    <row r="85" spans="1:25" hidden="1">
      <c r="A85" s="113" t="s">
        <v>48</v>
      </c>
      <c r="B85" s="261">
        <v>259714.99999999994</v>
      </c>
      <c r="C85" s="261">
        <v>138672.1</v>
      </c>
      <c r="D85" s="261">
        <v>85571.400000000023</v>
      </c>
      <c r="E85" s="261"/>
      <c r="F85" s="261"/>
      <c r="G85" s="261"/>
      <c r="H85" s="261">
        <v>689.6</v>
      </c>
      <c r="I85" s="261">
        <v>610</v>
      </c>
      <c r="J85" s="261">
        <v>3740.2</v>
      </c>
      <c r="K85" s="261">
        <v>26282.9</v>
      </c>
      <c r="L85" s="261">
        <v>7967.1</v>
      </c>
      <c r="M85" s="261">
        <v>28540.700000000004</v>
      </c>
      <c r="N85" s="261">
        <v>40353.199999999997</v>
      </c>
      <c r="O85" s="291">
        <f>127963.3-42217.4</f>
        <v>85745.9</v>
      </c>
      <c r="P85" s="2">
        <v>18416.7</v>
      </c>
      <c r="Q85" s="140">
        <v>1238.3000000000009</v>
      </c>
      <c r="R85" s="294">
        <f>38935.7+42217.4</f>
        <v>81153.100000000006</v>
      </c>
      <c r="S85" s="292">
        <f t="shared" si="4"/>
        <v>778696.2</v>
      </c>
      <c r="T85" s="254"/>
      <c r="U85" s="254"/>
      <c r="V85" s="254"/>
    </row>
    <row r="86" spans="1:25" hidden="1">
      <c r="A86" s="113" t="s">
        <v>49</v>
      </c>
      <c r="B86" s="261">
        <v>270386.2</v>
      </c>
      <c r="C86" s="261">
        <v>136402.20000000001</v>
      </c>
      <c r="D86" s="261">
        <v>88843.6</v>
      </c>
      <c r="E86" s="261"/>
      <c r="F86" s="261"/>
      <c r="G86" s="261"/>
      <c r="H86" s="261">
        <v>1802.6000000000001</v>
      </c>
      <c r="I86" s="261">
        <v>610</v>
      </c>
      <c r="J86" s="290" t="s">
        <v>88</v>
      </c>
      <c r="K86" s="261">
        <v>25964.399999999994</v>
      </c>
      <c r="L86" s="261">
        <v>7609.7</v>
      </c>
      <c r="M86" s="261">
        <v>24621.9</v>
      </c>
      <c r="N86" s="261">
        <v>46726.1</v>
      </c>
      <c r="O86" s="291">
        <f>127779.2-42044.4</f>
        <v>85734.799999999988</v>
      </c>
      <c r="P86" s="2">
        <v>21176.799999999999</v>
      </c>
      <c r="Q86" s="140">
        <v>1812.1</v>
      </c>
      <c r="R86" s="294">
        <f>40123.7+42044.4</f>
        <v>82168.100000000006</v>
      </c>
      <c r="S86" s="292">
        <f t="shared" si="4"/>
        <v>793858.5</v>
      </c>
      <c r="T86" s="254"/>
      <c r="U86" s="254"/>
      <c r="V86" s="254"/>
    </row>
    <row r="87" spans="1:25" s="88" customFormat="1" hidden="1">
      <c r="A87" s="144" t="s">
        <v>50</v>
      </c>
      <c r="B87" s="131">
        <v>273222.09999999998</v>
      </c>
      <c r="C87" s="131">
        <v>140294.30000000002</v>
      </c>
      <c r="D87" s="131">
        <v>89591.3</v>
      </c>
      <c r="E87" s="131">
        <v>2849.9</v>
      </c>
      <c r="F87" s="131">
        <v>1812.4</v>
      </c>
      <c r="G87" s="131">
        <v>0</v>
      </c>
      <c r="H87" s="131">
        <v>1128.8</v>
      </c>
      <c r="I87" s="131">
        <v>530</v>
      </c>
      <c r="J87" s="295" t="s">
        <v>88</v>
      </c>
      <c r="K87" s="131">
        <v>30800.699999999997</v>
      </c>
      <c r="L87" s="131">
        <v>5456.4</v>
      </c>
      <c r="M87" s="131">
        <v>27042.2</v>
      </c>
      <c r="N87" s="131">
        <v>50485.599999999991</v>
      </c>
      <c r="O87" s="296">
        <v>97362.8</v>
      </c>
      <c r="P87" s="297">
        <v>22695.399999999998</v>
      </c>
      <c r="Q87" s="137">
        <v>-98.600000000000051</v>
      </c>
      <c r="R87" s="804">
        <v>97373.599999999991</v>
      </c>
      <c r="S87" s="131">
        <f>SUM(B87:R87)</f>
        <v>840546.9</v>
      </c>
      <c r="T87" s="298"/>
      <c r="U87" s="298"/>
      <c r="V87" s="298"/>
    </row>
    <row r="88" spans="1:25" s="88" customFormat="1" hidden="1">
      <c r="A88" s="144"/>
      <c r="B88" s="131"/>
      <c r="C88" s="131"/>
      <c r="D88" s="131"/>
      <c r="E88" s="131"/>
      <c r="F88" s="131"/>
      <c r="G88" s="131"/>
      <c r="H88" s="131"/>
      <c r="I88" s="131"/>
      <c r="J88" s="295"/>
      <c r="K88" s="131"/>
      <c r="L88" s="131"/>
      <c r="M88" s="131"/>
      <c r="N88" s="131"/>
      <c r="O88" s="296"/>
      <c r="P88" s="297"/>
      <c r="Q88" s="137"/>
      <c r="R88" s="804"/>
      <c r="S88" s="131"/>
      <c r="T88" s="298"/>
      <c r="U88" s="298"/>
      <c r="V88" s="298"/>
    </row>
    <row r="89" spans="1:25" s="88" customFormat="1" hidden="1">
      <c r="A89" s="113" t="s">
        <v>57</v>
      </c>
      <c r="B89" s="131">
        <v>271793.90000000002</v>
      </c>
      <c r="C89" s="131">
        <v>137579.29999999999</v>
      </c>
      <c r="D89" s="131">
        <v>72736.799999999988</v>
      </c>
      <c r="E89" s="131">
        <v>1578.1</v>
      </c>
      <c r="F89" s="131">
        <v>4862.3999999999996</v>
      </c>
      <c r="G89" s="131">
        <v>0</v>
      </c>
      <c r="H89" s="131">
        <v>2248.7000000000003</v>
      </c>
      <c r="I89" s="131">
        <v>230</v>
      </c>
      <c r="J89" s="290" t="s">
        <v>88</v>
      </c>
      <c r="K89" s="131">
        <v>33611.1</v>
      </c>
      <c r="L89" s="131">
        <v>4751.6000000000004</v>
      </c>
      <c r="M89" s="131">
        <v>41326.6</v>
      </c>
      <c r="N89" s="131">
        <v>44614.499999999993</v>
      </c>
      <c r="O89" s="291">
        <v>97456.7</v>
      </c>
      <c r="P89" s="2">
        <v>24765.699999999997</v>
      </c>
      <c r="Q89" s="140">
        <v>299.69999999999993</v>
      </c>
      <c r="R89" s="294">
        <v>98164.199999999983</v>
      </c>
      <c r="S89" s="292">
        <f t="shared" si="4"/>
        <v>836019.29999999981</v>
      </c>
      <c r="T89" s="254"/>
      <c r="U89" s="254"/>
      <c r="V89" s="254"/>
      <c r="X89" s="69"/>
      <c r="Y89" s="69"/>
    </row>
    <row r="90" spans="1:25" s="88" customFormat="1" hidden="1">
      <c r="A90" s="113" t="s">
        <v>40</v>
      </c>
      <c r="B90" s="131">
        <v>273343.59999999998</v>
      </c>
      <c r="C90" s="131">
        <v>136883.6</v>
      </c>
      <c r="D90" s="131">
        <v>75994.3</v>
      </c>
      <c r="E90" s="131">
        <v>1683.8000000000002</v>
      </c>
      <c r="F90" s="131">
        <v>5429.9</v>
      </c>
      <c r="G90" s="131">
        <v>0</v>
      </c>
      <c r="H90" s="131">
        <v>1700</v>
      </c>
      <c r="I90" s="131">
        <v>230</v>
      </c>
      <c r="J90" s="131">
        <v>1723.4</v>
      </c>
      <c r="K90" s="131">
        <v>31971.1</v>
      </c>
      <c r="L90" s="131">
        <v>4930.3</v>
      </c>
      <c r="M90" s="131">
        <v>35054.399999999994</v>
      </c>
      <c r="N90" s="131">
        <v>49423.19999999999</v>
      </c>
      <c r="O90" s="291">
        <v>100368.1</v>
      </c>
      <c r="P90" s="2">
        <v>19326.399999999998</v>
      </c>
      <c r="Q90" s="140">
        <v>1114.1999999999985</v>
      </c>
      <c r="R90" s="294">
        <v>102607.7</v>
      </c>
      <c r="S90" s="292">
        <f t="shared" si="4"/>
        <v>841783.99999999988</v>
      </c>
      <c r="T90" s="254"/>
      <c r="U90" s="254"/>
      <c r="V90" s="254"/>
      <c r="X90" s="69"/>
      <c r="Y90" s="69"/>
    </row>
    <row r="91" spans="1:25" s="88" customFormat="1" hidden="1">
      <c r="A91" s="113" t="s">
        <v>41</v>
      </c>
      <c r="B91" s="131">
        <v>265379.09999999998</v>
      </c>
      <c r="C91" s="131">
        <v>141656.20000000001</v>
      </c>
      <c r="D91" s="131">
        <v>73793.099999999948</v>
      </c>
      <c r="E91" s="131">
        <v>1806.8</v>
      </c>
      <c r="F91" s="131">
        <v>5417.5</v>
      </c>
      <c r="G91" s="131">
        <v>0</v>
      </c>
      <c r="H91" s="131">
        <v>1290.3</v>
      </c>
      <c r="I91" s="131">
        <v>230</v>
      </c>
      <c r="J91" s="131">
        <v>3410.3</v>
      </c>
      <c r="K91" s="131">
        <v>31775.899999999998</v>
      </c>
      <c r="L91" s="131">
        <v>5617.3</v>
      </c>
      <c r="M91" s="131">
        <v>29368</v>
      </c>
      <c r="N91" s="131">
        <v>39002.5</v>
      </c>
      <c r="O91" s="291">
        <v>116593.8</v>
      </c>
      <c r="P91" s="2">
        <v>12874.099999999999</v>
      </c>
      <c r="Q91" s="140">
        <v>2459.6999999999994</v>
      </c>
      <c r="R91" s="294">
        <v>114898.1</v>
      </c>
      <c r="S91" s="292">
        <f t="shared" si="4"/>
        <v>845572.69999999984</v>
      </c>
      <c r="T91" s="254"/>
      <c r="U91" s="254"/>
      <c r="V91" s="254"/>
      <c r="X91" s="69"/>
      <c r="Y91" s="69"/>
    </row>
    <row r="92" spans="1:25" s="88" customFormat="1" hidden="1">
      <c r="A92" s="113" t="s">
        <v>42</v>
      </c>
      <c r="B92" s="131">
        <v>278397.2</v>
      </c>
      <c r="C92" s="131">
        <v>140400.4</v>
      </c>
      <c r="D92" s="131">
        <v>73402.400000000009</v>
      </c>
      <c r="E92" s="131">
        <v>1161.8</v>
      </c>
      <c r="F92" s="131">
        <v>6029.9</v>
      </c>
      <c r="G92" s="131">
        <v>0</v>
      </c>
      <c r="H92" s="131">
        <v>1990.2999999999997</v>
      </c>
      <c r="I92" s="131">
        <v>230</v>
      </c>
      <c r="J92" s="131">
        <v>4017</v>
      </c>
      <c r="K92" s="131">
        <v>28636.100000000002</v>
      </c>
      <c r="L92" s="131">
        <v>7165.1999999999989</v>
      </c>
      <c r="M92" s="131">
        <v>32355.199999999997</v>
      </c>
      <c r="N92" s="131">
        <v>43570.299999999996</v>
      </c>
      <c r="O92" s="291">
        <v>117737.7</v>
      </c>
      <c r="P92" s="2">
        <v>11700.6</v>
      </c>
      <c r="Q92" s="140">
        <v>590.4000000000002</v>
      </c>
      <c r="R92" s="294">
        <v>92608.800000000017</v>
      </c>
      <c r="S92" s="292">
        <f t="shared" ref="S92:S128" si="5">SUM(B92:R92)</f>
        <v>839993.29999999993</v>
      </c>
      <c r="T92" s="254"/>
      <c r="U92" s="254"/>
      <c r="V92" s="254"/>
      <c r="X92" s="69"/>
      <c r="Y92" s="69"/>
    </row>
    <row r="93" spans="1:25" s="88" customFormat="1" hidden="1">
      <c r="A93" s="113" t="s">
        <v>43</v>
      </c>
      <c r="B93" s="131">
        <v>275079.59999999992</v>
      </c>
      <c r="C93" s="131">
        <v>144697.29999999999</v>
      </c>
      <c r="D93" s="131">
        <v>72428.700000000041</v>
      </c>
      <c r="E93" s="131">
        <v>1036.3</v>
      </c>
      <c r="F93" s="131">
        <v>6236.4</v>
      </c>
      <c r="G93" s="131">
        <v>0</v>
      </c>
      <c r="H93" s="131">
        <v>1634.3</v>
      </c>
      <c r="I93" s="131">
        <v>230</v>
      </c>
      <c r="J93" s="131">
        <v>8850.7999999999993</v>
      </c>
      <c r="K93" s="131">
        <v>30900.999999999993</v>
      </c>
      <c r="L93" s="131">
        <v>6206.9</v>
      </c>
      <c r="M93" s="131">
        <v>33662.700000000004</v>
      </c>
      <c r="N93" s="131">
        <v>41594.699999999997</v>
      </c>
      <c r="O93" s="291">
        <v>117729.1</v>
      </c>
      <c r="P93" s="2">
        <v>14594.6</v>
      </c>
      <c r="Q93" s="140">
        <v>3195.1</v>
      </c>
      <c r="R93" s="294">
        <v>97211.4</v>
      </c>
      <c r="S93" s="292">
        <f t="shared" si="5"/>
        <v>855288.89999999979</v>
      </c>
      <c r="T93" s="254"/>
      <c r="U93" s="254"/>
      <c r="V93" s="254"/>
      <c r="X93" s="69"/>
      <c r="Y93" s="69"/>
    </row>
    <row r="94" spans="1:25" s="88" customFormat="1" hidden="1">
      <c r="A94" s="113" t="s">
        <v>44</v>
      </c>
      <c r="B94" s="131">
        <v>272670.90000000002</v>
      </c>
      <c r="C94" s="131">
        <v>153379.6</v>
      </c>
      <c r="D94" s="131">
        <v>77435.999999999985</v>
      </c>
      <c r="E94" s="131">
        <v>1403.7</v>
      </c>
      <c r="F94" s="131">
        <v>4336.3999999999996</v>
      </c>
      <c r="G94" s="131">
        <v>0</v>
      </c>
      <c r="H94" s="131">
        <v>1811.1</v>
      </c>
      <c r="I94" s="131">
        <v>230</v>
      </c>
      <c r="J94" s="131">
        <v>21978.1</v>
      </c>
      <c r="K94" s="131">
        <v>29656.899999999998</v>
      </c>
      <c r="L94" s="131">
        <v>6361.1</v>
      </c>
      <c r="M94" s="131">
        <v>28131.5</v>
      </c>
      <c r="N94" s="131">
        <v>39056.400000000001</v>
      </c>
      <c r="O94" s="291">
        <v>117718.90000000001</v>
      </c>
      <c r="P94" s="2">
        <v>17607.399999999998</v>
      </c>
      <c r="Q94" s="140">
        <v>3184.1000000000026</v>
      </c>
      <c r="R94" s="294">
        <v>97087.6</v>
      </c>
      <c r="S94" s="292">
        <f t="shared" si="5"/>
        <v>872049.70000000007</v>
      </c>
      <c r="T94" s="254"/>
      <c r="U94" s="254"/>
      <c r="V94" s="254"/>
      <c r="X94" s="69"/>
      <c r="Y94" s="69"/>
    </row>
    <row r="95" spans="1:25" s="88" customFormat="1" hidden="1">
      <c r="A95" s="113" t="s">
        <v>45</v>
      </c>
      <c r="B95" s="131">
        <v>274926.90000000002</v>
      </c>
      <c r="C95" s="131">
        <v>158305.4</v>
      </c>
      <c r="D95" s="131">
        <v>91316.500000000015</v>
      </c>
      <c r="E95" s="131">
        <v>767.80000000000007</v>
      </c>
      <c r="F95" s="131">
        <v>4136.3999999999996</v>
      </c>
      <c r="G95" s="131">
        <v>0</v>
      </c>
      <c r="H95" s="131">
        <v>661.6</v>
      </c>
      <c r="I95" s="131">
        <v>230</v>
      </c>
      <c r="J95" s="131">
        <v>28323</v>
      </c>
      <c r="K95" s="131">
        <v>31714.600000000002</v>
      </c>
      <c r="L95" s="131">
        <v>7435.7</v>
      </c>
      <c r="M95" s="131">
        <v>22824.6</v>
      </c>
      <c r="N95" s="131">
        <v>42413.599999999999</v>
      </c>
      <c r="O95" s="291">
        <v>117709.1</v>
      </c>
      <c r="P95" s="2">
        <v>20758.199999999997</v>
      </c>
      <c r="Q95" s="140">
        <v>-63.700000000001772</v>
      </c>
      <c r="R95" s="294">
        <v>97576.5</v>
      </c>
      <c r="S95" s="292">
        <f t="shared" si="5"/>
        <v>899036.2</v>
      </c>
      <c r="T95" s="254"/>
      <c r="U95" s="254"/>
      <c r="V95" s="254"/>
      <c r="X95" s="69"/>
      <c r="Y95" s="69"/>
    </row>
    <row r="96" spans="1:25" s="88" customFormat="1" hidden="1">
      <c r="A96" s="113" t="s">
        <v>46</v>
      </c>
      <c r="B96" s="131">
        <v>275833.79999999993</v>
      </c>
      <c r="C96" s="131">
        <v>164701.79999999996</v>
      </c>
      <c r="D96" s="131">
        <v>86856.8</v>
      </c>
      <c r="E96" s="131">
        <v>1500.9</v>
      </c>
      <c r="F96" s="131">
        <v>4036.4</v>
      </c>
      <c r="G96" s="131">
        <v>0</v>
      </c>
      <c r="H96" s="131">
        <v>1011.4999999999999</v>
      </c>
      <c r="I96" s="131">
        <v>230</v>
      </c>
      <c r="J96" s="131">
        <v>30701.8</v>
      </c>
      <c r="K96" s="131">
        <v>30946.1</v>
      </c>
      <c r="L96" s="131">
        <v>8465</v>
      </c>
      <c r="M96" s="131">
        <v>27124.500000000004</v>
      </c>
      <c r="N96" s="131">
        <v>41757.4</v>
      </c>
      <c r="O96" s="291">
        <v>117698.50000000001</v>
      </c>
      <c r="P96" s="2">
        <v>24366</v>
      </c>
      <c r="Q96" s="140">
        <v>-61.500000000002181</v>
      </c>
      <c r="R96" s="294">
        <v>100242.4</v>
      </c>
      <c r="S96" s="292">
        <f t="shared" si="5"/>
        <v>915411.4</v>
      </c>
      <c r="T96" s="254"/>
      <c r="U96" s="254"/>
      <c r="V96" s="254"/>
      <c r="X96" s="69"/>
      <c r="Y96" s="69"/>
    </row>
    <row r="97" spans="1:25" s="88" customFormat="1" hidden="1">
      <c r="A97" s="113" t="s">
        <v>47</v>
      </c>
      <c r="B97" s="131">
        <v>257023.60000000003</v>
      </c>
      <c r="C97" s="131">
        <v>166744.29999999999</v>
      </c>
      <c r="D97" s="131">
        <v>83235.099999999991</v>
      </c>
      <c r="E97" s="131">
        <v>1358.0000000000002</v>
      </c>
      <c r="F97" s="131">
        <v>4086.4</v>
      </c>
      <c r="G97" s="131">
        <v>0</v>
      </c>
      <c r="H97" s="131">
        <v>1928.8999999999999</v>
      </c>
      <c r="I97" s="131">
        <v>230</v>
      </c>
      <c r="J97" s="131">
        <v>41135.1</v>
      </c>
      <c r="K97" s="131">
        <v>30672.800000000003</v>
      </c>
      <c r="L97" s="131">
        <v>8199.5</v>
      </c>
      <c r="M97" s="131">
        <v>30423.899999999998</v>
      </c>
      <c r="N97" s="131">
        <v>41451.9</v>
      </c>
      <c r="O97" s="291">
        <v>117688.70000000001</v>
      </c>
      <c r="P97" s="2">
        <v>27652.300000000003</v>
      </c>
      <c r="Q97" s="140">
        <v>242.30000000000288</v>
      </c>
      <c r="R97" s="294">
        <v>98128.2</v>
      </c>
      <c r="S97" s="292">
        <f t="shared" si="5"/>
        <v>910201.00000000023</v>
      </c>
      <c r="T97" s="254"/>
      <c r="U97" s="254"/>
      <c r="V97" s="254"/>
      <c r="X97" s="69"/>
      <c r="Y97" s="69"/>
    </row>
    <row r="98" spans="1:25" s="88" customFormat="1" hidden="1">
      <c r="A98" s="113" t="s">
        <v>48</v>
      </c>
      <c r="B98" s="131">
        <v>255311.9</v>
      </c>
      <c r="C98" s="131">
        <v>165659.1</v>
      </c>
      <c r="D98" s="131">
        <v>83808.899999999994</v>
      </c>
      <c r="E98" s="131">
        <v>2081.4</v>
      </c>
      <c r="F98" s="131">
        <v>3586.4</v>
      </c>
      <c r="G98" s="131">
        <v>0</v>
      </c>
      <c r="H98" s="131">
        <v>1231.5</v>
      </c>
      <c r="I98" s="131">
        <v>230</v>
      </c>
      <c r="J98" s="131">
        <v>34479.800000000003</v>
      </c>
      <c r="K98" s="131">
        <v>35131.4</v>
      </c>
      <c r="L98" s="131">
        <v>9151.2000000000007</v>
      </c>
      <c r="M98" s="131">
        <v>29507.8</v>
      </c>
      <c r="N98" s="131">
        <v>46516</v>
      </c>
      <c r="O98" s="291">
        <v>117677.90000000001</v>
      </c>
      <c r="P98" s="2">
        <v>31090.799999999999</v>
      </c>
      <c r="Q98" s="140">
        <v>698.2000000000013</v>
      </c>
      <c r="R98" s="294">
        <v>110142.1</v>
      </c>
      <c r="S98" s="292">
        <f t="shared" si="5"/>
        <v>926304.40000000014</v>
      </c>
      <c r="T98" s="254"/>
      <c r="U98" s="254"/>
      <c r="V98" s="254"/>
      <c r="X98" s="69"/>
      <c r="Y98" s="69"/>
    </row>
    <row r="99" spans="1:25" s="88" customFormat="1" hidden="1">
      <c r="A99" s="113" t="s">
        <v>49</v>
      </c>
      <c r="B99" s="131">
        <v>246334.99999999997</v>
      </c>
      <c r="C99" s="131">
        <v>169673.40000000002</v>
      </c>
      <c r="D99" s="131">
        <v>85868.799999999974</v>
      </c>
      <c r="E99" s="131">
        <v>2504.5</v>
      </c>
      <c r="F99" s="131">
        <v>4286.3999999999996</v>
      </c>
      <c r="G99" s="131">
        <v>0</v>
      </c>
      <c r="H99" s="131">
        <v>765.20000000000016</v>
      </c>
      <c r="I99" s="131">
        <v>230</v>
      </c>
      <c r="J99" s="131">
        <v>38992.799999999996</v>
      </c>
      <c r="K99" s="131">
        <v>36892.799999999996</v>
      </c>
      <c r="L99" s="131">
        <v>9256.7000000000007</v>
      </c>
      <c r="M99" s="131">
        <v>34346.299999999996</v>
      </c>
      <c r="N99" s="131">
        <v>54900.000000000007</v>
      </c>
      <c r="O99" s="291">
        <v>117667.6</v>
      </c>
      <c r="P99" s="2">
        <v>33981.200000000004</v>
      </c>
      <c r="Q99" s="140">
        <v>752.20000000000221</v>
      </c>
      <c r="R99" s="294">
        <v>103487.2</v>
      </c>
      <c r="S99" s="292">
        <f t="shared" si="5"/>
        <v>939940.1</v>
      </c>
      <c r="T99" s="254"/>
      <c r="U99" s="254"/>
      <c r="V99" s="254"/>
      <c r="X99" s="69"/>
      <c r="Y99" s="69"/>
    </row>
    <row r="100" spans="1:25" s="88" customFormat="1" hidden="1">
      <c r="A100" s="113" t="s">
        <v>50</v>
      </c>
      <c r="B100" s="131">
        <v>263857.99999999994</v>
      </c>
      <c r="C100" s="131">
        <v>173056.09999999998</v>
      </c>
      <c r="D100" s="131">
        <v>89107.6</v>
      </c>
      <c r="E100" s="131">
        <v>3654.7</v>
      </c>
      <c r="F100" s="131">
        <v>3786.4</v>
      </c>
      <c r="G100" s="131">
        <v>0</v>
      </c>
      <c r="H100" s="131">
        <v>570.1</v>
      </c>
      <c r="I100" s="131">
        <v>230</v>
      </c>
      <c r="J100" s="131">
        <v>23887.599999999999</v>
      </c>
      <c r="K100" s="131">
        <v>32739.100000000006</v>
      </c>
      <c r="L100" s="131">
        <v>6981.7999999999993</v>
      </c>
      <c r="M100" s="131">
        <v>38665.200000000004</v>
      </c>
      <c r="N100" s="131">
        <v>50033.100000000006</v>
      </c>
      <c r="O100" s="291">
        <v>117656.70000000001</v>
      </c>
      <c r="P100" s="2">
        <v>30401</v>
      </c>
      <c r="Q100" s="140">
        <v>563.60000000000093</v>
      </c>
      <c r="R100" s="294">
        <v>101557.2</v>
      </c>
      <c r="S100" s="292">
        <f t="shared" si="5"/>
        <v>936748.19999999984</v>
      </c>
      <c r="T100" s="254"/>
      <c r="U100" s="254"/>
      <c r="V100" s="254"/>
      <c r="X100" s="69"/>
      <c r="Y100" s="69"/>
    </row>
    <row r="101" spans="1:25" s="88" customFormat="1" hidden="1">
      <c r="A101" s="113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291"/>
      <c r="P101" s="2"/>
      <c r="Q101" s="140"/>
      <c r="R101" s="294"/>
      <c r="S101" s="292"/>
      <c r="T101" s="254"/>
      <c r="U101" s="254"/>
      <c r="V101" s="254"/>
      <c r="X101" s="69"/>
      <c r="Y101" s="69"/>
    </row>
    <row r="102" spans="1:25" s="88" customFormat="1" hidden="1">
      <c r="A102" s="113" t="s">
        <v>56</v>
      </c>
      <c r="B102" s="131">
        <v>270523.30000000005</v>
      </c>
      <c r="C102" s="131">
        <v>162535.4</v>
      </c>
      <c r="D102" s="131">
        <v>97165.6</v>
      </c>
      <c r="E102" s="131">
        <v>3550.7000000000003</v>
      </c>
      <c r="F102" s="131">
        <v>4416.3999999999996</v>
      </c>
      <c r="G102" s="131">
        <v>0</v>
      </c>
      <c r="H102" s="131">
        <v>855.69999999999993</v>
      </c>
      <c r="I102" s="131">
        <v>230</v>
      </c>
      <c r="J102" s="131">
        <v>17905.5</v>
      </c>
      <c r="K102" s="131">
        <v>37725.600000000006</v>
      </c>
      <c r="L102" s="131">
        <v>8935.9000000000015</v>
      </c>
      <c r="M102" s="131">
        <v>35210.9</v>
      </c>
      <c r="N102" s="131">
        <v>53880.600000000006</v>
      </c>
      <c r="O102" s="291">
        <v>117646.3</v>
      </c>
      <c r="P102" s="2">
        <v>33758.199999999997</v>
      </c>
      <c r="Q102" s="140">
        <v>650.00000000000148</v>
      </c>
      <c r="R102" s="294">
        <v>104221</v>
      </c>
      <c r="S102" s="292">
        <f t="shared" si="5"/>
        <v>949211.1</v>
      </c>
      <c r="T102" s="254"/>
      <c r="U102" s="254"/>
      <c r="V102" s="254"/>
      <c r="X102" s="69"/>
      <c r="Y102" s="69"/>
    </row>
    <row r="103" spans="1:25" s="88" customFormat="1" hidden="1">
      <c r="A103" s="113" t="s">
        <v>40</v>
      </c>
      <c r="B103" s="131">
        <v>269505.20000000007</v>
      </c>
      <c r="C103" s="131">
        <v>159791.1</v>
      </c>
      <c r="D103" s="131">
        <v>100592.29999999999</v>
      </c>
      <c r="E103" s="131">
        <v>3181.2</v>
      </c>
      <c r="F103" s="131">
        <v>6576.4</v>
      </c>
      <c r="G103" s="131">
        <v>0</v>
      </c>
      <c r="H103" s="131">
        <v>1134</v>
      </c>
      <c r="I103" s="131">
        <v>230</v>
      </c>
      <c r="J103" s="131">
        <v>28977.9</v>
      </c>
      <c r="K103" s="131">
        <v>40219.500000000007</v>
      </c>
      <c r="L103" s="131">
        <v>8492.0999999999985</v>
      </c>
      <c r="M103" s="131">
        <v>28885.1</v>
      </c>
      <c r="N103" s="131">
        <v>56915.9</v>
      </c>
      <c r="O103" s="291">
        <v>122193.60000000001</v>
      </c>
      <c r="P103" s="2">
        <v>26064.9</v>
      </c>
      <c r="Q103" s="140">
        <v>733.00000000000102</v>
      </c>
      <c r="R103" s="294">
        <v>106414.5</v>
      </c>
      <c r="S103" s="292">
        <f t="shared" si="5"/>
        <v>959906.70000000007</v>
      </c>
      <c r="T103" s="254"/>
      <c r="U103" s="254"/>
      <c r="V103" s="254"/>
      <c r="X103" s="69"/>
      <c r="Y103" s="69"/>
    </row>
    <row r="104" spans="1:25" s="88" customFormat="1" hidden="1">
      <c r="A104" s="113" t="s">
        <v>41</v>
      </c>
      <c r="B104" s="131">
        <v>259706.40000000002</v>
      </c>
      <c r="C104" s="131">
        <v>164708.70000000001</v>
      </c>
      <c r="D104" s="131">
        <v>93403.200000000012</v>
      </c>
      <c r="E104" s="131">
        <v>1646.7</v>
      </c>
      <c r="F104" s="131">
        <v>5864</v>
      </c>
      <c r="G104" s="131">
        <v>0</v>
      </c>
      <c r="H104" s="131">
        <v>717.99999999999989</v>
      </c>
      <c r="I104" s="131">
        <v>230</v>
      </c>
      <c r="J104" s="131">
        <v>31870.5</v>
      </c>
      <c r="K104" s="131">
        <v>55936.899999999994</v>
      </c>
      <c r="L104" s="131">
        <v>10091.099999999999</v>
      </c>
      <c r="M104" s="131">
        <v>27345.300000000003</v>
      </c>
      <c r="N104" s="131">
        <v>62203.799999999996</v>
      </c>
      <c r="O104" s="291">
        <v>134289.1</v>
      </c>
      <c r="P104" s="2">
        <v>7570.6</v>
      </c>
      <c r="Q104" s="140">
        <v>-36.500000000000135</v>
      </c>
      <c r="R104" s="294">
        <v>103463</v>
      </c>
      <c r="S104" s="292">
        <f t="shared" si="5"/>
        <v>959010.8</v>
      </c>
      <c r="T104" s="254"/>
      <c r="U104" s="254"/>
      <c r="V104" s="254"/>
      <c r="X104" s="69"/>
      <c r="Y104" s="69"/>
    </row>
    <row r="105" spans="1:25" s="88" customFormat="1" hidden="1">
      <c r="A105" s="113" t="s">
        <v>42</v>
      </c>
      <c r="B105" s="131">
        <v>264156.5</v>
      </c>
      <c r="C105" s="131">
        <v>165197.4</v>
      </c>
      <c r="D105" s="131">
        <v>96935.8</v>
      </c>
      <c r="E105" s="131">
        <v>2098.1999999999998</v>
      </c>
      <c r="F105" s="131">
        <v>5904</v>
      </c>
      <c r="G105" s="131">
        <v>0</v>
      </c>
      <c r="H105" s="131">
        <v>628.69999999999993</v>
      </c>
      <c r="I105" s="131">
        <v>230</v>
      </c>
      <c r="J105" s="131">
        <v>42523.3</v>
      </c>
      <c r="K105" s="131">
        <v>34431.399999999994</v>
      </c>
      <c r="L105" s="131">
        <v>10053.099999999999</v>
      </c>
      <c r="M105" s="131">
        <v>25979.200000000004</v>
      </c>
      <c r="N105" s="131">
        <v>70678.399999999994</v>
      </c>
      <c r="O105" s="291">
        <v>134278.40000000002</v>
      </c>
      <c r="P105" s="2">
        <v>9105</v>
      </c>
      <c r="Q105" s="140">
        <v>128.49999999999849</v>
      </c>
      <c r="R105" s="294">
        <v>90626.5</v>
      </c>
      <c r="S105" s="292">
        <f t="shared" si="5"/>
        <v>952954.4</v>
      </c>
      <c r="T105" s="254"/>
      <c r="U105" s="254"/>
      <c r="V105" s="254"/>
      <c r="X105" s="69"/>
      <c r="Y105" s="69"/>
    </row>
    <row r="106" spans="1:25" s="88" customFormat="1" hidden="1">
      <c r="A106" s="113" t="s">
        <v>43</v>
      </c>
      <c r="B106" s="131">
        <v>262428</v>
      </c>
      <c r="C106" s="131">
        <v>156027.6</v>
      </c>
      <c r="D106" s="131">
        <v>97569.299999999901</v>
      </c>
      <c r="E106" s="131">
        <v>4906</v>
      </c>
      <c r="F106" s="131">
        <v>13097.6</v>
      </c>
      <c r="G106" s="131">
        <v>70.599999999999994</v>
      </c>
      <c r="H106" s="131">
        <v>1425.7</v>
      </c>
      <c r="I106" s="131">
        <v>1230</v>
      </c>
      <c r="J106" s="131">
        <v>52308</v>
      </c>
      <c r="K106" s="131">
        <v>32454.100000000002</v>
      </c>
      <c r="L106" s="131">
        <v>6547.5000000000009</v>
      </c>
      <c r="M106" s="131">
        <v>22903.100000000002</v>
      </c>
      <c r="N106" s="131">
        <v>68415.7</v>
      </c>
      <c r="O106" s="291">
        <v>134269.1</v>
      </c>
      <c r="P106" s="2">
        <v>11060.199999999999</v>
      </c>
      <c r="Q106" s="140">
        <v>-37.39999999999727</v>
      </c>
      <c r="R106" s="294">
        <v>94169</v>
      </c>
      <c r="S106" s="292">
        <f t="shared" si="5"/>
        <v>958844.09999999963</v>
      </c>
      <c r="T106" s="254"/>
      <c r="U106" s="254"/>
      <c r="V106" s="254"/>
      <c r="X106" s="69"/>
      <c r="Y106" s="69"/>
    </row>
    <row r="107" spans="1:25" s="88" customFormat="1" hidden="1">
      <c r="A107" s="113" t="s">
        <v>44</v>
      </c>
      <c r="B107" s="131">
        <v>256612.00000000003</v>
      </c>
      <c r="C107" s="131">
        <v>159523.6</v>
      </c>
      <c r="D107" s="131">
        <v>101943.79999999997</v>
      </c>
      <c r="E107" s="131">
        <v>6724.0999999999985</v>
      </c>
      <c r="F107" s="131">
        <v>11967.6</v>
      </c>
      <c r="G107" s="131">
        <v>72</v>
      </c>
      <c r="H107" s="131">
        <v>1338.3</v>
      </c>
      <c r="I107" s="131">
        <v>730</v>
      </c>
      <c r="J107" s="131">
        <v>60060.100000000006</v>
      </c>
      <c r="K107" s="131">
        <v>31556.400000000001</v>
      </c>
      <c r="L107" s="131">
        <v>7214.2000000000007</v>
      </c>
      <c r="M107" s="131">
        <v>22638.800000000003</v>
      </c>
      <c r="N107" s="131">
        <v>78002.399999999994</v>
      </c>
      <c r="O107" s="291">
        <v>134259.40000000002</v>
      </c>
      <c r="P107" s="2">
        <v>12766.1</v>
      </c>
      <c r="Q107" s="140">
        <v>85.599999999997266</v>
      </c>
      <c r="R107" s="294">
        <v>97022.399999999994</v>
      </c>
      <c r="S107" s="292">
        <f t="shared" si="5"/>
        <v>982516.8</v>
      </c>
      <c r="T107" s="254"/>
      <c r="U107" s="254"/>
      <c r="V107" s="254"/>
      <c r="X107" s="69"/>
      <c r="Y107" s="69"/>
    </row>
    <row r="108" spans="1:25" s="88" customFormat="1" hidden="1">
      <c r="A108" s="113" t="s">
        <v>45</v>
      </c>
      <c r="B108" s="131">
        <v>262242.09999999998</v>
      </c>
      <c r="C108" s="131">
        <v>157920.69999999998</v>
      </c>
      <c r="D108" s="131">
        <v>110734.2</v>
      </c>
      <c r="E108" s="131">
        <v>6075.8999999999987</v>
      </c>
      <c r="F108" s="131">
        <v>10711</v>
      </c>
      <c r="G108" s="131">
        <v>73.3</v>
      </c>
      <c r="H108" s="131">
        <v>1059</v>
      </c>
      <c r="I108" s="131">
        <v>730</v>
      </c>
      <c r="J108" s="131">
        <v>54159.9</v>
      </c>
      <c r="K108" s="131">
        <v>35590.100000000006</v>
      </c>
      <c r="L108" s="131">
        <v>8429</v>
      </c>
      <c r="M108" s="131">
        <v>19663.100000000002</v>
      </c>
      <c r="N108" s="131">
        <v>66653.899999999994</v>
      </c>
      <c r="O108" s="291">
        <v>145442.40000000002</v>
      </c>
      <c r="P108" s="2">
        <v>14668</v>
      </c>
      <c r="Q108" s="140">
        <v>-1479.1</v>
      </c>
      <c r="R108" s="294">
        <v>101018.79999999999</v>
      </c>
      <c r="S108" s="292">
        <f t="shared" si="5"/>
        <v>993692.3</v>
      </c>
      <c r="T108" s="254"/>
      <c r="U108" s="254"/>
      <c r="V108" s="254"/>
      <c r="X108" s="69"/>
      <c r="Y108" s="69"/>
    </row>
    <row r="109" spans="1:25" s="88" customFormat="1" hidden="1">
      <c r="A109" s="113" t="s">
        <v>46</v>
      </c>
      <c r="B109" s="131">
        <v>274197.00000000006</v>
      </c>
      <c r="C109" s="131">
        <v>157815.89999999997</v>
      </c>
      <c r="D109" s="131">
        <v>122459.39999999992</v>
      </c>
      <c r="E109" s="131">
        <v>3786</v>
      </c>
      <c r="F109" s="131">
        <v>11262.6</v>
      </c>
      <c r="G109" s="131">
        <v>73.7</v>
      </c>
      <c r="H109" s="131">
        <v>890.59999999999991</v>
      </c>
      <c r="I109" s="131">
        <v>730</v>
      </c>
      <c r="J109" s="131">
        <v>42538</v>
      </c>
      <c r="K109" s="131">
        <v>30768.7</v>
      </c>
      <c r="L109" s="131">
        <v>8883.2000000000007</v>
      </c>
      <c r="M109" s="131">
        <v>17402.400000000001</v>
      </c>
      <c r="N109" s="131">
        <v>71435.899999999994</v>
      </c>
      <c r="O109" s="291">
        <v>145432.70000000001</v>
      </c>
      <c r="P109" s="2">
        <v>16709.7</v>
      </c>
      <c r="Q109" s="140">
        <v>-1289.5000000000005</v>
      </c>
      <c r="R109" s="294">
        <v>104142.19999999998</v>
      </c>
      <c r="S109" s="292">
        <f t="shared" si="5"/>
        <v>1007238.4999999998</v>
      </c>
      <c r="T109" s="254"/>
      <c r="U109" s="254"/>
      <c r="V109" s="254"/>
      <c r="X109" s="69"/>
      <c r="Y109" s="69"/>
    </row>
    <row r="110" spans="1:25" s="88" customFormat="1" hidden="1">
      <c r="A110" s="113" t="s">
        <v>47</v>
      </c>
      <c r="B110" s="131">
        <v>276735.60000000009</v>
      </c>
      <c r="C110" s="131">
        <v>154764.19999999998</v>
      </c>
      <c r="D110" s="131">
        <v>125419.49999999999</v>
      </c>
      <c r="E110" s="131">
        <v>5107.3999999999996</v>
      </c>
      <c r="F110" s="131">
        <v>13347.2</v>
      </c>
      <c r="G110" s="131">
        <v>73.900000000000006</v>
      </c>
      <c r="H110" s="131">
        <v>898.90000000000009</v>
      </c>
      <c r="I110" s="131">
        <v>500</v>
      </c>
      <c r="J110" s="131">
        <v>29462.9</v>
      </c>
      <c r="K110" s="131">
        <v>31357.000000000004</v>
      </c>
      <c r="L110" s="131">
        <v>10100.700000000001</v>
      </c>
      <c r="M110" s="131">
        <v>14680.300000000001</v>
      </c>
      <c r="N110" s="131">
        <v>60492.30000000001</v>
      </c>
      <c r="O110" s="291">
        <v>145422.80000000002</v>
      </c>
      <c r="P110" s="2">
        <v>18133.500000000004</v>
      </c>
      <c r="Q110" s="140">
        <v>-706.49999999999488</v>
      </c>
      <c r="R110" s="294">
        <v>102133.90000000002</v>
      </c>
      <c r="S110" s="292">
        <f t="shared" si="5"/>
        <v>987923.60000000021</v>
      </c>
      <c r="T110" s="254"/>
      <c r="U110" s="254"/>
      <c r="V110" s="254"/>
      <c r="X110" s="69"/>
      <c r="Y110" s="69"/>
    </row>
    <row r="111" spans="1:25" s="88" customFormat="1" hidden="1">
      <c r="A111" s="113" t="s">
        <v>48</v>
      </c>
      <c r="B111" s="131">
        <v>268884.39999999997</v>
      </c>
      <c r="C111" s="131">
        <v>158843.20000000001</v>
      </c>
      <c r="D111" s="131">
        <v>123174.50000000009</v>
      </c>
      <c r="E111" s="131">
        <v>6670.9999999999991</v>
      </c>
      <c r="F111" s="131">
        <v>13767.3</v>
      </c>
      <c r="G111" s="131">
        <v>67.8</v>
      </c>
      <c r="H111" s="131">
        <v>1079.9000000000001</v>
      </c>
      <c r="I111" s="131">
        <v>730</v>
      </c>
      <c r="J111" s="131">
        <v>15843.4</v>
      </c>
      <c r="K111" s="131">
        <v>45764.399999999994</v>
      </c>
      <c r="L111" s="131">
        <v>8197.4</v>
      </c>
      <c r="M111" s="131">
        <v>19189.199999999997</v>
      </c>
      <c r="N111" s="131">
        <v>64807.700000000012</v>
      </c>
      <c r="O111" s="291">
        <v>145412.40000000002</v>
      </c>
      <c r="P111" s="2">
        <v>19170</v>
      </c>
      <c r="Q111" s="140">
        <v>850.19999999999857</v>
      </c>
      <c r="R111" s="294">
        <v>108481.9</v>
      </c>
      <c r="S111" s="292">
        <f t="shared" si="5"/>
        <v>1000934.7000000002</v>
      </c>
      <c r="T111" s="254"/>
      <c r="U111" s="254"/>
      <c r="V111" s="254"/>
      <c r="X111" s="69"/>
      <c r="Y111" s="69"/>
    </row>
    <row r="112" spans="1:25" s="88" customFormat="1" hidden="1">
      <c r="A112" s="113" t="s">
        <v>49</v>
      </c>
      <c r="B112" s="131">
        <v>274410.7</v>
      </c>
      <c r="C112" s="131">
        <v>166721.40000000002</v>
      </c>
      <c r="D112" s="131">
        <v>118407.09999999999</v>
      </c>
      <c r="E112" s="131">
        <v>6775.5</v>
      </c>
      <c r="F112" s="131">
        <v>16514.2</v>
      </c>
      <c r="G112" s="131">
        <v>69</v>
      </c>
      <c r="H112" s="131">
        <v>1863.1</v>
      </c>
      <c r="I112" s="131">
        <v>430</v>
      </c>
      <c r="J112" s="131">
        <v>9145.9</v>
      </c>
      <c r="K112" s="131">
        <v>31930.5</v>
      </c>
      <c r="L112" s="131">
        <v>9095.6</v>
      </c>
      <c r="M112" s="131">
        <v>30171.7</v>
      </c>
      <c r="N112" s="131">
        <v>69365.899999999994</v>
      </c>
      <c r="O112" s="291">
        <v>145402</v>
      </c>
      <c r="P112" s="2">
        <v>20646.900000000001</v>
      </c>
      <c r="Q112" s="140">
        <v>3804.5999999999981</v>
      </c>
      <c r="R112" s="294">
        <v>104669.19999999998</v>
      </c>
      <c r="S112" s="292">
        <f t="shared" si="5"/>
        <v>1009423.2999999999</v>
      </c>
      <c r="T112" s="254"/>
      <c r="U112" s="254"/>
      <c r="V112" s="254"/>
      <c r="X112" s="69"/>
      <c r="Y112" s="69"/>
    </row>
    <row r="113" spans="1:25" s="88" customFormat="1" hidden="1">
      <c r="A113" s="113" t="s">
        <v>50</v>
      </c>
      <c r="B113" s="131">
        <v>293628.7</v>
      </c>
      <c r="C113" s="131">
        <v>175495.9</v>
      </c>
      <c r="D113" s="131">
        <v>125922.79999999999</v>
      </c>
      <c r="E113" s="131">
        <v>7559.4</v>
      </c>
      <c r="F113" s="131">
        <v>17126.100000000002</v>
      </c>
      <c r="G113" s="131">
        <v>170.1</v>
      </c>
      <c r="H113" s="131">
        <v>1801.0000000000002</v>
      </c>
      <c r="I113" s="131">
        <v>430</v>
      </c>
      <c r="J113" s="290" t="s">
        <v>88</v>
      </c>
      <c r="K113" s="131">
        <v>33328.200000000004</v>
      </c>
      <c r="L113" s="131">
        <v>9660.5</v>
      </c>
      <c r="M113" s="131">
        <v>32270.799999999999</v>
      </c>
      <c r="N113" s="131">
        <v>62960.799999999996</v>
      </c>
      <c r="O113" s="291">
        <v>162470.70000000001</v>
      </c>
      <c r="P113" s="2">
        <v>20813.100000000002</v>
      </c>
      <c r="Q113" s="140">
        <v>4114.6000000000004</v>
      </c>
      <c r="R113" s="294">
        <v>96931.400000000009</v>
      </c>
      <c r="S113" s="292">
        <f t="shared" si="5"/>
        <v>1044684.1</v>
      </c>
      <c r="T113" s="254"/>
      <c r="U113" s="254"/>
      <c r="V113" s="254"/>
      <c r="X113" s="69"/>
      <c r="Y113" s="69"/>
    </row>
    <row r="114" spans="1:25" s="88" customFormat="1" hidden="1">
      <c r="A114" s="113"/>
      <c r="B114" s="131"/>
      <c r="C114" s="131"/>
      <c r="D114" s="131"/>
      <c r="E114" s="131"/>
      <c r="F114" s="131"/>
      <c r="G114" s="131"/>
      <c r="H114" s="131"/>
      <c r="I114" s="131"/>
      <c r="J114" s="290"/>
      <c r="K114" s="131"/>
      <c r="L114" s="131"/>
      <c r="M114" s="131"/>
      <c r="N114" s="131"/>
      <c r="O114" s="291"/>
      <c r="P114" s="2"/>
      <c r="Q114" s="140"/>
      <c r="R114" s="294"/>
      <c r="S114" s="292"/>
      <c r="T114" s="254"/>
      <c r="U114" s="254"/>
      <c r="V114" s="254"/>
      <c r="X114" s="69"/>
      <c r="Y114" s="69"/>
    </row>
    <row r="115" spans="1:25" hidden="1">
      <c r="A115" s="113" t="s">
        <v>55</v>
      </c>
      <c r="B115" s="261">
        <v>293968.59999999998</v>
      </c>
      <c r="C115" s="261">
        <v>177234.6</v>
      </c>
      <c r="D115" s="261">
        <v>131812.79999999996</v>
      </c>
      <c r="E115" s="261">
        <v>8135.4</v>
      </c>
      <c r="F115" s="261">
        <v>17800.099999999999</v>
      </c>
      <c r="G115" s="261">
        <v>176.1</v>
      </c>
      <c r="H115" s="261">
        <v>1106.8000000000002</v>
      </c>
      <c r="I115" s="261">
        <v>430</v>
      </c>
      <c r="J115" s="261">
        <v>586.9</v>
      </c>
      <c r="K115" s="261">
        <v>33955</v>
      </c>
      <c r="L115" s="261">
        <v>13243.399999999998</v>
      </c>
      <c r="M115" s="261">
        <v>31935.7</v>
      </c>
      <c r="N115" s="261">
        <v>68552.5</v>
      </c>
      <c r="O115" s="291">
        <v>162460.10000000003</v>
      </c>
      <c r="P115" s="2">
        <v>22701.600000000002</v>
      </c>
      <c r="Q115" s="140">
        <v>496.29999999999711</v>
      </c>
      <c r="R115" s="294">
        <v>104613.5</v>
      </c>
      <c r="S115" s="292">
        <f t="shared" si="5"/>
        <v>1069209.3999999999</v>
      </c>
      <c r="T115" s="254"/>
      <c r="U115" s="254"/>
      <c r="V115" s="254"/>
    </row>
    <row r="116" spans="1:25" hidden="1">
      <c r="A116" s="113" t="s">
        <v>40</v>
      </c>
      <c r="B116" s="261">
        <v>299521.1999999999</v>
      </c>
      <c r="C116" s="261">
        <v>175462.29999999996</v>
      </c>
      <c r="D116" s="261">
        <v>146775.79999999996</v>
      </c>
      <c r="E116" s="261">
        <v>9477.9</v>
      </c>
      <c r="F116" s="261">
        <v>16387.900000000001</v>
      </c>
      <c r="G116" s="261">
        <v>183.6</v>
      </c>
      <c r="H116" s="261">
        <v>1023.4000000000001</v>
      </c>
      <c r="I116" s="261">
        <v>430</v>
      </c>
      <c r="J116" s="261">
        <v>11950.7</v>
      </c>
      <c r="K116" s="261">
        <v>26738.9</v>
      </c>
      <c r="L116" s="261">
        <v>13352.4</v>
      </c>
      <c r="M116" s="261">
        <v>31572.800000000003</v>
      </c>
      <c r="N116" s="261">
        <v>69485.899999999994</v>
      </c>
      <c r="O116" s="291">
        <v>162448.9</v>
      </c>
      <c r="P116" s="2">
        <v>24801.3</v>
      </c>
      <c r="Q116" s="140">
        <v>4562.7999999999993</v>
      </c>
      <c r="R116" s="294">
        <v>110507</v>
      </c>
      <c r="S116" s="292">
        <f t="shared" si="5"/>
        <v>1104682.8</v>
      </c>
      <c r="T116" s="254"/>
      <c r="U116" s="254"/>
      <c r="V116" s="254"/>
    </row>
    <row r="117" spans="1:25" hidden="1">
      <c r="A117" s="113" t="s">
        <v>41</v>
      </c>
      <c r="B117" s="261">
        <v>297310.70000000007</v>
      </c>
      <c r="C117" s="261">
        <v>182175.3</v>
      </c>
      <c r="D117" s="261">
        <v>137848.39999999997</v>
      </c>
      <c r="E117" s="261">
        <v>11026.3</v>
      </c>
      <c r="F117" s="261">
        <v>15997.7</v>
      </c>
      <c r="G117" s="261">
        <v>168</v>
      </c>
      <c r="H117" s="261">
        <v>1118.7000000000003</v>
      </c>
      <c r="I117" s="261">
        <v>430</v>
      </c>
      <c r="J117" s="261">
        <v>7591.1</v>
      </c>
      <c r="K117" s="261">
        <v>48713.799999999996</v>
      </c>
      <c r="L117" s="261">
        <v>11006.099999999999</v>
      </c>
      <c r="M117" s="261">
        <v>28700.899999999998</v>
      </c>
      <c r="N117" s="261">
        <v>64117.1</v>
      </c>
      <c r="O117" s="291">
        <v>172005</v>
      </c>
      <c r="P117" s="2">
        <v>8212.7000000000007</v>
      </c>
      <c r="Q117" s="140">
        <v>2939.7000000000021</v>
      </c>
      <c r="R117" s="294">
        <v>109756.29999999999</v>
      </c>
      <c r="S117" s="292">
        <f t="shared" si="5"/>
        <v>1099117.7999999998</v>
      </c>
      <c r="T117" s="254"/>
      <c r="U117" s="254"/>
      <c r="V117" s="254"/>
    </row>
    <row r="118" spans="1:25" hidden="1">
      <c r="A118" s="113" t="s">
        <v>42</v>
      </c>
      <c r="B118" s="261">
        <v>303375.03999999998</v>
      </c>
      <c r="C118" s="261">
        <v>193839.39999999997</v>
      </c>
      <c r="D118" s="261">
        <v>144332.80000000002</v>
      </c>
      <c r="E118" s="261">
        <v>11133.46</v>
      </c>
      <c r="F118" s="261">
        <v>15251</v>
      </c>
      <c r="G118" s="261">
        <v>166.1</v>
      </c>
      <c r="H118" s="261">
        <v>1135.3</v>
      </c>
      <c r="I118" s="261">
        <v>430</v>
      </c>
      <c r="J118" s="261">
        <v>710.4</v>
      </c>
      <c r="K118" s="261">
        <v>31010.3</v>
      </c>
      <c r="L118" s="261">
        <v>11371.4</v>
      </c>
      <c r="M118" s="261">
        <v>24906.100000000002</v>
      </c>
      <c r="N118" s="261">
        <v>57229.700000000004</v>
      </c>
      <c r="O118" s="291">
        <v>171993.90000000002</v>
      </c>
      <c r="P118" s="2">
        <v>10963.900000000001</v>
      </c>
      <c r="Q118" s="140">
        <v>-66.7</v>
      </c>
      <c r="R118" s="294">
        <v>102555.6</v>
      </c>
      <c r="S118" s="292">
        <f t="shared" si="5"/>
        <v>1080337.7000000002</v>
      </c>
      <c r="T118" s="254"/>
      <c r="U118" s="254"/>
      <c r="V118" s="254"/>
    </row>
    <row r="119" spans="1:25" hidden="1">
      <c r="A119" s="113" t="s">
        <v>43</v>
      </c>
      <c r="B119" s="261">
        <v>312706.90000000002</v>
      </c>
      <c r="C119" s="261">
        <v>193415.3</v>
      </c>
      <c r="D119" s="261">
        <v>137910.30000000002</v>
      </c>
      <c r="E119" s="261">
        <v>7611.7</v>
      </c>
      <c r="F119" s="261">
        <v>15336</v>
      </c>
      <c r="G119" s="261">
        <v>164.6</v>
      </c>
      <c r="H119" s="261">
        <v>1457.7</v>
      </c>
      <c r="I119" s="261">
        <v>430</v>
      </c>
      <c r="J119" s="290" t="s">
        <v>88</v>
      </c>
      <c r="K119" s="261">
        <v>34013</v>
      </c>
      <c r="L119" s="261">
        <v>9097.2000000000007</v>
      </c>
      <c r="M119" s="261">
        <v>23383.099999999995</v>
      </c>
      <c r="N119" s="261">
        <v>62875</v>
      </c>
      <c r="O119" s="291">
        <v>171985</v>
      </c>
      <c r="P119" s="2">
        <v>13824.600000000002</v>
      </c>
      <c r="Q119" s="140">
        <v>530.3999999999993</v>
      </c>
      <c r="R119" s="294">
        <v>105621.00000000001</v>
      </c>
      <c r="S119" s="292">
        <f t="shared" si="5"/>
        <v>1090361.7999999998</v>
      </c>
      <c r="T119" s="254"/>
      <c r="U119" s="254"/>
      <c r="V119" s="254"/>
    </row>
    <row r="120" spans="1:25" s="139" customFormat="1" hidden="1">
      <c r="A120" s="113" t="s">
        <v>44</v>
      </c>
      <c r="B120" s="261">
        <v>302894.09999999986</v>
      </c>
      <c r="C120" s="261">
        <v>192693.69999999998</v>
      </c>
      <c r="D120" s="261">
        <v>135016.69999999998</v>
      </c>
      <c r="E120" s="261">
        <v>7689.9000000000005</v>
      </c>
      <c r="F120" s="261">
        <v>12098.2</v>
      </c>
      <c r="G120" s="261">
        <v>164.29999999999998</v>
      </c>
      <c r="H120" s="261">
        <v>1608.3</v>
      </c>
      <c r="I120" s="261">
        <v>1204.8</v>
      </c>
      <c r="J120" s="290" t="s">
        <v>88</v>
      </c>
      <c r="K120" s="261">
        <v>47467.1</v>
      </c>
      <c r="L120" s="261">
        <v>8442.7999999999993</v>
      </c>
      <c r="M120" s="261">
        <v>22174.100000000002</v>
      </c>
      <c r="N120" s="261">
        <v>64026.799999999996</v>
      </c>
      <c r="O120" s="291">
        <v>173133.90000000002</v>
      </c>
      <c r="P120" s="2">
        <v>15155.099999999999</v>
      </c>
      <c r="Q120" s="140">
        <v>-4453.4000000000005</v>
      </c>
      <c r="R120" s="294">
        <v>113979.19999999998</v>
      </c>
      <c r="S120" s="292">
        <v>1093295.5999999999</v>
      </c>
      <c r="T120" s="254"/>
      <c r="U120" s="254"/>
      <c r="V120" s="254"/>
      <c r="W120" s="69"/>
      <c r="X120" s="69"/>
      <c r="Y120" s="69"/>
    </row>
    <row r="121" spans="1:25" hidden="1">
      <c r="A121" s="113" t="s">
        <v>45</v>
      </c>
      <c r="B121" s="261">
        <v>311460.20000000013</v>
      </c>
      <c r="C121" s="261">
        <v>189804</v>
      </c>
      <c r="D121" s="261">
        <v>139324.1</v>
      </c>
      <c r="E121" s="261">
        <v>6444.0999999999995</v>
      </c>
      <c r="F121" s="261">
        <v>10509.300000000001</v>
      </c>
      <c r="G121" s="261">
        <v>151.6</v>
      </c>
      <c r="H121" s="261">
        <v>1271.1000000000001</v>
      </c>
      <c r="I121" s="261">
        <v>430</v>
      </c>
      <c r="J121" s="290" t="s">
        <v>88</v>
      </c>
      <c r="K121" s="261">
        <v>37548.6</v>
      </c>
      <c r="L121" s="261">
        <v>9384</v>
      </c>
      <c r="M121" s="261">
        <v>27952.999999999996</v>
      </c>
      <c r="N121" s="261">
        <v>93180.60000000002</v>
      </c>
      <c r="O121" s="291">
        <v>173123.90000000002</v>
      </c>
      <c r="P121" s="2">
        <v>16218.6</v>
      </c>
      <c r="Q121" s="140">
        <v>4661.8999999999996</v>
      </c>
      <c r="R121" s="294">
        <v>126674.79999999999</v>
      </c>
      <c r="S121" s="292">
        <f t="shared" si="5"/>
        <v>1148139.8</v>
      </c>
      <c r="T121" s="254"/>
      <c r="U121" s="254"/>
      <c r="V121" s="254"/>
    </row>
    <row r="122" spans="1:25" hidden="1">
      <c r="A122" s="113" t="s">
        <v>46</v>
      </c>
      <c r="B122" s="261">
        <v>323671.8</v>
      </c>
      <c r="C122" s="261">
        <v>197353.00000000003</v>
      </c>
      <c r="D122" s="261">
        <v>133701.70000000001</v>
      </c>
      <c r="E122" s="261">
        <v>7276.8</v>
      </c>
      <c r="F122" s="261">
        <v>9316.7999999999993</v>
      </c>
      <c r="G122" s="261">
        <v>151.79999999999998</v>
      </c>
      <c r="H122" s="261">
        <v>821.90000000000009</v>
      </c>
      <c r="I122" s="261">
        <v>430</v>
      </c>
      <c r="J122" s="290" t="s">
        <v>88</v>
      </c>
      <c r="K122" s="261">
        <v>36128.5</v>
      </c>
      <c r="L122" s="261">
        <v>8481.4</v>
      </c>
      <c r="M122" s="261">
        <v>26682.2</v>
      </c>
      <c r="N122" s="261">
        <v>97175</v>
      </c>
      <c r="O122" s="291">
        <v>173114.40000000002</v>
      </c>
      <c r="P122" s="2">
        <v>18653.5</v>
      </c>
      <c r="Q122" s="140">
        <v>-881.1000000000007</v>
      </c>
      <c r="R122" s="294">
        <v>130304.49999999999</v>
      </c>
      <c r="S122" s="292">
        <f t="shared" si="5"/>
        <v>1162382.2000000002</v>
      </c>
      <c r="T122" s="254"/>
      <c r="U122" s="254"/>
      <c r="V122" s="254"/>
    </row>
    <row r="123" spans="1:25" hidden="1">
      <c r="A123" s="113" t="s">
        <v>47</v>
      </c>
      <c r="B123" s="261">
        <v>323653.39999999997</v>
      </c>
      <c r="C123" s="261">
        <v>204700</v>
      </c>
      <c r="D123" s="261">
        <v>132655.39999999997</v>
      </c>
      <c r="E123" s="261">
        <v>7023.2</v>
      </c>
      <c r="F123" s="261">
        <v>8873.7999999999993</v>
      </c>
      <c r="G123" s="261">
        <v>251.89999999999998</v>
      </c>
      <c r="H123" s="261">
        <v>1411.8</v>
      </c>
      <c r="I123" s="261">
        <v>200</v>
      </c>
      <c r="J123" s="290" t="s">
        <v>88</v>
      </c>
      <c r="K123" s="261">
        <v>46894</v>
      </c>
      <c r="L123" s="261">
        <v>8065.6</v>
      </c>
      <c r="M123" s="261">
        <v>23839.200000000001</v>
      </c>
      <c r="N123" s="261">
        <v>97072.7</v>
      </c>
      <c r="O123" s="291">
        <v>173085.40000000002</v>
      </c>
      <c r="P123" s="2">
        <v>20594.5</v>
      </c>
      <c r="Q123" s="140">
        <v>-33.20000000000018</v>
      </c>
      <c r="R123" s="294">
        <v>135024.29999999999</v>
      </c>
      <c r="S123" s="292">
        <f t="shared" si="5"/>
        <v>1183311.9999999998</v>
      </c>
      <c r="T123" s="254"/>
      <c r="U123" s="254"/>
      <c r="V123" s="254"/>
    </row>
    <row r="124" spans="1:25" hidden="1">
      <c r="A124" s="113" t="s">
        <v>48</v>
      </c>
      <c r="B124" s="261">
        <v>329694.80000000005</v>
      </c>
      <c r="C124" s="261">
        <v>204328.00000000003</v>
      </c>
      <c r="D124" s="261">
        <v>135679.39999999988</v>
      </c>
      <c r="E124" s="261">
        <v>10347.099999999999</v>
      </c>
      <c r="F124" s="261">
        <v>7869.2</v>
      </c>
      <c r="G124" s="261">
        <v>251.89999999999998</v>
      </c>
      <c r="H124" s="261">
        <v>1657.5000000000002</v>
      </c>
      <c r="I124" s="261">
        <v>430</v>
      </c>
      <c r="J124" s="290" t="s">
        <v>88</v>
      </c>
      <c r="K124" s="261">
        <v>29490.199999999997</v>
      </c>
      <c r="L124" s="261">
        <v>9945</v>
      </c>
      <c r="M124" s="261">
        <v>26203.8</v>
      </c>
      <c r="N124" s="261">
        <v>93786.4</v>
      </c>
      <c r="O124" s="291">
        <v>173073.80000000002</v>
      </c>
      <c r="P124" s="2">
        <v>22401.499999999996</v>
      </c>
      <c r="Q124" s="140">
        <v>-914.99999999999852</v>
      </c>
      <c r="R124" s="294">
        <v>134823</v>
      </c>
      <c r="S124" s="292">
        <f t="shared" si="5"/>
        <v>1179066.6000000001</v>
      </c>
      <c r="T124" s="254"/>
      <c r="U124" s="254"/>
      <c r="V124" s="254"/>
    </row>
    <row r="125" spans="1:25" hidden="1">
      <c r="A125" s="113" t="s">
        <v>49</v>
      </c>
      <c r="B125" s="261">
        <v>323440.09999999986</v>
      </c>
      <c r="C125" s="261">
        <v>210015.90000000002</v>
      </c>
      <c r="D125" s="261">
        <v>132202.79999999993</v>
      </c>
      <c r="E125" s="261">
        <v>11080.3</v>
      </c>
      <c r="F125" s="261">
        <v>9822.2999999999993</v>
      </c>
      <c r="G125" s="261">
        <v>245.5</v>
      </c>
      <c r="H125" s="261">
        <v>1156.8</v>
      </c>
      <c r="I125" s="261">
        <v>430</v>
      </c>
      <c r="J125" s="290" t="s">
        <v>88</v>
      </c>
      <c r="K125" s="261">
        <v>37931.500000000007</v>
      </c>
      <c r="L125" s="261">
        <v>10511.900000000001</v>
      </c>
      <c r="M125" s="261">
        <v>24332.000000000004</v>
      </c>
      <c r="N125" s="261">
        <v>94731.5</v>
      </c>
      <c r="O125" s="291">
        <v>175995.2</v>
      </c>
      <c r="P125" s="2">
        <v>24831.399999999998</v>
      </c>
      <c r="Q125" s="140">
        <v>104.09999999999818</v>
      </c>
      <c r="R125" s="294">
        <v>131531.70000000001</v>
      </c>
      <c r="S125" s="292">
        <f t="shared" si="5"/>
        <v>1188363</v>
      </c>
      <c r="T125" s="254"/>
      <c r="U125" s="254"/>
      <c r="V125" s="254"/>
    </row>
    <row r="126" spans="1:25" hidden="1">
      <c r="A126" s="113" t="s">
        <v>50</v>
      </c>
      <c r="B126" s="261">
        <v>335552.69999999995</v>
      </c>
      <c r="C126" s="261">
        <v>211763.9</v>
      </c>
      <c r="D126" s="261">
        <v>134315.39999999997</v>
      </c>
      <c r="E126" s="261">
        <v>9698.1999999999989</v>
      </c>
      <c r="F126" s="261">
        <v>11803.2</v>
      </c>
      <c r="G126" s="261">
        <v>246.1</v>
      </c>
      <c r="H126" s="261">
        <v>1446.5</v>
      </c>
      <c r="I126" s="261">
        <v>430</v>
      </c>
      <c r="J126" s="290" t="s">
        <v>88</v>
      </c>
      <c r="K126" s="261">
        <v>50992.200000000004</v>
      </c>
      <c r="L126" s="261">
        <v>9056.5</v>
      </c>
      <c r="M126" s="261">
        <v>22059.600000000002</v>
      </c>
      <c r="N126" s="261">
        <v>89787.400000000009</v>
      </c>
      <c r="O126" s="291">
        <v>185759.6</v>
      </c>
      <c r="P126" s="2">
        <v>21766.899999999998</v>
      </c>
      <c r="Q126" s="140">
        <v>-198.70000000000019</v>
      </c>
      <c r="R126" s="294">
        <v>133537.29999999999</v>
      </c>
      <c r="S126" s="292">
        <f t="shared" si="5"/>
        <v>1218016.7999999998</v>
      </c>
      <c r="T126" s="254"/>
      <c r="U126" s="254"/>
      <c r="V126" s="254"/>
    </row>
    <row r="127" spans="1:25" hidden="1">
      <c r="A127" s="142"/>
      <c r="B127" s="261"/>
      <c r="C127" s="261"/>
      <c r="D127" s="261"/>
      <c r="E127" s="261"/>
      <c r="F127" s="261"/>
      <c r="G127" s="261"/>
      <c r="H127" s="261"/>
      <c r="I127" s="261"/>
      <c r="J127" s="290"/>
      <c r="K127" s="261"/>
      <c r="L127" s="261"/>
      <c r="M127" s="261"/>
      <c r="N127" s="261"/>
      <c r="O127" s="291"/>
      <c r="P127" s="2"/>
      <c r="Q127" s="140"/>
      <c r="R127" s="294"/>
      <c r="S127" s="292"/>
      <c r="T127" s="254"/>
      <c r="U127" s="254"/>
      <c r="V127" s="254"/>
    </row>
    <row r="128" spans="1:25" hidden="1">
      <c r="A128" s="113" t="s">
        <v>54</v>
      </c>
      <c r="B128" s="261">
        <v>321921.59999999998</v>
      </c>
      <c r="C128" s="261">
        <v>215563.1</v>
      </c>
      <c r="D128" s="261">
        <v>136896.5</v>
      </c>
      <c r="E128" s="261">
        <v>6911.0999999999985</v>
      </c>
      <c r="F128" s="261">
        <v>13787.1</v>
      </c>
      <c r="G128" s="261">
        <v>246.3</v>
      </c>
      <c r="H128" s="261">
        <v>979</v>
      </c>
      <c r="I128" s="261">
        <v>430</v>
      </c>
      <c r="J128" s="290" t="s">
        <v>88</v>
      </c>
      <c r="K128" s="261">
        <v>36370.699999999997</v>
      </c>
      <c r="L128" s="261">
        <v>10394.200000000001</v>
      </c>
      <c r="M128" s="261">
        <v>23963.999999999996</v>
      </c>
      <c r="N128" s="261">
        <v>99764.5</v>
      </c>
      <c r="O128" s="291">
        <v>185457.7</v>
      </c>
      <c r="P128" s="2">
        <v>23367.8</v>
      </c>
      <c r="Q128" s="140">
        <v>-535.9000000000018</v>
      </c>
      <c r="R128" s="294">
        <v>138828.9</v>
      </c>
      <c r="S128" s="292">
        <f t="shared" si="5"/>
        <v>1214346.5999999999</v>
      </c>
      <c r="T128" s="254"/>
      <c r="U128" s="254"/>
      <c r="V128" s="254"/>
    </row>
    <row r="129" spans="1:22" hidden="1">
      <c r="A129" s="113" t="s">
        <v>40</v>
      </c>
      <c r="B129" s="80">
        <v>313123.20000000013</v>
      </c>
      <c r="C129" s="80">
        <v>230217.49999999997</v>
      </c>
      <c r="D129" s="80">
        <v>147004.29999999993</v>
      </c>
      <c r="E129" s="80">
        <v>6707.5999999999995</v>
      </c>
      <c r="F129" s="80">
        <v>12377.2</v>
      </c>
      <c r="G129" s="80">
        <v>288</v>
      </c>
      <c r="H129" s="261">
        <v>836.4</v>
      </c>
      <c r="I129" s="261">
        <v>430</v>
      </c>
      <c r="J129" s="290">
        <v>100.9</v>
      </c>
      <c r="K129" s="71">
        <v>36731</v>
      </c>
      <c r="L129" s="261">
        <v>7641.8</v>
      </c>
      <c r="M129" s="261">
        <v>36611.300000000003</v>
      </c>
      <c r="N129" s="261">
        <v>92448.099999999991</v>
      </c>
      <c r="O129" s="81">
        <v>185426.9</v>
      </c>
      <c r="P129" s="2">
        <v>24084.3</v>
      </c>
      <c r="Q129" s="288">
        <v>6371.5999999999967</v>
      </c>
      <c r="R129" s="81">
        <v>137081.70000000001</v>
      </c>
      <c r="S129" s="285">
        <f t="shared" ref="S129:S139" si="6">SUM(B129:R129)</f>
        <v>1237481.8</v>
      </c>
      <c r="T129" s="254"/>
      <c r="U129" s="254"/>
      <c r="V129" s="254"/>
    </row>
    <row r="130" spans="1:22" hidden="1">
      <c r="A130" s="113" t="s">
        <v>41</v>
      </c>
      <c r="B130" s="80">
        <v>327186.89999999997</v>
      </c>
      <c r="C130" s="80">
        <v>230375.10000000003</v>
      </c>
      <c r="D130" s="80">
        <v>149215.09999999989</v>
      </c>
      <c r="E130" s="80">
        <v>7228.7999999999993</v>
      </c>
      <c r="F130" s="80">
        <v>12602.2</v>
      </c>
      <c r="G130" s="80">
        <v>299.7</v>
      </c>
      <c r="H130" s="261">
        <v>1164.5999999999999</v>
      </c>
      <c r="I130" s="261">
        <v>430</v>
      </c>
      <c r="J130" s="290" t="s">
        <v>88</v>
      </c>
      <c r="K130" s="71">
        <v>44396.2</v>
      </c>
      <c r="L130" s="261">
        <v>7987.7</v>
      </c>
      <c r="M130" s="261">
        <v>28923.399999999998</v>
      </c>
      <c r="N130" s="261">
        <v>100768.70000000001</v>
      </c>
      <c r="O130" s="81">
        <v>189667.8</v>
      </c>
      <c r="P130" s="2">
        <v>16072.599999999999</v>
      </c>
      <c r="Q130" s="288">
        <v>-3172.1999999999994</v>
      </c>
      <c r="R130" s="81">
        <v>131176.70000000001</v>
      </c>
      <c r="S130" s="285">
        <f t="shared" si="6"/>
        <v>1244323.2999999998</v>
      </c>
      <c r="T130" s="254"/>
      <c r="U130" s="254"/>
      <c r="V130" s="254"/>
    </row>
    <row r="131" spans="1:22" hidden="1">
      <c r="A131" s="113" t="s">
        <v>42</v>
      </c>
      <c r="B131" s="80">
        <v>335300.59999999992</v>
      </c>
      <c r="C131" s="80">
        <v>234447.6</v>
      </c>
      <c r="D131" s="80">
        <v>161728.20000000004</v>
      </c>
      <c r="E131" s="80">
        <v>10572.9</v>
      </c>
      <c r="F131" s="80">
        <v>11776.6</v>
      </c>
      <c r="G131" s="80">
        <v>287.89999999999998</v>
      </c>
      <c r="H131" s="261">
        <v>1392.1</v>
      </c>
      <c r="I131" s="261">
        <v>430</v>
      </c>
      <c r="J131" s="290" t="s">
        <v>88</v>
      </c>
      <c r="K131" s="71">
        <v>37615.9</v>
      </c>
      <c r="L131" s="261">
        <v>7479.0999999999995</v>
      </c>
      <c r="M131" s="261">
        <v>23495.599999999999</v>
      </c>
      <c r="N131" s="261">
        <v>107327.5</v>
      </c>
      <c r="O131" s="81">
        <v>190120.80000000002</v>
      </c>
      <c r="P131" s="2">
        <v>15472.3</v>
      </c>
      <c r="Q131" s="288">
        <v>720.49999999999966</v>
      </c>
      <c r="R131" s="81">
        <v>135707.09999999998</v>
      </c>
      <c r="S131" s="285">
        <f t="shared" si="6"/>
        <v>1273874.7000000002</v>
      </c>
      <c r="T131" s="254"/>
      <c r="U131" s="254"/>
      <c r="V131" s="254"/>
    </row>
    <row r="132" spans="1:22" hidden="1">
      <c r="A132" s="113" t="s">
        <v>43</v>
      </c>
      <c r="B132" s="80">
        <v>336505.39999999997</v>
      </c>
      <c r="C132" s="80">
        <v>235632.09999999998</v>
      </c>
      <c r="D132" s="80">
        <v>147762.20000000007</v>
      </c>
      <c r="E132" s="80">
        <v>9806.7999999999993</v>
      </c>
      <c r="F132" s="80">
        <v>10787.1</v>
      </c>
      <c r="G132" s="80">
        <v>0</v>
      </c>
      <c r="H132" s="261">
        <v>1045</v>
      </c>
      <c r="I132" s="261">
        <v>480</v>
      </c>
      <c r="J132" s="290" t="s">
        <v>88</v>
      </c>
      <c r="K132" s="71">
        <v>36020.999999999993</v>
      </c>
      <c r="L132" s="261">
        <v>6780.4</v>
      </c>
      <c r="M132" s="261">
        <v>25618.3</v>
      </c>
      <c r="N132" s="261">
        <v>101540</v>
      </c>
      <c r="O132" s="81">
        <v>190121.3</v>
      </c>
      <c r="P132" s="2">
        <v>17198.5</v>
      </c>
      <c r="Q132" s="288">
        <v>-2080.0000000000005</v>
      </c>
      <c r="R132" s="81">
        <v>138727.9</v>
      </c>
      <c r="S132" s="285">
        <f t="shared" si="6"/>
        <v>1255946</v>
      </c>
      <c r="T132" s="254"/>
      <c r="U132" s="254"/>
      <c r="V132" s="254"/>
    </row>
    <row r="133" spans="1:22" hidden="1">
      <c r="A133" s="113" t="s">
        <v>44</v>
      </c>
      <c r="B133" s="80">
        <v>352182.9</v>
      </c>
      <c r="C133" s="80">
        <v>232053.8</v>
      </c>
      <c r="D133" s="80">
        <v>145441.80000000002</v>
      </c>
      <c r="E133" s="80">
        <v>11827.5</v>
      </c>
      <c r="F133" s="80">
        <v>10918.8</v>
      </c>
      <c r="G133" s="80">
        <v>0</v>
      </c>
      <c r="H133" s="261">
        <v>1983.8</v>
      </c>
      <c r="I133" s="261">
        <v>250</v>
      </c>
      <c r="J133" s="290" t="s">
        <v>88</v>
      </c>
      <c r="K133" s="71">
        <v>46972.9</v>
      </c>
      <c r="L133" s="261">
        <v>8690.2999999999993</v>
      </c>
      <c r="M133" s="261">
        <v>19697.099999999999</v>
      </c>
      <c r="N133" s="261">
        <v>102707.09999999999</v>
      </c>
      <c r="O133" s="81">
        <v>193171.39999999997</v>
      </c>
      <c r="P133" s="2">
        <v>16946.699999999997</v>
      </c>
      <c r="Q133" s="288">
        <v>-3933.8000000000015</v>
      </c>
      <c r="R133" s="81">
        <v>143366.29999999999</v>
      </c>
      <c r="S133" s="285">
        <f t="shared" si="6"/>
        <v>1282276.6000000001</v>
      </c>
      <c r="T133" s="254"/>
      <c r="U133" s="254"/>
      <c r="V133" s="254"/>
    </row>
    <row r="134" spans="1:22" hidden="1">
      <c r="A134" s="113" t="s">
        <v>45</v>
      </c>
      <c r="B134" s="80">
        <v>355902.89999999991</v>
      </c>
      <c r="C134" s="80">
        <v>239370.50000000003</v>
      </c>
      <c r="D134" s="80">
        <v>167466.59999999995</v>
      </c>
      <c r="E134" s="80">
        <v>8413.3000000000011</v>
      </c>
      <c r="F134" s="80">
        <v>11728.1</v>
      </c>
      <c r="G134" s="80">
        <v>0</v>
      </c>
      <c r="H134" s="261">
        <v>1297.8</v>
      </c>
      <c r="I134" s="261">
        <v>280</v>
      </c>
      <c r="J134" s="290" t="s">
        <v>88</v>
      </c>
      <c r="K134" s="71">
        <v>42318.3</v>
      </c>
      <c r="L134" s="261">
        <v>9695.1</v>
      </c>
      <c r="M134" s="261">
        <v>21321.7</v>
      </c>
      <c r="N134" s="261">
        <v>108563.80000000002</v>
      </c>
      <c r="O134" s="81">
        <v>193278.19999999998</v>
      </c>
      <c r="P134" s="2">
        <v>18872.8</v>
      </c>
      <c r="Q134" s="288">
        <v>-4907.3</v>
      </c>
      <c r="R134" s="81">
        <v>147930.20000000001</v>
      </c>
      <c r="S134" s="285">
        <f t="shared" si="6"/>
        <v>1321532</v>
      </c>
      <c r="T134" s="254"/>
      <c r="U134" s="254"/>
      <c r="V134" s="254"/>
    </row>
    <row r="135" spans="1:22" hidden="1">
      <c r="A135" s="113" t="s">
        <v>46</v>
      </c>
      <c r="B135" s="80">
        <v>362399.60000000003</v>
      </c>
      <c r="C135" s="80">
        <v>238744.6</v>
      </c>
      <c r="D135" s="80">
        <v>159011.39999999994</v>
      </c>
      <c r="E135" s="80">
        <v>9923.7999999999993</v>
      </c>
      <c r="F135" s="80">
        <v>11156.599999999999</v>
      </c>
      <c r="G135" s="80">
        <v>0</v>
      </c>
      <c r="H135" s="261">
        <v>1441.4</v>
      </c>
      <c r="I135" s="261">
        <v>280</v>
      </c>
      <c r="J135" s="290" t="s">
        <v>88</v>
      </c>
      <c r="K135" s="71">
        <v>43264.9</v>
      </c>
      <c r="L135" s="261">
        <v>6237.9</v>
      </c>
      <c r="M135" s="261">
        <v>15180.1</v>
      </c>
      <c r="N135" s="261">
        <v>125444.30000000002</v>
      </c>
      <c r="O135" s="81">
        <v>193266.9</v>
      </c>
      <c r="P135" s="2">
        <v>21790.5</v>
      </c>
      <c r="Q135" s="288">
        <v>-4975.2</v>
      </c>
      <c r="R135" s="81">
        <v>145338.5</v>
      </c>
      <c r="S135" s="285">
        <f t="shared" si="6"/>
        <v>1328505.3</v>
      </c>
      <c r="U135" s="254"/>
      <c r="V135" s="254"/>
    </row>
    <row r="136" spans="1:22" hidden="1">
      <c r="A136" s="113" t="s">
        <v>47</v>
      </c>
      <c r="B136" s="80">
        <v>340745.7</v>
      </c>
      <c r="C136" s="80">
        <v>225034.69999999998</v>
      </c>
      <c r="D136" s="80">
        <v>148158.49999999988</v>
      </c>
      <c r="E136" s="80">
        <v>8632.8000000000011</v>
      </c>
      <c r="F136" s="80">
        <v>11457.199999999999</v>
      </c>
      <c r="G136" s="80">
        <v>0</v>
      </c>
      <c r="H136" s="261">
        <v>2127.3000000000002</v>
      </c>
      <c r="I136" s="261">
        <v>230</v>
      </c>
      <c r="J136" s="290" t="s">
        <v>88</v>
      </c>
      <c r="K136" s="71">
        <v>52172.800000000003</v>
      </c>
      <c r="L136" s="261">
        <v>9825.5</v>
      </c>
      <c r="M136" s="261">
        <v>14050.2</v>
      </c>
      <c r="N136" s="261">
        <v>123900.5</v>
      </c>
      <c r="O136" s="81">
        <v>193246.40000000002</v>
      </c>
      <c r="P136" s="2">
        <v>23804.1</v>
      </c>
      <c r="Q136" s="288">
        <v>-6415.5000000000018</v>
      </c>
      <c r="R136" s="81">
        <v>163481.60000000001</v>
      </c>
      <c r="S136" s="285">
        <f t="shared" si="6"/>
        <v>1310451.8000000003</v>
      </c>
      <c r="T136" s="254"/>
      <c r="U136" s="254"/>
      <c r="V136" s="254"/>
    </row>
    <row r="137" spans="1:22" hidden="1">
      <c r="A137" s="113" t="s">
        <v>48</v>
      </c>
      <c r="B137" s="80">
        <v>383785.00000000006</v>
      </c>
      <c r="C137" s="80">
        <v>223373.09999999998</v>
      </c>
      <c r="D137" s="80">
        <v>154115.89999999988</v>
      </c>
      <c r="E137" s="80">
        <v>12270.2</v>
      </c>
      <c r="F137" s="80">
        <v>13231.9</v>
      </c>
      <c r="G137" s="80">
        <v>0</v>
      </c>
      <c r="H137" s="261">
        <v>2114.6000000000004</v>
      </c>
      <c r="I137" s="261">
        <v>230</v>
      </c>
      <c r="J137" s="290" t="s">
        <v>88</v>
      </c>
      <c r="K137" s="71">
        <v>40593.699999999997</v>
      </c>
      <c r="L137" s="261">
        <v>11710.6</v>
      </c>
      <c r="M137" s="261">
        <v>16765.2</v>
      </c>
      <c r="N137" s="261">
        <v>126248.49999999999</v>
      </c>
      <c r="O137" s="81">
        <v>195355.19999999998</v>
      </c>
      <c r="P137" s="2">
        <v>25230</v>
      </c>
      <c r="Q137" s="288">
        <v>-5665.9</v>
      </c>
      <c r="R137" s="81">
        <v>148996</v>
      </c>
      <c r="S137" s="285">
        <f t="shared" si="6"/>
        <v>1348354</v>
      </c>
      <c r="T137" s="254"/>
      <c r="U137" s="254"/>
      <c r="V137" s="254"/>
    </row>
    <row r="138" spans="1:22" hidden="1">
      <c r="A138" s="113" t="s">
        <v>49</v>
      </c>
      <c r="B138" s="80">
        <v>369014.29999999993</v>
      </c>
      <c r="C138" s="80">
        <v>221357.8</v>
      </c>
      <c r="D138" s="80">
        <v>145251.5</v>
      </c>
      <c r="E138" s="80">
        <v>12303.999999999998</v>
      </c>
      <c r="F138" s="80">
        <v>14878.9</v>
      </c>
      <c r="G138" s="80">
        <v>0</v>
      </c>
      <c r="H138" s="261">
        <v>2101.8000000000006</v>
      </c>
      <c r="I138" s="261">
        <v>230</v>
      </c>
      <c r="J138" s="261">
        <v>1537.5</v>
      </c>
      <c r="K138" s="71">
        <v>44404.200000000004</v>
      </c>
      <c r="L138" s="261">
        <v>10074.700000000001</v>
      </c>
      <c r="M138" s="261">
        <v>15167.600000000002</v>
      </c>
      <c r="N138" s="261">
        <v>119263.00000000001</v>
      </c>
      <c r="O138" s="81">
        <v>196825.79999999996</v>
      </c>
      <c r="P138" s="2">
        <v>27592.400000000001</v>
      </c>
      <c r="Q138" s="288">
        <v>-5717.4000000000015</v>
      </c>
      <c r="R138" s="81">
        <v>151168.9</v>
      </c>
      <c r="S138" s="285">
        <f t="shared" si="6"/>
        <v>1325454.9999999998</v>
      </c>
      <c r="T138" s="254"/>
      <c r="U138" s="254"/>
      <c r="V138" s="254"/>
    </row>
    <row r="139" spans="1:22" hidden="1">
      <c r="A139" s="113" t="s">
        <v>50</v>
      </c>
      <c r="B139" s="80">
        <v>384656.60000000003</v>
      </c>
      <c r="C139" s="80">
        <v>227786.60000000003</v>
      </c>
      <c r="D139" s="80">
        <v>163209.70000000004</v>
      </c>
      <c r="E139" s="80">
        <v>15905.7</v>
      </c>
      <c r="F139" s="80">
        <v>12998.199999999999</v>
      </c>
      <c r="G139" s="80">
        <v>0</v>
      </c>
      <c r="H139" s="261">
        <v>1669.5</v>
      </c>
      <c r="I139" s="261">
        <v>230</v>
      </c>
      <c r="J139" s="290" t="s">
        <v>88</v>
      </c>
      <c r="K139" s="71">
        <v>48639.1</v>
      </c>
      <c r="L139" s="261">
        <v>9410.5</v>
      </c>
      <c r="M139" s="261">
        <v>17620.400000000001</v>
      </c>
      <c r="N139" s="261">
        <v>147751.79999999999</v>
      </c>
      <c r="O139" s="81">
        <v>205273.59999999995</v>
      </c>
      <c r="P139" s="2">
        <v>25746.6</v>
      </c>
      <c r="Q139" s="288">
        <v>-2380.1999999999975</v>
      </c>
      <c r="R139" s="81">
        <v>142120.29999999999</v>
      </c>
      <c r="S139" s="285">
        <f t="shared" si="6"/>
        <v>1400638.4000000001</v>
      </c>
      <c r="T139" s="254"/>
      <c r="U139" s="254"/>
      <c r="V139" s="254"/>
    </row>
    <row r="140" spans="1:22" hidden="1">
      <c r="A140" s="113"/>
      <c r="B140" s="80"/>
      <c r="C140" s="80"/>
      <c r="D140" s="80"/>
      <c r="E140" s="80"/>
      <c r="F140" s="80"/>
      <c r="G140" s="80"/>
      <c r="H140" s="261"/>
      <c r="I140" s="261"/>
      <c r="J140" s="290"/>
      <c r="K140" s="71"/>
      <c r="L140" s="261"/>
      <c r="M140" s="261"/>
      <c r="N140" s="261"/>
      <c r="O140" s="81"/>
      <c r="P140" s="2"/>
      <c r="Q140" s="288"/>
      <c r="R140" s="81"/>
      <c r="S140" s="285"/>
      <c r="T140" s="254"/>
      <c r="U140" s="254"/>
      <c r="V140" s="254"/>
    </row>
    <row r="141" spans="1:22" hidden="1">
      <c r="A141" s="113" t="s">
        <v>51</v>
      </c>
      <c r="B141" s="80">
        <v>377092.1</v>
      </c>
      <c r="C141" s="80">
        <v>227743.40000000002</v>
      </c>
      <c r="D141" s="80">
        <v>157848.29999999999</v>
      </c>
      <c r="E141" s="80">
        <v>11765.9</v>
      </c>
      <c r="F141" s="80">
        <v>12887.900000000001</v>
      </c>
      <c r="G141" s="80">
        <v>0</v>
      </c>
      <c r="H141" s="261">
        <v>1257.5</v>
      </c>
      <c r="I141" s="261">
        <v>230</v>
      </c>
      <c r="J141" s="261">
        <v>462.2</v>
      </c>
      <c r="K141" s="71">
        <v>37217</v>
      </c>
      <c r="L141" s="261">
        <v>10765</v>
      </c>
      <c r="M141" s="261">
        <v>14643.7</v>
      </c>
      <c r="N141" s="261">
        <v>141155.80000000002</v>
      </c>
      <c r="O141" s="81">
        <v>205212.79999999999</v>
      </c>
      <c r="P141" s="2">
        <v>29053.4</v>
      </c>
      <c r="Q141" s="288">
        <v>-7358.5999999999967</v>
      </c>
      <c r="R141" s="81">
        <v>140232.5</v>
      </c>
      <c r="S141" s="285">
        <f t="shared" ref="S141:S152" si="7">SUM(B141:R141)</f>
        <v>1360208.9</v>
      </c>
      <c r="T141" s="254"/>
      <c r="U141" s="254"/>
      <c r="V141" s="254"/>
    </row>
    <row r="142" spans="1:22" hidden="1">
      <c r="A142" s="113" t="s">
        <v>52</v>
      </c>
      <c r="B142" s="80">
        <v>371144.59999999992</v>
      </c>
      <c r="C142" s="80">
        <v>233963.3</v>
      </c>
      <c r="D142" s="80">
        <v>153754.09999999995</v>
      </c>
      <c r="E142" s="80">
        <v>10802.000000000002</v>
      </c>
      <c r="F142" s="80">
        <v>13780.2</v>
      </c>
      <c r="G142" s="80">
        <v>0</v>
      </c>
      <c r="H142" s="261">
        <v>1416.6</v>
      </c>
      <c r="I142" s="261">
        <v>630</v>
      </c>
      <c r="J142" s="290" t="s">
        <v>88</v>
      </c>
      <c r="K142" s="71">
        <v>36743.599999999999</v>
      </c>
      <c r="L142" s="261">
        <v>11042.300000000001</v>
      </c>
      <c r="M142" s="261">
        <v>16076</v>
      </c>
      <c r="N142" s="261">
        <v>147645.9</v>
      </c>
      <c r="O142" s="81">
        <v>210500.89999999997</v>
      </c>
      <c r="P142" s="2">
        <v>23074.299999999996</v>
      </c>
      <c r="Q142" s="288">
        <v>-5337.8000000000011</v>
      </c>
      <c r="R142" s="81">
        <v>149373.9</v>
      </c>
      <c r="S142" s="285">
        <f t="shared" si="7"/>
        <v>1374609.8999999997</v>
      </c>
      <c r="T142" s="254"/>
      <c r="U142" s="254"/>
      <c r="V142" s="254"/>
    </row>
    <row r="143" spans="1:22" hidden="1">
      <c r="A143" s="113" t="s">
        <v>53</v>
      </c>
      <c r="B143" s="80">
        <v>344444.1</v>
      </c>
      <c r="C143" s="80">
        <v>238986.80000000005</v>
      </c>
      <c r="D143" s="80">
        <v>148154.4</v>
      </c>
      <c r="E143" s="80">
        <v>11731.800000000001</v>
      </c>
      <c r="F143" s="80">
        <v>8849.7999999999993</v>
      </c>
      <c r="G143" s="290" t="s">
        <v>88</v>
      </c>
      <c r="H143" s="261">
        <v>1196</v>
      </c>
      <c r="I143" s="261">
        <v>1133.5999999999999</v>
      </c>
      <c r="J143" s="261">
        <v>1123.2</v>
      </c>
      <c r="K143" s="71">
        <v>52869.700000000004</v>
      </c>
      <c r="L143" s="261">
        <v>10155.5</v>
      </c>
      <c r="M143" s="261">
        <v>14779.000000000002</v>
      </c>
      <c r="N143" s="261">
        <v>146198.79999999999</v>
      </c>
      <c r="O143" s="81">
        <v>215597.59999999998</v>
      </c>
      <c r="P143" s="2">
        <v>11497.699999999999</v>
      </c>
      <c r="Q143" s="288">
        <v>-4355.6000000000022</v>
      </c>
      <c r="R143" s="81">
        <v>156675.29999999999</v>
      </c>
      <c r="S143" s="285">
        <f t="shared" si="7"/>
        <v>1359037.6999999997</v>
      </c>
      <c r="T143" s="254"/>
      <c r="U143" s="254"/>
      <c r="V143" s="254"/>
    </row>
    <row r="144" spans="1:22" hidden="1">
      <c r="A144" s="113" t="s">
        <v>603</v>
      </c>
      <c r="B144" s="80">
        <v>365938.00000000006</v>
      </c>
      <c r="C144" s="80">
        <v>240662.00000000003</v>
      </c>
      <c r="D144" s="80">
        <v>156577.30000000002</v>
      </c>
      <c r="E144" s="80">
        <v>12946.199999999999</v>
      </c>
      <c r="F144" s="80">
        <v>13013.9</v>
      </c>
      <c r="G144" s="290" t="s">
        <v>88</v>
      </c>
      <c r="H144" s="261">
        <v>4460.1000000000004</v>
      </c>
      <c r="I144" s="261">
        <v>930</v>
      </c>
      <c r="J144" s="261">
        <v>10000</v>
      </c>
      <c r="K144" s="71">
        <v>34515.500000000007</v>
      </c>
      <c r="L144" s="261">
        <v>11071.300000000001</v>
      </c>
      <c r="M144" s="261">
        <v>16144.000000000002</v>
      </c>
      <c r="N144" s="261">
        <v>147867.09999999998</v>
      </c>
      <c r="O144" s="81">
        <v>215585.69999999995</v>
      </c>
      <c r="P144" s="2">
        <v>14661.499999999996</v>
      </c>
      <c r="Q144" s="288">
        <v>-5117.5000000000009</v>
      </c>
      <c r="R144" s="81">
        <v>147134.79999999999</v>
      </c>
      <c r="S144" s="285">
        <f t="shared" si="7"/>
        <v>1386389.9000000001</v>
      </c>
      <c r="T144" s="254"/>
      <c r="U144" s="254"/>
      <c r="V144" s="254"/>
    </row>
    <row r="145" spans="1:22" hidden="1">
      <c r="A145" s="113" t="s">
        <v>609</v>
      </c>
      <c r="B145" s="80">
        <v>384802.5</v>
      </c>
      <c r="C145" s="80">
        <v>239634.70000000004</v>
      </c>
      <c r="D145" s="80">
        <v>142297.59999999998</v>
      </c>
      <c r="E145" s="80">
        <v>13355.800000000001</v>
      </c>
      <c r="F145" s="80">
        <v>13178.300000000001</v>
      </c>
      <c r="G145" s="290" t="s">
        <v>88</v>
      </c>
      <c r="H145" s="261">
        <v>5451</v>
      </c>
      <c r="I145" s="261">
        <v>1433.8</v>
      </c>
      <c r="J145" s="261">
        <v>1260.5</v>
      </c>
      <c r="K145" s="71">
        <v>32965.699999999997</v>
      </c>
      <c r="L145" s="261">
        <v>10273.6</v>
      </c>
      <c r="M145" s="261">
        <v>15287.400000000001</v>
      </c>
      <c r="N145" s="261">
        <v>136900.59999999998</v>
      </c>
      <c r="O145" s="81">
        <v>215586.99999999997</v>
      </c>
      <c r="P145" s="2">
        <v>16481.2</v>
      </c>
      <c r="Q145" s="288">
        <v>-5653.6000000000013</v>
      </c>
      <c r="R145" s="81">
        <v>150382.79999999999</v>
      </c>
      <c r="S145" s="285">
        <f t="shared" si="7"/>
        <v>1373638.9</v>
      </c>
      <c r="T145" s="254"/>
      <c r="U145" s="254"/>
      <c r="V145" s="254"/>
    </row>
    <row r="146" spans="1:22" hidden="1">
      <c r="A146" s="113" t="s">
        <v>44</v>
      </c>
      <c r="B146" s="80">
        <v>359911.1999999999</v>
      </c>
      <c r="C146" s="80">
        <v>242095.29999999993</v>
      </c>
      <c r="D146" s="80">
        <v>135754.29999999996</v>
      </c>
      <c r="E146" s="80">
        <v>11068.599999999999</v>
      </c>
      <c r="F146" s="80">
        <v>14518.000000000002</v>
      </c>
      <c r="G146" s="290" t="s">
        <v>88</v>
      </c>
      <c r="H146" s="261">
        <v>4973.3000000000011</v>
      </c>
      <c r="I146" s="261">
        <v>2203.8000000000002</v>
      </c>
      <c r="J146" s="261">
        <v>20000</v>
      </c>
      <c r="K146" s="71">
        <v>43348.600000000006</v>
      </c>
      <c r="L146" s="261">
        <v>10359.799999999999</v>
      </c>
      <c r="M146" s="261">
        <v>13963.300000000001</v>
      </c>
      <c r="N146" s="261">
        <v>139562.5</v>
      </c>
      <c r="O146" s="81">
        <v>215514.19999999998</v>
      </c>
      <c r="P146" s="2">
        <v>19632</v>
      </c>
      <c r="Q146" s="288">
        <v>-8004.4000000000015</v>
      </c>
      <c r="R146" s="81">
        <v>158401.5</v>
      </c>
      <c r="S146" s="285">
        <f t="shared" si="7"/>
        <v>1383302</v>
      </c>
      <c r="T146" s="254"/>
      <c r="U146" s="254"/>
      <c r="V146" s="254"/>
    </row>
    <row r="147" spans="1:22" hidden="1">
      <c r="A147" s="113" t="s">
        <v>617</v>
      </c>
      <c r="B147" s="80">
        <v>369553</v>
      </c>
      <c r="C147" s="80">
        <v>245168.7</v>
      </c>
      <c r="D147" s="80">
        <v>143495.79999999993</v>
      </c>
      <c r="E147" s="80">
        <v>11991</v>
      </c>
      <c r="F147" s="80">
        <v>16419.100000000002</v>
      </c>
      <c r="G147" s="290" t="s">
        <v>88</v>
      </c>
      <c r="H147" s="261">
        <v>3761.9</v>
      </c>
      <c r="I147" s="261">
        <v>2433.9</v>
      </c>
      <c r="J147" s="261">
        <v>6000</v>
      </c>
      <c r="K147" s="71">
        <v>39988.899999999994</v>
      </c>
      <c r="L147" s="261">
        <v>11731.099999999999</v>
      </c>
      <c r="M147" s="261">
        <v>12530.8</v>
      </c>
      <c r="N147" s="261">
        <v>135310.6</v>
      </c>
      <c r="O147" s="81">
        <v>215504.19999999998</v>
      </c>
      <c r="P147" s="2">
        <v>22518.600000000002</v>
      </c>
      <c r="Q147" s="288">
        <v>-7789.4</v>
      </c>
      <c r="R147" s="81">
        <v>160539.09999999998</v>
      </c>
      <c r="S147" s="285">
        <f t="shared" si="7"/>
        <v>1389157.3000000003</v>
      </c>
      <c r="T147" s="254"/>
      <c r="U147" s="254"/>
      <c r="V147" s="254"/>
    </row>
    <row r="148" spans="1:22" hidden="1">
      <c r="A148" s="113" t="s">
        <v>623</v>
      </c>
      <c r="B148" s="80">
        <v>381300.8</v>
      </c>
      <c r="C148" s="80">
        <v>241425.90000000005</v>
      </c>
      <c r="D148" s="80">
        <v>148982.19999999992</v>
      </c>
      <c r="E148" s="80">
        <v>11356.5</v>
      </c>
      <c r="F148" s="80">
        <v>17564.3</v>
      </c>
      <c r="G148" s="290" t="s">
        <v>88</v>
      </c>
      <c r="H148" s="261">
        <v>6117.3</v>
      </c>
      <c r="I148" s="261">
        <v>2434.6</v>
      </c>
      <c r="J148" s="261">
        <v>8000</v>
      </c>
      <c r="K148" s="71">
        <v>34422.199999999997</v>
      </c>
      <c r="L148" s="261">
        <v>11551.8</v>
      </c>
      <c r="M148" s="261">
        <v>12551</v>
      </c>
      <c r="N148" s="261">
        <v>142073</v>
      </c>
      <c r="O148" s="81">
        <v>215449.9</v>
      </c>
      <c r="P148" s="2">
        <v>23313</v>
      </c>
      <c r="Q148" s="288">
        <v>-3912.2999999999993</v>
      </c>
      <c r="R148" s="81">
        <v>161469.00000000003</v>
      </c>
      <c r="S148" s="285">
        <f t="shared" si="7"/>
        <v>1414099.2</v>
      </c>
      <c r="T148" s="254"/>
      <c r="U148" s="254"/>
      <c r="V148" s="254"/>
    </row>
    <row r="149" spans="1:22" hidden="1">
      <c r="A149" s="113" t="s">
        <v>47</v>
      </c>
      <c r="B149" s="80">
        <v>381816.7</v>
      </c>
      <c r="C149" s="80">
        <v>243192.9</v>
      </c>
      <c r="D149" s="80">
        <v>140973.39999999991</v>
      </c>
      <c r="E149" s="80">
        <v>10390.800000000001</v>
      </c>
      <c r="F149" s="80">
        <v>15110.100000000002</v>
      </c>
      <c r="G149" s="290" t="s">
        <v>88</v>
      </c>
      <c r="H149" s="261">
        <v>4632.1000000000004</v>
      </c>
      <c r="I149" s="261">
        <v>2466.6999999999998</v>
      </c>
      <c r="J149" s="261">
        <v>5849.9</v>
      </c>
      <c r="K149" s="71">
        <v>38020.800000000003</v>
      </c>
      <c r="L149" s="261">
        <v>10291.799999999999</v>
      </c>
      <c r="M149" s="261">
        <v>8875.3000000000011</v>
      </c>
      <c r="N149" s="261">
        <v>135266.6</v>
      </c>
      <c r="O149" s="81">
        <v>215438.7</v>
      </c>
      <c r="P149" s="2">
        <v>26685.299999999996</v>
      </c>
      <c r="Q149" s="288">
        <v>-7733.7000000000016</v>
      </c>
      <c r="R149" s="81">
        <v>168768.2</v>
      </c>
      <c r="S149" s="285">
        <f t="shared" si="7"/>
        <v>1400045.6</v>
      </c>
      <c r="T149" s="254"/>
      <c r="U149" s="254"/>
      <c r="V149" s="254"/>
    </row>
    <row r="150" spans="1:22" hidden="1">
      <c r="A150" s="113" t="s">
        <v>631</v>
      </c>
      <c r="B150" s="80">
        <v>412455.90000000008</v>
      </c>
      <c r="C150" s="80">
        <v>247517.80000000005</v>
      </c>
      <c r="D150" s="80">
        <v>135456.09999999992</v>
      </c>
      <c r="E150" s="80">
        <v>13165.2</v>
      </c>
      <c r="F150" s="80">
        <v>17647.3</v>
      </c>
      <c r="G150" s="290" t="s">
        <v>88</v>
      </c>
      <c r="H150" s="261">
        <v>4735.1000000000004</v>
      </c>
      <c r="I150" s="261">
        <v>2471.1</v>
      </c>
      <c r="J150" s="261">
        <v>1000</v>
      </c>
      <c r="K150" s="71">
        <v>33996.999999999993</v>
      </c>
      <c r="L150" s="261">
        <v>10711.6</v>
      </c>
      <c r="M150" s="261">
        <v>5914.8</v>
      </c>
      <c r="N150" s="261">
        <v>132616.09999999998</v>
      </c>
      <c r="O150" s="81">
        <v>215393.49999999997</v>
      </c>
      <c r="P150" s="2">
        <v>30989.8</v>
      </c>
      <c r="Q150" s="288">
        <v>-7059.4000000000015</v>
      </c>
      <c r="R150" s="81">
        <v>173002.7</v>
      </c>
      <c r="S150" s="285">
        <f t="shared" si="7"/>
        <v>1430014.6</v>
      </c>
      <c r="T150" s="254"/>
      <c r="U150" s="254"/>
      <c r="V150" s="254"/>
    </row>
    <row r="151" spans="1:22" hidden="1">
      <c r="A151" s="113" t="s">
        <v>654</v>
      </c>
      <c r="B151" s="80">
        <v>379489.90000000008</v>
      </c>
      <c r="C151" s="80">
        <v>240166.90000000005</v>
      </c>
      <c r="D151" s="263">
        <v>142088.59999999998</v>
      </c>
      <c r="E151" s="263">
        <v>21745.300000000003</v>
      </c>
      <c r="F151" s="263">
        <v>24820.400000000001</v>
      </c>
      <c r="G151" s="263">
        <v>1353.2</v>
      </c>
      <c r="H151" s="261">
        <v>2557.5000000000005</v>
      </c>
      <c r="I151" s="261">
        <v>7496.9000000000005</v>
      </c>
      <c r="J151" s="261">
        <v>16192.3</v>
      </c>
      <c r="K151" s="71">
        <v>43312.6</v>
      </c>
      <c r="L151" s="261">
        <v>9363.9</v>
      </c>
      <c r="M151" s="261">
        <v>5820.6</v>
      </c>
      <c r="N151" s="261">
        <v>154302.79999999999</v>
      </c>
      <c r="O151" s="81">
        <v>217801.9</v>
      </c>
      <c r="P151" s="2">
        <v>20422.600000000002</v>
      </c>
      <c r="Q151" s="288">
        <v>-2715</v>
      </c>
      <c r="R151" s="268">
        <v>144959.5</v>
      </c>
      <c r="S151" s="263">
        <f t="shared" si="7"/>
        <v>1429179.9000000001</v>
      </c>
      <c r="T151" s="254"/>
      <c r="U151" s="254"/>
      <c r="V151" s="254"/>
    </row>
    <row r="152" spans="1:22" hidden="1">
      <c r="A152" s="113" t="s">
        <v>665</v>
      </c>
      <c r="B152" s="80">
        <v>383820.99999999994</v>
      </c>
      <c r="C152" s="80">
        <v>244640.30000000008</v>
      </c>
      <c r="D152" s="263">
        <v>135171.70000000001</v>
      </c>
      <c r="E152" s="263">
        <v>22882.2</v>
      </c>
      <c r="F152" s="263">
        <v>27827.9</v>
      </c>
      <c r="G152" s="263">
        <v>1256.3</v>
      </c>
      <c r="H152" s="261">
        <v>5303.8</v>
      </c>
      <c r="I152" s="261">
        <v>8529.9000000000015</v>
      </c>
      <c r="J152" s="261">
        <v>19805</v>
      </c>
      <c r="K152" s="71">
        <v>54292.999999999993</v>
      </c>
      <c r="L152" s="261">
        <v>8972.2999999999993</v>
      </c>
      <c r="M152" s="261">
        <v>6801.5</v>
      </c>
      <c r="N152" s="261">
        <v>149973.5</v>
      </c>
      <c r="O152" s="81">
        <v>222014.39999999997</v>
      </c>
      <c r="P152" s="2">
        <v>15971.3</v>
      </c>
      <c r="Q152" s="288">
        <v>-5932.1999999999989</v>
      </c>
      <c r="R152" s="268">
        <v>154248.5</v>
      </c>
      <c r="S152" s="263">
        <f t="shared" si="7"/>
        <v>1455580.4000000001</v>
      </c>
      <c r="T152" s="254"/>
      <c r="U152" s="254"/>
      <c r="V152" s="254"/>
    </row>
    <row r="153" spans="1:22" hidden="1">
      <c r="A153" s="113"/>
      <c r="B153" s="80"/>
      <c r="C153" s="80"/>
      <c r="D153" s="263"/>
      <c r="E153" s="263"/>
      <c r="F153" s="263"/>
      <c r="G153" s="263"/>
      <c r="H153" s="261"/>
      <c r="I153" s="261"/>
      <c r="J153" s="261"/>
      <c r="K153" s="71"/>
      <c r="L153" s="261"/>
      <c r="M153" s="261"/>
      <c r="N153" s="261"/>
      <c r="O153" s="81"/>
      <c r="P153" s="2"/>
      <c r="Q153" s="288"/>
      <c r="R153" s="268"/>
      <c r="S153" s="263"/>
      <c r="T153" s="254"/>
      <c r="U153" s="254"/>
      <c r="V153" s="254"/>
    </row>
    <row r="154" spans="1:22" hidden="1">
      <c r="A154" s="113" t="s">
        <v>39</v>
      </c>
      <c r="B154" s="80">
        <v>381742.5</v>
      </c>
      <c r="C154" s="80">
        <v>240521</v>
      </c>
      <c r="D154" s="263">
        <v>134764.69999999998</v>
      </c>
      <c r="E154" s="263">
        <v>20739.000000000004</v>
      </c>
      <c r="F154" s="263">
        <v>26735.7</v>
      </c>
      <c r="G154" s="263">
        <v>1403.1000000000001</v>
      </c>
      <c r="H154" s="261">
        <v>3483.2000000000003</v>
      </c>
      <c r="I154" s="261">
        <v>8541.4000000000015</v>
      </c>
      <c r="J154" s="261">
        <v>37716.6</v>
      </c>
      <c r="K154" s="71">
        <v>44790.3</v>
      </c>
      <c r="L154" s="261">
        <v>10289.5</v>
      </c>
      <c r="M154" s="261">
        <v>7911.8</v>
      </c>
      <c r="N154" s="261">
        <v>147014.70000000001</v>
      </c>
      <c r="O154" s="81">
        <v>217321.99999999997</v>
      </c>
      <c r="P154" s="2">
        <v>21439.599999999999</v>
      </c>
      <c r="Q154" s="288">
        <v>-9348.0999999999985</v>
      </c>
      <c r="R154" s="268">
        <v>152198.5</v>
      </c>
      <c r="S154" s="263">
        <f t="shared" ref="S154:S165" si="8">SUM(B154:R154)</f>
        <v>1447265.5</v>
      </c>
      <c r="T154" s="254"/>
      <c r="U154" s="254"/>
      <c r="V154" s="254"/>
    </row>
    <row r="155" spans="1:22" hidden="1">
      <c r="A155" s="113" t="s">
        <v>677</v>
      </c>
      <c r="B155" s="80">
        <v>390403.6</v>
      </c>
      <c r="C155" s="80">
        <v>233480.69999999998</v>
      </c>
      <c r="D155" s="263">
        <v>135746.1</v>
      </c>
      <c r="E155" s="263">
        <v>15291.699999999997</v>
      </c>
      <c r="F155" s="263">
        <v>28538.7</v>
      </c>
      <c r="G155" s="263">
        <v>1341.8000000000002</v>
      </c>
      <c r="H155" s="261">
        <v>3770.8</v>
      </c>
      <c r="I155" s="261">
        <v>8535.4</v>
      </c>
      <c r="J155" s="261">
        <v>44452.799999999996</v>
      </c>
      <c r="K155" s="71">
        <v>48553.8</v>
      </c>
      <c r="L155" s="261">
        <v>10591.800000000001</v>
      </c>
      <c r="M155" s="261">
        <v>8703.4000000000015</v>
      </c>
      <c r="N155" s="261">
        <v>144711</v>
      </c>
      <c r="O155" s="81">
        <v>216346.39999999997</v>
      </c>
      <c r="P155" s="2">
        <v>22465.700000000004</v>
      </c>
      <c r="Q155" s="288">
        <v>-7072.3000000000029</v>
      </c>
      <c r="R155" s="268">
        <v>154623.09999999998</v>
      </c>
      <c r="S155" s="263">
        <f t="shared" si="8"/>
        <v>1460484.5</v>
      </c>
      <c r="T155" s="254"/>
      <c r="U155" s="254"/>
      <c r="V155" s="254"/>
    </row>
    <row r="156" spans="1:22" hidden="1">
      <c r="A156" s="113" t="s">
        <v>41</v>
      </c>
      <c r="B156" s="80">
        <v>378921</v>
      </c>
      <c r="C156" s="80">
        <v>246210.99999999994</v>
      </c>
      <c r="D156" s="263">
        <v>118395.09999999998</v>
      </c>
      <c r="E156" s="263">
        <v>17631.5</v>
      </c>
      <c r="F156" s="263">
        <v>29819</v>
      </c>
      <c r="G156" s="263">
        <v>1303.6000000000001</v>
      </c>
      <c r="H156" s="261">
        <v>5382</v>
      </c>
      <c r="I156" s="261">
        <v>8565.2000000000007</v>
      </c>
      <c r="J156" s="261">
        <v>71864.5</v>
      </c>
      <c r="K156" s="71">
        <v>56605</v>
      </c>
      <c r="L156" s="261">
        <v>9451.0000000000018</v>
      </c>
      <c r="M156" s="261">
        <v>7517.2</v>
      </c>
      <c r="N156" s="261">
        <v>148879.5</v>
      </c>
      <c r="O156" s="81">
        <v>222189.39999999997</v>
      </c>
      <c r="P156" s="2">
        <v>11870.400000000001</v>
      </c>
      <c r="Q156" s="288">
        <v>-6615.1000000000049</v>
      </c>
      <c r="R156" s="268">
        <v>159337.79999999999</v>
      </c>
      <c r="S156" s="263">
        <f t="shared" si="8"/>
        <v>1487328.0999999996</v>
      </c>
      <c r="T156" s="254"/>
      <c r="U156" s="254"/>
      <c r="V156" s="254"/>
    </row>
    <row r="157" spans="1:22" hidden="1">
      <c r="A157" s="113" t="s">
        <v>691</v>
      </c>
      <c r="B157" s="80">
        <v>386454.6999999999</v>
      </c>
      <c r="C157" s="80">
        <v>246235.80000000005</v>
      </c>
      <c r="D157" s="263">
        <v>123001.59999999998</v>
      </c>
      <c r="E157" s="263">
        <v>21093.599999999999</v>
      </c>
      <c r="F157" s="263">
        <v>26535.499999999996</v>
      </c>
      <c r="G157" s="263">
        <v>1098.8000000000002</v>
      </c>
      <c r="H157" s="261">
        <v>4183.8</v>
      </c>
      <c r="I157" s="261">
        <v>9276.3000000000011</v>
      </c>
      <c r="J157" s="261">
        <v>75220.3</v>
      </c>
      <c r="K157" s="71">
        <v>45477.500000000007</v>
      </c>
      <c r="L157" s="261">
        <v>10415.5</v>
      </c>
      <c r="M157" s="261">
        <v>2945.7000000000003</v>
      </c>
      <c r="N157" s="261">
        <v>151565.19999999998</v>
      </c>
      <c r="O157" s="81">
        <v>217768.3</v>
      </c>
      <c r="P157" s="2">
        <v>15811.7</v>
      </c>
      <c r="Q157" s="288">
        <v>-5407.699999999998</v>
      </c>
      <c r="R157" s="268">
        <v>163380.09999999998</v>
      </c>
      <c r="S157" s="263">
        <f t="shared" si="8"/>
        <v>1495056.7000000002</v>
      </c>
      <c r="T157" s="254"/>
      <c r="U157" s="254"/>
      <c r="V157" s="254"/>
    </row>
    <row r="158" spans="1:22" hidden="1">
      <c r="A158" s="113" t="s">
        <v>701</v>
      </c>
      <c r="B158" s="80">
        <v>385184.30000000005</v>
      </c>
      <c r="C158" s="80">
        <v>254373.2</v>
      </c>
      <c r="D158" s="263">
        <v>111745.29999999999</v>
      </c>
      <c r="E158" s="263">
        <v>15836.399999999998</v>
      </c>
      <c r="F158" s="263">
        <v>24170</v>
      </c>
      <c r="G158" s="263">
        <v>1212.5999999999999</v>
      </c>
      <c r="H158" s="261">
        <v>3384.3</v>
      </c>
      <c r="I158" s="261">
        <v>9295.2000000000007</v>
      </c>
      <c r="J158" s="261">
        <v>90016</v>
      </c>
      <c r="K158" s="71">
        <v>48198</v>
      </c>
      <c r="L158" s="261">
        <v>15243.3</v>
      </c>
      <c r="M158" s="261">
        <v>2725.4</v>
      </c>
      <c r="N158" s="261">
        <v>155149.9</v>
      </c>
      <c r="O158" s="81">
        <v>217726.3</v>
      </c>
      <c r="P158" s="2">
        <v>18578.400000000001</v>
      </c>
      <c r="Q158" s="288">
        <v>-6310.0999999999967</v>
      </c>
      <c r="R158" s="268">
        <v>163570.29999999996</v>
      </c>
      <c r="S158" s="263">
        <f t="shared" si="8"/>
        <v>1510098.8</v>
      </c>
      <c r="T158" s="254"/>
      <c r="U158" s="254"/>
      <c r="V158" s="254"/>
    </row>
    <row r="159" spans="1:22" hidden="1">
      <c r="A159" s="113" t="s">
        <v>713</v>
      </c>
      <c r="B159" s="80">
        <v>380921</v>
      </c>
      <c r="C159" s="80">
        <v>248133.3</v>
      </c>
      <c r="D159" s="263">
        <v>113952.7</v>
      </c>
      <c r="E159" s="263">
        <v>34010.699999999997</v>
      </c>
      <c r="F159" s="263">
        <v>21476.999999999996</v>
      </c>
      <c r="G159" s="263">
        <v>1446.4000000000003</v>
      </c>
      <c r="H159" s="261">
        <v>1924.6000000000001</v>
      </c>
      <c r="I159" s="261">
        <v>8610.4</v>
      </c>
      <c r="J159" s="261">
        <v>101025.7</v>
      </c>
      <c r="K159" s="71">
        <v>47685.400000000009</v>
      </c>
      <c r="L159" s="261">
        <v>17003.600000000002</v>
      </c>
      <c r="M159" s="261">
        <v>2654.6</v>
      </c>
      <c r="N159" s="261">
        <v>143107</v>
      </c>
      <c r="O159" s="292">
        <v>224810.5</v>
      </c>
      <c r="P159" s="2">
        <v>17493.3</v>
      </c>
      <c r="Q159" s="288">
        <v>-6318.3999999999915</v>
      </c>
      <c r="R159" s="268">
        <v>181984.3</v>
      </c>
      <c r="S159" s="263">
        <f t="shared" si="8"/>
        <v>1539922.1</v>
      </c>
      <c r="U159" s="254"/>
      <c r="V159" s="254"/>
    </row>
    <row r="160" spans="1:22">
      <c r="A160" s="113" t="s">
        <v>730</v>
      </c>
      <c r="B160" s="80">
        <v>393320.80000000005</v>
      </c>
      <c r="C160" s="80">
        <v>238477.60000000009</v>
      </c>
      <c r="D160" s="263">
        <v>108225.90000000001</v>
      </c>
      <c r="E160" s="263">
        <v>16855.300000000003</v>
      </c>
      <c r="F160" s="263">
        <v>19746.800000000003</v>
      </c>
      <c r="G160" s="263">
        <v>1417.3000000000002</v>
      </c>
      <c r="H160" s="261">
        <v>1132.5000000000002</v>
      </c>
      <c r="I160" s="261">
        <v>9780.1999999999989</v>
      </c>
      <c r="J160" s="261">
        <v>112764.5</v>
      </c>
      <c r="K160" s="71">
        <v>53369.1</v>
      </c>
      <c r="L160" s="261">
        <v>17794.800000000003</v>
      </c>
      <c r="M160" s="261">
        <v>2250.6999999999998</v>
      </c>
      <c r="N160" s="261">
        <v>143986.80000000002</v>
      </c>
      <c r="O160" s="294">
        <v>225543.19999999998</v>
      </c>
      <c r="P160" s="2">
        <v>20988.2</v>
      </c>
      <c r="Q160" s="288">
        <v>-6607.9999999999973</v>
      </c>
      <c r="R160" s="268">
        <v>177676.59999999998</v>
      </c>
      <c r="S160" s="263">
        <f t="shared" si="8"/>
        <v>1536722.3000000003</v>
      </c>
      <c r="T160" s="254"/>
      <c r="U160" s="254"/>
      <c r="V160" s="254"/>
    </row>
    <row r="161" spans="1:23">
      <c r="A161" s="113" t="s">
        <v>46</v>
      </c>
      <c r="B161" s="80">
        <v>420997.09999999992</v>
      </c>
      <c r="C161" s="80">
        <v>235186.10000000006</v>
      </c>
      <c r="D161" s="263">
        <v>102155.49999999999</v>
      </c>
      <c r="E161" s="263">
        <v>16968.600000000002</v>
      </c>
      <c r="F161" s="263">
        <v>17632.8</v>
      </c>
      <c r="G161" s="263">
        <v>889.5</v>
      </c>
      <c r="H161" s="261">
        <v>2169.7000000000003</v>
      </c>
      <c r="I161" s="261">
        <v>9844.6</v>
      </c>
      <c r="J161" s="261">
        <v>101933.5</v>
      </c>
      <c r="K161" s="71">
        <v>49018.100000000006</v>
      </c>
      <c r="L161" s="261">
        <v>16660.8</v>
      </c>
      <c r="M161" s="261">
        <v>916.6</v>
      </c>
      <c r="N161" s="261">
        <v>137165.50000000003</v>
      </c>
      <c r="O161" s="294">
        <v>225003.09999999998</v>
      </c>
      <c r="P161" s="2">
        <v>24325.7</v>
      </c>
      <c r="Q161" s="288">
        <v>-9028.9000000000033</v>
      </c>
      <c r="R161" s="268">
        <v>182122.7</v>
      </c>
      <c r="S161" s="263">
        <f t="shared" si="8"/>
        <v>1533961</v>
      </c>
      <c r="U161" s="254"/>
      <c r="V161" s="254"/>
    </row>
    <row r="162" spans="1:23">
      <c r="A162" s="113" t="s">
        <v>47</v>
      </c>
      <c r="B162" s="80">
        <v>424362.8</v>
      </c>
      <c r="C162" s="80">
        <v>242880</v>
      </c>
      <c r="D162" s="263">
        <v>107043.7</v>
      </c>
      <c r="E162" s="263">
        <v>15867.100000000002</v>
      </c>
      <c r="F162" s="263">
        <v>18024.399999999998</v>
      </c>
      <c r="G162" s="263">
        <v>984.5</v>
      </c>
      <c r="H162" s="261">
        <v>3677.6000000000004</v>
      </c>
      <c r="I162" s="261">
        <v>9113.9</v>
      </c>
      <c r="J162" s="261">
        <v>118763.79999999999</v>
      </c>
      <c r="K162" s="71">
        <v>51358.6</v>
      </c>
      <c r="L162" s="261">
        <v>13416.9</v>
      </c>
      <c r="M162" s="261">
        <v>934</v>
      </c>
      <c r="N162" s="261">
        <v>139965.09999999998</v>
      </c>
      <c r="O162" s="294">
        <v>224794.99999999997</v>
      </c>
      <c r="P162" s="2">
        <v>21976.800000000003</v>
      </c>
      <c r="Q162" s="288">
        <v>-905.90000000000089</v>
      </c>
      <c r="R162" s="268">
        <v>187480</v>
      </c>
      <c r="S162" s="263">
        <f t="shared" si="8"/>
        <v>1579738.3</v>
      </c>
      <c r="U162" s="254"/>
      <c r="V162" s="254"/>
    </row>
    <row r="163" spans="1:23">
      <c r="A163" s="113" t="s">
        <v>48</v>
      </c>
      <c r="B163" s="80">
        <v>426022.1</v>
      </c>
      <c r="C163" s="80">
        <v>246717.5</v>
      </c>
      <c r="D163" s="263">
        <v>102526.49999999999</v>
      </c>
      <c r="E163" s="263">
        <v>19916.2</v>
      </c>
      <c r="F163" s="263">
        <v>17906.8</v>
      </c>
      <c r="G163" s="263">
        <v>936.1</v>
      </c>
      <c r="H163" s="261">
        <v>2861.2999999999993</v>
      </c>
      <c r="I163" s="261">
        <v>9018.9</v>
      </c>
      <c r="J163" s="261">
        <v>102986.79999999999</v>
      </c>
      <c r="K163" s="71">
        <v>45399.7</v>
      </c>
      <c r="L163" s="261">
        <v>14489.5</v>
      </c>
      <c r="M163" s="261">
        <v>945.6</v>
      </c>
      <c r="N163" s="261">
        <v>142544.60000000003</v>
      </c>
      <c r="O163" s="294">
        <v>224774.2</v>
      </c>
      <c r="P163" s="2">
        <v>24782.199999999997</v>
      </c>
      <c r="Q163" s="288">
        <v>-852.20000000000289</v>
      </c>
      <c r="R163" s="268">
        <v>188211.7</v>
      </c>
      <c r="S163" s="263">
        <f t="shared" si="8"/>
        <v>1569187.4999999998</v>
      </c>
      <c r="U163" s="254"/>
      <c r="V163" s="254"/>
    </row>
    <row r="164" spans="1:23">
      <c r="A164" s="113" t="s">
        <v>49</v>
      </c>
      <c r="B164" s="80">
        <v>448920.99999999988</v>
      </c>
      <c r="C164" s="80">
        <v>239190.1</v>
      </c>
      <c r="D164" s="263">
        <v>101459.39999999998</v>
      </c>
      <c r="E164" s="263">
        <v>24014.400000000005</v>
      </c>
      <c r="F164" s="263">
        <v>16280.300000000001</v>
      </c>
      <c r="G164" s="263">
        <v>875</v>
      </c>
      <c r="H164" s="261">
        <v>1931.3000000000002</v>
      </c>
      <c r="I164" s="261">
        <v>10236</v>
      </c>
      <c r="J164" s="261">
        <v>102347.09999999999</v>
      </c>
      <c r="K164" s="71">
        <v>49029.700000000004</v>
      </c>
      <c r="L164" s="261">
        <v>15706.600000000002</v>
      </c>
      <c r="M164" s="261">
        <v>944.10000000000014</v>
      </c>
      <c r="N164" s="261">
        <v>150685.4</v>
      </c>
      <c r="O164" s="294">
        <v>225240.8</v>
      </c>
      <c r="P164" s="2">
        <v>28733.5</v>
      </c>
      <c r="Q164" s="288">
        <v>-2151.3000000000043</v>
      </c>
      <c r="R164" s="268">
        <v>188856.4</v>
      </c>
      <c r="S164" s="263">
        <f t="shared" si="8"/>
        <v>1602299.7999999998</v>
      </c>
      <c r="U164" s="254"/>
      <c r="V164" s="254"/>
    </row>
    <row r="165" spans="1:23">
      <c r="A165" s="113" t="s">
        <v>50</v>
      </c>
      <c r="B165" s="80">
        <v>473463.40000000014</v>
      </c>
      <c r="C165" s="80">
        <v>235254.40000000002</v>
      </c>
      <c r="D165" s="263">
        <v>93961.800000000017</v>
      </c>
      <c r="E165" s="263">
        <v>24043.8</v>
      </c>
      <c r="F165" s="263">
        <v>20378.800000000003</v>
      </c>
      <c r="G165" s="263">
        <v>985.80000000000007</v>
      </c>
      <c r="H165" s="261">
        <v>2909.7000000000003</v>
      </c>
      <c r="I165" s="261">
        <v>8653</v>
      </c>
      <c r="J165" s="261">
        <v>87064.099999999991</v>
      </c>
      <c r="K165" s="71">
        <v>58899.3</v>
      </c>
      <c r="L165" s="261">
        <v>16378.7</v>
      </c>
      <c r="M165" s="261">
        <v>973.70000000000016</v>
      </c>
      <c r="N165" s="261">
        <v>139935.4</v>
      </c>
      <c r="O165" s="294">
        <v>224498.3</v>
      </c>
      <c r="P165" s="2">
        <v>26055.199999999993</v>
      </c>
      <c r="Q165" s="288">
        <v>-829.10000000000616</v>
      </c>
      <c r="R165" s="268">
        <v>194069.49999999994</v>
      </c>
      <c r="S165" s="263">
        <f t="shared" si="8"/>
        <v>1606695.8</v>
      </c>
      <c r="U165" s="254"/>
      <c r="V165" s="254"/>
    </row>
    <row r="166" spans="1:23">
      <c r="A166" s="113"/>
      <c r="B166" s="80"/>
      <c r="C166" s="80"/>
      <c r="D166" s="263"/>
      <c r="E166" s="263"/>
      <c r="F166" s="263"/>
      <c r="G166" s="263"/>
      <c r="H166" s="261"/>
      <c r="I166" s="261"/>
      <c r="J166" s="261"/>
      <c r="K166" s="71"/>
      <c r="L166" s="261"/>
      <c r="M166" s="261"/>
      <c r="N166" s="261"/>
      <c r="O166" s="294"/>
      <c r="P166" s="2"/>
      <c r="Q166" s="288"/>
      <c r="R166" s="268"/>
      <c r="S166" s="263"/>
      <c r="U166" s="254"/>
      <c r="V166" s="254"/>
    </row>
    <row r="167" spans="1:23">
      <c r="A167" s="113" t="s">
        <v>36</v>
      </c>
      <c r="B167" s="80">
        <v>485241.89999999997</v>
      </c>
      <c r="C167" s="80">
        <v>250275.89999999997</v>
      </c>
      <c r="D167" s="263">
        <v>94328.900000000023</v>
      </c>
      <c r="E167" s="263">
        <v>20507.8</v>
      </c>
      <c r="F167" s="263">
        <v>18012.2</v>
      </c>
      <c r="G167" s="263">
        <v>883.4</v>
      </c>
      <c r="H167" s="261">
        <v>1957.8999999999999</v>
      </c>
      <c r="I167" s="261">
        <v>8500.8000000000011</v>
      </c>
      <c r="J167" s="261">
        <v>85600.3</v>
      </c>
      <c r="K167" s="71">
        <v>55281.600000000006</v>
      </c>
      <c r="L167" s="261">
        <v>15883.499999999996</v>
      </c>
      <c r="M167" s="261">
        <v>979.2</v>
      </c>
      <c r="N167" s="261">
        <v>145736.79999999999</v>
      </c>
      <c r="O167" s="294">
        <v>220394.09999999998</v>
      </c>
      <c r="P167" s="2">
        <v>28144.300000000003</v>
      </c>
      <c r="Q167" s="288">
        <v>-2471.3000000000006</v>
      </c>
      <c r="R167" s="268">
        <v>197838.09999999998</v>
      </c>
      <c r="S167" s="292">
        <f t="shared" ref="S167:S178" si="9">SUM(B167:R167)</f>
        <v>1627095.4</v>
      </c>
      <c r="U167" s="254"/>
      <c r="V167" s="254"/>
    </row>
    <row r="168" spans="1:23">
      <c r="A168" s="113" t="s">
        <v>37</v>
      </c>
      <c r="B168" s="80">
        <v>510866.99999999988</v>
      </c>
      <c r="C168" s="80">
        <v>242976.70000000004</v>
      </c>
      <c r="D168" s="263">
        <v>96146.9</v>
      </c>
      <c r="E168" s="263">
        <v>22134</v>
      </c>
      <c r="F168" s="263">
        <v>19355.100000000002</v>
      </c>
      <c r="G168" s="263">
        <v>1054.5</v>
      </c>
      <c r="H168" s="261">
        <v>3033.6000000000004</v>
      </c>
      <c r="I168" s="261">
        <v>8526.1999999999989</v>
      </c>
      <c r="J168" s="261">
        <v>95156.1</v>
      </c>
      <c r="K168" s="71">
        <v>49746.3</v>
      </c>
      <c r="L168" s="261">
        <v>14152.300000000001</v>
      </c>
      <c r="M168" s="261">
        <v>859.3</v>
      </c>
      <c r="N168" s="261">
        <v>151954.29999999999</v>
      </c>
      <c r="O168" s="294">
        <v>226492.59999999998</v>
      </c>
      <c r="P168" s="2">
        <v>29597</v>
      </c>
      <c r="Q168" s="288">
        <v>337.9000000000093</v>
      </c>
      <c r="R168" s="268">
        <v>141217.19999999998</v>
      </c>
      <c r="S168" s="292">
        <f t="shared" si="9"/>
        <v>1613606.9999999998</v>
      </c>
      <c r="U168" s="254"/>
      <c r="V168" s="254"/>
    </row>
    <row r="169" spans="1:23">
      <c r="A169" s="113" t="s">
        <v>38</v>
      </c>
      <c r="B169" s="80">
        <v>516686.20000000007</v>
      </c>
      <c r="C169" s="80">
        <v>253722.5</v>
      </c>
      <c r="D169" s="263">
        <v>97050.9</v>
      </c>
      <c r="E169" s="263">
        <v>23270.600000000002</v>
      </c>
      <c r="F169" s="263">
        <v>19964.5</v>
      </c>
      <c r="G169" s="263">
        <v>824.19999999999993</v>
      </c>
      <c r="H169" s="261">
        <v>4699.3</v>
      </c>
      <c r="I169" s="261">
        <v>8556.9</v>
      </c>
      <c r="J169" s="261">
        <v>87865.1</v>
      </c>
      <c r="K169" s="71">
        <v>65740.799999999988</v>
      </c>
      <c r="L169" s="261">
        <v>13207.499999999998</v>
      </c>
      <c r="M169" s="261">
        <v>1005.3000000000001</v>
      </c>
      <c r="N169" s="261">
        <v>150057.70000000001</v>
      </c>
      <c r="O169" s="294">
        <v>229646.59999999998</v>
      </c>
      <c r="P169" s="2">
        <v>19404.099999999999</v>
      </c>
      <c r="Q169" s="288">
        <v>-652.9</v>
      </c>
      <c r="R169" s="268">
        <v>124308.99999999999</v>
      </c>
      <c r="S169" s="292">
        <f t="shared" si="9"/>
        <v>1615358.3000000003</v>
      </c>
      <c r="U169" s="254"/>
      <c r="V169" s="254"/>
    </row>
    <row r="170" spans="1:23">
      <c r="A170" s="113" t="s">
        <v>42</v>
      </c>
      <c r="B170" s="80">
        <f>520719.7+22312.2</f>
        <v>543031.9</v>
      </c>
      <c r="C170" s="80">
        <v>244433.2</v>
      </c>
      <c r="D170" s="263">
        <f>85622.9+11835</f>
        <v>97457.9</v>
      </c>
      <c r="E170" s="263">
        <f>23130.5+111</f>
        <v>23241.5</v>
      </c>
      <c r="F170" s="263">
        <v>19732.900000000001</v>
      </c>
      <c r="G170" s="263">
        <v>897.6</v>
      </c>
      <c r="H170" s="261">
        <v>5002.3</v>
      </c>
      <c r="I170" s="261">
        <v>8568.9</v>
      </c>
      <c r="J170" s="261">
        <v>100060</v>
      </c>
      <c r="K170" s="71">
        <f>7842.7+5658.4+35025.8</f>
        <v>48526.9</v>
      </c>
      <c r="L170" s="261">
        <v>13890.1</v>
      </c>
      <c r="M170" s="261">
        <v>973.2</v>
      </c>
      <c r="N170" s="261">
        <v>152411.79999999999</v>
      </c>
      <c r="O170" s="294">
        <v>230304.5</v>
      </c>
      <c r="P170" s="2">
        <v>19878.400000000001</v>
      </c>
      <c r="Q170" s="288">
        <f>105238.2-100060-1768.9-31.4-5171.8-3.5</f>
        <v>-1797.4000000000033</v>
      </c>
      <c r="R170" s="268">
        <f>1606.6+67945.7-22312.2-7842.7+93876.9</f>
        <v>133274.29999999999</v>
      </c>
      <c r="S170" s="292">
        <f t="shared" si="9"/>
        <v>1639888.0000000002</v>
      </c>
      <c r="U170" s="254"/>
      <c r="V170" s="254"/>
    </row>
    <row r="171" spans="1:23">
      <c r="A171" s="113" t="s">
        <v>43</v>
      </c>
      <c r="B171" s="80">
        <f>530027.3+13899.6</f>
        <v>543926.9</v>
      </c>
      <c r="C171" s="80">
        <v>245136</v>
      </c>
      <c r="D171" s="263">
        <f>87842.4+11852.7</f>
        <v>99695.099999999991</v>
      </c>
      <c r="E171" s="263">
        <f>71462.4+111</f>
        <v>71573.399999999994</v>
      </c>
      <c r="F171" s="263">
        <v>23123.5</v>
      </c>
      <c r="G171" s="263">
        <v>845.2</v>
      </c>
      <c r="H171" s="261">
        <v>6615.1</v>
      </c>
      <c r="I171" s="261">
        <v>8608.2999999999993</v>
      </c>
      <c r="J171" s="261">
        <v>99453.6</v>
      </c>
      <c r="K171" s="71">
        <f>6883.1+39313.5+7567.9</f>
        <v>53764.5</v>
      </c>
      <c r="L171" s="261">
        <v>12962.2</v>
      </c>
      <c r="M171" s="261">
        <v>993</v>
      </c>
      <c r="N171" s="261">
        <v>160420.20000000001</v>
      </c>
      <c r="O171" s="294">
        <v>230366</v>
      </c>
      <c r="P171" s="2">
        <v>22072.2</v>
      </c>
      <c r="Q171" s="288">
        <f>6.1+5204.1-130.4-3579-5205.4-31.4</f>
        <v>-3735.9999999999986</v>
      </c>
      <c r="R171" s="268">
        <f>94416.9+49877.4-7567.9-13899.6+2457.6</f>
        <v>125284.4</v>
      </c>
      <c r="S171" s="292">
        <f t="shared" si="9"/>
        <v>1701103.5999999999</v>
      </c>
      <c r="U171" s="254"/>
      <c r="V171" s="254"/>
    </row>
    <row r="172" spans="1:23">
      <c r="A172" s="113" t="s">
        <v>44</v>
      </c>
      <c r="B172" s="80">
        <f>513296.1+25974.3</f>
        <v>539270.40000000002</v>
      </c>
      <c r="C172" s="80">
        <v>255875.8</v>
      </c>
      <c r="D172" s="263">
        <f>88612+15038.3</f>
        <v>103650.3</v>
      </c>
      <c r="E172" s="263">
        <f>102974.5+110.8</f>
        <v>103085.3</v>
      </c>
      <c r="F172" s="263">
        <v>23391</v>
      </c>
      <c r="G172" s="263">
        <v>744.2</v>
      </c>
      <c r="H172" s="261">
        <v>4639.5</v>
      </c>
      <c r="I172" s="261">
        <v>6586</v>
      </c>
      <c r="J172" s="261">
        <v>75531.600000000006</v>
      </c>
      <c r="K172" s="71">
        <f>8861.9+38205.1+8526.1</f>
        <v>55593.1</v>
      </c>
      <c r="L172" s="261">
        <v>13076.1</v>
      </c>
      <c r="M172" s="261">
        <v>992.7</v>
      </c>
      <c r="N172" s="261">
        <v>166549</v>
      </c>
      <c r="O172" s="294">
        <v>229730</v>
      </c>
      <c r="P172" s="2">
        <v>31643.4</v>
      </c>
      <c r="Q172" s="288">
        <f>6.3+20506+5240.4-1441.7-31.4-5240.4-13515.9</f>
        <v>5523.2999999999975</v>
      </c>
      <c r="R172" s="268">
        <f>95628.1+70337-8526.1-25974.3+5955.7</f>
        <v>137420.40000000002</v>
      </c>
      <c r="S172" s="292">
        <f t="shared" si="9"/>
        <v>1753302.1</v>
      </c>
      <c r="U172" s="254"/>
      <c r="V172" s="254"/>
    </row>
    <row r="173" spans="1:23">
      <c r="A173" s="113" t="s">
        <v>619</v>
      </c>
      <c r="B173" s="80">
        <f>521828.6+17159.4</f>
        <v>538988</v>
      </c>
      <c r="C173" s="80">
        <v>266566.8</v>
      </c>
      <c r="D173" s="263">
        <f>93467.7+16113.3</f>
        <v>109581</v>
      </c>
      <c r="E173" s="263">
        <f>43498.3+110.9</f>
        <v>43609.200000000004</v>
      </c>
      <c r="F173" s="263">
        <v>26268.5</v>
      </c>
      <c r="G173" s="263">
        <v>993.1</v>
      </c>
      <c r="H173" s="261">
        <v>5147.1000000000004</v>
      </c>
      <c r="I173" s="261">
        <v>7675.8</v>
      </c>
      <c r="J173" s="261">
        <v>117631.6</v>
      </c>
      <c r="K173" s="71">
        <f>4681.6+33703.5+8504.6</f>
        <v>46889.7</v>
      </c>
      <c r="L173" s="261">
        <v>14293.5</v>
      </c>
      <c r="M173" s="261">
        <f>57.7+946.9</f>
        <v>1004.6</v>
      </c>
      <c r="N173" s="261">
        <v>164117.6</v>
      </c>
      <c r="O173" s="294">
        <v>229390.5</v>
      </c>
      <c r="P173" s="2">
        <v>35976.1</v>
      </c>
      <c r="Q173" s="288">
        <f>12.4+6500+5276.9-3981.5-7506-5276.9-31.4</f>
        <v>-5006.5</v>
      </c>
      <c r="R173" s="268">
        <f>95951.5+61876.8-8504.6-17159.4+2651.3</f>
        <v>134815.59999999998</v>
      </c>
      <c r="S173" s="292">
        <f t="shared" si="9"/>
        <v>1737942.2000000002</v>
      </c>
      <c r="U173" s="254"/>
      <c r="V173" s="254"/>
    </row>
    <row r="174" spans="1:23">
      <c r="A174" s="113" t="s">
        <v>46</v>
      </c>
      <c r="B174" s="80">
        <f>13650.4+551447.6</f>
        <v>565098</v>
      </c>
      <c r="C174" s="80">
        <v>265277.8</v>
      </c>
      <c r="D174" s="263">
        <f>91298.7+14061</f>
        <v>105359.7</v>
      </c>
      <c r="E174" s="263">
        <f>23779.2+110.9</f>
        <v>23890.100000000002</v>
      </c>
      <c r="F174" s="263">
        <v>32965.9</v>
      </c>
      <c r="G174" s="263">
        <v>1012.2</v>
      </c>
      <c r="H174" s="261">
        <v>3783.9</v>
      </c>
      <c r="I174" s="261">
        <v>7620.8</v>
      </c>
      <c r="J174" s="261">
        <v>108316.9</v>
      </c>
      <c r="K174" s="71">
        <f>6252.2+34092.1+9550.4</f>
        <v>49894.7</v>
      </c>
      <c r="L174" s="261">
        <v>13647.3</v>
      </c>
      <c r="M174" s="261">
        <f>995.5+43.5</f>
        <v>1039</v>
      </c>
      <c r="N174" s="261">
        <v>174781.7</v>
      </c>
      <c r="O174" s="294">
        <v>230665.9</v>
      </c>
      <c r="P174" s="2">
        <v>41288.300000000003</v>
      </c>
      <c r="Q174" s="288">
        <f>197.8+5260.9-1560.3-555.3-5260.9-31.4</f>
        <v>-1949.2000000000003</v>
      </c>
      <c r="R174" s="268">
        <f>67309.1-9550.4-13650.4+2273.4+97394.7</f>
        <v>143776.4</v>
      </c>
      <c r="S174" s="292">
        <f t="shared" si="9"/>
        <v>1766469.4</v>
      </c>
      <c r="U174" s="254"/>
      <c r="V174" s="254"/>
    </row>
    <row r="175" spans="1:23">
      <c r="A175" s="113" t="s">
        <v>47</v>
      </c>
      <c r="B175" s="80">
        <f>563652.8+18195.8</f>
        <v>581848.60000000009</v>
      </c>
      <c r="C175" s="80">
        <v>264591.2</v>
      </c>
      <c r="D175" s="263">
        <f>87196.8+13813.1</f>
        <v>101009.90000000001</v>
      </c>
      <c r="E175" s="263">
        <f>23599.1+110.9</f>
        <v>23710</v>
      </c>
      <c r="F175" s="263">
        <v>29580.2</v>
      </c>
      <c r="G175" s="263">
        <v>819.9</v>
      </c>
      <c r="H175" s="261">
        <v>3154.4</v>
      </c>
      <c r="I175" s="261">
        <v>8703.6</v>
      </c>
      <c r="J175" s="261">
        <v>123220.7</v>
      </c>
      <c r="K175" s="71">
        <f>33913.7+9804.3+6007.1</f>
        <v>49725.1</v>
      </c>
      <c r="L175" s="261">
        <v>13260.6</v>
      </c>
      <c r="M175" s="261">
        <f>961.2+48.5</f>
        <v>1009.7</v>
      </c>
      <c r="N175" s="261">
        <v>184125.7</v>
      </c>
      <c r="O175" s="294">
        <v>230902.9</v>
      </c>
      <c r="P175" s="2">
        <v>44365</v>
      </c>
      <c r="Q175" s="288">
        <f>202.4+6000.9+3516.2-1005.3-8.1-31.4-3515.6-6562.4</f>
        <v>-1403.2999999999993</v>
      </c>
      <c r="R175" s="268">
        <f>103203.5+69140.6-9804.3-18195.8+2834.4</f>
        <v>147178.40000000002</v>
      </c>
      <c r="S175" s="292">
        <f t="shared" si="9"/>
        <v>1805802.6</v>
      </c>
      <c r="U175" s="322"/>
      <c r="V175" s="254"/>
      <c r="W175" s="254"/>
    </row>
    <row r="176" spans="1:23">
      <c r="A176" s="113" t="s">
        <v>48</v>
      </c>
      <c r="B176" s="80">
        <f>567002+12846.2</f>
        <v>579848.19999999995</v>
      </c>
      <c r="C176" s="80">
        <f>282650.9</f>
        <v>282650.90000000002</v>
      </c>
      <c r="D176" s="263">
        <f>95753.2+19725</f>
        <v>115478.2</v>
      </c>
      <c r="E176" s="263">
        <f>110.9+20036.8</f>
        <v>20147.7</v>
      </c>
      <c r="F176" s="263">
        <v>29719.5</v>
      </c>
      <c r="G176" s="263">
        <v>795.9</v>
      </c>
      <c r="H176" s="261">
        <v>3416.3</v>
      </c>
      <c r="I176" s="261">
        <v>8669.7999999999993</v>
      </c>
      <c r="J176" s="261">
        <v>118903.3</v>
      </c>
      <c r="K176" s="71">
        <f>32852.3+6401.8+9948.3</f>
        <v>49202.400000000009</v>
      </c>
      <c r="L176" s="261">
        <v>16253.3</v>
      </c>
      <c r="M176" s="261">
        <f>39454.2+57</f>
        <v>39511.199999999997</v>
      </c>
      <c r="N176" s="261">
        <v>165526.39999999999</v>
      </c>
      <c r="O176" s="294">
        <v>232005.2</v>
      </c>
      <c r="P176" s="2">
        <v>45711.6</v>
      </c>
      <c r="Q176" s="288">
        <f>3537.3+35-1229-4.6-31.4-567.8-3536.7</f>
        <v>-1797.1999999999996</v>
      </c>
      <c r="R176" s="268">
        <f>64250-9948.3+107147.2+1902.7-12846.2</f>
        <v>150505.4</v>
      </c>
      <c r="S176" s="292">
        <f t="shared" si="9"/>
        <v>1856548.0999999999</v>
      </c>
      <c r="U176" s="322"/>
      <c r="V176" s="254"/>
      <c r="W176" s="254"/>
    </row>
    <row r="177" spans="1:23">
      <c r="A177" s="113" t="s">
        <v>49</v>
      </c>
      <c r="B177" s="80">
        <f>566891.5+14440.3</f>
        <v>581331.80000000005</v>
      </c>
      <c r="C177" s="80">
        <v>288118.90000000002</v>
      </c>
      <c r="D177" s="263">
        <f>103034.5+21596.9</f>
        <v>124631.4</v>
      </c>
      <c r="E177" s="263">
        <f>36864.9+110.9</f>
        <v>36975.800000000003</v>
      </c>
      <c r="F177" s="263">
        <v>27999.4</v>
      </c>
      <c r="G177" s="263">
        <v>720.2</v>
      </c>
      <c r="H177" s="261">
        <v>4067.3</v>
      </c>
      <c r="I177" s="261">
        <v>8696.7000000000007</v>
      </c>
      <c r="J177" s="261">
        <v>134262.9</v>
      </c>
      <c r="K177" s="71">
        <f>10599.7+33813+4487.7</f>
        <v>48900.399999999994</v>
      </c>
      <c r="L177" s="261">
        <v>17088.400000000001</v>
      </c>
      <c r="M177" s="261">
        <f>1232.4+45.5</f>
        <v>1277.9000000000001</v>
      </c>
      <c r="N177" s="261">
        <v>159454.70000000001</v>
      </c>
      <c r="O177" s="294">
        <v>230783.5</v>
      </c>
      <c r="P177" s="2">
        <v>50530.2</v>
      </c>
      <c r="Q177" s="288">
        <f>19+3558.4-420.9-12.5-3558.6-31.4-4.1</f>
        <v>-450.09999999999991</v>
      </c>
      <c r="R177" s="268">
        <f>103450.7+66670.5-10599.7-14440.3+2448.9</f>
        <v>147530.1</v>
      </c>
      <c r="S177" s="292">
        <f t="shared" si="9"/>
        <v>1861919.4999999995</v>
      </c>
      <c r="U177" s="322"/>
      <c r="V177" s="254"/>
      <c r="W177" s="254"/>
    </row>
    <row r="178" spans="1:23">
      <c r="A178" s="113" t="s">
        <v>50</v>
      </c>
      <c r="B178" s="80">
        <f>597211.3+9262.8</f>
        <v>606474.10000000009</v>
      </c>
      <c r="C178" s="80">
        <v>283463</v>
      </c>
      <c r="D178" s="263">
        <f>99981.2+19693.8</f>
        <v>119675</v>
      </c>
      <c r="E178" s="263">
        <f>110.9+31864.7</f>
        <v>31975.600000000002</v>
      </c>
      <c r="F178" s="263">
        <v>34803.1</v>
      </c>
      <c r="G178" s="263">
        <v>923.6</v>
      </c>
      <c r="H178" s="261">
        <v>4126.2</v>
      </c>
      <c r="I178" s="261">
        <v>8711.4</v>
      </c>
      <c r="J178" s="261">
        <v>160080.29999999999</v>
      </c>
      <c r="K178" s="71">
        <f>16746.1+39463.3+10620.1</f>
        <v>66829.5</v>
      </c>
      <c r="L178" s="261">
        <v>19650.5</v>
      </c>
      <c r="M178" s="261">
        <f>714.4+68.2</f>
        <v>782.6</v>
      </c>
      <c r="N178" s="261">
        <v>156052.6</v>
      </c>
      <c r="O178" s="294">
        <v>230717.9</v>
      </c>
      <c r="P178" s="2">
        <v>47407.8</v>
      </c>
      <c r="Q178" s="288">
        <f>19.7+3575.2-683.6-12-3575.8-31.4-4.5</f>
        <v>-712.40000000000043</v>
      </c>
      <c r="R178" s="268">
        <f>64997.9-10620.1-9262.8+1838.7+104563.8</f>
        <v>151517.5</v>
      </c>
      <c r="S178" s="292">
        <f t="shared" si="9"/>
        <v>1922478.3000000003</v>
      </c>
      <c r="U178" s="322"/>
      <c r="V178" s="254"/>
      <c r="W178" s="254"/>
    </row>
    <row r="179" spans="1:23">
      <c r="A179" s="113"/>
      <c r="B179" s="80"/>
      <c r="C179" s="80"/>
      <c r="D179" s="263"/>
      <c r="E179" s="263"/>
      <c r="F179" s="263"/>
      <c r="G179" s="263"/>
      <c r="H179" s="261"/>
      <c r="I179" s="261"/>
      <c r="J179" s="261"/>
      <c r="K179" s="71"/>
      <c r="L179" s="261"/>
      <c r="M179" s="261"/>
      <c r="N179" s="261"/>
      <c r="O179" s="294"/>
      <c r="P179" s="2"/>
      <c r="Q179" s="288"/>
      <c r="R179" s="268"/>
      <c r="S179" s="292"/>
      <c r="U179" s="322"/>
      <c r="V179" s="254"/>
      <c r="W179" s="254"/>
    </row>
    <row r="180" spans="1:23">
      <c r="A180" s="113" t="s">
        <v>671</v>
      </c>
      <c r="B180" s="1041">
        <f>606793+23321.2</f>
        <v>630114.19999999995</v>
      </c>
      <c r="C180" s="1041">
        <v>292504.10000000003</v>
      </c>
      <c r="D180" s="1042">
        <f>101096.9+16119.8</f>
        <v>117216.7</v>
      </c>
      <c r="E180" s="1042">
        <f>18847.9+110.8</f>
        <v>18958.7</v>
      </c>
      <c r="F180" s="1042">
        <v>38468.199999999997</v>
      </c>
      <c r="G180" s="1042">
        <v>885.2</v>
      </c>
      <c r="H180" s="1043">
        <v>3377.7999999999997</v>
      </c>
      <c r="I180" s="1043">
        <v>8734.4</v>
      </c>
      <c r="J180" s="1043">
        <v>175423.5</v>
      </c>
      <c r="K180" s="1044">
        <f>35703.7+5783.7+9069.8</f>
        <v>50557.2</v>
      </c>
      <c r="L180" s="1043">
        <v>22382.399999999998</v>
      </c>
      <c r="M180" s="1043">
        <f>747+52.5</f>
        <v>799.5</v>
      </c>
      <c r="N180" s="1043">
        <v>153626.6</v>
      </c>
      <c r="O180" s="1045">
        <v>229270.39999999999</v>
      </c>
      <c r="P180" s="1046">
        <v>52495.100000000006</v>
      </c>
      <c r="Q180" s="1047">
        <f>20.4+3590.3-544-12-3590.2-31.4-4.4</f>
        <v>-571.2999999999995</v>
      </c>
      <c r="R180" s="1048">
        <f>74866+101485.9+1908.9-23321.2-9069.8</f>
        <v>145869.79999999999</v>
      </c>
      <c r="S180" s="1049">
        <f t="shared" ref="S180:S185" si="10">SUM(B180:R180)</f>
        <v>1940112.4999999998</v>
      </c>
      <c r="U180" s="322"/>
      <c r="V180" s="254"/>
      <c r="W180" s="254"/>
    </row>
    <row r="181" spans="1:23">
      <c r="A181" s="113" t="s">
        <v>676</v>
      </c>
      <c r="B181" s="1041">
        <f>609539.7+20659.4</f>
        <v>630199.1</v>
      </c>
      <c r="C181" s="1041">
        <v>300716.79999999999</v>
      </c>
      <c r="D181" s="1042">
        <f>114388.5+17161.1</f>
        <v>131549.6</v>
      </c>
      <c r="E181" s="1042">
        <f>56727.9+110.8</f>
        <v>56838.700000000004</v>
      </c>
      <c r="F181" s="1042">
        <v>34359.699999999997</v>
      </c>
      <c r="G181" s="1042">
        <v>735.6</v>
      </c>
      <c r="H181" s="1043">
        <v>5815.2</v>
      </c>
      <c r="I181" s="1043">
        <v>8746.7000000000007</v>
      </c>
      <c r="J181" s="1043">
        <v>172694</v>
      </c>
      <c r="K181" s="1044">
        <f>35312+6278.2+9673.4</f>
        <v>51263.6</v>
      </c>
      <c r="L181" s="1043">
        <v>20147.099999999999</v>
      </c>
      <c r="M181" s="1043">
        <f>705.8+26.9</f>
        <v>732.69999999999993</v>
      </c>
      <c r="N181" s="1043">
        <v>155919.79999999999</v>
      </c>
      <c r="O181" s="1045">
        <v>229142.6</v>
      </c>
      <c r="P181" s="1046">
        <v>57791.9</v>
      </c>
      <c r="Q181" s="1047">
        <f>23+5325.6-1138.5-12-5325.6-31.4-3.9</f>
        <v>-1162.8000000000002</v>
      </c>
      <c r="R181" s="1048">
        <f>74133.1+103033.1+2442.5-20659.4-9673.4</f>
        <v>149275.90000000002</v>
      </c>
      <c r="S181" s="1049">
        <f t="shared" si="10"/>
        <v>2004766.2000000002</v>
      </c>
      <c r="U181" s="322"/>
      <c r="V181" s="254"/>
      <c r="W181" s="254"/>
    </row>
    <row r="182" spans="1:23">
      <c r="A182" s="113" t="s">
        <v>683</v>
      </c>
      <c r="B182" s="1041">
        <f>615513.3+12839.6</f>
        <v>628352.9</v>
      </c>
      <c r="C182" s="1041">
        <v>299742.40000000002</v>
      </c>
      <c r="D182" s="1042">
        <f>114174+20897.7</f>
        <v>135071.70000000001</v>
      </c>
      <c r="E182" s="1042">
        <f>40057.8+110.8</f>
        <v>40168.600000000006</v>
      </c>
      <c r="F182" s="1042">
        <v>34318</v>
      </c>
      <c r="G182" s="1042">
        <v>687.3</v>
      </c>
      <c r="H182" s="1043">
        <v>2878.2</v>
      </c>
      <c r="I182" s="1043">
        <v>8758.7999999999993</v>
      </c>
      <c r="J182" s="1043">
        <v>182298.8</v>
      </c>
      <c r="K182" s="1044">
        <f>33417.3+25417.3+7494.6</f>
        <v>66329.200000000012</v>
      </c>
      <c r="L182" s="1043">
        <v>22087.8</v>
      </c>
      <c r="M182" s="1043">
        <f>727.4+16.4</f>
        <v>743.8</v>
      </c>
      <c r="N182" s="1043">
        <v>158712.29999999999</v>
      </c>
      <c r="O182" s="1045">
        <v>242144.9</v>
      </c>
      <c r="P182" s="1046">
        <v>34920.199999999997</v>
      </c>
      <c r="Q182" s="1047">
        <f>26.4+5335.3-590.1-6.3-5348.4-31.4-20.5</f>
        <v>-635.00000000000034</v>
      </c>
      <c r="R182" s="1048">
        <f>69008.2+105101.1+4262.6-12839.6-7494.6</f>
        <v>158037.69999999998</v>
      </c>
      <c r="S182" s="1049">
        <f t="shared" si="10"/>
        <v>2014617.6000000001</v>
      </c>
      <c r="U182" s="322"/>
      <c r="V182" s="254"/>
      <c r="W182" s="254"/>
    </row>
    <row r="183" spans="1:23">
      <c r="A183" s="113" t="s">
        <v>693</v>
      </c>
      <c r="B183" s="1041">
        <f>616437.7+28451.1</f>
        <v>644888.79999999993</v>
      </c>
      <c r="C183" s="1041">
        <v>297953.89999999997</v>
      </c>
      <c r="D183" s="1042">
        <f>113650.2+19758.5</f>
        <v>133408.70000000001</v>
      </c>
      <c r="E183" s="1042">
        <f>30826.1+110.8</f>
        <v>30936.899999999998</v>
      </c>
      <c r="F183" s="1042">
        <v>34076.6</v>
      </c>
      <c r="G183" s="1042">
        <v>605.9</v>
      </c>
      <c r="H183" s="1043">
        <v>3939.7</v>
      </c>
      <c r="I183" s="1043">
        <v>8777.5999999999985</v>
      </c>
      <c r="J183" s="1043">
        <v>246263.19999999998</v>
      </c>
      <c r="K183" s="1044">
        <f>35112.9+7090.2+6912</f>
        <v>49115.1</v>
      </c>
      <c r="L183" s="1043">
        <v>20985</v>
      </c>
      <c r="M183" s="1043">
        <f>726.1+37.4</f>
        <v>763.5</v>
      </c>
      <c r="N183" s="1043">
        <v>161703.89999999997</v>
      </c>
      <c r="O183" s="1045">
        <v>242440.69999999998</v>
      </c>
      <c r="P183" s="1046">
        <v>38247.300000000003</v>
      </c>
      <c r="Q183" s="1047">
        <f>32+5369.7+2002.1-799-2008.3-5367.8-31.4</f>
        <v>-802.70000000000107</v>
      </c>
      <c r="R183" s="1048">
        <f>70688.6+107650.5+2798.9-28451.1-6912</f>
        <v>145774.9</v>
      </c>
      <c r="S183" s="1049">
        <f t="shared" si="10"/>
        <v>2059078.9999999998</v>
      </c>
      <c r="U183" s="322"/>
      <c r="V183" s="254"/>
      <c r="W183" s="254"/>
    </row>
    <row r="184" spans="1:23">
      <c r="A184" s="113" t="s">
        <v>607</v>
      </c>
      <c r="B184" s="1041">
        <f>632884.9+21144.8</f>
        <v>654029.70000000007</v>
      </c>
      <c r="C184" s="1041">
        <v>315624</v>
      </c>
      <c r="D184" s="1042">
        <f>105537.5+19921.5</f>
        <v>125459</v>
      </c>
      <c r="E184" s="1042">
        <f>22680.5+110.8</f>
        <v>22791.3</v>
      </c>
      <c r="F184" s="1042">
        <v>39816.1</v>
      </c>
      <c r="G184" s="1042">
        <v>613.30000000000007</v>
      </c>
      <c r="H184" s="1043">
        <v>4498.8999999999996</v>
      </c>
      <c r="I184" s="1043">
        <v>8795.7999999999993</v>
      </c>
      <c r="J184" s="1043">
        <v>239184.09999999998</v>
      </c>
      <c r="K184" s="1044">
        <f>41208.8+3540.2+7001.2</f>
        <v>51750.2</v>
      </c>
      <c r="L184" s="1043">
        <v>19049.5</v>
      </c>
      <c r="M184" s="1043">
        <f>1099.2+4.7</f>
        <v>1103.9000000000001</v>
      </c>
      <c r="N184" s="1043">
        <v>156873.4</v>
      </c>
      <c r="O184" s="1045">
        <v>242991.8</v>
      </c>
      <c r="P184" s="1046">
        <v>44918.1</v>
      </c>
      <c r="Q184" s="1047">
        <f>32.7+3594.2+4005.3-1159.5-4012.1-3594.2-31.4</f>
        <v>-1165</v>
      </c>
      <c r="R184" s="1048">
        <f>58157.7+102620.3+1940.8-21144.8-7001.2</f>
        <v>134572.79999999999</v>
      </c>
      <c r="S184" s="1049">
        <f t="shared" si="10"/>
        <v>2060906.9000000001</v>
      </c>
      <c r="U184" s="322"/>
      <c r="V184" s="254"/>
      <c r="W184" s="254"/>
    </row>
    <row r="185" spans="1:23" s="1019" customFormat="1">
      <c r="A185" s="1024" t="s">
        <v>629</v>
      </c>
      <c r="B185" s="1041">
        <f>625318.4+33608.8</f>
        <v>658927.20000000007</v>
      </c>
      <c r="C185" s="1041">
        <v>314557.7</v>
      </c>
      <c r="D185" s="1042">
        <f>105811.3+19743.5</f>
        <v>125554.8</v>
      </c>
      <c r="E185" s="1042">
        <f>25059.9+110.7</f>
        <v>25170.600000000002</v>
      </c>
      <c r="F185" s="1042">
        <v>39256.699999999997</v>
      </c>
      <c r="G185" s="1042">
        <v>558.4</v>
      </c>
      <c r="H185" s="1043">
        <v>3577.9</v>
      </c>
      <c r="I185" s="1043">
        <v>8806</v>
      </c>
      <c r="J185" s="1043">
        <v>286106</v>
      </c>
      <c r="K185" s="1044">
        <f>36546.4+9858.7+10597.4</f>
        <v>57002.500000000007</v>
      </c>
      <c r="L185" s="1043">
        <v>18952.900000000001</v>
      </c>
      <c r="M185" s="1043">
        <f>1083.4+12.1</f>
        <v>1095.5</v>
      </c>
      <c r="N185" s="1043">
        <v>198291.5</v>
      </c>
      <c r="O185" s="1045">
        <v>243166</v>
      </c>
      <c r="P185" s="1046">
        <v>46697.1</v>
      </c>
      <c r="Q185" s="1047">
        <f>50.1+3606.7+900.1-1264.3-906.5-3606.7-31.4-8.4</f>
        <v>-1260.4000000000005</v>
      </c>
      <c r="R185" s="1048">
        <f>78494.8+107357.9+1953.1-33608.8-10597.4</f>
        <v>143599.6</v>
      </c>
      <c r="S185" s="1049">
        <f t="shared" si="10"/>
        <v>2170060</v>
      </c>
      <c r="U185" s="322"/>
      <c r="V185" s="1022"/>
      <c r="W185" s="1022"/>
    </row>
    <row r="186" spans="1:23" s="1051" customFormat="1">
      <c r="A186" s="1059" t="s">
        <v>733</v>
      </c>
      <c r="B186" s="1041">
        <f>663280.9+13410.9</f>
        <v>676691.8</v>
      </c>
      <c r="C186" s="1041">
        <v>324665</v>
      </c>
      <c r="D186" s="1041">
        <f>115597.8+19074.6</f>
        <v>134672.4</v>
      </c>
      <c r="E186" s="1041">
        <f>110.7+44478.9</f>
        <v>44589.599999999999</v>
      </c>
      <c r="F186" s="1041">
        <v>35554.1</v>
      </c>
      <c r="G186" s="1041">
        <v>625.5</v>
      </c>
      <c r="H186" s="1041">
        <v>2523.4</v>
      </c>
      <c r="I186" s="1041">
        <v>8827.9</v>
      </c>
      <c r="J186" s="1041">
        <v>290876.59999999998</v>
      </c>
      <c r="K186" s="1041">
        <f>4162.3+42098.1+10930</f>
        <v>57190.400000000001</v>
      </c>
      <c r="L186" s="1041">
        <v>14193.9</v>
      </c>
      <c r="M186" s="1041">
        <f>1040.9+41</f>
        <v>1081.9000000000001</v>
      </c>
      <c r="N186" s="1041">
        <v>183027.7</v>
      </c>
      <c r="O186" s="1041">
        <v>242277.9</v>
      </c>
      <c r="P186" s="1041">
        <v>51367.1</v>
      </c>
      <c r="Q186" s="1041">
        <f>25.1+3621.8-2.2-12-3622.2-31.4-3</f>
        <v>-23.899999999999544</v>
      </c>
      <c r="R186" s="1041">
        <f>58779.6+112469+1978.3-13410.9-10930</f>
        <v>148886</v>
      </c>
      <c r="S186" s="1041">
        <f t="shared" ref="S186" si="11">SUM(B186:R186)</f>
        <v>2217027.2999999998</v>
      </c>
      <c r="U186" s="322"/>
      <c r="V186" s="1055"/>
      <c r="W186" s="1055"/>
    </row>
    <row r="187" spans="1:23">
      <c r="A187" s="113"/>
      <c r="B187" s="80"/>
      <c r="C187" s="80"/>
      <c r="D187" s="263"/>
      <c r="E187" s="263"/>
      <c r="F187" s="263"/>
      <c r="G187" s="263"/>
      <c r="H187" s="261"/>
      <c r="I187" s="261"/>
      <c r="J187" s="261"/>
      <c r="K187" s="71"/>
      <c r="L187" s="261"/>
      <c r="M187" s="261"/>
      <c r="N187" s="261"/>
      <c r="O187" s="294"/>
      <c r="P187" s="2"/>
      <c r="Q187" s="288"/>
      <c r="R187" s="268"/>
      <c r="S187" s="799"/>
    </row>
    <row r="188" spans="1:23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6"/>
      <c r="P188" s="3"/>
      <c r="Q188" s="272"/>
      <c r="R188" s="66"/>
      <c r="S188" s="823"/>
      <c r="T188" s="104"/>
      <c r="U188" s="122"/>
    </row>
    <row r="189" spans="1:23" ht="0.75" hidden="1" customHeight="1">
      <c r="A189" s="270" t="s">
        <v>178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817"/>
    </row>
    <row r="190" spans="1:23">
      <c r="A190" s="270" t="s">
        <v>637</v>
      </c>
      <c r="B190" s="816"/>
      <c r="C190" s="816"/>
      <c r="D190" s="816"/>
      <c r="E190" s="816"/>
      <c r="F190" s="816"/>
      <c r="G190" s="816"/>
      <c r="H190" s="816"/>
      <c r="I190" s="816"/>
      <c r="J190" s="816"/>
      <c r="K190" s="816"/>
      <c r="L190" s="816"/>
      <c r="M190" s="816"/>
      <c r="N190" s="816"/>
      <c r="O190" s="816"/>
      <c r="P190" s="816"/>
      <c r="Q190" s="816"/>
      <c r="R190" s="816"/>
      <c r="S190" s="124"/>
    </row>
    <row r="191" spans="1:23">
      <c r="S191" s="304"/>
    </row>
    <row r="192" spans="1:23">
      <c r="Q192" s="303"/>
      <c r="S192" s="304"/>
    </row>
    <row r="193" spans="17:17">
      <c r="Q193" s="303"/>
    </row>
  </sheetData>
  <mergeCells count="3">
    <mergeCell ref="A4:S4"/>
    <mergeCell ref="A5:S5"/>
    <mergeCell ref="E8:G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showGridLines="0" view="pageBreakPreview" topLeftCell="A126" zoomScale="90" zoomScaleNormal="100" zoomScaleSheetLayoutView="90" workbookViewId="0">
      <selection activeCell="I120" sqref="I120"/>
    </sheetView>
  </sheetViews>
  <sheetFormatPr defaultColWidth="11.5546875" defaultRowHeight="12.75"/>
  <cols>
    <col min="1" max="1" width="19.6640625" style="69" customWidth="1"/>
    <col min="2" max="2" width="8.6640625" style="69" customWidth="1"/>
    <col min="3" max="3" width="10.44140625" style="69" hidden="1" customWidth="1"/>
    <col min="4" max="4" width="9.77734375" style="69" hidden="1" customWidth="1"/>
    <col min="5" max="6" width="10.77734375" style="69" hidden="1" customWidth="1"/>
    <col min="7" max="7" width="11.88671875" style="69" hidden="1" customWidth="1"/>
    <col min="8" max="8" width="11.21875" style="69" customWidth="1"/>
    <col min="9" max="9" width="10.109375" style="69" customWidth="1"/>
    <col min="10" max="10" width="10.77734375" style="69" customWidth="1"/>
    <col min="11" max="11" width="9.44140625" style="69" customWidth="1"/>
    <col min="12" max="13" width="10.77734375" style="69" hidden="1" customWidth="1"/>
    <col min="14" max="14" width="11.5546875" style="69" customWidth="1"/>
    <col min="15" max="15" width="9" style="69" bestFit="1" customWidth="1"/>
    <col min="16" max="16" width="10.77734375" style="69" customWidth="1"/>
    <col min="17" max="17" width="23" style="69" customWidth="1"/>
    <col min="18" max="16384" width="11.5546875" style="69"/>
  </cols>
  <sheetData>
    <row r="1" spans="1:17">
      <c r="A1" s="95"/>
      <c r="B1" s="96"/>
      <c r="C1" s="233"/>
      <c r="D1" s="96"/>
      <c r="E1" s="233"/>
      <c r="F1" s="96"/>
      <c r="G1" s="96"/>
      <c r="H1" s="234"/>
      <c r="I1" s="234"/>
      <c r="J1" s="234"/>
      <c r="K1" s="234"/>
      <c r="L1" s="234"/>
      <c r="M1" s="234"/>
      <c r="N1" s="234"/>
      <c r="O1" s="235"/>
    </row>
    <row r="2" spans="1:17" ht="15.75" customHeight="1">
      <c r="A2" s="305" t="s">
        <v>33</v>
      </c>
      <c r="B2" s="1191" t="s">
        <v>326</v>
      </c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237" t="s">
        <v>205</v>
      </c>
    </row>
    <row r="3" spans="1:17">
      <c r="A3" s="1193" t="s">
        <v>113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5"/>
    </row>
    <row r="4" spans="1:17">
      <c r="A4" s="306"/>
      <c r="B4" s="78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9"/>
      <c r="P4" s="254"/>
      <c r="Q4" s="254"/>
    </row>
    <row r="5" spans="1:17">
      <c r="A5" s="95"/>
      <c r="B5" s="100"/>
      <c r="C5" s="100"/>
      <c r="D5" s="96"/>
      <c r="E5" s="96"/>
      <c r="F5" s="98"/>
      <c r="G5" s="100"/>
      <c r="H5" s="100"/>
      <c r="I5" s="96"/>
      <c r="J5" s="307"/>
      <c r="K5" s="95"/>
      <c r="L5" s="95"/>
      <c r="M5" s="100"/>
      <c r="N5" s="100"/>
      <c r="O5" s="100"/>
    </row>
    <row r="6" spans="1:17" ht="15.75" customHeight="1">
      <c r="A6" s="94" t="s">
        <v>165</v>
      </c>
      <c r="B6" s="240" t="s">
        <v>166</v>
      </c>
      <c r="C6" s="308" t="s">
        <v>206</v>
      </c>
      <c r="D6" s="242" t="s">
        <v>207</v>
      </c>
      <c r="E6" s="243"/>
      <c r="F6" s="244"/>
      <c r="G6" s="245" t="s">
        <v>153</v>
      </c>
      <c r="H6" s="115" t="s">
        <v>103</v>
      </c>
      <c r="I6" s="115" t="s">
        <v>103</v>
      </c>
      <c r="J6" s="245" t="s">
        <v>103</v>
      </c>
      <c r="K6" s="246" t="s">
        <v>238</v>
      </c>
      <c r="L6" s="245" t="s">
        <v>69</v>
      </c>
      <c r="M6" s="115"/>
      <c r="N6" s="115" t="s">
        <v>111</v>
      </c>
      <c r="O6" s="247" t="s">
        <v>74</v>
      </c>
    </row>
    <row r="7" spans="1:17">
      <c r="A7" s="94"/>
      <c r="B7" s="80"/>
      <c r="C7" s="308" t="s">
        <v>208</v>
      </c>
      <c r="D7" s="76"/>
      <c r="E7" s="76"/>
      <c r="F7" s="79"/>
      <c r="G7" s="245" t="s">
        <v>154</v>
      </c>
      <c r="H7" s="115" t="s">
        <v>174</v>
      </c>
      <c r="I7" s="115" t="s">
        <v>104</v>
      </c>
      <c r="J7" s="245" t="s">
        <v>176</v>
      </c>
      <c r="K7" s="246" t="s">
        <v>104</v>
      </c>
      <c r="L7" s="245" t="s">
        <v>71</v>
      </c>
      <c r="M7" s="115" t="s">
        <v>181</v>
      </c>
      <c r="N7" s="115" t="s">
        <v>28</v>
      </c>
      <c r="O7" s="247" t="s">
        <v>33</v>
      </c>
    </row>
    <row r="8" spans="1:17">
      <c r="A8" s="94"/>
      <c r="B8" s="248"/>
      <c r="C8" s="113" t="s">
        <v>209</v>
      </c>
      <c r="D8" s="249"/>
      <c r="E8" s="109"/>
      <c r="F8" s="109"/>
      <c r="G8" s="245" t="s">
        <v>156</v>
      </c>
      <c r="H8" s="115" t="s">
        <v>141</v>
      </c>
      <c r="I8" s="115" t="s">
        <v>237</v>
      </c>
      <c r="J8" s="245" t="s">
        <v>110</v>
      </c>
      <c r="K8" s="246" t="s">
        <v>239</v>
      </c>
      <c r="L8" s="245" t="s">
        <v>210</v>
      </c>
      <c r="M8" s="113"/>
      <c r="N8" s="80"/>
      <c r="O8" s="80"/>
      <c r="P8" s="251"/>
    </row>
    <row r="9" spans="1:17">
      <c r="A9" s="94"/>
      <c r="B9" s="80"/>
      <c r="C9" s="80"/>
      <c r="D9" s="308" t="s">
        <v>211</v>
      </c>
      <c r="E9" s="308" t="s">
        <v>212</v>
      </c>
      <c r="F9" s="115" t="s">
        <v>9</v>
      </c>
      <c r="G9" s="245" t="s">
        <v>160</v>
      </c>
      <c r="H9" s="115" t="s">
        <v>109</v>
      </c>
      <c r="I9" s="115" t="s">
        <v>236</v>
      </c>
      <c r="J9" s="245" t="s">
        <v>109</v>
      </c>
      <c r="K9" s="246" t="s">
        <v>106</v>
      </c>
      <c r="L9" s="245" t="s">
        <v>213</v>
      </c>
      <c r="M9" s="113"/>
      <c r="N9" s="80"/>
      <c r="O9" s="80"/>
      <c r="P9" s="251"/>
    </row>
    <row r="10" spans="1:17">
      <c r="A10" s="270" t="s">
        <v>34</v>
      </c>
      <c r="B10" s="309"/>
      <c r="C10" s="309"/>
      <c r="D10" s="123" t="s">
        <v>161</v>
      </c>
      <c r="E10" s="310" t="s">
        <v>161</v>
      </c>
      <c r="F10" s="121"/>
      <c r="G10" s="311" t="s">
        <v>164</v>
      </c>
      <c r="H10" s="121"/>
      <c r="I10" s="104"/>
      <c r="J10" s="311"/>
      <c r="K10" s="102"/>
      <c r="L10" s="311" t="s">
        <v>214</v>
      </c>
      <c r="M10" s="121"/>
      <c r="N10" s="121"/>
      <c r="O10" s="121"/>
    </row>
    <row r="11" spans="1:17">
      <c r="A11" s="255"/>
      <c r="B11" s="98"/>
      <c r="C11" s="100"/>
      <c r="D11" s="256"/>
      <c r="E11" s="100"/>
      <c r="F11" s="100"/>
      <c r="G11" s="96"/>
      <c r="H11" s="100"/>
      <c r="I11" s="100"/>
      <c r="J11" s="100"/>
      <c r="K11" s="96"/>
      <c r="L11" s="100"/>
      <c r="M11" s="100"/>
      <c r="N11" s="100"/>
      <c r="O11" s="100"/>
      <c r="P11" s="251"/>
    </row>
    <row r="12" spans="1:17" ht="15.75" hidden="1">
      <c r="A12" s="127" t="s">
        <v>7</v>
      </c>
      <c r="B12" s="1051">
        <v>3788.4</v>
      </c>
      <c r="C12" s="1083" t="s">
        <v>88</v>
      </c>
      <c r="D12" s="1083" t="s">
        <v>88</v>
      </c>
      <c r="E12" s="1083" t="s">
        <v>88</v>
      </c>
      <c r="F12" s="1068">
        <v>0</v>
      </c>
      <c r="G12" s="1083" t="s">
        <v>88</v>
      </c>
      <c r="H12" s="1056">
        <v>1214</v>
      </c>
      <c r="I12" s="1067">
        <v>21049.699999999997</v>
      </c>
      <c r="J12" s="1083" t="s">
        <v>88</v>
      </c>
      <c r="K12" s="1066">
        <v>38236.69999999999</v>
      </c>
      <c r="L12" s="1083" t="s">
        <v>88</v>
      </c>
      <c r="M12" s="1083" t="s">
        <v>88</v>
      </c>
      <c r="N12" s="1067">
        <v>6638.6</v>
      </c>
      <c r="O12" s="1068">
        <v>70927.399999999994</v>
      </c>
    </row>
    <row r="13" spans="1:17" ht="15.75" hidden="1">
      <c r="A13" s="127" t="s">
        <v>8</v>
      </c>
      <c r="B13" s="1051">
        <v>1512.6</v>
      </c>
      <c r="C13" s="1083" t="s">
        <v>88</v>
      </c>
      <c r="D13" s="1083" t="s">
        <v>88</v>
      </c>
      <c r="E13" s="1083" t="s">
        <v>88</v>
      </c>
      <c r="F13" s="1075">
        <v>0</v>
      </c>
      <c r="G13" s="1083" t="s">
        <v>88</v>
      </c>
      <c r="H13" s="1077">
        <v>4208.7</v>
      </c>
      <c r="I13" s="1067">
        <v>25304.1</v>
      </c>
      <c r="J13" s="1083" t="s">
        <v>88</v>
      </c>
      <c r="K13" s="1071">
        <v>46619.799999999996</v>
      </c>
      <c r="L13" s="1083" t="s">
        <v>88</v>
      </c>
      <c r="M13" s="1083" t="s">
        <v>88</v>
      </c>
      <c r="N13" s="1072">
        <v>8444.2000000000007</v>
      </c>
      <c r="O13" s="1068">
        <v>86089.4</v>
      </c>
      <c r="P13" s="264"/>
      <c r="Q13" s="71"/>
    </row>
    <row r="14" spans="1:17" ht="15.75" hidden="1">
      <c r="A14" s="127" t="s">
        <v>10</v>
      </c>
      <c r="B14" s="1051">
        <v>23402.699999999997</v>
      </c>
      <c r="C14" s="1083" t="s">
        <v>88</v>
      </c>
      <c r="D14" s="1083" t="s">
        <v>88</v>
      </c>
      <c r="E14" s="1083" t="s">
        <v>88</v>
      </c>
      <c r="F14" s="1075">
        <v>0</v>
      </c>
      <c r="G14" s="1083" t="s">
        <v>88</v>
      </c>
      <c r="H14" s="1077">
        <v>5079</v>
      </c>
      <c r="I14" s="1067">
        <v>34595.900000000009</v>
      </c>
      <c r="J14" s="1072">
        <v>17306.400000000001</v>
      </c>
      <c r="K14" s="1071">
        <v>43692.799999999996</v>
      </c>
      <c r="L14" s="1083" t="s">
        <v>88</v>
      </c>
      <c r="M14" s="1083" t="s">
        <v>88</v>
      </c>
      <c r="N14" s="1072">
        <v>16627.699999999997</v>
      </c>
      <c r="O14" s="1068">
        <v>140704.5</v>
      </c>
      <c r="P14" s="264"/>
      <c r="Q14" s="71"/>
    </row>
    <row r="15" spans="1:17" ht="15.75">
      <c r="A15" s="265" t="s">
        <v>11</v>
      </c>
      <c r="B15" s="1051">
        <v>7620.5</v>
      </c>
      <c r="C15" s="1083" t="s">
        <v>88</v>
      </c>
      <c r="D15" s="1083" t="s">
        <v>88</v>
      </c>
      <c r="E15" s="1083" t="s">
        <v>88</v>
      </c>
      <c r="F15" s="1068">
        <v>0</v>
      </c>
      <c r="G15" s="1083" t="s">
        <v>88</v>
      </c>
      <c r="H15" s="1056">
        <v>5135.1000000000004</v>
      </c>
      <c r="I15" s="1067">
        <v>37002.5</v>
      </c>
      <c r="J15" s="1067">
        <v>27599.1</v>
      </c>
      <c r="K15" s="1066">
        <v>51492.4</v>
      </c>
      <c r="L15" s="1083" t="s">
        <v>88</v>
      </c>
      <c r="M15" s="1083" t="s">
        <v>88</v>
      </c>
      <c r="N15" s="1067">
        <v>17612.100000000002</v>
      </c>
      <c r="O15" s="1068">
        <v>146461.70000000001</v>
      </c>
      <c r="P15" s="264"/>
      <c r="Q15" s="71"/>
    </row>
    <row r="16" spans="1:17" ht="15.75">
      <c r="A16" s="265" t="s">
        <v>13</v>
      </c>
      <c r="B16" s="1051">
        <v>5845.7</v>
      </c>
      <c r="C16" s="1083" t="s">
        <v>88</v>
      </c>
      <c r="D16" s="1083" t="s">
        <v>88</v>
      </c>
      <c r="E16" s="1083" t="s">
        <v>88</v>
      </c>
      <c r="F16" s="1075">
        <v>0</v>
      </c>
      <c r="G16" s="1083" t="s">
        <v>88</v>
      </c>
      <c r="H16" s="1077">
        <v>6722.7000000000007</v>
      </c>
      <c r="I16" s="1072">
        <v>46229.7</v>
      </c>
      <c r="J16" s="1077">
        <v>29978.2</v>
      </c>
      <c r="K16" s="1071">
        <v>71084.7</v>
      </c>
      <c r="L16" s="1083" t="s">
        <v>88</v>
      </c>
      <c r="M16" s="1083" t="s">
        <v>88</v>
      </c>
      <c r="N16" s="1072">
        <v>21042.100000000002</v>
      </c>
      <c r="O16" s="1068">
        <v>180903.1</v>
      </c>
      <c r="Q16" s="71"/>
    </row>
    <row r="17" spans="1:17" ht="15.75">
      <c r="A17" s="265" t="s">
        <v>14</v>
      </c>
      <c r="B17" s="1073">
        <v>5082.3000000000011</v>
      </c>
      <c r="C17" s="1083" t="s">
        <v>88</v>
      </c>
      <c r="D17" s="1083" t="s">
        <v>88</v>
      </c>
      <c r="E17" s="1083" t="s">
        <v>88</v>
      </c>
      <c r="F17" s="1068">
        <v>0</v>
      </c>
      <c r="G17" s="1083" t="s">
        <v>88</v>
      </c>
      <c r="H17" s="1056">
        <v>2947.3999999999996</v>
      </c>
      <c r="I17" s="1067">
        <v>53571</v>
      </c>
      <c r="J17" s="1083" t="s">
        <v>88</v>
      </c>
      <c r="K17" s="1066">
        <v>109123.7</v>
      </c>
      <c r="L17" s="1083" t="s">
        <v>88</v>
      </c>
      <c r="M17" s="1083" t="s">
        <v>88</v>
      </c>
      <c r="N17" s="1067">
        <v>24191.699999999997</v>
      </c>
      <c r="O17" s="1068">
        <v>194916.09999999998</v>
      </c>
      <c r="Q17" s="71"/>
    </row>
    <row r="18" spans="1:17" ht="15.75">
      <c r="A18" s="265" t="s">
        <v>15</v>
      </c>
      <c r="B18" s="1051">
        <v>10611.6</v>
      </c>
      <c r="C18" s="1083" t="s">
        <v>88</v>
      </c>
      <c r="D18" s="1083" t="s">
        <v>88</v>
      </c>
      <c r="E18" s="1083" t="s">
        <v>88</v>
      </c>
      <c r="F18" s="1068">
        <v>0</v>
      </c>
      <c r="G18" s="1083" t="s">
        <v>88</v>
      </c>
      <c r="H18" s="1056">
        <v>1954.3000000000002</v>
      </c>
      <c r="I18" s="1067">
        <v>46378</v>
      </c>
      <c r="J18" s="1083" t="s">
        <v>88</v>
      </c>
      <c r="K18" s="1066">
        <v>140013.6</v>
      </c>
      <c r="L18" s="1083" t="s">
        <v>88</v>
      </c>
      <c r="M18" s="1083" t="s">
        <v>88</v>
      </c>
      <c r="N18" s="1067">
        <v>27686.199999999997</v>
      </c>
      <c r="O18" s="1068">
        <v>226643.7</v>
      </c>
    </row>
    <row r="19" spans="1:17" ht="15.75">
      <c r="A19" s="265" t="s">
        <v>669</v>
      </c>
      <c r="B19" s="1051">
        <v>7500.9000000000005</v>
      </c>
      <c r="C19" s="1083"/>
      <c r="D19" s="1084"/>
      <c r="E19" s="1083"/>
      <c r="F19" s="1068"/>
      <c r="G19" s="1085"/>
      <c r="H19" s="1056">
        <v>1992.6000000000001</v>
      </c>
      <c r="I19" s="1067">
        <v>68749.5</v>
      </c>
      <c r="J19" s="1083" t="s">
        <v>88</v>
      </c>
      <c r="K19" s="1066">
        <v>175511.5</v>
      </c>
      <c r="L19" s="1083"/>
      <c r="M19" s="1083"/>
      <c r="N19" s="1067">
        <v>31104.299999999996</v>
      </c>
      <c r="O19" s="1068">
        <v>284858.8</v>
      </c>
    </row>
    <row r="20" spans="1:17" s="1019" customFormat="1" ht="15.75">
      <c r="A20" s="1038"/>
      <c r="B20" s="1050"/>
      <c r="C20" s="1083"/>
      <c r="D20" s="1084"/>
      <c r="E20" s="1083"/>
      <c r="F20" s="1068"/>
      <c r="G20" s="1085"/>
      <c r="H20" s="1056"/>
      <c r="I20" s="1067"/>
      <c r="J20" s="1083"/>
      <c r="K20" s="1066"/>
      <c r="L20" s="1083"/>
      <c r="M20" s="1083"/>
      <c r="N20" s="1067"/>
      <c r="O20" s="1068"/>
    </row>
    <row r="21" spans="1:17" ht="15.75" hidden="1">
      <c r="A21" s="266" t="s">
        <v>61</v>
      </c>
      <c r="B21" s="1051">
        <v>6929.3000000000011</v>
      </c>
      <c r="C21" s="1083" t="s">
        <v>88</v>
      </c>
      <c r="D21" s="1083" t="s">
        <v>88</v>
      </c>
      <c r="E21" s="1083" t="s">
        <v>88</v>
      </c>
      <c r="F21" s="1068">
        <v>0</v>
      </c>
      <c r="G21" s="1083" t="s">
        <v>88</v>
      </c>
      <c r="H21" s="1056">
        <v>5376.15</v>
      </c>
      <c r="I21" s="1067">
        <v>36522.700000000004</v>
      </c>
      <c r="J21" s="1067">
        <v>28449.55</v>
      </c>
      <c r="K21" s="1066">
        <v>54705.025000000009</v>
      </c>
      <c r="L21" s="1083" t="s">
        <v>88</v>
      </c>
      <c r="M21" s="1083" t="s">
        <v>88</v>
      </c>
      <c r="N21" s="1067">
        <v>19617</v>
      </c>
      <c r="O21" s="1068">
        <v>151599.72500000003</v>
      </c>
      <c r="Q21" s="71"/>
    </row>
    <row r="22" spans="1:17" ht="15.75" hidden="1">
      <c r="A22" s="266" t="s">
        <v>44</v>
      </c>
      <c r="B22" s="1051">
        <v>6238.1</v>
      </c>
      <c r="C22" s="1083" t="s">
        <v>88</v>
      </c>
      <c r="D22" s="1083" t="s">
        <v>88</v>
      </c>
      <c r="E22" s="1083" t="s">
        <v>88</v>
      </c>
      <c r="F22" s="1075">
        <v>0</v>
      </c>
      <c r="G22" s="1083" t="s">
        <v>88</v>
      </c>
      <c r="H22" s="1077">
        <v>5617.2</v>
      </c>
      <c r="I22" s="1072">
        <v>36042.900000000009</v>
      </c>
      <c r="J22" s="1077">
        <v>29300</v>
      </c>
      <c r="K22" s="1071">
        <v>57917.65</v>
      </c>
      <c r="L22" s="1083" t="s">
        <v>88</v>
      </c>
      <c r="M22" s="1083" t="s">
        <v>88</v>
      </c>
      <c r="N22" s="1072">
        <v>21621.899999999998</v>
      </c>
      <c r="O22" s="1068">
        <v>156737.75</v>
      </c>
      <c r="Q22" s="71"/>
    </row>
    <row r="23" spans="1:17" ht="15.75" hidden="1">
      <c r="A23" s="266" t="s">
        <v>47</v>
      </c>
      <c r="B23" s="1051">
        <v>6101.8722222222223</v>
      </c>
      <c r="C23" s="1083" t="s">
        <v>88</v>
      </c>
      <c r="D23" s="1083" t="s">
        <v>88</v>
      </c>
      <c r="E23" s="1083" t="s">
        <v>88</v>
      </c>
      <c r="F23" s="1075">
        <v>0</v>
      </c>
      <c r="G23" s="1083" t="s">
        <v>88</v>
      </c>
      <c r="H23" s="1077">
        <v>6058.8388888888885</v>
      </c>
      <c r="I23" s="1072">
        <v>40910.452777777777</v>
      </c>
      <c r="J23" s="1077">
        <v>29639.1</v>
      </c>
      <c r="K23" s="1071">
        <v>63456.78611111112</v>
      </c>
      <c r="L23" s="1083" t="s">
        <v>88</v>
      </c>
      <c r="M23" s="1083" t="s">
        <v>88</v>
      </c>
      <c r="N23" s="1072">
        <v>21340.666666666668</v>
      </c>
      <c r="O23" s="1068">
        <v>167507.71666666665</v>
      </c>
      <c r="Q23" s="71"/>
    </row>
    <row r="24" spans="1:17" ht="15.75" hidden="1">
      <c r="A24" s="266" t="s">
        <v>50</v>
      </c>
      <c r="B24" s="1051">
        <v>5845.7</v>
      </c>
      <c r="C24" s="1083" t="s">
        <v>88</v>
      </c>
      <c r="D24" s="1083" t="s">
        <v>88</v>
      </c>
      <c r="E24" s="1083" t="s">
        <v>88</v>
      </c>
      <c r="F24" s="1075">
        <v>0</v>
      </c>
      <c r="G24" s="1083" t="s">
        <v>88</v>
      </c>
      <c r="H24" s="1077">
        <v>6722.7000000000007</v>
      </c>
      <c r="I24" s="1072">
        <v>46229.7</v>
      </c>
      <c r="J24" s="1077">
        <v>29978.2</v>
      </c>
      <c r="K24" s="1071">
        <v>71084.7</v>
      </c>
      <c r="L24" s="1083" t="s">
        <v>88</v>
      </c>
      <c r="M24" s="1083" t="s">
        <v>88</v>
      </c>
      <c r="N24" s="1072">
        <v>21042.100000000002</v>
      </c>
      <c r="O24" s="1068">
        <v>180903.1</v>
      </c>
      <c r="Q24" s="71"/>
    </row>
    <row r="25" spans="1:17" ht="15.75" hidden="1">
      <c r="A25" s="266"/>
      <c r="B25" s="1070"/>
      <c r="C25" s="1083"/>
      <c r="D25" s="1084"/>
      <c r="E25" s="1083"/>
      <c r="F25" s="1075"/>
      <c r="G25" s="1085"/>
      <c r="H25" s="1077"/>
      <c r="I25" s="1072"/>
      <c r="J25" s="1077"/>
      <c r="K25" s="1071"/>
      <c r="L25" s="1083"/>
      <c r="M25" s="1083"/>
      <c r="N25" s="1072"/>
      <c r="O25" s="1068"/>
      <c r="Q25" s="71"/>
    </row>
    <row r="26" spans="1:17" ht="15.75">
      <c r="A26" s="266" t="s">
        <v>53</v>
      </c>
      <c r="B26" s="1073">
        <v>5908.2499999999991</v>
      </c>
      <c r="C26" s="1083" t="s">
        <v>88</v>
      </c>
      <c r="D26" s="1083" t="s">
        <v>88</v>
      </c>
      <c r="E26" s="1083" t="s">
        <v>88</v>
      </c>
      <c r="F26" s="1068">
        <v>0</v>
      </c>
      <c r="G26" s="1083" t="s">
        <v>88</v>
      </c>
      <c r="H26" s="1056">
        <v>6434.9500000000007</v>
      </c>
      <c r="I26" s="1067">
        <v>47480.100000000006</v>
      </c>
      <c r="J26" s="1056">
        <v>14989.1</v>
      </c>
      <c r="K26" s="1066">
        <v>81723</v>
      </c>
      <c r="L26" s="1083" t="s">
        <v>88</v>
      </c>
      <c r="M26" s="1083" t="s">
        <v>88</v>
      </c>
      <c r="N26" s="1067">
        <v>23110.2</v>
      </c>
      <c r="O26" s="1068">
        <v>179645.60000000003</v>
      </c>
      <c r="Q26" s="71"/>
    </row>
    <row r="27" spans="1:17" ht="15.75">
      <c r="A27" s="266" t="s">
        <v>44</v>
      </c>
      <c r="B27" s="1073">
        <v>5970.8000000000011</v>
      </c>
      <c r="C27" s="1083" t="s">
        <v>88</v>
      </c>
      <c r="D27" s="1083" t="s">
        <v>88</v>
      </c>
      <c r="E27" s="1083" t="s">
        <v>88</v>
      </c>
      <c r="F27" s="1068">
        <v>0</v>
      </c>
      <c r="G27" s="1083" t="s">
        <v>88</v>
      </c>
      <c r="H27" s="1056">
        <v>6112.2</v>
      </c>
      <c r="I27" s="1067">
        <v>48798.900000000009</v>
      </c>
      <c r="J27" s="1083" t="s">
        <v>88</v>
      </c>
      <c r="K27" s="1066">
        <v>93779.999999999985</v>
      </c>
      <c r="L27" s="1083" t="s">
        <v>88</v>
      </c>
      <c r="M27" s="1083" t="s">
        <v>88</v>
      </c>
      <c r="N27" s="1067">
        <v>25216.1</v>
      </c>
      <c r="O27" s="1068">
        <v>179878</v>
      </c>
      <c r="Q27" s="71"/>
    </row>
    <row r="28" spans="1:17" ht="15.75">
      <c r="A28" s="266" t="s">
        <v>47</v>
      </c>
      <c r="B28" s="1073">
        <v>5529.3416666666672</v>
      </c>
      <c r="C28" s="1083" t="s">
        <v>88</v>
      </c>
      <c r="D28" s="1083" t="s">
        <v>88</v>
      </c>
      <c r="E28" s="1083" t="s">
        <v>88</v>
      </c>
      <c r="F28" s="1068">
        <v>0</v>
      </c>
      <c r="G28" s="1083" t="s">
        <v>88</v>
      </c>
      <c r="H28" s="1056">
        <v>4529.8</v>
      </c>
      <c r="I28" s="1067">
        <v>51245.2</v>
      </c>
      <c r="J28" s="1083" t="s">
        <v>88</v>
      </c>
      <c r="K28" s="1066">
        <v>101526.68333333333</v>
      </c>
      <c r="L28" s="1083" t="s">
        <v>88</v>
      </c>
      <c r="M28" s="1083" t="s">
        <v>88</v>
      </c>
      <c r="N28" s="1067">
        <v>24704.400000000001</v>
      </c>
      <c r="O28" s="1068">
        <v>187535.42499999999</v>
      </c>
      <c r="Q28" s="71"/>
    </row>
    <row r="29" spans="1:17" ht="15.75">
      <c r="A29" s="266" t="s">
        <v>50</v>
      </c>
      <c r="B29" s="1073">
        <v>5082.3000000000011</v>
      </c>
      <c r="C29" s="1083" t="s">
        <v>88</v>
      </c>
      <c r="D29" s="1083" t="s">
        <v>88</v>
      </c>
      <c r="E29" s="1083" t="s">
        <v>88</v>
      </c>
      <c r="F29" s="1068">
        <v>0</v>
      </c>
      <c r="G29" s="1083" t="s">
        <v>88</v>
      </c>
      <c r="H29" s="1056">
        <v>2947.3999999999996</v>
      </c>
      <c r="I29" s="1067">
        <v>53571</v>
      </c>
      <c r="J29" s="1083" t="s">
        <v>88</v>
      </c>
      <c r="K29" s="1066">
        <v>109123.7</v>
      </c>
      <c r="L29" s="1083" t="s">
        <v>88</v>
      </c>
      <c r="M29" s="1083" t="s">
        <v>88</v>
      </c>
      <c r="N29" s="1067">
        <v>24191.699999999997</v>
      </c>
      <c r="O29" s="1068">
        <v>194916.09999999998</v>
      </c>
      <c r="Q29" s="71"/>
    </row>
    <row r="30" spans="1:17">
      <c r="A30" s="266"/>
      <c r="B30" s="1065"/>
      <c r="C30" s="1067"/>
      <c r="D30" s="1065"/>
      <c r="E30" s="1067"/>
      <c r="F30" s="1068"/>
      <c r="G30" s="1066"/>
      <c r="H30" s="1056"/>
      <c r="I30" s="1067"/>
      <c r="J30" s="1056"/>
      <c r="K30" s="1066"/>
      <c r="L30" s="1067"/>
      <c r="M30" s="1067"/>
      <c r="N30" s="1067"/>
      <c r="O30" s="1068"/>
      <c r="Q30" s="71"/>
    </row>
    <row r="31" spans="1:17" ht="15.75">
      <c r="A31" s="266" t="s">
        <v>65</v>
      </c>
      <c r="B31" s="1051">
        <v>6190.5</v>
      </c>
      <c r="C31" s="1083" t="s">
        <v>88</v>
      </c>
      <c r="D31" s="1083" t="s">
        <v>88</v>
      </c>
      <c r="E31" s="1083" t="s">
        <v>88</v>
      </c>
      <c r="F31" s="1068">
        <v>0</v>
      </c>
      <c r="G31" s="1083" t="s">
        <v>88</v>
      </c>
      <c r="H31" s="1056">
        <v>2432.4750000000004</v>
      </c>
      <c r="I31" s="1067">
        <v>54794.275000000009</v>
      </c>
      <c r="J31" s="1083" t="s">
        <v>88</v>
      </c>
      <c r="K31" s="1066">
        <v>123124.42499999999</v>
      </c>
      <c r="L31" s="1083" t="s">
        <v>88</v>
      </c>
      <c r="M31" s="1083" t="s">
        <v>88</v>
      </c>
      <c r="N31" s="1067">
        <v>25788.6</v>
      </c>
      <c r="O31" s="1068">
        <v>212330.27499999999</v>
      </c>
      <c r="Q31" s="71"/>
    </row>
    <row r="32" spans="1:17" ht="15.75">
      <c r="A32" s="266" t="s">
        <v>44</v>
      </c>
      <c r="B32" s="1051">
        <v>7298.6999999999989</v>
      </c>
      <c r="C32" s="1083" t="s">
        <v>88</v>
      </c>
      <c r="D32" s="1083" t="s">
        <v>88</v>
      </c>
      <c r="E32" s="1083" t="s">
        <v>88</v>
      </c>
      <c r="F32" s="1068">
        <v>0</v>
      </c>
      <c r="G32" s="1083" t="s">
        <v>88</v>
      </c>
      <c r="H32" s="1056">
        <v>1917.5500000000002</v>
      </c>
      <c r="I32" s="1067">
        <v>56017.55000000001</v>
      </c>
      <c r="J32" s="1083" t="s">
        <v>88</v>
      </c>
      <c r="K32" s="1066">
        <v>137125.15000000002</v>
      </c>
      <c r="L32" s="1083" t="s">
        <v>88</v>
      </c>
      <c r="M32" s="1083" t="s">
        <v>88</v>
      </c>
      <c r="N32" s="1067">
        <v>27385.5</v>
      </c>
      <c r="O32" s="1068">
        <v>229744.45000000004</v>
      </c>
      <c r="Q32" s="71"/>
    </row>
    <row r="33" spans="1:17" ht="15.75">
      <c r="A33" s="266" t="s">
        <v>47</v>
      </c>
      <c r="B33" s="1051">
        <v>8693.9000000000033</v>
      </c>
      <c r="C33" s="1083" t="s">
        <v>88</v>
      </c>
      <c r="D33" s="1083" t="s">
        <v>88</v>
      </c>
      <c r="E33" s="1083" t="s">
        <v>88</v>
      </c>
      <c r="F33" s="1068">
        <v>0</v>
      </c>
      <c r="G33" s="1083" t="s">
        <v>88</v>
      </c>
      <c r="H33" s="1056">
        <v>1935.925</v>
      </c>
      <c r="I33" s="1067">
        <v>34012.724999999999</v>
      </c>
      <c r="J33" s="1083" t="s">
        <v>88</v>
      </c>
      <c r="K33" s="1066">
        <v>140692.77499999999</v>
      </c>
      <c r="L33" s="1083" t="s">
        <v>88</v>
      </c>
      <c r="M33" s="1083" t="s">
        <v>88</v>
      </c>
      <c r="N33" s="1067">
        <v>27925.800000000003</v>
      </c>
      <c r="O33" s="1068">
        <v>213261.125</v>
      </c>
      <c r="Q33" s="71"/>
    </row>
    <row r="34" spans="1:17" ht="15.75">
      <c r="A34" s="266" t="s">
        <v>50</v>
      </c>
      <c r="B34" s="1051">
        <v>10611.6</v>
      </c>
      <c r="C34" s="1083" t="s">
        <v>88</v>
      </c>
      <c r="D34" s="1083" t="s">
        <v>88</v>
      </c>
      <c r="E34" s="1083" t="s">
        <v>88</v>
      </c>
      <c r="F34" s="1068">
        <v>0</v>
      </c>
      <c r="G34" s="1083" t="s">
        <v>88</v>
      </c>
      <c r="H34" s="1056">
        <v>1954.3000000000002</v>
      </c>
      <c r="I34" s="1067">
        <v>46378</v>
      </c>
      <c r="J34" s="1083" t="s">
        <v>88</v>
      </c>
      <c r="K34" s="1066">
        <v>140013.6</v>
      </c>
      <c r="L34" s="1083" t="s">
        <v>88</v>
      </c>
      <c r="M34" s="1083" t="s">
        <v>88</v>
      </c>
      <c r="N34" s="1067">
        <v>27686.199999999997</v>
      </c>
      <c r="O34" s="1068">
        <v>226643.7</v>
      </c>
      <c r="Q34" s="71"/>
    </row>
    <row r="35" spans="1:17">
      <c r="A35" s="266"/>
      <c r="B35" s="1065"/>
      <c r="C35" s="1067"/>
      <c r="D35" s="1065"/>
      <c r="E35" s="1067"/>
      <c r="F35" s="1068"/>
      <c r="G35" s="1066"/>
      <c r="H35" s="1056"/>
      <c r="I35" s="1067"/>
      <c r="J35" s="1056"/>
      <c r="K35" s="1066"/>
      <c r="L35" s="1067"/>
      <c r="M35" s="1067"/>
      <c r="N35" s="1067"/>
      <c r="O35" s="1068"/>
      <c r="Q35" s="71"/>
    </row>
    <row r="36" spans="1:17" ht="15.75">
      <c r="A36" s="266" t="s">
        <v>66</v>
      </c>
      <c r="B36" s="1051">
        <v>12542.400000000001</v>
      </c>
      <c r="C36" s="1083" t="s">
        <v>88</v>
      </c>
      <c r="D36" s="1083" t="s">
        <v>88</v>
      </c>
      <c r="E36" s="1083" t="s">
        <v>88</v>
      </c>
      <c r="F36" s="1068">
        <v>0</v>
      </c>
      <c r="G36" s="1083" t="s">
        <v>88</v>
      </c>
      <c r="H36" s="1056">
        <v>1842.65</v>
      </c>
      <c r="I36" s="1067">
        <v>44629.95</v>
      </c>
      <c r="J36" s="1083" t="s">
        <v>88</v>
      </c>
      <c r="K36" s="1066">
        <v>149834.90000000002</v>
      </c>
      <c r="L36" s="1083" t="s">
        <v>88</v>
      </c>
      <c r="M36" s="1083" t="s">
        <v>88</v>
      </c>
      <c r="N36" s="1067">
        <v>34610.549999999996</v>
      </c>
      <c r="O36" s="1068">
        <v>243460.45</v>
      </c>
      <c r="Q36" s="71"/>
    </row>
    <row r="37" spans="1:17" ht="15.75">
      <c r="A37" s="113" t="s">
        <v>62</v>
      </c>
      <c r="B37" s="1051">
        <v>8573.3000000000011</v>
      </c>
      <c r="C37" s="1083"/>
      <c r="D37" s="1084"/>
      <c r="E37" s="1083"/>
      <c r="F37" s="1068"/>
      <c r="G37" s="1085"/>
      <c r="H37" s="1056">
        <v>1656.3</v>
      </c>
      <c r="I37" s="1067">
        <v>131277.40000000002</v>
      </c>
      <c r="J37" s="1083" t="s">
        <v>88</v>
      </c>
      <c r="K37" s="1066">
        <v>150065.99999999997</v>
      </c>
      <c r="L37" s="1083"/>
      <c r="M37" s="1083"/>
      <c r="N37" s="1067">
        <v>40739.699999999997</v>
      </c>
      <c r="O37" s="1068">
        <v>332312.7</v>
      </c>
      <c r="Q37" s="71"/>
    </row>
    <row r="38" spans="1:17" ht="15.75">
      <c r="A38" s="113" t="s">
        <v>63</v>
      </c>
      <c r="B38" s="1051">
        <v>15079.300000000003</v>
      </c>
      <c r="C38" s="1083"/>
      <c r="D38" s="1084"/>
      <c r="E38" s="1083"/>
      <c r="F38" s="1068"/>
      <c r="G38" s="1085"/>
      <c r="H38" s="1056">
        <v>1865.3</v>
      </c>
      <c r="I38" s="1067">
        <v>54034.2</v>
      </c>
      <c r="J38" s="1083" t="s">
        <v>88</v>
      </c>
      <c r="K38" s="1066">
        <v>167107</v>
      </c>
      <c r="L38" s="1083"/>
      <c r="M38" s="1083"/>
      <c r="N38" s="1067">
        <v>35814.950000000004</v>
      </c>
      <c r="O38" s="1068">
        <v>273900.75</v>
      </c>
      <c r="Q38" s="71"/>
    </row>
    <row r="39" spans="1:17" ht="15.75">
      <c r="A39" s="113" t="s">
        <v>64</v>
      </c>
      <c r="B39" s="1051">
        <v>7500.9000000000005</v>
      </c>
      <c r="C39" s="1083"/>
      <c r="D39" s="1084"/>
      <c r="E39" s="1083"/>
      <c r="F39" s="1068"/>
      <c r="G39" s="1085"/>
      <c r="H39" s="1056">
        <v>1992.6000000000001</v>
      </c>
      <c r="I39" s="1067">
        <v>68749.5</v>
      </c>
      <c r="J39" s="1083" t="s">
        <v>88</v>
      </c>
      <c r="K39" s="1066">
        <v>175511.5</v>
      </c>
      <c r="L39" s="1083"/>
      <c r="M39" s="1083"/>
      <c r="N39" s="1067">
        <v>31104.299999999996</v>
      </c>
      <c r="O39" s="1068">
        <v>284858.8</v>
      </c>
      <c r="Q39" s="71"/>
    </row>
    <row r="40" spans="1:17" ht="15.75">
      <c r="A40" s="113"/>
      <c r="B40" s="1050"/>
      <c r="C40" s="1083"/>
      <c r="D40" s="1084"/>
      <c r="E40" s="1083"/>
      <c r="F40" s="1068"/>
      <c r="G40" s="1085"/>
      <c r="H40" s="1056"/>
      <c r="I40" s="1067"/>
      <c r="J40" s="1083"/>
      <c r="K40" s="1066"/>
      <c r="L40" s="1083"/>
      <c r="M40" s="1083"/>
      <c r="N40" s="1067"/>
      <c r="O40" s="1068"/>
      <c r="Q40" s="71"/>
    </row>
    <row r="41" spans="1:17" ht="15.75">
      <c r="A41" s="113" t="s">
        <v>684</v>
      </c>
      <c r="B41" s="1051">
        <v>19066.099999999999</v>
      </c>
      <c r="C41" s="1083"/>
      <c r="D41" s="1084"/>
      <c r="E41" s="1083"/>
      <c r="F41" s="1068"/>
      <c r="G41" s="1085"/>
      <c r="H41" s="1056">
        <v>973.30000000000007</v>
      </c>
      <c r="I41" s="1067">
        <v>76144.000000000015</v>
      </c>
      <c r="J41" s="1083" t="s">
        <v>88</v>
      </c>
      <c r="K41" s="1066">
        <v>182334.09999999998</v>
      </c>
      <c r="L41" s="1083"/>
      <c r="M41" s="1083"/>
      <c r="N41" s="1067">
        <v>33725.5</v>
      </c>
      <c r="O41" s="1068">
        <v>312243</v>
      </c>
      <c r="Q41" s="71"/>
    </row>
    <row r="42" spans="1:17" s="1019" customFormat="1" ht="15.75">
      <c r="A42" s="1024" t="s">
        <v>715</v>
      </c>
      <c r="B42" s="1051">
        <v>19066.099999999999</v>
      </c>
      <c r="C42" s="1083"/>
      <c r="D42" s="1084"/>
      <c r="E42" s="1083"/>
      <c r="F42" s="1068"/>
      <c r="G42" s="1085"/>
      <c r="H42" s="1056">
        <v>973.30000000000007</v>
      </c>
      <c r="I42" s="1067">
        <v>76144.000000000015</v>
      </c>
      <c r="J42" s="1083"/>
      <c r="K42" s="1066">
        <v>182334.09999999998</v>
      </c>
      <c r="L42" s="1083"/>
      <c r="M42" s="1083"/>
      <c r="N42" s="1067">
        <v>33725.5</v>
      </c>
      <c r="O42" s="1068">
        <v>312243</v>
      </c>
      <c r="Q42" s="1020"/>
    </row>
    <row r="43" spans="1:17">
      <c r="A43" s="266"/>
      <c r="B43" s="1065"/>
      <c r="C43" s="1067"/>
      <c r="D43" s="1065"/>
      <c r="E43" s="1067"/>
      <c r="F43" s="1068"/>
      <c r="G43" s="1066"/>
      <c r="H43" s="1056"/>
      <c r="I43" s="1067"/>
      <c r="J43" s="1067"/>
      <c r="K43" s="1066"/>
      <c r="L43" s="1067"/>
      <c r="M43" s="1067"/>
      <c r="N43" s="1067"/>
      <c r="O43" s="1068"/>
      <c r="Q43" s="71"/>
    </row>
    <row r="44" spans="1:17" ht="15.75" hidden="1">
      <c r="A44" s="144" t="s">
        <v>234</v>
      </c>
      <c r="B44" s="1051">
        <v>3788.4</v>
      </c>
      <c r="C44" s="1083" t="s">
        <v>88</v>
      </c>
      <c r="D44" s="1083" t="s">
        <v>88</v>
      </c>
      <c r="E44" s="1083" t="s">
        <v>88</v>
      </c>
      <c r="F44" s="1068">
        <v>0</v>
      </c>
      <c r="G44" s="1083" t="s">
        <v>88</v>
      </c>
      <c r="H44" s="1056">
        <v>1214</v>
      </c>
      <c r="I44" s="1067">
        <v>21049.699999999997</v>
      </c>
      <c r="J44" s="1083" t="s">
        <v>88</v>
      </c>
      <c r="K44" s="1066">
        <v>38236.69999999999</v>
      </c>
      <c r="L44" s="1083" t="s">
        <v>88</v>
      </c>
      <c r="M44" s="1083" t="s">
        <v>88</v>
      </c>
      <c r="N44" s="1067">
        <v>6638.6</v>
      </c>
      <c r="O44" s="1068">
        <v>70927.399999999994</v>
      </c>
      <c r="Q44" s="71"/>
    </row>
    <row r="45" spans="1:17" ht="15.75" hidden="1">
      <c r="A45" s="144"/>
      <c r="B45" s="1050"/>
      <c r="C45" s="1083"/>
      <c r="D45" s="1083"/>
      <c r="E45" s="1083"/>
      <c r="F45" s="1068"/>
      <c r="G45" s="1083"/>
      <c r="H45" s="1056"/>
      <c r="I45" s="1067"/>
      <c r="J45" s="1083"/>
      <c r="K45" s="1066"/>
      <c r="L45" s="1083"/>
      <c r="M45" s="1083"/>
      <c r="N45" s="1067"/>
      <c r="O45" s="1068"/>
      <c r="Q45" s="71"/>
    </row>
    <row r="46" spans="1:17" s="88" customFormat="1" ht="15.75" hidden="1">
      <c r="A46" s="113" t="s">
        <v>57</v>
      </c>
      <c r="B46" s="1051">
        <v>3759.95</v>
      </c>
      <c r="C46" s="1083" t="s">
        <v>88</v>
      </c>
      <c r="D46" s="1083" t="s">
        <v>88</v>
      </c>
      <c r="E46" s="1083" t="s">
        <v>88</v>
      </c>
      <c r="F46" s="1075">
        <v>0</v>
      </c>
      <c r="G46" s="1083" t="s">
        <v>88</v>
      </c>
      <c r="H46" s="1077">
        <v>1708.65</v>
      </c>
      <c r="I46" s="1067">
        <v>20573.125</v>
      </c>
      <c r="J46" s="1083" t="s">
        <v>88</v>
      </c>
      <c r="K46" s="1071">
        <v>39274.683333333334</v>
      </c>
      <c r="L46" s="1083" t="s">
        <v>88</v>
      </c>
      <c r="M46" s="1083" t="s">
        <v>88</v>
      </c>
      <c r="N46" s="1072">
        <v>6817.8333333333321</v>
      </c>
      <c r="O46" s="1068">
        <v>72134.241666666669</v>
      </c>
      <c r="P46" s="69"/>
      <c r="Q46" s="71"/>
    </row>
    <row r="47" spans="1:17" s="88" customFormat="1" ht="15.75" hidden="1">
      <c r="A47" s="113" t="s">
        <v>40</v>
      </c>
      <c r="B47" s="1051">
        <v>3731.5</v>
      </c>
      <c r="C47" s="1083" t="s">
        <v>88</v>
      </c>
      <c r="D47" s="1083" t="s">
        <v>88</v>
      </c>
      <c r="E47" s="1083" t="s">
        <v>88</v>
      </c>
      <c r="F47" s="1075">
        <v>0</v>
      </c>
      <c r="G47" s="1083" t="s">
        <v>88</v>
      </c>
      <c r="H47" s="1077">
        <v>2203.2999999999997</v>
      </c>
      <c r="I47" s="1067">
        <v>20096.549999999996</v>
      </c>
      <c r="J47" s="1083" t="s">
        <v>88</v>
      </c>
      <c r="K47" s="1071">
        <v>40312.66666666665</v>
      </c>
      <c r="L47" s="1083" t="s">
        <v>88</v>
      </c>
      <c r="M47" s="1083" t="s">
        <v>88</v>
      </c>
      <c r="N47" s="1072">
        <v>6997.0666666666675</v>
      </c>
      <c r="O47" s="1068">
        <v>73341.083333333314</v>
      </c>
      <c r="P47" s="69"/>
      <c r="Q47" s="71"/>
    </row>
    <row r="48" spans="1:17" s="88" customFormat="1" ht="15.75" hidden="1">
      <c r="A48" s="113" t="s">
        <v>41</v>
      </c>
      <c r="B48" s="1051">
        <v>3703.05</v>
      </c>
      <c r="C48" s="1083" t="s">
        <v>88</v>
      </c>
      <c r="D48" s="1083" t="s">
        <v>88</v>
      </c>
      <c r="E48" s="1083" t="s">
        <v>88</v>
      </c>
      <c r="F48" s="1075">
        <v>0</v>
      </c>
      <c r="G48" s="1083" t="s">
        <v>88</v>
      </c>
      <c r="H48" s="1077">
        <v>2697.95</v>
      </c>
      <c r="I48" s="1067">
        <v>19619.974999999999</v>
      </c>
      <c r="J48" s="1083" t="s">
        <v>88</v>
      </c>
      <c r="K48" s="1071">
        <v>41350.649999999994</v>
      </c>
      <c r="L48" s="1083" t="s">
        <v>88</v>
      </c>
      <c r="M48" s="1083" t="s">
        <v>88</v>
      </c>
      <c r="N48" s="1072">
        <v>7176.2999999999993</v>
      </c>
      <c r="O48" s="1068">
        <v>74547.925000000003</v>
      </c>
      <c r="P48" s="69"/>
      <c r="Q48" s="71"/>
    </row>
    <row r="49" spans="1:17" s="88" customFormat="1" ht="15.75" hidden="1">
      <c r="A49" s="113" t="s">
        <v>42</v>
      </c>
      <c r="B49" s="1051">
        <v>3674.5999999999995</v>
      </c>
      <c r="C49" s="1083" t="s">
        <v>88</v>
      </c>
      <c r="D49" s="1083" t="s">
        <v>88</v>
      </c>
      <c r="E49" s="1083" t="s">
        <v>88</v>
      </c>
      <c r="F49" s="1075">
        <v>0</v>
      </c>
      <c r="G49" s="1083" t="s">
        <v>88</v>
      </c>
      <c r="H49" s="1077">
        <v>3192.6</v>
      </c>
      <c r="I49" s="1067">
        <v>19143.400000000001</v>
      </c>
      <c r="J49" s="1083" t="s">
        <v>88</v>
      </c>
      <c r="K49" s="1071">
        <v>42388.633333333339</v>
      </c>
      <c r="L49" s="1083" t="s">
        <v>88</v>
      </c>
      <c r="M49" s="1083" t="s">
        <v>88</v>
      </c>
      <c r="N49" s="1072">
        <v>7355.5333333333338</v>
      </c>
      <c r="O49" s="1068">
        <v>75754.766666666677</v>
      </c>
      <c r="P49" s="69"/>
      <c r="Q49" s="71"/>
    </row>
    <row r="50" spans="1:17" s="88" customFormat="1" ht="15.75" hidden="1">
      <c r="A50" s="113" t="s">
        <v>43</v>
      </c>
      <c r="B50" s="1051">
        <v>3646.1499999999996</v>
      </c>
      <c r="C50" s="1083" t="s">
        <v>88</v>
      </c>
      <c r="D50" s="1083" t="s">
        <v>88</v>
      </c>
      <c r="E50" s="1083" t="s">
        <v>88</v>
      </c>
      <c r="F50" s="1075">
        <v>0</v>
      </c>
      <c r="G50" s="1083" t="s">
        <v>88</v>
      </c>
      <c r="H50" s="1077">
        <v>3687.25</v>
      </c>
      <c r="I50" s="1067">
        <v>18666.825000000001</v>
      </c>
      <c r="J50" s="1083" t="s">
        <v>88</v>
      </c>
      <c r="K50" s="1071">
        <v>43426.616666666669</v>
      </c>
      <c r="L50" s="1083" t="s">
        <v>88</v>
      </c>
      <c r="M50" s="1083" t="s">
        <v>88</v>
      </c>
      <c r="N50" s="1072">
        <v>7534.7666666666655</v>
      </c>
      <c r="O50" s="1068">
        <v>76961.608333333337</v>
      </c>
      <c r="P50" s="69"/>
      <c r="Q50" s="71"/>
    </row>
    <row r="51" spans="1:17" s="88" customFormat="1" ht="15.75" hidden="1">
      <c r="A51" s="113" t="s">
        <v>44</v>
      </c>
      <c r="B51" s="1051">
        <v>3617.7</v>
      </c>
      <c r="C51" s="1083" t="s">
        <v>88</v>
      </c>
      <c r="D51" s="1083" t="s">
        <v>88</v>
      </c>
      <c r="E51" s="1083" t="s">
        <v>88</v>
      </c>
      <c r="F51" s="1075">
        <v>0</v>
      </c>
      <c r="G51" s="1083" t="s">
        <v>88</v>
      </c>
      <c r="H51" s="1077">
        <v>4181.8999999999996</v>
      </c>
      <c r="I51" s="1067">
        <v>18190.25</v>
      </c>
      <c r="J51" s="1083" t="s">
        <v>88</v>
      </c>
      <c r="K51" s="1071">
        <v>44464.599999999991</v>
      </c>
      <c r="L51" s="1083" t="s">
        <v>88</v>
      </c>
      <c r="M51" s="1083" t="s">
        <v>88</v>
      </c>
      <c r="N51" s="1072">
        <v>7714.0000000000018</v>
      </c>
      <c r="O51" s="1068">
        <v>78168.449999999983</v>
      </c>
      <c r="P51" s="69"/>
      <c r="Q51" s="71"/>
    </row>
    <row r="52" spans="1:17" s="88" customFormat="1" ht="15.75" hidden="1">
      <c r="A52" s="113" t="s">
        <v>45</v>
      </c>
      <c r="B52" s="1051">
        <v>3266.9166666666661</v>
      </c>
      <c r="C52" s="1083" t="s">
        <v>88</v>
      </c>
      <c r="D52" s="1083" t="s">
        <v>88</v>
      </c>
      <c r="E52" s="1083" t="s">
        <v>88</v>
      </c>
      <c r="F52" s="1075">
        <v>0</v>
      </c>
      <c r="G52" s="1083" t="s">
        <v>88</v>
      </c>
      <c r="H52" s="1077">
        <v>4186.916666666667</v>
      </c>
      <c r="I52" s="1067">
        <v>19363.291666666672</v>
      </c>
      <c r="J52" s="1083" t="s">
        <v>88</v>
      </c>
      <c r="K52" s="1071">
        <v>44778.89999999998</v>
      </c>
      <c r="L52" s="1083" t="s">
        <v>88</v>
      </c>
      <c r="M52" s="1083" t="s">
        <v>88</v>
      </c>
      <c r="N52" s="1072">
        <v>7834.2833333333347</v>
      </c>
      <c r="O52" s="1068">
        <v>79430.30833333332</v>
      </c>
      <c r="P52" s="69"/>
      <c r="Q52" s="71"/>
    </row>
    <row r="53" spans="1:17" s="88" customFormat="1" ht="15.75" hidden="1">
      <c r="A53" s="113" t="s">
        <v>46</v>
      </c>
      <c r="B53" s="1051">
        <v>2916.1333333333332</v>
      </c>
      <c r="C53" s="1083" t="s">
        <v>88</v>
      </c>
      <c r="D53" s="1083" t="s">
        <v>88</v>
      </c>
      <c r="E53" s="1083" t="s">
        <v>88</v>
      </c>
      <c r="F53" s="1075">
        <v>0</v>
      </c>
      <c r="G53" s="1083" t="s">
        <v>88</v>
      </c>
      <c r="H53" s="1077">
        <v>4191.9333333333334</v>
      </c>
      <c r="I53" s="1067">
        <v>20536.333333333332</v>
      </c>
      <c r="J53" s="1083" t="s">
        <v>88</v>
      </c>
      <c r="K53" s="1071">
        <v>45093.200000000004</v>
      </c>
      <c r="L53" s="1083" t="s">
        <v>88</v>
      </c>
      <c r="M53" s="1083" t="s">
        <v>88</v>
      </c>
      <c r="N53" s="1072">
        <v>7954.5666666666693</v>
      </c>
      <c r="O53" s="1068">
        <v>80692.166666666672</v>
      </c>
      <c r="P53" s="69"/>
      <c r="Q53" s="71"/>
    </row>
    <row r="54" spans="1:17" s="88" customFormat="1" ht="15.75" hidden="1">
      <c r="A54" s="113" t="s">
        <v>47</v>
      </c>
      <c r="B54" s="1051">
        <v>2565.3500000000004</v>
      </c>
      <c r="C54" s="1083" t="s">
        <v>88</v>
      </c>
      <c r="D54" s="1083" t="s">
        <v>88</v>
      </c>
      <c r="E54" s="1083" t="s">
        <v>88</v>
      </c>
      <c r="F54" s="1075">
        <v>0</v>
      </c>
      <c r="G54" s="1083" t="s">
        <v>88</v>
      </c>
      <c r="H54" s="1077">
        <v>4196.95</v>
      </c>
      <c r="I54" s="1067">
        <v>21709.375</v>
      </c>
      <c r="J54" s="1083" t="s">
        <v>88</v>
      </c>
      <c r="K54" s="1071">
        <v>45407.500000000007</v>
      </c>
      <c r="L54" s="1083" t="s">
        <v>88</v>
      </c>
      <c r="M54" s="1083" t="s">
        <v>88</v>
      </c>
      <c r="N54" s="1072">
        <v>8074.85</v>
      </c>
      <c r="O54" s="1068">
        <v>81954.025000000009</v>
      </c>
      <c r="P54" s="69"/>
      <c r="Q54" s="71"/>
    </row>
    <row r="55" spans="1:17" s="88" customFormat="1" ht="15.75" hidden="1">
      <c r="A55" s="113" t="s">
        <v>48</v>
      </c>
      <c r="B55" s="1051">
        <v>2214.5666666666666</v>
      </c>
      <c r="C55" s="1083" t="s">
        <v>88</v>
      </c>
      <c r="D55" s="1083" t="s">
        <v>88</v>
      </c>
      <c r="E55" s="1083" t="s">
        <v>88</v>
      </c>
      <c r="F55" s="1075">
        <v>0</v>
      </c>
      <c r="G55" s="1083" t="s">
        <v>88</v>
      </c>
      <c r="H55" s="1077">
        <v>4201.9666666666662</v>
      </c>
      <c r="I55" s="1067">
        <v>22882.416666666664</v>
      </c>
      <c r="J55" s="1083" t="s">
        <v>88</v>
      </c>
      <c r="K55" s="1071">
        <v>45721.80000000001</v>
      </c>
      <c r="L55" s="1083" t="s">
        <v>88</v>
      </c>
      <c r="M55" s="1083" t="s">
        <v>88</v>
      </c>
      <c r="N55" s="1072">
        <v>8195.133333333335</v>
      </c>
      <c r="O55" s="1068">
        <v>83215.883333333331</v>
      </c>
      <c r="P55" s="69"/>
      <c r="Q55" s="71"/>
    </row>
    <row r="56" spans="1:17" s="88" customFormat="1" ht="15.75" hidden="1">
      <c r="A56" s="113" t="s">
        <v>49</v>
      </c>
      <c r="B56" s="1051">
        <v>1863.7833333333333</v>
      </c>
      <c r="C56" s="1083" t="s">
        <v>88</v>
      </c>
      <c r="D56" s="1083" t="s">
        <v>88</v>
      </c>
      <c r="E56" s="1083" t="s">
        <v>88</v>
      </c>
      <c r="F56" s="1075">
        <v>0</v>
      </c>
      <c r="G56" s="1083" t="s">
        <v>88</v>
      </c>
      <c r="H56" s="1077">
        <v>4206.9833333333336</v>
      </c>
      <c r="I56" s="1067">
        <v>24055.458333333332</v>
      </c>
      <c r="J56" s="1083" t="s">
        <v>88</v>
      </c>
      <c r="K56" s="1071">
        <v>46036.100000000006</v>
      </c>
      <c r="L56" s="1083" t="s">
        <v>88</v>
      </c>
      <c r="M56" s="1083" t="s">
        <v>88</v>
      </c>
      <c r="N56" s="1072">
        <v>8315.4166666666679</v>
      </c>
      <c r="O56" s="1068">
        <v>84477.741666666683</v>
      </c>
      <c r="P56" s="69"/>
      <c r="Q56" s="71"/>
    </row>
    <row r="57" spans="1:17" s="88" customFormat="1" ht="15.75" hidden="1">
      <c r="A57" s="113" t="s">
        <v>50</v>
      </c>
      <c r="B57" s="1051">
        <v>1512.6</v>
      </c>
      <c r="C57" s="1083" t="s">
        <v>88</v>
      </c>
      <c r="D57" s="1083" t="s">
        <v>88</v>
      </c>
      <c r="E57" s="1083" t="s">
        <v>88</v>
      </c>
      <c r="F57" s="1075">
        <v>0</v>
      </c>
      <c r="G57" s="1083" t="s">
        <v>88</v>
      </c>
      <c r="H57" s="1077">
        <v>4208.7</v>
      </c>
      <c r="I57" s="1067">
        <v>25304.1</v>
      </c>
      <c r="J57" s="1083" t="s">
        <v>88</v>
      </c>
      <c r="K57" s="1071">
        <v>46619.799999999996</v>
      </c>
      <c r="L57" s="1083" t="s">
        <v>88</v>
      </c>
      <c r="M57" s="1083" t="s">
        <v>88</v>
      </c>
      <c r="N57" s="1072">
        <v>8444.2000000000007</v>
      </c>
      <c r="O57" s="1068">
        <v>86089.4</v>
      </c>
      <c r="P57" s="69"/>
      <c r="Q57" s="71"/>
    </row>
    <row r="58" spans="1:17" s="88" customFormat="1" ht="15.75" hidden="1">
      <c r="A58" s="113"/>
      <c r="B58" s="1051"/>
      <c r="C58" s="1083"/>
      <c r="D58" s="1083"/>
      <c r="E58" s="1083"/>
      <c r="F58" s="1075"/>
      <c r="G58" s="1083"/>
      <c r="H58" s="1077"/>
      <c r="I58" s="1067"/>
      <c r="J58" s="1083"/>
      <c r="K58" s="1071"/>
      <c r="L58" s="1083"/>
      <c r="M58" s="1083"/>
      <c r="N58" s="1072"/>
      <c r="O58" s="1068"/>
      <c r="P58" s="69"/>
      <c r="Q58" s="71"/>
    </row>
    <row r="59" spans="1:17" s="88" customFormat="1" ht="15.75" hidden="1">
      <c r="A59" s="113" t="s">
        <v>56</v>
      </c>
      <c r="B59" s="1051">
        <v>1830.1583333333333</v>
      </c>
      <c r="C59" s="1083" t="s">
        <v>88</v>
      </c>
      <c r="D59" s="1083" t="s">
        <v>88</v>
      </c>
      <c r="E59" s="1083" t="s">
        <v>88</v>
      </c>
      <c r="F59" s="1075">
        <v>0</v>
      </c>
      <c r="G59" s="1083" t="s">
        <v>88</v>
      </c>
      <c r="H59" s="1077">
        <v>4278.458333333333</v>
      </c>
      <c r="I59" s="1067">
        <v>25025.525000000001</v>
      </c>
      <c r="J59" s="1072">
        <v>1442.2</v>
      </c>
      <c r="K59" s="1071">
        <v>46447.141666666663</v>
      </c>
      <c r="L59" s="1083" t="s">
        <v>88</v>
      </c>
      <c r="M59" s="1083" t="s">
        <v>88</v>
      </c>
      <c r="N59" s="1072">
        <v>9214.6666666666679</v>
      </c>
      <c r="O59" s="1068">
        <v>88238.150000000009</v>
      </c>
      <c r="P59" s="69"/>
      <c r="Q59" s="71"/>
    </row>
    <row r="60" spans="1:17" s="88" customFormat="1" ht="15.75" hidden="1">
      <c r="A60" s="113" t="s">
        <v>40</v>
      </c>
      <c r="B60" s="1073">
        <v>2147.7166666666662</v>
      </c>
      <c r="C60" s="1083" t="s">
        <v>88</v>
      </c>
      <c r="D60" s="1083" t="s">
        <v>88</v>
      </c>
      <c r="E60" s="1083" t="s">
        <v>88</v>
      </c>
      <c r="F60" s="1075">
        <v>0</v>
      </c>
      <c r="G60" s="1083" t="s">
        <v>88</v>
      </c>
      <c r="H60" s="1077">
        <v>4348.2166666666672</v>
      </c>
      <c r="I60" s="1067">
        <v>24746.949999999997</v>
      </c>
      <c r="J60" s="1072">
        <v>2884.4</v>
      </c>
      <c r="K60" s="1071">
        <v>46274.48333333333</v>
      </c>
      <c r="L60" s="1083" t="s">
        <v>88</v>
      </c>
      <c r="M60" s="1083" t="s">
        <v>88</v>
      </c>
      <c r="N60" s="1072">
        <v>9985.1333333333332</v>
      </c>
      <c r="O60" s="1068">
        <v>90386.9</v>
      </c>
      <c r="P60" s="69"/>
      <c r="Q60" s="71"/>
    </row>
    <row r="61" spans="1:17" s="88" customFormat="1" ht="15.75" hidden="1">
      <c r="A61" s="113" t="s">
        <v>41</v>
      </c>
      <c r="B61" s="1051">
        <v>2465.2750000000001</v>
      </c>
      <c r="C61" s="1083" t="s">
        <v>88</v>
      </c>
      <c r="D61" s="1083" t="s">
        <v>88</v>
      </c>
      <c r="E61" s="1083" t="s">
        <v>88</v>
      </c>
      <c r="F61" s="1075">
        <v>0</v>
      </c>
      <c r="G61" s="1083" t="s">
        <v>88</v>
      </c>
      <c r="H61" s="1077">
        <v>4417.9750000000004</v>
      </c>
      <c r="I61" s="1067">
        <v>24468.375</v>
      </c>
      <c r="J61" s="1072">
        <v>4326.6000000000004</v>
      </c>
      <c r="K61" s="1071">
        <v>46101.825000000004</v>
      </c>
      <c r="L61" s="1083" t="s">
        <v>88</v>
      </c>
      <c r="M61" s="1083" t="s">
        <v>88</v>
      </c>
      <c r="N61" s="1072">
        <v>10755.599999999999</v>
      </c>
      <c r="O61" s="1068">
        <v>92535.65</v>
      </c>
      <c r="P61" s="69"/>
      <c r="Q61" s="71"/>
    </row>
    <row r="62" spans="1:17" s="88" customFormat="1" ht="15.75" hidden="1">
      <c r="A62" s="113" t="s">
        <v>42</v>
      </c>
      <c r="B62" s="1051">
        <v>2782.8333333333335</v>
      </c>
      <c r="C62" s="1083" t="s">
        <v>88</v>
      </c>
      <c r="D62" s="1083" t="s">
        <v>88</v>
      </c>
      <c r="E62" s="1083" t="s">
        <v>88</v>
      </c>
      <c r="F62" s="1075">
        <v>0</v>
      </c>
      <c r="G62" s="1083" t="s">
        <v>88</v>
      </c>
      <c r="H62" s="1077">
        <v>4487.7333333333336</v>
      </c>
      <c r="I62" s="1067">
        <v>24189.8</v>
      </c>
      <c r="J62" s="1072">
        <v>5768.8</v>
      </c>
      <c r="K62" s="1071">
        <v>45929.166666666664</v>
      </c>
      <c r="L62" s="1083" t="s">
        <v>88</v>
      </c>
      <c r="M62" s="1083" t="s">
        <v>88</v>
      </c>
      <c r="N62" s="1072">
        <v>11526.066666666666</v>
      </c>
      <c r="O62" s="1068">
        <v>94684.400000000009</v>
      </c>
      <c r="P62" s="69"/>
      <c r="Q62" s="71"/>
    </row>
    <row r="63" spans="1:17" s="88" customFormat="1" ht="15.75" hidden="1">
      <c r="A63" s="113" t="s">
        <v>43</v>
      </c>
      <c r="B63" s="1051">
        <v>3100.3916666666664</v>
      </c>
      <c r="C63" s="1083" t="s">
        <v>88</v>
      </c>
      <c r="D63" s="1083" t="s">
        <v>88</v>
      </c>
      <c r="E63" s="1083" t="s">
        <v>88</v>
      </c>
      <c r="F63" s="1075">
        <v>0</v>
      </c>
      <c r="G63" s="1083" t="s">
        <v>88</v>
      </c>
      <c r="H63" s="1077">
        <v>4557.4916666666668</v>
      </c>
      <c r="I63" s="1067">
        <v>23911.224999999999</v>
      </c>
      <c r="J63" s="1072">
        <v>7211</v>
      </c>
      <c r="K63" s="1071">
        <v>45756.508333333331</v>
      </c>
      <c r="L63" s="1083" t="s">
        <v>88</v>
      </c>
      <c r="M63" s="1083" t="s">
        <v>88</v>
      </c>
      <c r="N63" s="1072">
        <v>12296.533333333333</v>
      </c>
      <c r="O63" s="1068">
        <v>96833.15</v>
      </c>
      <c r="P63" s="69"/>
      <c r="Q63" s="71"/>
    </row>
    <row r="64" spans="1:17" s="88" customFormat="1" ht="15.75" hidden="1">
      <c r="A64" s="113" t="s">
        <v>44</v>
      </c>
      <c r="B64" s="1051">
        <v>3417.95</v>
      </c>
      <c r="C64" s="1083" t="s">
        <v>88</v>
      </c>
      <c r="D64" s="1083" t="s">
        <v>88</v>
      </c>
      <c r="E64" s="1083" t="s">
        <v>88</v>
      </c>
      <c r="F64" s="1075">
        <v>0</v>
      </c>
      <c r="G64" s="1083" t="s">
        <v>88</v>
      </c>
      <c r="H64" s="1077">
        <v>4627.25</v>
      </c>
      <c r="I64" s="1067">
        <v>23632.65</v>
      </c>
      <c r="J64" s="1072">
        <v>8653.2000000000007</v>
      </c>
      <c r="K64" s="1071">
        <v>45583.850000000006</v>
      </c>
      <c r="L64" s="1083" t="s">
        <v>88</v>
      </c>
      <c r="M64" s="1083" t="s">
        <v>88</v>
      </c>
      <c r="N64" s="1072">
        <v>13067</v>
      </c>
      <c r="O64" s="1068">
        <v>98981.900000000009</v>
      </c>
      <c r="P64" s="69"/>
      <c r="Q64" s="71"/>
    </row>
    <row r="65" spans="1:17" s="88" customFormat="1" ht="15.75" hidden="1">
      <c r="A65" s="113" t="s">
        <v>45</v>
      </c>
      <c r="B65" s="1051">
        <v>6748.7416666666668</v>
      </c>
      <c r="C65" s="1083" t="s">
        <v>88</v>
      </c>
      <c r="D65" s="1083" t="s">
        <v>88</v>
      </c>
      <c r="E65" s="1083" t="s">
        <v>88</v>
      </c>
      <c r="F65" s="1075">
        <v>0</v>
      </c>
      <c r="G65" s="1083" t="s">
        <v>88</v>
      </c>
      <c r="H65" s="1077">
        <v>4702.5416666666661</v>
      </c>
      <c r="I65" s="1067">
        <v>25459.858333333334</v>
      </c>
      <c r="J65" s="1072">
        <v>10095.4</v>
      </c>
      <c r="K65" s="1071">
        <v>45268.674999999996</v>
      </c>
      <c r="L65" s="1083" t="s">
        <v>88</v>
      </c>
      <c r="M65" s="1083" t="s">
        <v>88</v>
      </c>
      <c r="N65" s="1072">
        <v>13660.449999999997</v>
      </c>
      <c r="O65" s="1068">
        <v>105935.66666666666</v>
      </c>
      <c r="P65" s="69"/>
      <c r="Q65" s="71"/>
    </row>
    <row r="66" spans="1:17" s="88" customFormat="1" ht="15.75" hidden="1">
      <c r="A66" s="113" t="s">
        <v>46</v>
      </c>
      <c r="B66" s="1051">
        <v>10079.533333333333</v>
      </c>
      <c r="C66" s="1083" t="s">
        <v>88</v>
      </c>
      <c r="D66" s="1083" t="s">
        <v>88</v>
      </c>
      <c r="E66" s="1083" t="s">
        <v>88</v>
      </c>
      <c r="F66" s="1075">
        <v>0</v>
      </c>
      <c r="G66" s="1083" t="s">
        <v>88</v>
      </c>
      <c r="H66" s="1077">
        <v>4777.8333333333339</v>
      </c>
      <c r="I66" s="1067">
        <v>27287.066666666658</v>
      </c>
      <c r="J66" s="1072">
        <v>11537.6</v>
      </c>
      <c r="K66" s="1071">
        <v>44953.499999999993</v>
      </c>
      <c r="L66" s="1083" t="s">
        <v>88</v>
      </c>
      <c r="M66" s="1083" t="s">
        <v>88</v>
      </c>
      <c r="N66" s="1072">
        <v>14253.900000000001</v>
      </c>
      <c r="O66" s="1068">
        <v>112889.43333333332</v>
      </c>
      <c r="P66" s="69"/>
      <c r="Q66" s="71"/>
    </row>
    <row r="67" spans="1:17" s="88" customFormat="1" ht="15.75" hidden="1">
      <c r="A67" s="113" t="s">
        <v>47</v>
      </c>
      <c r="B67" s="1051">
        <v>13410.324999999999</v>
      </c>
      <c r="C67" s="1083" t="s">
        <v>88</v>
      </c>
      <c r="D67" s="1083" t="s">
        <v>88</v>
      </c>
      <c r="E67" s="1083" t="s">
        <v>88</v>
      </c>
      <c r="F67" s="1075">
        <v>0</v>
      </c>
      <c r="G67" s="1083" t="s">
        <v>88</v>
      </c>
      <c r="H67" s="1077">
        <v>4853.125</v>
      </c>
      <c r="I67" s="1067">
        <v>29114.275000000001</v>
      </c>
      <c r="J67" s="1072">
        <v>12979.800000000001</v>
      </c>
      <c r="K67" s="1071">
        <v>44638.325000000004</v>
      </c>
      <c r="L67" s="1083" t="s">
        <v>88</v>
      </c>
      <c r="M67" s="1083" t="s">
        <v>88</v>
      </c>
      <c r="N67" s="1072">
        <v>14847.349999999999</v>
      </c>
      <c r="O67" s="1068">
        <v>119843.20000000001</v>
      </c>
      <c r="P67" s="69"/>
      <c r="Q67" s="71"/>
    </row>
    <row r="68" spans="1:17" s="88" customFormat="1" ht="15.75" hidden="1">
      <c r="A68" s="113" t="s">
        <v>48</v>
      </c>
      <c r="B68" s="1051">
        <v>16741.116666666665</v>
      </c>
      <c r="C68" s="1083" t="s">
        <v>88</v>
      </c>
      <c r="D68" s="1083" t="s">
        <v>88</v>
      </c>
      <c r="E68" s="1083" t="s">
        <v>88</v>
      </c>
      <c r="F68" s="1075"/>
      <c r="G68" s="1083" t="s">
        <v>88</v>
      </c>
      <c r="H68" s="1077">
        <v>4928.416666666667</v>
      </c>
      <c r="I68" s="1067">
        <v>30941.48333333333</v>
      </c>
      <c r="J68" s="1072">
        <v>14422</v>
      </c>
      <c r="K68" s="1071">
        <v>44323.150000000009</v>
      </c>
      <c r="L68" s="1083" t="s">
        <v>88</v>
      </c>
      <c r="M68" s="1083" t="s">
        <v>88</v>
      </c>
      <c r="N68" s="1072">
        <v>15440.799999999997</v>
      </c>
      <c r="O68" s="1068">
        <v>126796.96666666667</v>
      </c>
      <c r="P68" s="69"/>
      <c r="Q68" s="71"/>
    </row>
    <row r="69" spans="1:17" s="88" customFormat="1" ht="15.75" hidden="1">
      <c r="A69" s="113" t="s">
        <v>49</v>
      </c>
      <c r="B69" s="1051">
        <v>20071.908333333333</v>
      </c>
      <c r="C69" s="1083" t="s">
        <v>88</v>
      </c>
      <c r="D69" s="1083" t="s">
        <v>88</v>
      </c>
      <c r="E69" s="1083" t="s">
        <v>88</v>
      </c>
      <c r="F69" s="1075">
        <v>0</v>
      </c>
      <c r="G69" s="1083" t="s">
        <v>88</v>
      </c>
      <c r="H69" s="1077">
        <v>5003.7083333333339</v>
      </c>
      <c r="I69" s="1067">
        <v>32768.691666666666</v>
      </c>
      <c r="J69" s="1072">
        <v>15864.2</v>
      </c>
      <c r="K69" s="1071">
        <v>44007.975000000006</v>
      </c>
      <c r="L69" s="1083" t="s">
        <v>88</v>
      </c>
      <c r="M69" s="1083" t="s">
        <v>88</v>
      </c>
      <c r="N69" s="1072">
        <v>16034.25</v>
      </c>
      <c r="O69" s="1068">
        <v>133750.73333333334</v>
      </c>
      <c r="P69" s="69"/>
      <c r="Q69" s="71"/>
    </row>
    <row r="70" spans="1:17" s="88" customFormat="1" ht="15.75" hidden="1">
      <c r="A70" s="113" t="s">
        <v>50</v>
      </c>
      <c r="B70" s="1051">
        <v>23402.699999999997</v>
      </c>
      <c r="C70" s="1083" t="s">
        <v>88</v>
      </c>
      <c r="D70" s="1083" t="s">
        <v>88</v>
      </c>
      <c r="E70" s="1083" t="s">
        <v>88</v>
      </c>
      <c r="F70" s="1075">
        <v>0</v>
      </c>
      <c r="G70" s="1083" t="s">
        <v>88</v>
      </c>
      <c r="H70" s="1077">
        <v>5079</v>
      </c>
      <c r="I70" s="1067">
        <v>34595.900000000009</v>
      </c>
      <c r="J70" s="1072">
        <v>17306.400000000001</v>
      </c>
      <c r="K70" s="1071">
        <v>43692.799999999996</v>
      </c>
      <c r="L70" s="1083" t="s">
        <v>88</v>
      </c>
      <c r="M70" s="1083" t="s">
        <v>88</v>
      </c>
      <c r="N70" s="1072">
        <v>16627.699999999997</v>
      </c>
      <c r="O70" s="1068">
        <v>140704.5</v>
      </c>
      <c r="P70" s="69"/>
      <c r="Q70" s="71"/>
    </row>
    <row r="71" spans="1:17" s="88" customFormat="1" ht="15.75" hidden="1">
      <c r="A71" s="113"/>
      <c r="B71" s="1051"/>
      <c r="C71" s="1083"/>
      <c r="D71" s="1083"/>
      <c r="E71" s="1083"/>
      <c r="F71" s="1075"/>
      <c r="G71" s="1083"/>
      <c r="H71" s="1077"/>
      <c r="I71" s="1067"/>
      <c r="J71" s="1072"/>
      <c r="K71" s="1071"/>
      <c r="L71" s="1083"/>
      <c r="M71" s="1083"/>
      <c r="N71" s="1072"/>
      <c r="O71" s="1068"/>
      <c r="P71" s="69"/>
      <c r="Q71" s="71"/>
    </row>
    <row r="72" spans="1:17" ht="15.75" hidden="1">
      <c r="A72" s="113" t="s">
        <v>55</v>
      </c>
      <c r="B72" s="1051">
        <v>20133.724999999999</v>
      </c>
      <c r="C72" s="1083" t="s">
        <v>88</v>
      </c>
      <c r="D72" s="1083" t="s">
        <v>88</v>
      </c>
      <c r="E72" s="1083" t="s">
        <v>88</v>
      </c>
      <c r="F72" s="1068">
        <v>0</v>
      </c>
      <c r="G72" s="1083" t="s">
        <v>88</v>
      </c>
      <c r="H72" s="1056">
        <v>5131.7916666666661</v>
      </c>
      <c r="I72" s="1067">
        <v>34261.616666666661</v>
      </c>
      <c r="J72" s="1067">
        <v>18394.300000000003</v>
      </c>
      <c r="K72" s="1066">
        <v>44200.724999999999</v>
      </c>
      <c r="L72" s="1083" t="s">
        <v>88</v>
      </c>
      <c r="M72" s="1083" t="s">
        <v>88</v>
      </c>
      <c r="N72" s="1067">
        <v>17723.483333333334</v>
      </c>
      <c r="O72" s="1068">
        <v>139845.64166666666</v>
      </c>
      <c r="Q72" s="71"/>
    </row>
    <row r="73" spans="1:17" ht="15.75" hidden="1">
      <c r="A73" s="113" t="s">
        <v>40</v>
      </c>
      <c r="B73" s="1051">
        <v>16864.75</v>
      </c>
      <c r="C73" s="1083" t="s">
        <v>88</v>
      </c>
      <c r="D73" s="1083" t="s">
        <v>88</v>
      </c>
      <c r="E73" s="1083" t="s">
        <v>88</v>
      </c>
      <c r="F73" s="1068">
        <v>0</v>
      </c>
      <c r="G73" s="1083" t="s">
        <v>88</v>
      </c>
      <c r="H73" s="1056">
        <v>5184.583333333333</v>
      </c>
      <c r="I73" s="1067">
        <v>33927.333333333328</v>
      </c>
      <c r="J73" s="1067">
        <v>19482.2</v>
      </c>
      <c r="K73" s="1066">
        <v>44708.650000000009</v>
      </c>
      <c r="L73" s="1083" t="s">
        <v>88</v>
      </c>
      <c r="M73" s="1083" t="s">
        <v>88</v>
      </c>
      <c r="N73" s="1067">
        <v>18819.266666666663</v>
      </c>
      <c r="O73" s="1068">
        <v>138986.78333333333</v>
      </c>
      <c r="Q73" s="71"/>
    </row>
    <row r="74" spans="1:17" ht="15.75" hidden="1">
      <c r="A74" s="113" t="s">
        <v>41</v>
      </c>
      <c r="B74" s="1073">
        <v>13595.775</v>
      </c>
      <c r="C74" s="1083" t="s">
        <v>88</v>
      </c>
      <c r="D74" s="1083" t="s">
        <v>88</v>
      </c>
      <c r="E74" s="1083" t="s">
        <v>88</v>
      </c>
      <c r="F74" s="1068">
        <v>0</v>
      </c>
      <c r="G74" s="1083" t="s">
        <v>88</v>
      </c>
      <c r="H74" s="1056">
        <v>5237.375</v>
      </c>
      <c r="I74" s="1067">
        <v>33593.049999999996</v>
      </c>
      <c r="J74" s="1067">
        <v>20570.099999999999</v>
      </c>
      <c r="K74" s="1066">
        <v>45216.575000000004</v>
      </c>
      <c r="L74" s="1083" t="s">
        <v>88</v>
      </c>
      <c r="M74" s="1083" t="s">
        <v>88</v>
      </c>
      <c r="N74" s="1067">
        <v>19915.05</v>
      </c>
      <c r="O74" s="1068">
        <v>138127.92499999999</v>
      </c>
      <c r="Q74" s="71"/>
    </row>
    <row r="75" spans="1:17" ht="15.75" hidden="1">
      <c r="A75" s="113" t="s">
        <v>42</v>
      </c>
      <c r="B75" s="1051">
        <v>10326.799999999999</v>
      </c>
      <c r="C75" s="1083" t="s">
        <v>88</v>
      </c>
      <c r="D75" s="1083" t="s">
        <v>88</v>
      </c>
      <c r="E75" s="1083" t="s">
        <v>88</v>
      </c>
      <c r="F75" s="1068">
        <v>0</v>
      </c>
      <c r="G75" s="1083" t="s">
        <v>88</v>
      </c>
      <c r="H75" s="1067">
        <v>5290.166666666667</v>
      </c>
      <c r="I75" s="1067">
        <v>33258.766666666663</v>
      </c>
      <c r="J75" s="1067">
        <v>21658</v>
      </c>
      <c r="K75" s="1066">
        <v>45724.499999999993</v>
      </c>
      <c r="L75" s="1083" t="s">
        <v>88</v>
      </c>
      <c r="M75" s="1083" t="s">
        <v>88</v>
      </c>
      <c r="N75" s="1067">
        <v>21010.833333333328</v>
      </c>
      <c r="O75" s="1068">
        <v>137269.06666666665</v>
      </c>
      <c r="Q75" s="71"/>
    </row>
    <row r="76" spans="1:17" ht="15.75" hidden="1">
      <c r="A76" s="113" t="s">
        <v>43</v>
      </c>
      <c r="B76" s="1051">
        <v>7057.8250000000007</v>
      </c>
      <c r="C76" s="1083" t="s">
        <v>88</v>
      </c>
      <c r="D76" s="1083" t="s">
        <v>88</v>
      </c>
      <c r="E76" s="1083" t="s">
        <v>88</v>
      </c>
      <c r="F76" s="1068">
        <v>0</v>
      </c>
      <c r="G76" s="1083" t="s">
        <v>88</v>
      </c>
      <c r="H76" s="1067">
        <v>5342.9583333333339</v>
      </c>
      <c r="I76" s="1067">
        <v>32924.48333333333</v>
      </c>
      <c r="J76" s="1067">
        <v>22745.9</v>
      </c>
      <c r="K76" s="1066">
        <v>46232.425000000003</v>
      </c>
      <c r="L76" s="1083" t="s">
        <v>88</v>
      </c>
      <c r="M76" s="1083" t="s">
        <v>88</v>
      </c>
      <c r="N76" s="1067">
        <v>22106.616666666665</v>
      </c>
      <c r="O76" s="1068">
        <v>136410.20833333331</v>
      </c>
      <c r="Q76" s="71"/>
    </row>
    <row r="77" spans="1:17" ht="15.75" hidden="1">
      <c r="A77" s="113" t="s">
        <v>44</v>
      </c>
      <c r="B77" s="1051">
        <v>3788.8500000000008</v>
      </c>
      <c r="C77" s="1083" t="s">
        <v>88</v>
      </c>
      <c r="D77" s="1083" t="s">
        <v>88</v>
      </c>
      <c r="E77" s="1083" t="s">
        <v>88</v>
      </c>
      <c r="F77" s="1068">
        <v>0</v>
      </c>
      <c r="G77" s="1083" t="s">
        <v>88</v>
      </c>
      <c r="H77" s="1067">
        <v>5395.75</v>
      </c>
      <c r="I77" s="1067">
        <v>32590.2</v>
      </c>
      <c r="J77" s="1067">
        <v>23833.8</v>
      </c>
      <c r="K77" s="1066">
        <v>46740.349999999991</v>
      </c>
      <c r="L77" s="1083" t="s">
        <v>88</v>
      </c>
      <c r="M77" s="1083" t="s">
        <v>88</v>
      </c>
      <c r="N77" s="1067">
        <v>23202.399999999998</v>
      </c>
      <c r="O77" s="1068">
        <v>135551.35</v>
      </c>
      <c r="Q77" s="71"/>
    </row>
    <row r="78" spans="1:17" ht="15.75" hidden="1">
      <c r="A78" s="113" t="s">
        <v>45</v>
      </c>
      <c r="B78" s="1051">
        <v>4427.4583333333339</v>
      </c>
      <c r="C78" s="1083" t="s">
        <v>88</v>
      </c>
      <c r="D78" s="1083" t="s">
        <v>88</v>
      </c>
      <c r="E78" s="1083" t="s">
        <v>88</v>
      </c>
      <c r="F78" s="1068">
        <v>0</v>
      </c>
      <c r="G78" s="1083" t="s">
        <v>88</v>
      </c>
      <c r="H78" s="1067">
        <v>5352.3083333333334</v>
      </c>
      <c r="I78" s="1067">
        <v>33325.583333333336</v>
      </c>
      <c r="J78" s="1067">
        <v>24461.35</v>
      </c>
      <c r="K78" s="1066">
        <v>47532.358333333323</v>
      </c>
      <c r="L78" s="1083" t="s">
        <v>88</v>
      </c>
      <c r="M78" s="1083" t="s">
        <v>88</v>
      </c>
      <c r="N78" s="1067">
        <v>22270.683333333334</v>
      </c>
      <c r="O78" s="1068">
        <v>137369.74166666667</v>
      </c>
      <c r="Q78" s="71"/>
    </row>
    <row r="79" spans="1:17" ht="15.75" hidden="1">
      <c r="A79" s="113" t="s">
        <v>46</v>
      </c>
      <c r="B79" s="1051">
        <v>5066.0666666666666</v>
      </c>
      <c r="C79" s="1083" t="s">
        <v>88</v>
      </c>
      <c r="D79" s="1083" t="s">
        <v>88</v>
      </c>
      <c r="E79" s="1083" t="s">
        <v>88</v>
      </c>
      <c r="F79" s="1068">
        <v>0</v>
      </c>
      <c r="G79" s="1083" t="s">
        <v>88</v>
      </c>
      <c r="H79" s="1067">
        <v>5308.8666666666668</v>
      </c>
      <c r="I79" s="1067">
        <v>34060.966666666667</v>
      </c>
      <c r="J79" s="1067">
        <v>25088.899999999998</v>
      </c>
      <c r="K79" s="1066">
        <v>48324.366666666661</v>
      </c>
      <c r="L79" s="1083" t="s">
        <v>88</v>
      </c>
      <c r="M79" s="1083" t="s">
        <v>88</v>
      </c>
      <c r="N79" s="1067">
        <v>21338.966666666667</v>
      </c>
      <c r="O79" s="1068">
        <v>139188.13333333333</v>
      </c>
      <c r="Q79" s="71"/>
    </row>
    <row r="80" spans="1:17" ht="15.75" hidden="1">
      <c r="A80" s="113" t="s">
        <v>47</v>
      </c>
      <c r="B80" s="1051">
        <v>5704.6750000000002</v>
      </c>
      <c r="C80" s="1083" t="s">
        <v>88</v>
      </c>
      <c r="D80" s="1083" t="s">
        <v>88</v>
      </c>
      <c r="E80" s="1083" t="s">
        <v>88</v>
      </c>
      <c r="F80" s="1068">
        <v>0</v>
      </c>
      <c r="G80" s="1083" t="s">
        <v>88</v>
      </c>
      <c r="H80" s="1067">
        <v>5265.4250000000002</v>
      </c>
      <c r="I80" s="1067">
        <v>34796.35</v>
      </c>
      <c r="J80" s="1067">
        <v>25716.449999999997</v>
      </c>
      <c r="K80" s="1066">
        <v>49116.374999999993</v>
      </c>
      <c r="L80" s="1083" t="s">
        <v>88</v>
      </c>
      <c r="M80" s="1083" t="s">
        <v>88</v>
      </c>
      <c r="N80" s="1067">
        <v>20407.25</v>
      </c>
      <c r="O80" s="1068">
        <v>141006.52499999999</v>
      </c>
      <c r="Q80" s="71"/>
    </row>
    <row r="81" spans="1:17" ht="15.75" hidden="1">
      <c r="A81" s="113" t="s">
        <v>48</v>
      </c>
      <c r="B81" s="1051">
        <v>6343.2833333333338</v>
      </c>
      <c r="C81" s="1083" t="s">
        <v>88</v>
      </c>
      <c r="D81" s="1083" t="s">
        <v>88</v>
      </c>
      <c r="E81" s="1083" t="s">
        <v>88</v>
      </c>
      <c r="F81" s="1068">
        <v>0</v>
      </c>
      <c r="G81" s="1083" t="s">
        <v>88</v>
      </c>
      <c r="H81" s="1056">
        <v>5221.9833333333336</v>
      </c>
      <c r="I81" s="1067">
        <v>35531.73333333333</v>
      </c>
      <c r="J81" s="1067">
        <v>26344</v>
      </c>
      <c r="K81" s="1066">
        <v>49908.383333333331</v>
      </c>
      <c r="L81" s="1083" t="s">
        <v>88</v>
      </c>
      <c r="M81" s="1083" t="s">
        <v>88</v>
      </c>
      <c r="N81" s="1067">
        <v>19475.533333333333</v>
      </c>
      <c r="O81" s="1068">
        <v>142824.91666666666</v>
      </c>
      <c r="Q81" s="71"/>
    </row>
    <row r="82" spans="1:17" ht="15.75" hidden="1">
      <c r="A82" s="113" t="s">
        <v>49</v>
      </c>
      <c r="B82" s="1051">
        <v>6981.8916666666664</v>
      </c>
      <c r="C82" s="1083" t="s">
        <v>88</v>
      </c>
      <c r="D82" s="1083" t="s">
        <v>88</v>
      </c>
      <c r="E82" s="1083" t="s">
        <v>88</v>
      </c>
      <c r="F82" s="1068">
        <v>0</v>
      </c>
      <c r="G82" s="1083" t="s">
        <v>88</v>
      </c>
      <c r="H82" s="1056">
        <v>5178.541666666667</v>
      </c>
      <c r="I82" s="1067">
        <v>36267.116666666661</v>
      </c>
      <c r="J82" s="1067">
        <v>26971.55</v>
      </c>
      <c r="K82" s="1066">
        <v>50700.39166666667</v>
      </c>
      <c r="L82" s="1083" t="s">
        <v>88</v>
      </c>
      <c r="M82" s="1083" t="s">
        <v>88</v>
      </c>
      <c r="N82" s="1067">
        <v>18543.816666666662</v>
      </c>
      <c r="O82" s="1068">
        <v>144643.30833333332</v>
      </c>
      <c r="Q82" s="71"/>
    </row>
    <row r="83" spans="1:17" ht="15.75" hidden="1">
      <c r="A83" s="113" t="s">
        <v>50</v>
      </c>
      <c r="B83" s="1051">
        <v>7620.5</v>
      </c>
      <c r="C83" s="1083" t="s">
        <v>88</v>
      </c>
      <c r="D83" s="1083" t="s">
        <v>88</v>
      </c>
      <c r="E83" s="1083" t="s">
        <v>88</v>
      </c>
      <c r="F83" s="1068">
        <v>0</v>
      </c>
      <c r="G83" s="1083" t="s">
        <v>88</v>
      </c>
      <c r="H83" s="1056">
        <v>5135.1000000000004</v>
      </c>
      <c r="I83" s="1067">
        <v>37002.5</v>
      </c>
      <c r="J83" s="1067">
        <v>27599.1</v>
      </c>
      <c r="K83" s="1066">
        <v>51492.4</v>
      </c>
      <c r="L83" s="1083" t="s">
        <v>88</v>
      </c>
      <c r="M83" s="1083" t="s">
        <v>88</v>
      </c>
      <c r="N83" s="1067">
        <v>17612.100000000002</v>
      </c>
      <c r="O83" s="1068">
        <v>146461.70000000001</v>
      </c>
      <c r="Q83" s="71"/>
    </row>
    <row r="84" spans="1:17" ht="15.75" hidden="1">
      <c r="A84" s="142"/>
      <c r="B84" s="1050"/>
      <c r="C84" s="1083"/>
      <c r="D84" s="1083"/>
      <c r="E84" s="1083"/>
      <c r="F84" s="1068"/>
      <c r="G84" s="1083"/>
      <c r="H84" s="1056"/>
      <c r="I84" s="1067"/>
      <c r="J84" s="1067"/>
      <c r="K84" s="1066"/>
      <c r="L84" s="1083"/>
      <c r="M84" s="1083"/>
      <c r="N84" s="1067"/>
      <c r="O84" s="1068"/>
      <c r="Q84" s="71"/>
    </row>
    <row r="85" spans="1:17" ht="15.75" hidden="1">
      <c r="A85" s="113" t="s">
        <v>54</v>
      </c>
      <c r="B85" s="1051">
        <v>7390.0999999999985</v>
      </c>
      <c r="C85" s="1083" t="s">
        <v>88</v>
      </c>
      <c r="D85" s="1083" t="s">
        <v>88</v>
      </c>
      <c r="E85" s="1083" t="s">
        <v>88</v>
      </c>
      <c r="F85" s="1068">
        <v>0</v>
      </c>
      <c r="G85" s="1083" t="s">
        <v>88</v>
      </c>
      <c r="H85" s="1056">
        <v>5215.45</v>
      </c>
      <c r="I85" s="1067">
        <v>36842.566666666673</v>
      </c>
      <c r="J85" s="1067">
        <v>27882.583333333332</v>
      </c>
      <c r="K85" s="1066">
        <v>52563.275000000001</v>
      </c>
      <c r="L85" s="1083" t="s">
        <v>88</v>
      </c>
      <c r="M85" s="1083" t="s">
        <v>88</v>
      </c>
      <c r="N85" s="1067">
        <v>18280.400000000001</v>
      </c>
      <c r="O85" s="1068">
        <v>148174.375</v>
      </c>
      <c r="Q85" s="71"/>
    </row>
    <row r="86" spans="1:17" ht="15.75" hidden="1">
      <c r="A86" s="113" t="s">
        <v>40</v>
      </c>
      <c r="B86" s="1051">
        <v>7159.7</v>
      </c>
      <c r="C86" s="1083" t="s">
        <v>88</v>
      </c>
      <c r="D86" s="1083" t="s">
        <v>88</v>
      </c>
      <c r="E86" s="1083" t="s">
        <v>88</v>
      </c>
      <c r="F86" s="1068">
        <v>0</v>
      </c>
      <c r="G86" s="1083" t="s">
        <v>88</v>
      </c>
      <c r="H86" s="1056">
        <v>5295.8</v>
      </c>
      <c r="I86" s="1067">
        <v>36682.633333333331</v>
      </c>
      <c r="J86" s="1067">
        <v>28166.066666666666</v>
      </c>
      <c r="K86" s="1066">
        <v>53634.150000000009</v>
      </c>
      <c r="L86" s="1083" t="s">
        <v>88</v>
      </c>
      <c r="M86" s="1083" t="s">
        <v>88</v>
      </c>
      <c r="N86" s="1067">
        <v>18948.699999999997</v>
      </c>
      <c r="O86" s="1068">
        <v>149887.04999999999</v>
      </c>
      <c r="Q86" s="71"/>
    </row>
    <row r="87" spans="1:17" ht="15.75" hidden="1">
      <c r="A87" s="113" t="s">
        <v>41</v>
      </c>
      <c r="B87" s="1051">
        <v>6929.3000000000011</v>
      </c>
      <c r="C87" s="1083" t="s">
        <v>88</v>
      </c>
      <c r="D87" s="1083" t="s">
        <v>88</v>
      </c>
      <c r="E87" s="1083" t="s">
        <v>88</v>
      </c>
      <c r="F87" s="1068">
        <v>0</v>
      </c>
      <c r="G87" s="1083" t="s">
        <v>88</v>
      </c>
      <c r="H87" s="1056">
        <v>5376.15</v>
      </c>
      <c r="I87" s="1067">
        <v>36522.700000000004</v>
      </c>
      <c r="J87" s="1067">
        <v>28449.55</v>
      </c>
      <c r="K87" s="1066">
        <v>54705.025000000009</v>
      </c>
      <c r="L87" s="1083" t="s">
        <v>88</v>
      </c>
      <c r="M87" s="1083" t="s">
        <v>88</v>
      </c>
      <c r="N87" s="1067">
        <v>19617</v>
      </c>
      <c r="O87" s="1068">
        <v>151599.72500000003</v>
      </c>
      <c r="Q87" s="71"/>
    </row>
    <row r="88" spans="1:17" ht="15.75" hidden="1">
      <c r="A88" s="113" t="s">
        <v>42</v>
      </c>
      <c r="B88" s="1051">
        <v>6698.9000000000005</v>
      </c>
      <c r="C88" s="1083" t="s">
        <v>88</v>
      </c>
      <c r="D88" s="1083" t="s">
        <v>88</v>
      </c>
      <c r="E88" s="1083" t="s">
        <v>88</v>
      </c>
      <c r="F88" s="1068">
        <v>0</v>
      </c>
      <c r="G88" s="1083" t="s">
        <v>88</v>
      </c>
      <c r="H88" s="1056">
        <v>5456.5</v>
      </c>
      <c r="I88" s="1067">
        <v>36362.766666666663</v>
      </c>
      <c r="J88" s="1056">
        <v>28733.033333333333</v>
      </c>
      <c r="K88" s="1066">
        <v>55775.9</v>
      </c>
      <c r="L88" s="1083" t="s">
        <v>88</v>
      </c>
      <c r="M88" s="1083" t="s">
        <v>88</v>
      </c>
      <c r="N88" s="1067">
        <v>20285.300000000003</v>
      </c>
      <c r="O88" s="1068">
        <v>153312.40000000002</v>
      </c>
      <c r="Q88" s="71"/>
    </row>
    <row r="89" spans="1:17" ht="15.75" hidden="1">
      <c r="A89" s="113" t="s">
        <v>43</v>
      </c>
      <c r="B89" s="1051">
        <v>6468.5000000000009</v>
      </c>
      <c r="C89" s="1083" t="s">
        <v>88</v>
      </c>
      <c r="D89" s="1083" t="s">
        <v>88</v>
      </c>
      <c r="E89" s="1083" t="s">
        <v>88</v>
      </c>
      <c r="F89" s="1068">
        <v>0</v>
      </c>
      <c r="G89" s="1083" t="s">
        <v>88</v>
      </c>
      <c r="H89" s="1056">
        <v>5536.85</v>
      </c>
      <c r="I89" s="1067">
        <v>36202.833333333328</v>
      </c>
      <c r="J89" s="1056">
        <v>29016.516666666666</v>
      </c>
      <c r="K89" s="1066">
        <v>56846.775000000001</v>
      </c>
      <c r="L89" s="1083" t="s">
        <v>88</v>
      </c>
      <c r="M89" s="1083" t="s">
        <v>88</v>
      </c>
      <c r="N89" s="1067">
        <v>20953.600000000002</v>
      </c>
      <c r="O89" s="1068">
        <v>155025.07500000001</v>
      </c>
      <c r="P89"/>
      <c r="Q89" s="71"/>
    </row>
    <row r="90" spans="1:17" s="88" customFormat="1" ht="15.75" hidden="1">
      <c r="A90" s="113" t="s">
        <v>44</v>
      </c>
      <c r="B90" s="1051">
        <v>6238.1</v>
      </c>
      <c r="C90" s="1083" t="s">
        <v>88</v>
      </c>
      <c r="D90" s="1083" t="s">
        <v>88</v>
      </c>
      <c r="E90" s="1083" t="s">
        <v>88</v>
      </c>
      <c r="F90" s="1075">
        <v>0</v>
      </c>
      <c r="G90" s="1083" t="s">
        <v>88</v>
      </c>
      <c r="H90" s="1077">
        <v>5617.2</v>
      </c>
      <c r="I90" s="1072">
        <v>36042.900000000009</v>
      </c>
      <c r="J90" s="1077">
        <v>29300</v>
      </c>
      <c r="K90" s="1071">
        <v>57917.65</v>
      </c>
      <c r="L90" s="1083" t="s">
        <v>88</v>
      </c>
      <c r="M90" s="1083" t="s">
        <v>88</v>
      </c>
      <c r="N90" s="1072">
        <v>21621.899999999998</v>
      </c>
      <c r="O90" s="1068">
        <v>156737.75</v>
      </c>
      <c r="Q90" s="71"/>
    </row>
    <row r="91" spans="1:17" s="88" customFormat="1" ht="15.75" hidden="1">
      <c r="A91" s="113" t="s">
        <v>45</v>
      </c>
      <c r="B91" s="1051">
        <v>6172.7</v>
      </c>
      <c r="C91" s="1083" t="s">
        <v>88</v>
      </c>
      <c r="D91" s="1083" t="s">
        <v>88</v>
      </c>
      <c r="E91" s="1083" t="s">
        <v>88</v>
      </c>
      <c r="F91" s="1075">
        <v>0</v>
      </c>
      <c r="G91" s="1083" t="s">
        <v>88</v>
      </c>
      <c r="H91" s="1077">
        <v>5801.45</v>
      </c>
      <c r="I91" s="1072">
        <v>37740.699999999997</v>
      </c>
      <c r="J91" s="1077">
        <v>29413.033333333333</v>
      </c>
      <c r="K91" s="1071">
        <v>60112.158333333333</v>
      </c>
      <c r="L91" s="1083" t="s">
        <v>88</v>
      </c>
      <c r="M91" s="1083" t="s">
        <v>88</v>
      </c>
      <c r="N91" s="1072">
        <v>21525.26666666667</v>
      </c>
      <c r="O91" s="1068">
        <v>160765.30833333332</v>
      </c>
      <c r="Q91" s="71"/>
    </row>
    <row r="92" spans="1:17" s="88" customFormat="1" ht="15.75" hidden="1">
      <c r="A92" s="113" t="s">
        <v>46</v>
      </c>
      <c r="B92" s="1051">
        <v>6131.2888888888892</v>
      </c>
      <c r="C92" s="1083" t="s">
        <v>88</v>
      </c>
      <c r="D92" s="1083" t="s">
        <v>88</v>
      </c>
      <c r="E92" s="1083" t="s">
        <v>88</v>
      </c>
      <c r="F92" s="1075">
        <v>0</v>
      </c>
      <c r="G92" s="1083" t="s">
        <v>88</v>
      </c>
      <c r="H92" s="1077">
        <v>5941.2555555555555</v>
      </c>
      <c r="I92" s="1072">
        <v>39348.161111111112</v>
      </c>
      <c r="J92" s="1077">
        <v>29526.066666666666</v>
      </c>
      <c r="K92" s="1071">
        <v>61888.911111111098</v>
      </c>
      <c r="L92" s="1083" t="s">
        <v>88</v>
      </c>
      <c r="M92" s="1083" t="s">
        <v>88</v>
      </c>
      <c r="N92" s="1072">
        <v>21432.1</v>
      </c>
      <c r="O92" s="1068">
        <v>164267.78333333333</v>
      </c>
      <c r="P92" s="269"/>
      <c r="Q92" s="71"/>
    </row>
    <row r="93" spans="1:17" s="88" customFormat="1" ht="15.75" hidden="1">
      <c r="A93" s="113" t="s">
        <v>47</v>
      </c>
      <c r="B93" s="1051">
        <v>6101.8722222222223</v>
      </c>
      <c r="C93" s="1083" t="s">
        <v>88</v>
      </c>
      <c r="D93" s="1083" t="s">
        <v>88</v>
      </c>
      <c r="E93" s="1083" t="s">
        <v>88</v>
      </c>
      <c r="F93" s="1075">
        <v>0</v>
      </c>
      <c r="G93" s="1083" t="s">
        <v>88</v>
      </c>
      <c r="H93" s="1077">
        <v>6058.8388888888885</v>
      </c>
      <c r="I93" s="1072">
        <v>40910.452777777777</v>
      </c>
      <c r="J93" s="1077">
        <v>29639.1</v>
      </c>
      <c r="K93" s="1071">
        <v>63456.78611111112</v>
      </c>
      <c r="L93" s="1083" t="s">
        <v>88</v>
      </c>
      <c r="M93" s="1083" t="s">
        <v>88</v>
      </c>
      <c r="N93" s="1072">
        <v>21340.666666666668</v>
      </c>
      <c r="O93" s="1068">
        <v>167507.71666666665</v>
      </c>
      <c r="Q93" s="71"/>
    </row>
    <row r="94" spans="1:17" s="88" customFormat="1" ht="15.75" hidden="1">
      <c r="A94" s="113" t="s">
        <v>48</v>
      </c>
      <c r="B94" s="1051">
        <v>6080.4518518518516</v>
      </c>
      <c r="C94" s="1083" t="s">
        <v>88</v>
      </c>
      <c r="D94" s="1083" t="s">
        <v>88</v>
      </c>
      <c r="E94" s="1083" t="s">
        <v>88</v>
      </c>
      <c r="F94" s="1075">
        <v>0</v>
      </c>
      <c r="G94" s="1083" t="s">
        <v>88</v>
      </c>
      <c r="H94" s="1077">
        <v>6161.6074074074068</v>
      </c>
      <c r="I94" s="1072">
        <v>42442.631481481483</v>
      </c>
      <c r="J94" s="1077">
        <v>29752.133333333335</v>
      </c>
      <c r="K94" s="1071">
        <v>64885.409259259257</v>
      </c>
      <c r="L94" s="1083" t="s">
        <v>88</v>
      </c>
      <c r="M94" s="1083" t="s">
        <v>88</v>
      </c>
      <c r="N94" s="1072">
        <v>21250.388888888887</v>
      </c>
      <c r="O94" s="1068">
        <v>170572.62222222221</v>
      </c>
      <c r="Q94" s="71"/>
    </row>
    <row r="95" spans="1:17" s="88" customFormat="1" ht="15.75" hidden="1">
      <c r="A95" s="113" t="s">
        <v>49</v>
      </c>
      <c r="B95" s="1051">
        <v>6064.3623456790119</v>
      </c>
      <c r="C95" s="1083" t="s">
        <v>88</v>
      </c>
      <c r="D95" s="1083" t="s">
        <v>88</v>
      </c>
      <c r="E95" s="1083" t="s">
        <v>88</v>
      </c>
      <c r="F95" s="1075">
        <v>0</v>
      </c>
      <c r="G95" s="1083" t="s">
        <v>88</v>
      </c>
      <c r="H95" s="1077">
        <v>6254.4993827160497</v>
      </c>
      <c r="I95" s="1072">
        <v>43954.734876543218</v>
      </c>
      <c r="J95" s="1077">
        <v>29865.166666666668</v>
      </c>
      <c r="K95" s="1071">
        <v>66221.197839506174</v>
      </c>
      <c r="L95" s="1083" t="s">
        <v>88</v>
      </c>
      <c r="M95" s="1083" t="s">
        <v>88</v>
      </c>
      <c r="N95" s="1072">
        <v>21160.881481481483</v>
      </c>
      <c r="O95" s="1068">
        <v>173520.84259259261</v>
      </c>
      <c r="Q95" s="71"/>
    </row>
    <row r="96" spans="1:17" s="88" customFormat="1" ht="15.75" hidden="1">
      <c r="A96" s="113" t="s">
        <v>50</v>
      </c>
      <c r="B96" s="1051">
        <v>5845.7</v>
      </c>
      <c r="C96" s="1083" t="s">
        <v>88</v>
      </c>
      <c r="D96" s="1083" t="s">
        <v>88</v>
      </c>
      <c r="E96" s="1083" t="s">
        <v>88</v>
      </c>
      <c r="F96" s="1075">
        <v>0</v>
      </c>
      <c r="G96" s="1083" t="s">
        <v>88</v>
      </c>
      <c r="H96" s="1077">
        <v>6722.7000000000007</v>
      </c>
      <c r="I96" s="1072">
        <v>46229.7</v>
      </c>
      <c r="J96" s="1077">
        <v>29978.2</v>
      </c>
      <c r="K96" s="1071">
        <v>71084.7</v>
      </c>
      <c r="L96" s="1083" t="s">
        <v>88</v>
      </c>
      <c r="M96" s="1083" t="s">
        <v>88</v>
      </c>
      <c r="N96" s="1072">
        <v>21042.100000000002</v>
      </c>
      <c r="O96" s="1068">
        <v>180903.1</v>
      </c>
      <c r="Q96" s="71"/>
    </row>
    <row r="97" spans="1:17" s="88" customFormat="1" ht="15.75" hidden="1">
      <c r="A97" s="113"/>
      <c r="B97" s="1051"/>
      <c r="C97" s="1083"/>
      <c r="D97" s="1083"/>
      <c r="E97" s="1083"/>
      <c r="F97" s="1075"/>
      <c r="G97" s="1083"/>
      <c r="H97" s="1077"/>
      <c r="I97" s="1072"/>
      <c r="J97" s="1077"/>
      <c r="K97" s="1071"/>
      <c r="L97" s="1083"/>
      <c r="M97" s="1083"/>
      <c r="N97" s="1072"/>
      <c r="O97" s="1068"/>
      <c r="Q97" s="71"/>
    </row>
    <row r="98" spans="1:17" s="88" customFormat="1" ht="15.75" hidden="1">
      <c r="A98" s="113" t="s">
        <v>51</v>
      </c>
      <c r="B98" s="1073">
        <v>5866.55</v>
      </c>
      <c r="C98" s="1083" t="s">
        <v>88</v>
      </c>
      <c r="D98" s="1083" t="s">
        <v>88</v>
      </c>
      <c r="E98" s="1083" t="s">
        <v>88</v>
      </c>
      <c r="F98" s="1075">
        <v>0</v>
      </c>
      <c r="G98" s="1083" t="s">
        <v>88</v>
      </c>
      <c r="H98" s="1077">
        <v>6653.1833333333325</v>
      </c>
      <c r="I98" s="1072">
        <v>46547.566666666651</v>
      </c>
      <c r="J98" s="1077">
        <v>24981.833333333336</v>
      </c>
      <c r="K98" s="1071">
        <v>73490.666666666672</v>
      </c>
      <c r="L98" s="1083" t="s">
        <v>88</v>
      </c>
      <c r="M98" s="1083" t="s">
        <v>88</v>
      </c>
      <c r="N98" s="1072">
        <v>21843.333333333336</v>
      </c>
      <c r="O98" s="1068">
        <v>179383.13333333333</v>
      </c>
      <c r="Q98" s="71"/>
    </row>
    <row r="99" spans="1:17" s="88" customFormat="1" ht="15.75" hidden="1">
      <c r="A99" s="113" t="s">
        <v>52</v>
      </c>
      <c r="B99" s="1051">
        <v>5887.4</v>
      </c>
      <c r="C99" s="1083" t="s">
        <v>88</v>
      </c>
      <c r="D99" s="1083" t="s">
        <v>88</v>
      </c>
      <c r="E99" s="1083" t="s">
        <v>88</v>
      </c>
      <c r="F99" s="1075">
        <v>0</v>
      </c>
      <c r="G99" s="1083" t="s">
        <v>88</v>
      </c>
      <c r="H99" s="1077">
        <v>6544.0666666666666</v>
      </c>
      <c r="I99" s="1072">
        <v>47013.833333333343</v>
      </c>
      <c r="J99" s="1077">
        <v>19985.466666666667</v>
      </c>
      <c r="K99" s="1071">
        <v>77606.833333333343</v>
      </c>
      <c r="L99" s="1083" t="s">
        <v>88</v>
      </c>
      <c r="M99" s="1083" t="s">
        <v>88</v>
      </c>
      <c r="N99" s="1072">
        <v>22476.766666666666</v>
      </c>
      <c r="O99" s="1068">
        <v>179514.3666666667</v>
      </c>
      <c r="Q99" s="71"/>
    </row>
    <row r="100" spans="1:17" ht="15.75" hidden="1">
      <c r="A100" s="113" t="s">
        <v>53</v>
      </c>
      <c r="B100" s="1073">
        <v>5908.2499999999991</v>
      </c>
      <c r="C100" s="1083" t="s">
        <v>88</v>
      </c>
      <c r="D100" s="1083" t="s">
        <v>88</v>
      </c>
      <c r="E100" s="1083" t="s">
        <v>88</v>
      </c>
      <c r="F100" s="1068">
        <v>0</v>
      </c>
      <c r="G100" s="1083" t="s">
        <v>88</v>
      </c>
      <c r="H100" s="1056">
        <v>6434.9500000000007</v>
      </c>
      <c r="I100" s="1067">
        <v>47480.100000000006</v>
      </c>
      <c r="J100" s="1056">
        <v>14989.1</v>
      </c>
      <c r="K100" s="1066">
        <v>81723</v>
      </c>
      <c r="L100" s="1083" t="s">
        <v>88</v>
      </c>
      <c r="M100" s="1083" t="s">
        <v>88</v>
      </c>
      <c r="N100" s="1067">
        <v>23110.2</v>
      </c>
      <c r="O100" s="1068">
        <v>179645.60000000003</v>
      </c>
      <c r="Q100" s="71"/>
    </row>
    <row r="101" spans="1:17" ht="15.75" hidden="1">
      <c r="A101" s="113" t="s">
        <v>603</v>
      </c>
      <c r="B101" s="1073">
        <v>5929.1</v>
      </c>
      <c r="C101" s="1083" t="s">
        <v>88</v>
      </c>
      <c r="D101" s="1083" t="s">
        <v>88</v>
      </c>
      <c r="E101" s="1083" t="s">
        <v>88</v>
      </c>
      <c r="F101" s="1068">
        <v>0</v>
      </c>
      <c r="G101" s="1083" t="s">
        <v>88</v>
      </c>
      <c r="H101" s="1056">
        <v>6325.8333333333339</v>
      </c>
      <c r="I101" s="1067">
        <v>47946.366666666676</v>
      </c>
      <c r="J101" s="1056">
        <v>9992.7333333333336</v>
      </c>
      <c r="K101" s="1066">
        <v>85839.166666666672</v>
      </c>
      <c r="L101" s="1083" t="s">
        <v>88</v>
      </c>
      <c r="M101" s="1083" t="s">
        <v>88</v>
      </c>
      <c r="N101" s="1067">
        <v>23743.633333333331</v>
      </c>
      <c r="O101" s="1068">
        <v>179776.83333333334</v>
      </c>
      <c r="Q101" s="71"/>
    </row>
    <row r="102" spans="1:17" ht="15.75" hidden="1">
      <c r="A102" s="113" t="s">
        <v>611</v>
      </c>
      <c r="B102" s="1082">
        <v>5949.95</v>
      </c>
      <c r="C102" s="1083" t="s">
        <v>88</v>
      </c>
      <c r="D102" s="1083" t="s">
        <v>88</v>
      </c>
      <c r="E102" s="1083" t="s">
        <v>88</v>
      </c>
      <c r="F102" s="1068">
        <v>0</v>
      </c>
      <c r="G102" s="1083" t="s">
        <v>88</v>
      </c>
      <c r="H102" s="1056">
        <v>6216.7166666666672</v>
      </c>
      <c r="I102" s="1067">
        <v>48412.633333333331</v>
      </c>
      <c r="J102" s="1056">
        <v>4996.366666666665</v>
      </c>
      <c r="K102" s="1066">
        <v>89955.333333333343</v>
      </c>
      <c r="L102" s="1083" t="s">
        <v>88</v>
      </c>
      <c r="M102" s="1083" t="s">
        <v>88</v>
      </c>
      <c r="N102" s="1067">
        <v>24377.066666666666</v>
      </c>
      <c r="O102" s="1068">
        <v>179908.06666666665</v>
      </c>
      <c r="Q102" s="71"/>
    </row>
    <row r="103" spans="1:17" ht="15.75" hidden="1">
      <c r="A103" s="113" t="s">
        <v>44</v>
      </c>
      <c r="B103" s="1073">
        <v>5970.8000000000011</v>
      </c>
      <c r="C103" s="1083" t="s">
        <v>88</v>
      </c>
      <c r="D103" s="1083" t="s">
        <v>88</v>
      </c>
      <c r="E103" s="1083" t="s">
        <v>88</v>
      </c>
      <c r="F103" s="1068">
        <v>0</v>
      </c>
      <c r="G103" s="1083" t="s">
        <v>88</v>
      </c>
      <c r="H103" s="1056">
        <v>6112.2</v>
      </c>
      <c r="I103" s="1067">
        <v>48798.900000000009</v>
      </c>
      <c r="J103" s="1083" t="s">
        <v>88</v>
      </c>
      <c r="K103" s="1066">
        <v>93779.999999999985</v>
      </c>
      <c r="L103" s="1083" t="s">
        <v>88</v>
      </c>
      <c r="M103" s="1083" t="s">
        <v>88</v>
      </c>
      <c r="N103" s="1067">
        <v>25216.1</v>
      </c>
      <c r="O103" s="1068">
        <v>179878</v>
      </c>
      <c r="Q103" s="71"/>
    </row>
    <row r="104" spans="1:17" ht="15.75" hidden="1">
      <c r="A104" s="113" t="s">
        <v>617</v>
      </c>
      <c r="B104" s="1073">
        <v>5822.7166666666672</v>
      </c>
      <c r="C104" s="1083" t="s">
        <v>88</v>
      </c>
      <c r="D104" s="1083" t="s">
        <v>88</v>
      </c>
      <c r="E104" s="1083" t="s">
        <v>88</v>
      </c>
      <c r="F104" s="1068">
        <v>0</v>
      </c>
      <c r="G104" s="1083" t="s">
        <v>88</v>
      </c>
      <c r="H104" s="1056">
        <v>5584.7333333333336</v>
      </c>
      <c r="I104" s="1067">
        <v>49594.25</v>
      </c>
      <c r="J104" s="1083" t="s">
        <v>88</v>
      </c>
      <c r="K104" s="1066">
        <v>96337.28333333334</v>
      </c>
      <c r="L104" s="1083" t="s">
        <v>88</v>
      </c>
      <c r="M104" s="1083" t="s">
        <v>88</v>
      </c>
      <c r="N104" s="1067">
        <v>25045.366666666665</v>
      </c>
      <c r="O104" s="1068">
        <v>182384.35</v>
      </c>
      <c r="Q104" s="71"/>
    </row>
    <row r="105" spans="1:17" ht="15.75" hidden="1">
      <c r="A105" s="113" t="s">
        <v>623</v>
      </c>
      <c r="B105" s="1073">
        <v>5675.7499999999991</v>
      </c>
      <c r="C105" s="1083" t="s">
        <v>88</v>
      </c>
      <c r="D105" s="1083" t="s">
        <v>88</v>
      </c>
      <c r="E105" s="1083" t="s">
        <v>88</v>
      </c>
      <c r="F105" s="1068">
        <v>0</v>
      </c>
      <c r="G105" s="1083" t="s">
        <v>88</v>
      </c>
      <c r="H105" s="1056">
        <v>5057.2666666666664</v>
      </c>
      <c r="I105" s="1067">
        <v>50413.7</v>
      </c>
      <c r="J105" s="1083" t="s">
        <v>88</v>
      </c>
      <c r="K105" s="1066">
        <v>98924.500000000029</v>
      </c>
      <c r="L105" s="1083" t="s">
        <v>88</v>
      </c>
      <c r="M105" s="1083" t="s">
        <v>88</v>
      </c>
      <c r="N105" s="1067">
        <v>24874.833333333336</v>
      </c>
      <c r="O105" s="1068">
        <v>184946.05000000002</v>
      </c>
      <c r="Q105" s="71"/>
    </row>
    <row r="106" spans="1:17" ht="15.75" hidden="1">
      <c r="A106" s="113" t="s">
        <v>47</v>
      </c>
      <c r="B106" s="1073">
        <v>5529.3416666666672</v>
      </c>
      <c r="C106" s="1083" t="s">
        <v>88</v>
      </c>
      <c r="D106" s="1083" t="s">
        <v>88</v>
      </c>
      <c r="E106" s="1083" t="s">
        <v>88</v>
      </c>
      <c r="F106" s="1068">
        <v>0</v>
      </c>
      <c r="G106" s="1083" t="s">
        <v>88</v>
      </c>
      <c r="H106" s="1056">
        <v>4529.8</v>
      </c>
      <c r="I106" s="1067">
        <v>51245.2</v>
      </c>
      <c r="J106" s="1083" t="s">
        <v>88</v>
      </c>
      <c r="K106" s="1066">
        <v>101526.68333333333</v>
      </c>
      <c r="L106" s="1083" t="s">
        <v>88</v>
      </c>
      <c r="M106" s="1083" t="s">
        <v>88</v>
      </c>
      <c r="N106" s="1067">
        <v>24704.400000000001</v>
      </c>
      <c r="O106" s="1068">
        <v>187535.42499999999</v>
      </c>
      <c r="Q106" s="71"/>
    </row>
    <row r="107" spans="1:17" ht="15.75" hidden="1">
      <c r="A107" s="113" t="s">
        <v>631</v>
      </c>
      <c r="B107" s="1073">
        <v>5383.3055555555557</v>
      </c>
      <c r="C107" s="1083" t="s">
        <v>88</v>
      </c>
      <c r="D107" s="1083" t="s">
        <v>88</v>
      </c>
      <c r="E107" s="1083" t="s">
        <v>88</v>
      </c>
      <c r="F107" s="1068">
        <v>0</v>
      </c>
      <c r="G107" s="1083" t="s">
        <v>88</v>
      </c>
      <c r="H107" s="1056">
        <v>4002.333333333333</v>
      </c>
      <c r="I107" s="1067">
        <v>52084.733333333344</v>
      </c>
      <c r="J107" s="1083" t="s">
        <v>88</v>
      </c>
      <c r="K107" s="1066">
        <v>104138.84444444445</v>
      </c>
      <c r="L107" s="1083" t="s">
        <v>88</v>
      </c>
      <c r="M107" s="1083" t="s">
        <v>88</v>
      </c>
      <c r="N107" s="1067">
        <v>24534.033333333329</v>
      </c>
      <c r="O107" s="1068">
        <v>190143.25</v>
      </c>
      <c r="Q107" s="71"/>
    </row>
    <row r="108" spans="1:17" ht="15.75" hidden="1">
      <c r="A108" s="113" t="s">
        <v>654</v>
      </c>
      <c r="B108" s="1073">
        <v>5237.5175925925923</v>
      </c>
      <c r="C108" s="1083" t="s">
        <v>88</v>
      </c>
      <c r="D108" s="1083" t="s">
        <v>88</v>
      </c>
      <c r="E108" s="1083" t="s">
        <v>88</v>
      </c>
      <c r="F108" s="1068">
        <v>0</v>
      </c>
      <c r="G108" s="1083" t="s">
        <v>88</v>
      </c>
      <c r="H108" s="1056">
        <v>3474.8666666666668</v>
      </c>
      <c r="I108" s="1067">
        <v>52929.62222222222</v>
      </c>
      <c r="J108" s="1083" t="s">
        <v>88</v>
      </c>
      <c r="K108" s="1066">
        <v>106757.6574074074</v>
      </c>
      <c r="L108" s="1083" t="s">
        <v>88</v>
      </c>
      <c r="M108" s="1083" t="s">
        <v>88</v>
      </c>
      <c r="N108" s="1067">
        <v>24363.711111111108</v>
      </c>
      <c r="O108" s="1068">
        <v>192763.375</v>
      </c>
      <c r="Q108" s="71"/>
    </row>
    <row r="109" spans="1:17" ht="15.75" hidden="1">
      <c r="A109" s="113" t="s">
        <v>666</v>
      </c>
      <c r="B109" s="1073">
        <v>5082.3000000000011</v>
      </c>
      <c r="C109" s="1083" t="s">
        <v>88</v>
      </c>
      <c r="D109" s="1083" t="s">
        <v>88</v>
      </c>
      <c r="E109" s="1083" t="s">
        <v>88</v>
      </c>
      <c r="F109" s="1068">
        <v>0</v>
      </c>
      <c r="G109" s="1083" t="s">
        <v>88</v>
      </c>
      <c r="H109" s="1056">
        <v>2947.3999999999996</v>
      </c>
      <c r="I109" s="1067">
        <v>53571</v>
      </c>
      <c r="J109" s="1083" t="s">
        <v>88</v>
      </c>
      <c r="K109" s="1066">
        <v>109123.7</v>
      </c>
      <c r="L109" s="1083" t="s">
        <v>88</v>
      </c>
      <c r="M109" s="1083" t="s">
        <v>88</v>
      </c>
      <c r="N109" s="1067">
        <v>24191.699999999997</v>
      </c>
      <c r="O109" s="1068">
        <v>194916.09999999998</v>
      </c>
      <c r="Q109" s="71"/>
    </row>
    <row r="110" spans="1:17" ht="15.75" hidden="1">
      <c r="A110" s="113"/>
      <c r="B110" s="1073"/>
      <c r="C110" s="1083"/>
      <c r="D110" s="1083"/>
      <c r="E110" s="1083"/>
      <c r="F110" s="1068"/>
      <c r="G110" s="1083"/>
      <c r="H110" s="1056"/>
      <c r="I110" s="1067"/>
      <c r="J110" s="1083"/>
      <c r="K110" s="1066"/>
      <c r="L110" s="1083"/>
      <c r="M110" s="1083"/>
      <c r="N110" s="1067"/>
      <c r="O110" s="1068"/>
      <c r="Q110" s="71"/>
    </row>
    <row r="111" spans="1:17" ht="15.75" hidden="1">
      <c r="A111" s="113" t="s">
        <v>39</v>
      </c>
      <c r="B111" s="1073">
        <v>5451.7000000000007</v>
      </c>
      <c r="C111" s="1083" t="s">
        <v>88</v>
      </c>
      <c r="D111" s="1083" t="s">
        <v>88</v>
      </c>
      <c r="E111" s="1083" t="s">
        <v>88</v>
      </c>
      <c r="F111" s="1068">
        <v>0</v>
      </c>
      <c r="G111" s="1083" t="s">
        <v>88</v>
      </c>
      <c r="H111" s="1056">
        <v>2775.7583333333332</v>
      </c>
      <c r="I111" s="1067">
        <v>53978.758333333339</v>
      </c>
      <c r="J111" s="1083" t="s">
        <v>88</v>
      </c>
      <c r="K111" s="1066">
        <v>113790.60833333332</v>
      </c>
      <c r="L111" s="1083" t="s">
        <v>88</v>
      </c>
      <c r="M111" s="1083" t="s">
        <v>88</v>
      </c>
      <c r="N111" s="1067">
        <v>24724</v>
      </c>
      <c r="O111" s="1068">
        <v>200720.82500000001</v>
      </c>
      <c r="Q111" s="71"/>
    </row>
    <row r="112" spans="1:17" ht="15.75" hidden="1">
      <c r="A112" s="113" t="s">
        <v>677</v>
      </c>
      <c r="B112" s="1051">
        <v>5821.0999999999995</v>
      </c>
      <c r="C112" s="1083" t="s">
        <v>88</v>
      </c>
      <c r="D112" s="1083" t="s">
        <v>88</v>
      </c>
      <c r="E112" s="1083" t="s">
        <v>88</v>
      </c>
      <c r="F112" s="1068">
        <v>0</v>
      </c>
      <c r="G112" s="1083" t="s">
        <v>88</v>
      </c>
      <c r="H112" s="1056">
        <v>2604.1166666666668</v>
      </c>
      <c r="I112" s="1067">
        <v>54386.516666666656</v>
      </c>
      <c r="J112" s="1083" t="s">
        <v>88</v>
      </c>
      <c r="K112" s="1066">
        <v>118457.51666666669</v>
      </c>
      <c r="L112" s="1083" t="s">
        <v>88</v>
      </c>
      <c r="M112" s="1083" t="s">
        <v>88</v>
      </c>
      <c r="N112" s="1067">
        <v>25256.299999999996</v>
      </c>
      <c r="O112" s="1068">
        <v>206525.55</v>
      </c>
      <c r="Q112" s="71"/>
    </row>
    <row r="113" spans="1:17" ht="15.75" hidden="1">
      <c r="A113" s="113" t="s">
        <v>65</v>
      </c>
      <c r="B113" s="1051">
        <v>6190.5</v>
      </c>
      <c r="C113" s="1083" t="s">
        <v>88</v>
      </c>
      <c r="D113" s="1083" t="s">
        <v>88</v>
      </c>
      <c r="E113" s="1083" t="s">
        <v>88</v>
      </c>
      <c r="F113" s="1068">
        <v>0</v>
      </c>
      <c r="G113" s="1083" t="s">
        <v>88</v>
      </c>
      <c r="H113" s="1056">
        <v>2432.4750000000004</v>
      </c>
      <c r="I113" s="1067">
        <v>54794.275000000009</v>
      </c>
      <c r="J113" s="1083" t="s">
        <v>88</v>
      </c>
      <c r="K113" s="1066">
        <v>123124.42499999999</v>
      </c>
      <c r="L113" s="1083" t="s">
        <v>88</v>
      </c>
      <c r="M113" s="1083" t="s">
        <v>88</v>
      </c>
      <c r="N113" s="1067">
        <v>25788.6</v>
      </c>
      <c r="O113" s="1068">
        <v>212330.27499999999</v>
      </c>
      <c r="Q113" s="71"/>
    </row>
    <row r="114" spans="1:17" ht="15.75" hidden="1">
      <c r="A114" s="113" t="s">
        <v>691</v>
      </c>
      <c r="B114" s="1051">
        <v>6559.9</v>
      </c>
      <c r="C114" s="1083" t="s">
        <v>88</v>
      </c>
      <c r="D114" s="1083" t="s">
        <v>88</v>
      </c>
      <c r="E114" s="1083" t="s">
        <v>88</v>
      </c>
      <c r="F114" s="1068">
        <v>0</v>
      </c>
      <c r="G114" s="1083" t="s">
        <v>88</v>
      </c>
      <c r="H114" s="1056">
        <v>2260.833333333333</v>
      </c>
      <c r="I114" s="1067">
        <v>55202.03333333334</v>
      </c>
      <c r="J114" s="1083" t="s">
        <v>88</v>
      </c>
      <c r="K114" s="1066">
        <v>127791.33333333334</v>
      </c>
      <c r="L114" s="1083" t="s">
        <v>88</v>
      </c>
      <c r="M114" s="1083" t="s">
        <v>88</v>
      </c>
      <c r="N114" s="1067">
        <v>26320.9</v>
      </c>
      <c r="O114" s="1068">
        <v>218135.00000000003</v>
      </c>
      <c r="Q114" s="71"/>
    </row>
    <row r="115" spans="1:17" ht="15.75" hidden="1">
      <c r="A115" s="113" t="s">
        <v>700</v>
      </c>
      <c r="B115" s="1051">
        <v>6929.2999999999993</v>
      </c>
      <c r="C115" s="1083" t="s">
        <v>88</v>
      </c>
      <c r="D115" s="1083" t="s">
        <v>88</v>
      </c>
      <c r="E115" s="1083" t="s">
        <v>88</v>
      </c>
      <c r="F115" s="1068">
        <v>0</v>
      </c>
      <c r="G115" s="1083" t="s">
        <v>88</v>
      </c>
      <c r="H115" s="1056">
        <v>2089.1916666666666</v>
      </c>
      <c r="I115" s="1067">
        <v>55609.791666666664</v>
      </c>
      <c r="J115" s="1083" t="s">
        <v>88</v>
      </c>
      <c r="K115" s="1066">
        <v>132458.2416666667</v>
      </c>
      <c r="L115" s="1083" t="s">
        <v>88</v>
      </c>
      <c r="M115" s="1083" t="s">
        <v>88</v>
      </c>
      <c r="N115" s="1067">
        <v>26853.199999999997</v>
      </c>
      <c r="O115" s="1068">
        <v>223939.72500000003</v>
      </c>
      <c r="Q115" s="71"/>
    </row>
    <row r="116" spans="1:17" ht="15.75" hidden="1">
      <c r="A116" s="113" t="s">
        <v>713</v>
      </c>
      <c r="B116" s="1051">
        <v>7298.6999999999989</v>
      </c>
      <c r="C116" s="1083" t="s">
        <v>88</v>
      </c>
      <c r="D116" s="1083" t="s">
        <v>88</v>
      </c>
      <c r="E116" s="1083" t="s">
        <v>88</v>
      </c>
      <c r="F116" s="1068">
        <v>0</v>
      </c>
      <c r="G116" s="1083" t="s">
        <v>88</v>
      </c>
      <c r="H116" s="1056">
        <v>1917.5500000000002</v>
      </c>
      <c r="I116" s="1067">
        <v>56017.55000000001</v>
      </c>
      <c r="J116" s="1083" t="s">
        <v>88</v>
      </c>
      <c r="K116" s="1066">
        <v>137125.15000000002</v>
      </c>
      <c r="L116" s="1083" t="s">
        <v>88</v>
      </c>
      <c r="M116" s="1083" t="s">
        <v>88</v>
      </c>
      <c r="N116" s="1067">
        <v>27385.5</v>
      </c>
      <c r="O116" s="1068">
        <v>229744.45000000004</v>
      </c>
      <c r="Q116" s="71"/>
    </row>
    <row r="117" spans="1:17" ht="15.75">
      <c r="A117" s="113" t="s">
        <v>739</v>
      </c>
      <c r="B117" s="1051">
        <v>7763.7666666666664</v>
      </c>
      <c r="C117" s="1083" t="s">
        <v>88</v>
      </c>
      <c r="D117" s="1083" t="s">
        <v>88</v>
      </c>
      <c r="E117" s="1083" t="s">
        <v>88</v>
      </c>
      <c r="F117" s="1068">
        <v>0</v>
      </c>
      <c r="G117" s="1083" t="s">
        <v>88</v>
      </c>
      <c r="H117" s="1056">
        <v>1923.6750000000002</v>
      </c>
      <c r="I117" s="1067">
        <v>48682.608333333337</v>
      </c>
      <c r="J117" s="1083" t="s">
        <v>88</v>
      </c>
      <c r="K117" s="1066">
        <v>138314.35833333337</v>
      </c>
      <c r="L117" s="1083" t="s">
        <v>88</v>
      </c>
      <c r="M117" s="1083" t="s">
        <v>88</v>
      </c>
      <c r="N117" s="1067">
        <v>27565.600000000002</v>
      </c>
      <c r="O117" s="1068">
        <v>224250.00833333339</v>
      </c>
      <c r="Q117" s="71"/>
    </row>
    <row r="118" spans="1:17" ht="15.75">
      <c r="A118" s="113" t="s">
        <v>46</v>
      </c>
      <c r="B118" s="1051">
        <v>8228.8333333333339</v>
      </c>
      <c r="C118" s="1083" t="s">
        <v>88</v>
      </c>
      <c r="D118" s="1083" t="s">
        <v>88</v>
      </c>
      <c r="E118" s="1083" t="s">
        <v>88</v>
      </c>
      <c r="F118" s="1068">
        <v>0</v>
      </c>
      <c r="G118" s="1083" t="s">
        <v>88</v>
      </c>
      <c r="H118" s="1056">
        <v>1929.8000000000002</v>
      </c>
      <c r="I118" s="1067">
        <v>41347.666666666664</v>
      </c>
      <c r="J118" s="1083" t="s">
        <v>88</v>
      </c>
      <c r="K118" s="1066">
        <v>139503.56666666665</v>
      </c>
      <c r="L118" s="1083" t="s">
        <v>88</v>
      </c>
      <c r="M118" s="1083" t="s">
        <v>88</v>
      </c>
      <c r="N118" s="1067">
        <v>27745.699999999997</v>
      </c>
      <c r="O118" s="1068">
        <v>218755.56666666665</v>
      </c>
      <c r="Q118" s="71"/>
    </row>
    <row r="119" spans="1:17" ht="15.75">
      <c r="A119" s="113" t="s">
        <v>47</v>
      </c>
      <c r="B119" s="1051">
        <v>8693.9000000000033</v>
      </c>
      <c r="C119" s="1083" t="s">
        <v>88</v>
      </c>
      <c r="D119" s="1083" t="s">
        <v>88</v>
      </c>
      <c r="E119" s="1083" t="s">
        <v>88</v>
      </c>
      <c r="F119" s="1068">
        <v>0</v>
      </c>
      <c r="G119" s="1083" t="s">
        <v>88</v>
      </c>
      <c r="H119" s="1056">
        <v>1935.925</v>
      </c>
      <c r="I119" s="1067">
        <v>34012.724999999999</v>
      </c>
      <c r="J119" s="1083" t="s">
        <v>88</v>
      </c>
      <c r="K119" s="1066">
        <v>140692.77499999999</v>
      </c>
      <c r="L119" s="1083" t="s">
        <v>88</v>
      </c>
      <c r="M119" s="1083" t="s">
        <v>88</v>
      </c>
      <c r="N119" s="1067">
        <v>27925.800000000003</v>
      </c>
      <c r="O119" s="1068">
        <v>213261.125</v>
      </c>
      <c r="Q119" s="71"/>
    </row>
    <row r="120" spans="1:17" ht="15.75">
      <c r="A120" s="113" t="s">
        <v>48</v>
      </c>
      <c r="B120" s="1051">
        <v>9333.1333333333332</v>
      </c>
      <c r="C120" s="1083" t="s">
        <v>88</v>
      </c>
      <c r="D120" s="1083" t="s">
        <v>88</v>
      </c>
      <c r="E120" s="1083" t="s">
        <v>88</v>
      </c>
      <c r="F120" s="1068">
        <v>0</v>
      </c>
      <c r="G120" s="1083" t="s">
        <v>88</v>
      </c>
      <c r="H120" s="1056">
        <v>1942.05</v>
      </c>
      <c r="I120" s="1067">
        <v>38134.483333333337</v>
      </c>
      <c r="J120" s="1083" t="s">
        <v>88</v>
      </c>
      <c r="K120" s="1066">
        <v>140466.38333333336</v>
      </c>
      <c r="L120" s="1083" t="s">
        <v>88</v>
      </c>
      <c r="M120" s="1083" t="s">
        <v>88</v>
      </c>
      <c r="N120" s="1067">
        <v>27845.933333333334</v>
      </c>
      <c r="O120" s="1068">
        <v>217721.9833333334</v>
      </c>
      <c r="Q120" s="71"/>
    </row>
    <row r="121" spans="1:17" ht="15.75">
      <c r="A121" s="113" t="s">
        <v>49</v>
      </c>
      <c r="B121" s="1051">
        <v>10167.322222222223</v>
      </c>
      <c r="C121" s="1083" t="s">
        <v>88</v>
      </c>
      <c r="D121" s="1083" t="s">
        <v>88</v>
      </c>
      <c r="E121" s="1083" t="s">
        <v>88</v>
      </c>
      <c r="F121" s="1068">
        <v>0</v>
      </c>
      <c r="G121" s="1083" t="s">
        <v>88</v>
      </c>
      <c r="H121" s="1056">
        <v>1948.175</v>
      </c>
      <c r="I121" s="1067">
        <v>42106.086111111115</v>
      </c>
      <c r="J121" s="1083" t="s">
        <v>88</v>
      </c>
      <c r="K121" s="1066">
        <v>139923.10277777773</v>
      </c>
      <c r="L121" s="1083" t="s">
        <v>88</v>
      </c>
      <c r="M121" s="1083" t="s">
        <v>88</v>
      </c>
      <c r="N121" s="1067">
        <v>27755.866666666658</v>
      </c>
      <c r="O121" s="1068">
        <v>221900.55277777775</v>
      </c>
      <c r="Q121" s="71"/>
    </row>
    <row r="122" spans="1:17" ht="15.75">
      <c r="A122" s="113" t="s">
        <v>50</v>
      </c>
      <c r="B122" s="1051">
        <v>10611.6</v>
      </c>
      <c r="C122" s="1083" t="s">
        <v>88</v>
      </c>
      <c r="D122" s="1083" t="s">
        <v>88</v>
      </c>
      <c r="E122" s="1083" t="s">
        <v>88</v>
      </c>
      <c r="F122" s="1068">
        <v>0</v>
      </c>
      <c r="G122" s="1083" t="s">
        <v>88</v>
      </c>
      <c r="H122" s="1056">
        <v>1954.3000000000002</v>
      </c>
      <c r="I122" s="1067">
        <v>46378</v>
      </c>
      <c r="J122" s="1083" t="s">
        <v>88</v>
      </c>
      <c r="K122" s="1066">
        <v>140013.6</v>
      </c>
      <c r="L122" s="1083" t="s">
        <v>88</v>
      </c>
      <c r="M122" s="1083" t="s">
        <v>88</v>
      </c>
      <c r="N122" s="1067">
        <v>27686.199999999997</v>
      </c>
      <c r="O122" s="1068">
        <v>226643.7</v>
      </c>
      <c r="Q122" s="71"/>
    </row>
    <row r="123" spans="1:17" ht="15.75">
      <c r="A123" s="113"/>
      <c r="B123" s="1050"/>
      <c r="C123" s="1083"/>
      <c r="D123" s="1083"/>
      <c r="E123" s="1083"/>
      <c r="F123" s="1068"/>
      <c r="G123" s="1083"/>
      <c r="H123" s="1056"/>
      <c r="I123" s="1067"/>
      <c r="J123" s="1083"/>
      <c r="K123" s="1066"/>
      <c r="L123" s="1083"/>
      <c r="M123" s="1083"/>
      <c r="N123" s="1067"/>
      <c r="O123" s="1068"/>
      <c r="Q123" s="71"/>
    </row>
    <row r="124" spans="1:17" ht="15.75">
      <c r="A124" s="113" t="s">
        <v>36</v>
      </c>
      <c r="B124" s="1051">
        <v>11255.2</v>
      </c>
      <c r="C124" s="1083" t="s">
        <v>88</v>
      </c>
      <c r="D124" s="1083" t="s">
        <v>88</v>
      </c>
      <c r="E124" s="1083" t="s">
        <v>88</v>
      </c>
      <c r="F124" s="1068">
        <v>0</v>
      </c>
      <c r="G124" s="1083" t="s">
        <v>88</v>
      </c>
      <c r="H124" s="1056">
        <v>1917.0833333333333</v>
      </c>
      <c r="I124" s="1067">
        <v>45795.316666666673</v>
      </c>
      <c r="J124" s="1083" t="s">
        <v>88</v>
      </c>
      <c r="K124" s="1066">
        <v>143287.36666666667</v>
      </c>
      <c r="L124" s="1083" t="s">
        <v>88</v>
      </c>
      <c r="M124" s="1083" t="s">
        <v>88</v>
      </c>
      <c r="N124" s="1067">
        <v>29994.316666666658</v>
      </c>
      <c r="O124" s="1068">
        <v>232249.28333333333</v>
      </c>
      <c r="Q124" s="71"/>
    </row>
    <row r="125" spans="1:17" ht="15.75">
      <c r="A125" s="113" t="s">
        <v>37</v>
      </c>
      <c r="B125" s="1051">
        <v>11898.8</v>
      </c>
      <c r="C125" s="1083" t="s">
        <v>88</v>
      </c>
      <c r="D125" s="1083" t="s">
        <v>88</v>
      </c>
      <c r="E125" s="1083" t="s">
        <v>88</v>
      </c>
      <c r="F125" s="1068">
        <v>0</v>
      </c>
      <c r="G125" s="1083" t="s">
        <v>88</v>
      </c>
      <c r="H125" s="1056">
        <v>1879.8666666666668</v>
      </c>
      <c r="I125" s="1067">
        <v>45212.633333333331</v>
      </c>
      <c r="J125" s="1083" t="s">
        <v>88</v>
      </c>
      <c r="K125" s="1066">
        <v>146561.13333333333</v>
      </c>
      <c r="L125" s="1083" t="s">
        <v>88</v>
      </c>
      <c r="M125" s="1083" t="s">
        <v>88</v>
      </c>
      <c r="N125" s="1067">
        <v>32302.433333333331</v>
      </c>
      <c r="O125" s="1068">
        <v>237854.86666666664</v>
      </c>
      <c r="Q125" s="71"/>
    </row>
    <row r="126" spans="1:17" ht="15.75">
      <c r="A126" s="113" t="s">
        <v>38</v>
      </c>
      <c r="B126" s="1051">
        <v>12542.400000000001</v>
      </c>
      <c r="C126" s="1083" t="s">
        <v>88</v>
      </c>
      <c r="D126" s="1083" t="s">
        <v>88</v>
      </c>
      <c r="E126" s="1083" t="s">
        <v>88</v>
      </c>
      <c r="F126" s="1068">
        <v>0</v>
      </c>
      <c r="G126" s="1083" t="s">
        <v>88</v>
      </c>
      <c r="H126" s="1056">
        <v>1842.65</v>
      </c>
      <c r="I126" s="1067">
        <v>44629.95</v>
      </c>
      <c r="J126" s="1083" t="s">
        <v>88</v>
      </c>
      <c r="K126" s="1066">
        <v>149834.90000000002</v>
      </c>
      <c r="L126" s="1083" t="s">
        <v>88</v>
      </c>
      <c r="M126" s="1083" t="s">
        <v>88</v>
      </c>
      <c r="N126" s="1067">
        <v>34610.549999999996</v>
      </c>
      <c r="O126" s="1068">
        <v>243460.45</v>
      </c>
      <c r="Q126" s="71"/>
    </row>
    <row r="127" spans="1:17" ht="15.75">
      <c r="A127" s="113" t="s">
        <v>42</v>
      </c>
      <c r="B127" s="1051">
        <v>11219.366666666665</v>
      </c>
      <c r="C127" s="1083"/>
      <c r="D127" s="1084"/>
      <c r="E127" s="1083"/>
      <c r="F127" s="1068"/>
      <c r="G127" s="1085"/>
      <c r="H127" s="1056">
        <v>1780.5333333333333</v>
      </c>
      <c r="I127" s="1067">
        <v>73512.433333333334</v>
      </c>
      <c r="J127" s="1083" t="s">
        <v>88</v>
      </c>
      <c r="K127" s="1066">
        <v>149911.93333333338</v>
      </c>
      <c r="L127" s="1083"/>
      <c r="M127" s="1083"/>
      <c r="N127" s="1067">
        <v>36653.599999999999</v>
      </c>
      <c r="O127" s="1068">
        <v>273077.8666666667</v>
      </c>
      <c r="Q127" s="71"/>
    </row>
    <row r="128" spans="1:17" ht="15.75">
      <c r="A128" s="113" t="s">
        <v>606</v>
      </c>
      <c r="B128" s="1051">
        <v>9896.3333333333321</v>
      </c>
      <c r="C128" s="1083"/>
      <c r="D128" s="1084"/>
      <c r="E128" s="1083"/>
      <c r="F128" s="1068"/>
      <c r="G128" s="1085"/>
      <c r="H128" s="1056">
        <v>1718.4166666666667</v>
      </c>
      <c r="I128" s="1067">
        <v>102394.91666666664</v>
      </c>
      <c r="J128" s="1083" t="s">
        <v>88</v>
      </c>
      <c r="K128" s="1066">
        <v>149988.9666666667</v>
      </c>
      <c r="L128" s="1083"/>
      <c r="M128" s="1083"/>
      <c r="N128" s="1067">
        <v>38696.65</v>
      </c>
      <c r="O128" s="1068">
        <v>302695.28333333338</v>
      </c>
      <c r="Q128" s="71"/>
    </row>
    <row r="129" spans="1:17" ht="15.75">
      <c r="A129" s="113" t="s">
        <v>62</v>
      </c>
      <c r="B129" s="1051">
        <v>8573.3000000000011</v>
      </c>
      <c r="C129" s="1083"/>
      <c r="D129" s="1084"/>
      <c r="E129" s="1083"/>
      <c r="F129" s="1068"/>
      <c r="G129" s="1085"/>
      <c r="H129" s="1056">
        <v>1656.3</v>
      </c>
      <c r="I129" s="1067">
        <v>131277.40000000002</v>
      </c>
      <c r="J129" s="1083" t="s">
        <v>88</v>
      </c>
      <c r="K129" s="1066">
        <v>150065.99999999997</v>
      </c>
      <c r="L129" s="1083"/>
      <c r="M129" s="1083"/>
      <c r="N129" s="1067">
        <v>40739.699999999997</v>
      </c>
      <c r="O129" s="1068">
        <v>332312.7</v>
      </c>
      <c r="Q129" s="71"/>
    </row>
    <row r="130" spans="1:17" ht="15.75">
      <c r="A130" s="113" t="s">
        <v>614</v>
      </c>
      <c r="B130" s="1051">
        <v>10741.966666666667</v>
      </c>
      <c r="C130" s="1083"/>
      <c r="D130" s="1084"/>
      <c r="E130" s="1083"/>
      <c r="F130" s="1068"/>
      <c r="G130" s="1085"/>
      <c r="H130" s="1056">
        <v>1725.9666666666667</v>
      </c>
      <c r="I130" s="1067">
        <v>105529.66666666666</v>
      </c>
      <c r="J130" s="1083" t="s">
        <v>88</v>
      </c>
      <c r="K130" s="1066">
        <v>155746.33333333331</v>
      </c>
      <c r="L130" s="1083"/>
      <c r="M130" s="1083"/>
      <c r="N130" s="1067">
        <v>39098.116666666661</v>
      </c>
      <c r="O130" s="1068">
        <v>312842.04999999993</v>
      </c>
      <c r="Q130" s="71"/>
    </row>
    <row r="131" spans="1:17" ht="15.75">
      <c r="A131" s="113" t="s">
        <v>620</v>
      </c>
      <c r="B131" s="1051">
        <v>12910.633333333333</v>
      </c>
      <c r="C131" s="1083"/>
      <c r="D131" s="1084"/>
      <c r="E131" s="1083"/>
      <c r="F131" s="1068"/>
      <c r="G131" s="1085"/>
      <c r="H131" s="1056">
        <v>1795.6333333333334</v>
      </c>
      <c r="I131" s="1067">
        <v>79781.933333333349</v>
      </c>
      <c r="J131" s="1083" t="s">
        <v>88</v>
      </c>
      <c r="K131" s="1066">
        <v>161426.66666666666</v>
      </c>
      <c r="L131" s="1083"/>
      <c r="M131" s="1083"/>
      <c r="N131" s="1067">
        <v>37456.533333333326</v>
      </c>
      <c r="O131" s="1068">
        <v>293371.40000000002</v>
      </c>
      <c r="Q131" s="71"/>
    </row>
    <row r="132" spans="1:17" ht="15.75">
      <c r="A132" s="113" t="s">
        <v>63</v>
      </c>
      <c r="B132" s="1051">
        <v>15079.300000000003</v>
      </c>
      <c r="C132" s="1083"/>
      <c r="D132" s="1084"/>
      <c r="E132" s="1083"/>
      <c r="F132" s="1068"/>
      <c r="G132" s="1085"/>
      <c r="H132" s="1056">
        <v>1865.3</v>
      </c>
      <c r="I132" s="1067">
        <v>54034.2</v>
      </c>
      <c r="J132" s="1083" t="s">
        <v>88</v>
      </c>
      <c r="K132" s="1066">
        <v>167107</v>
      </c>
      <c r="L132" s="1083"/>
      <c r="M132" s="1083"/>
      <c r="N132" s="1067">
        <v>35814.950000000004</v>
      </c>
      <c r="O132" s="1068">
        <v>273900.75</v>
      </c>
      <c r="Q132" s="71"/>
    </row>
    <row r="133" spans="1:17" ht="15.75">
      <c r="A133" s="113" t="s">
        <v>632</v>
      </c>
      <c r="B133" s="1051">
        <v>12553.166666666666</v>
      </c>
      <c r="C133" s="1083"/>
      <c r="D133" s="1084"/>
      <c r="E133" s="1083"/>
      <c r="F133" s="1068"/>
      <c r="G133" s="1085"/>
      <c r="H133" s="1056">
        <v>1907.7333333333333</v>
      </c>
      <c r="I133" s="1067">
        <v>58939.3</v>
      </c>
      <c r="J133" s="1083" t="s">
        <v>88</v>
      </c>
      <c r="K133" s="1066">
        <v>169908.49999999997</v>
      </c>
      <c r="L133" s="1083"/>
      <c r="M133" s="1083"/>
      <c r="N133" s="1067">
        <v>34244.733333333323</v>
      </c>
      <c r="O133" s="1068">
        <v>277553.43333333329</v>
      </c>
      <c r="Q133" s="71"/>
    </row>
    <row r="134" spans="1:17" ht="15.75">
      <c r="A134" s="113" t="s">
        <v>653</v>
      </c>
      <c r="B134" s="1051">
        <v>10027.033333333335</v>
      </c>
      <c r="C134" s="1083"/>
      <c r="D134" s="1084"/>
      <c r="E134" s="1083"/>
      <c r="F134" s="1068"/>
      <c r="G134" s="1085"/>
      <c r="H134" s="1056">
        <v>1950.1666666666667</v>
      </c>
      <c r="I134" s="1067">
        <v>63844.399999999994</v>
      </c>
      <c r="J134" s="1083" t="s">
        <v>88</v>
      </c>
      <c r="K134" s="1066">
        <v>172710.00000000003</v>
      </c>
      <c r="L134" s="1083"/>
      <c r="M134" s="1083"/>
      <c r="N134" s="1067">
        <v>32674.516666666663</v>
      </c>
      <c r="O134" s="1068">
        <v>281206.1166666667</v>
      </c>
      <c r="Q134" s="71"/>
    </row>
    <row r="135" spans="1:17" ht="15.75">
      <c r="A135" s="113" t="s">
        <v>64</v>
      </c>
      <c r="B135" s="1051">
        <v>7500.9000000000005</v>
      </c>
      <c r="C135" s="1083"/>
      <c r="D135" s="1084"/>
      <c r="E135" s="1083"/>
      <c r="F135" s="1068"/>
      <c r="G135" s="1085"/>
      <c r="H135" s="1056">
        <v>1992.6000000000001</v>
      </c>
      <c r="I135" s="1067">
        <v>68749.5</v>
      </c>
      <c r="J135" s="1083" t="s">
        <v>88</v>
      </c>
      <c r="K135" s="1066">
        <v>175511.5</v>
      </c>
      <c r="L135" s="1083"/>
      <c r="M135" s="1083"/>
      <c r="N135" s="1067">
        <v>31104.299999999996</v>
      </c>
      <c r="O135" s="1068">
        <v>284858.8</v>
      </c>
      <c r="Q135" s="71"/>
    </row>
    <row r="136" spans="1:17" ht="15.75">
      <c r="A136" s="113"/>
      <c r="B136" s="1050"/>
      <c r="C136" s="1083"/>
      <c r="D136" s="1084"/>
      <c r="E136" s="1083"/>
      <c r="F136" s="1068"/>
      <c r="G136" s="1085"/>
      <c r="H136" s="1056"/>
      <c r="I136" s="1067"/>
      <c r="J136" s="1083"/>
      <c r="K136" s="1066"/>
      <c r="L136" s="1083"/>
      <c r="M136" s="1083"/>
      <c r="N136" s="1067"/>
      <c r="O136" s="1068"/>
      <c r="Q136" s="71"/>
    </row>
    <row r="137" spans="1:17" ht="15.75">
      <c r="A137" s="113" t="s">
        <v>671</v>
      </c>
      <c r="B137" s="1051">
        <v>11237.9</v>
      </c>
      <c r="C137" s="1083"/>
      <c r="D137" s="1084"/>
      <c r="E137" s="1083"/>
      <c r="F137" s="1068"/>
      <c r="G137" s="1085"/>
      <c r="H137" s="1056">
        <v>1668.4</v>
      </c>
      <c r="I137" s="1067">
        <v>70493.149999999994</v>
      </c>
      <c r="J137" s="1083" t="s">
        <v>88</v>
      </c>
      <c r="K137" s="1066">
        <v>177636.08333333334</v>
      </c>
      <c r="L137" s="1083"/>
      <c r="M137" s="1083"/>
      <c r="N137" s="1067">
        <v>32307.3</v>
      </c>
      <c r="O137" s="1068">
        <v>293342.83333333331</v>
      </c>
      <c r="Q137" s="71"/>
    </row>
    <row r="138" spans="1:17" ht="15.75">
      <c r="A138" s="113" t="s">
        <v>263</v>
      </c>
      <c r="B138" s="1051">
        <v>15044.3</v>
      </c>
      <c r="C138" s="1083"/>
      <c r="D138" s="1084"/>
      <c r="E138" s="1083"/>
      <c r="F138" s="1068"/>
      <c r="G138" s="1085"/>
      <c r="H138" s="1056">
        <v>1344.2</v>
      </c>
      <c r="I138" s="1067">
        <v>73098</v>
      </c>
      <c r="J138" s="1083" t="s">
        <v>88</v>
      </c>
      <c r="K138" s="1066">
        <v>179861.86666666673</v>
      </c>
      <c r="L138" s="1083"/>
      <c r="M138" s="1083"/>
      <c r="N138" s="1067">
        <v>32810.400000000009</v>
      </c>
      <c r="O138" s="1068">
        <v>302158.76666666672</v>
      </c>
      <c r="Q138" s="71"/>
    </row>
    <row r="139" spans="1:17" ht="15.75">
      <c r="A139" s="113" t="s">
        <v>41</v>
      </c>
      <c r="B139" s="1051">
        <v>19066.099999999999</v>
      </c>
      <c r="C139" s="1083"/>
      <c r="D139" s="1084"/>
      <c r="E139" s="1083"/>
      <c r="F139" s="1068"/>
      <c r="G139" s="1085"/>
      <c r="H139" s="1056">
        <v>973.30000000000007</v>
      </c>
      <c r="I139" s="1067">
        <v>76144.000000000015</v>
      </c>
      <c r="J139" s="1083" t="s">
        <v>88</v>
      </c>
      <c r="K139" s="1066">
        <v>182334.09999999998</v>
      </c>
      <c r="L139" s="1083"/>
      <c r="M139" s="1083"/>
      <c r="N139" s="1067">
        <v>33725.5</v>
      </c>
      <c r="O139" s="1068">
        <v>312243</v>
      </c>
      <c r="Q139" s="71"/>
    </row>
    <row r="140" spans="1:17" ht="15.75">
      <c r="A140" s="113" t="s">
        <v>694</v>
      </c>
      <c r="B140" s="1051">
        <v>19066.099999999999</v>
      </c>
      <c r="C140" s="1083"/>
      <c r="D140" s="1084"/>
      <c r="E140" s="1083"/>
      <c r="F140" s="1068"/>
      <c r="G140" s="1085"/>
      <c r="H140" s="1056">
        <v>973.30000000000007</v>
      </c>
      <c r="I140" s="1067">
        <v>76144.000000000015</v>
      </c>
      <c r="J140" s="1083" t="s">
        <v>88</v>
      </c>
      <c r="K140" s="1066">
        <v>182334.09999999998</v>
      </c>
      <c r="L140" s="1083"/>
      <c r="M140" s="1083"/>
      <c r="N140" s="1067">
        <v>33725.5</v>
      </c>
      <c r="O140" s="1068">
        <v>312243</v>
      </c>
      <c r="Q140" s="71"/>
    </row>
    <row r="141" spans="1:17" ht="15.75">
      <c r="A141" s="113" t="s">
        <v>702</v>
      </c>
      <c r="B141" s="1051">
        <v>19066.099999999999</v>
      </c>
      <c r="C141" s="1083"/>
      <c r="D141" s="1084"/>
      <c r="E141" s="1083"/>
      <c r="F141" s="1068"/>
      <c r="G141" s="1085"/>
      <c r="H141" s="1056">
        <v>973.30000000000007</v>
      </c>
      <c r="I141" s="1067">
        <v>76144.000000000015</v>
      </c>
      <c r="J141" s="1083" t="s">
        <v>88</v>
      </c>
      <c r="K141" s="1066">
        <v>182334.09999999998</v>
      </c>
      <c r="L141" s="1083"/>
      <c r="M141" s="1083"/>
      <c r="N141" s="1067">
        <v>33725.5</v>
      </c>
      <c r="O141" s="1068">
        <v>312243</v>
      </c>
      <c r="Q141" s="71"/>
    </row>
    <row r="142" spans="1:17" s="1019" customFormat="1" ht="15.75">
      <c r="A142" s="1024" t="s">
        <v>715</v>
      </c>
      <c r="B142" s="1051">
        <v>19066.099999999999</v>
      </c>
      <c r="C142" s="1083"/>
      <c r="D142" s="1084"/>
      <c r="E142" s="1083"/>
      <c r="F142" s="1068"/>
      <c r="G142" s="1085"/>
      <c r="H142" s="1056">
        <v>973.30000000000007</v>
      </c>
      <c r="I142" s="1067">
        <v>76144.000000000015</v>
      </c>
      <c r="J142" s="1083" t="s">
        <v>88</v>
      </c>
      <c r="K142" s="1066">
        <v>182334.09999999998</v>
      </c>
      <c r="L142" s="1083"/>
      <c r="M142" s="1083"/>
      <c r="N142" s="1067">
        <v>33725.5</v>
      </c>
      <c r="O142" s="1068">
        <v>312243</v>
      </c>
      <c r="Q142" s="1020"/>
    </row>
    <row r="143" spans="1:17" s="1051" customFormat="1" ht="15.75">
      <c r="A143" s="1059" t="s">
        <v>734</v>
      </c>
      <c r="B143" s="1051">
        <v>19066.099999999999</v>
      </c>
      <c r="C143" s="1083"/>
      <c r="D143" s="1084"/>
      <c r="E143" s="1083"/>
      <c r="F143" s="1068"/>
      <c r="G143" s="1085"/>
      <c r="H143" s="1056">
        <v>973.30000000000007</v>
      </c>
      <c r="I143" s="1067">
        <v>76144.000000000015</v>
      </c>
      <c r="J143" s="1083" t="s">
        <v>88</v>
      </c>
      <c r="K143" s="1066">
        <v>182334.09999999998</v>
      </c>
      <c r="L143" s="1083"/>
      <c r="M143" s="1083"/>
      <c r="N143" s="1067">
        <v>33725.5</v>
      </c>
      <c r="O143" s="1068">
        <f>SUM(B143:C143,F143:N143)</f>
        <v>312243</v>
      </c>
      <c r="Q143" s="1053"/>
    </row>
    <row r="144" spans="1:17" ht="15.75">
      <c r="A144" s="113"/>
      <c r="C144" s="312"/>
      <c r="D144" s="313"/>
      <c r="E144" s="312"/>
      <c r="F144" s="261"/>
      <c r="G144" s="314"/>
      <c r="H144" s="80"/>
      <c r="I144" s="258"/>
      <c r="J144" s="312"/>
      <c r="K144" s="260"/>
      <c r="L144" s="312"/>
      <c r="M144" s="312"/>
      <c r="N144" s="258"/>
      <c r="O144" s="261"/>
    </row>
    <row r="145" spans="1:17">
      <c r="A145" s="95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8"/>
      <c r="Q145" s="139"/>
    </row>
    <row r="146" spans="1:17">
      <c r="A146" s="270" t="s">
        <v>659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22"/>
    </row>
    <row r="147" spans="1:17">
      <c r="B147" s="271"/>
      <c r="O147" s="132"/>
    </row>
    <row r="148" spans="1:17">
      <c r="B148" s="69" t="s">
        <v>116</v>
      </c>
    </row>
  </sheetData>
  <mergeCells count="2">
    <mergeCell ref="A3:O3"/>
    <mergeCell ref="B2:N2"/>
  </mergeCells>
  <pageMargins left="3.6614173228346458" right="0.70866141732283472" top="0.74803149606299213" bottom="0.74803149606299213" header="0.31496062992125984" footer="0.31496062992125984"/>
  <pageSetup paperSize="9" scale="49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showGridLines="0" view="pageBreakPreview" topLeftCell="A120" zoomScale="80" zoomScaleNormal="100" zoomScaleSheetLayoutView="80" workbookViewId="0">
      <selection activeCell="G150" sqref="G150"/>
    </sheetView>
  </sheetViews>
  <sheetFormatPr defaultColWidth="8.88671875" defaultRowHeight="12.75"/>
  <cols>
    <col min="1" max="1" width="20" style="69" customWidth="1"/>
    <col min="2" max="2" width="10.109375" style="69" bestFit="1" customWidth="1"/>
    <col min="3" max="3" width="8.109375" style="69" bestFit="1" customWidth="1"/>
    <col min="4" max="4" width="6.5546875" style="69" bestFit="1" customWidth="1"/>
    <col min="5" max="5" width="7.77734375" style="69" bestFit="1" customWidth="1"/>
    <col min="6" max="6" width="8.77734375" style="69" bestFit="1" customWidth="1"/>
    <col min="7" max="7" width="10.21875" style="69" bestFit="1" customWidth="1"/>
    <col min="8" max="8" width="13.44140625" style="69" hidden="1" customWidth="1"/>
    <col min="9" max="9" width="8.6640625" style="69" bestFit="1" customWidth="1"/>
    <col min="10" max="10" width="7.88671875" style="69" bestFit="1" customWidth="1"/>
    <col min="11" max="11" width="8.77734375" style="145" bestFit="1" customWidth="1"/>
    <col min="12" max="12" width="12.109375" style="145" customWidth="1"/>
    <col min="13" max="13" width="12.44140625" style="302" bestFit="1" customWidth="1"/>
    <col min="14" max="14" width="8.109375" style="145" bestFit="1" customWidth="1"/>
    <col min="15" max="15" width="10.109375" style="145" bestFit="1" customWidth="1"/>
    <col min="16" max="16" width="12" style="69" bestFit="1" customWidth="1"/>
    <col min="17" max="16384" width="8.88671875" style="69"/>
  </cols>
  <sheetData>
    <row r="1" spans="1:21">
      <c r="A1" s="95"/>
      <c r="B1" s="96"/>
      <c r="C1" s="96"/>
      <c r="D1" s="96"/>
      <c r="E1" s="96"/>
      <c r="F1" s="96"/>
      <c r="G1" s="96"/>
      <c r="H1" s="96"/>
      <c r="I1" s="96"/>
      <c r="J1" s="96"/>
      <c r="K1" s="149"/>
      <c r="L1" s="315" t="s">
        <v>0</v>
      </c>
      <c r="M1" s="279"/>
      <c r="N1" s="149"/>
      <c r="O1" s="99"/>
    </row>
    <row r="2" spans="1:21">
      <c r="A2" s="305" t="s">
        <v>140</v>
      </c>
      <c r="B2" s="1191" t="s">
        <v>326</v>
      </c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275" t="s">
        <v>215</v>
      </c>
    </row>
    <row r="3" spans="1:21">
      <c r="A3" s="70"/>
      <c r="B3" s="1194" t="s">
        <v>113</v>
      </c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316"/>
    </row>
    <row r="4" spans="1:21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  <c r="L4" s="77"/>
      <c r="M4" s="190"/>
      <c r="N4" s="77"/>
      <c r="O4" s="276"/>
      <c r="P4" s="254"/>
      <c r="Q4" s="254"/>
      <c r="R4" s="254"/>
    </row>
    <row r="5" spans="1:21">
      <c r="A5" s="95"/>
      <c r="B5" s="100"/>
      <c r="C5" s="96"/>
      <c r="D5" s="95"/>
      <c r="E5" s="100"/>
      <c r="F5" s="100"/>
      <c r="G5" s="100"/>
      <c r="H5" s="100"/>
      <c r="I5" s="100"/>
      <c r="J5" s="96"/>
      <c r="K5" s="278"/>
      <c r="L5" s="278"/>
      <c r="M5" s="279"/>
      <c r="N5" s="278"/>
      <c r="O5" s="278"/>
    </row>
    <row r="6" spans="1:21">
      <c r="A6" s="94" t="s">
        <v>165</v>
      </c>
      <c r="B6" s="106" t="s">
        <v>185</v>
      </c>
      <c r="C6" s="106" t="s">
        <v>186</v>
      </c>
      <c r="D6" s="106" t="s">
        <v>29</v>
      </c>
      <c r="E6" s="115" t="s">
        <v>240</v>
      </c>
      <c r="F6" s="115" t="s">
        <v>194</v>
      </c>
      <c r="G6" s="115" t="s">
        <v>194</v>
      </c>
      <c r="H6" s="115" t="s">
        <v>180</v>
      </c>
      <c r="I6" s="115" t="s">
        <v>243</v>
      </c>
      <c r="J6" s="107" t="s">
        <v>199</v>
      </c>
      <c r="K6" s="115" t="s">
        <v>200</v>
      </c>
      <c r="L6" s="115" t="s">
        <v>138</v>
      </c>
      <c r="M6" s="286" t="s">
        <v>244</v>
      </c>
      <c r="N6" s="283" t="s">
        <v>111</v>
      </c>
      <c r="O6" s="317" t="s">
        <v>74</v>
      </c>
    </row>
    <row r="7" spans="1:21">
      <c r="A7" s="94"/>
      <c r="B7" s="106" t="s">
        <v>128</v>
      </c>
      <c r="C7" s="106" t="s">
        <v>187</v>
      </c>
      <c r="D7" s="106" t="s">
        <v>188</v>
      </c>
      <c r="E7" s="115" t="s">
        <v>128</v>
      </c>
      <c r="F7" s="115" t="s">
        <v>241</v>
      </c>
      <c r="G7" s="115" t="s">
        <v>241</v>
      </c>
      <c r="H7" s="115" t="s">
        <v>182</v>
      </c>
      <c r="I7" s="115" t="s">
        <v>143</v>
      </c>
      <c r="J7" s="107" t="s">
        <v>202</v>
      </c>
      <c r="K7" s="115" t="s">
        <v>203</v>
      </c>
      <c r="L7" s="283"/>
      <c r="M7" s="286" t="s">
        <v>245</v>
      </c>
      <c r="N7" s="283" t="s">
        <v>30</v>
      </c>
      <c r="O7" s="317" t="s">
        <v>140</v>
      </c>
    </row>
    <row r="8" spans="1:21">
      <c r="A8" s="94"/>
      <c r="B8" s="115"/>
      <c r="C8" s="106" t="s">
        <v>128</v>
      </c>
      <c r="D8" s="106" t="s">
        <v>128</v>
      </c>
      <c r="E8" s="115"/>
      <c r="F8" s="115" t="s">
        <v>235</v>
      </c>
      <c r="G8" s="106" t="s">
        <v>242</v>
      </c>
      <c r="H8" s="115" t="s">
        <v>183</v>
      </c>
      <c r="I8" s="115" t="s">
        <v>30</v>
      </c>
      <c r="J8" s="107"/>
      <c r="K8" s="283"/>
      <c r="L8" s="285"/>
      <c r="M8" s="286" t="s">
        <v>246</v>
      </c>
      <c r="N8" s="285"/>
      <c r="O8" s="285"/>
      <c r="P8" s="254"/>
    </row>
    <row r="9" spans="1:21">
      <c r="A9" s="94" t="s">
        <v>34</v>
      </c>
      <c r="B9" s="80"/>
      <c r="C9" s="80"/>
      <c r="D9" s="112"/>
      <c r="E9" s="115"/>
      <c r="F9" s="115" t="s">
        <v>236</v>
      </c>
      <c r="G9" s="106" t="s">
        <v>175</v>
      </c>
      <c r="H9" s="115" t="s">
        <v>216</v>
      </c>
      <c r="I9" s="115"/>
      <c r="J9" s="107"/>
      <c r="K9" s="283"/>
      <c r="L9" s="285"/>
      <c r="M9" s="286" t="s">
        <v>247</v>
      </c>
      <c r="N9" s="285"/>
      <c r="O9" s="285"/>
      <c r="P9" s="254"/>
    </row>
    <row r="10" spans="1:21">
      <c r="A10" s="102"/>
      <c r="B10" s="121"/>
      <c r="C10" s="104"/>
      <c r="D10" s="318"/>
      <c r="E10" s="310"/>
      <c r="F10" s="125"/>
      <c r="G10" s="125"/>
      <c r="H10" s="123" t="s">
        <v>184</v>
      </c>
      <c r="I10" s="121"/>
      <c r="J10" s="78"/>
      <c r="K10" s="319"/>
      <c r="L10" s="320"/>
      <c r="M10" s="321"/>
      <c r="N10" s="320"/>
      <c r="O10" s="320"/>
    </row>
    <row r="11" spans="1:21">
      <c r="A11" s="80"/>
      <c r="B11" s="100"/>
      <c r="C11" s="100"/>
      <c r="D11" s="483"/>
      <c r="E11" s="100"/>
      <c r="F11" s="100"/>
      <c r="G11" s="100"/>
      <c r="H11" s="100"/>
      <c r="I11" s="100"/>
      <c r="J11" s="483"/>
      <c r="K11" s="100"/>
      <c r="L11" s="100"/>
      <c r="M11" s="798"/>
      <c r="N11" s="278"/>
      <c r="O11" s="114"/>
    </row>
    <row r="12" spans="1:21" hidden="1">
      <c r="A12" s="265" t="s">
        <v>7</v>
      </c>
      <c r="B12" s="1086">
        <v>17477.2</v>
      </c>
      <c r="C12" s="1086">
        <v>10707.699999999997</v>
      </c>
      <c r="D12" s="1087" t="s">
        <v>88</v>
      </c>
      <c r="E12" s="1086">
        <v>774.09999999999991</v>
      </c>
      <c r="F12" s="1086">
        <v>19735.600000000002</v>
      </c>
      <c r="G12" s="1086">
        <v>1247</v>
      </c>
      <c r="H12" s="1088"/>
      <c r="I12" s="1089">
        <v>423</v>
      </c>
      <c r="J12" s="1086" t="s">
        <v>88</v>
      </c>
      <c r="K12" s="1086">
        <v>11708</v>
      </c>
      <c r="L12" s="1090">
        <v>2129</v>
      </c>
      <c r="M12" s="940">
        <v>-12.8</v>
      </c>
      <c r="N12" s="1091">
        <v>6738.5999999999985</v>
      </c>
      <c r="O12" s="1086">
        <v>70927.399999999994</v>
      </c>
      <c r="P12" s="254"/>
      <c r="Q12" s="254"/>
      <c r="R12" s="254"/>
    </row>
    <row r="13" spans="1:21" s="88" customFormat="1" hidden="1">
      <c r="A13" s="265" t="s">
        <v>8</v>
      </c>
      <c r="B13" s="1086">
        <v>24023.566666666669</v>
      </c>
      <c r="C13" s="1086">
        <v>15337.8</v>
      </c>
      <c r="D13" s="1087" t="s">
        <v>88</v>
      </c>
      <c r="E13" s="1086">
        <v>2508.6666666666665</v>
      </c>
      <c r="F13" s="1086">
        <v>20111.7</v>
      </c>
      <c r="G13" s="1086">
        <v>428</v>
      </c>
      <c r="H13" s="1092"/>
      <c r="I13" s="1089">
        <v>210.4</v>
      </c>
      <c r="J13" s="1086" t="s">
        <v>88</v>
      </c>
      <c r="K13" s="1049">
        <v>15616.799999999997</v>
      </c>
      <c r="L13" s="1046">
        <v>3200.0000000000009</v>
      </c>
      <c r="M13" s="942">
        <v>-7.9999999999999991</v>
      </c>
      <c r="N13" s="1093">
        <v>4660.4666666666662</v>
      </c>
      <c r="O13" s="1049">
        <v>86089.4</v>
      </c>
      <c r="P13" s="254"/>
      <c r="Q13" s="254"/>
      <c r="R13" s="254"/>
      <c r="T13" s="69"/>
      <c r="U13" s="69"/>
    </row>
    <row r="14" spans="1:21" s="88" customFormat="1" hidden="1">
      <c r="A14" s="265" t="s">
        <v>10</v>
      </c>
      <c r="B14" s="1086">
        <v>20835.7</v>
      </c>
      <c r="C14" s="1086">
        <v>43326.7</v>
      </c>
      <c r="D14" s="1087">
        <v>6849.1</v>
      </c>
      <c r="E14" s="1086">
        <v>1939.2</v>
      </c>
      <c r="F14" s="1086">
        <v>12709.8</v>
      </c>
      <c r="G14" s="1086">
        <v>1265.8</v>
      </c>
      <c r="H14" s="1092"/>
      <c r="I14" s="1089">
        <v>460</v>
      </c>
      <c r="J14" s="1086" t="s">
        <v>88</v>
      </c>
      <c r="K14" s="1049">
        <v>26146.1</v>
      </c>
      <c r="L14" s="1046">
        <v>5269.2</v>
      </c>
      <c r="M14" s="942">
        <v>32</v>
      </c>
      <c r="N14" s="1093">
        <v>21870.900000000005</v>
      </c>
      <c r="O14" s="1049">
        <v>140704.5</v>
      </c>
      <c r="P14" s="254"/>
      <c r="Q14" s="254"/>
      <c r="R14" s="254"/>
      <c r="T14" s="69"/>
      <c r="U14" s="69"/>
    </row>
    <row r="15" spans="1:21">
      <c r="A15" s="265" t="s">
        <v>11</v>
      </c>
      <c r="B15" s="1043">
        <v>26715.3</v>
      </c>
      <c r="C15" s="1043">
        <v>50051.899999999994</v>
      </c>
      <c r="D15" s="1087" t="s">
        <v>88</v>
      </c>
      <c r="E15" s="1043">
        <v>2468.8999999999996</v>
      </c>
      <c r="F15" s="1043">
        <v>10672.1</v>
      </c>
      <c r="G15" s="1043">
        <v>1718.7</v>
      </c>
      <c r="H15" s="1092"/>
      <c r="I15" s="1094">
        <v>378.2</v>
      </c>
      <c r="J15" s="1043">
        <v>97.2</v>
      </c>
      <c r="K15" s="1049">
        <v>31664.9</v>
      </c>
      <c r="L15" s="1046">
        <v>8468.6</v>
      </c>
      <c r="M15" s="942">
        <v>3.3999999999999915</v>
      </c>
      <c r="N15" s="1093">
        <v>14222.500000000002</v>
      </c>
      <c r="O15" s="1049">
        <v>146461.69999999998</v>
      </c>
      <c r="P15" s="254"/>
      <c r="Q15" s="254"/>
      <c r="R15" s="254"/>
    </row>
    <row r="16" spans="1:21">
      <c r="A16" s="265" t="s">
        <v>13</v>
      </c>
      <c r="B16" s="1041">
        <v>37258.599999999991</v>
      </c>
      <c r="C16" s="1041">
        <v>59038.099999999984</v>
      </c>
      <c r="D16" s="1087" t="s">
        <v>88</v>
      </c>
      <c r="E16" s="1041">
        <v>3260</v>
      </c>
      <c r="F16" s="1043">
        <v>15591.699999999999</v>
      </c>
      <c r="G16" s="1043">
        <v>2765.8</v>
      </c>
      <c r="H16" s="1092"/>
      <c r="I16" s="1044">
        <v>590.1</v>
      </c>
      <c r="J16" s="1043">
        <v>48.6</v>
      </c>
      <c r="K16" s="1095">
        <v>39132.200000000004</v>
      </c>
      <c r="L16" s="1046">
        <v>9426.1999999999971</v>
      </c>
      <c r="M16" s="1047">
        <v>519</v>
      </c>
      <c r="N16" s="1096">
        <v>13272.8</v>
      </c>
      <c r="O16" s="1049">
        <v>180903.09999999998</v>
      </c>
      <c r="P16" s="254"/>
      <c r="Q16" s="254"/>
      <c r="R16" s="254"/>
    </row>
    <row r="17" spans="1:18">
      <c r="A17" s="265" t="s">
        <v>14</v>
      </c>
      <c r="B17" s="1041">
        <v>29253.600000000002</v>
      </c>
      <c r="C17" s="1041">
        <v>74216.599999999991</v>
      </c>
      <c r="D17" s="1087" t="s">
        <v>88</v>
      </c>
      <c r="E17" s="1042">
        <v>2161.1</v>
      </c>
      <c r="F17" s="1043">
        <v>15601.8</v>
      </c>
      <c r="G17" s="1043">
        <v>2163.6999999999998</v>
      </c>
      <c r="H17" s="1092"/>
      <c r="I17" s="1044">
        <v>257.2</v>
      </c>
      <c r="J17" s="1086" t="s">
        <v>88</v>
      </c>
      <c r="K17" s="1095">
        <v>47399.6</v>
      </c>
      <c r="L17" s="1046">
        <v>11709.299999999997</v>
      </c>
      <c r="M17" s="1047">
        <v>-71.400000000000006</v>
      </c>
      <c r="N17" s="1048">
        <v>12224.6</v>
      </c>
      <c r="O17" s="1049">
        <v>194916.1</v>
      </c>
      <c r="P17" s="254"/>
      <c r="Q17" s="254"/>
      <c r="R17" s="254"/>
    </row>
    <row r="18" spans="1:18">
      <c r="A18" s="265" t="s">
        <v>15</v>
      </c>
      <c r="B18" s="1041">
        <v>76525.799999999988</v>
      </c>
      <c r="C18" s="1041">
        <v>38875.399999999994</v>
      </c>
      <c r="D18" s="1087" t="s">
        <v>88</v>
      </c>
      <c r="E18" s="1042">
        <v>4589.6000000000004</v>
      </c>
      <c r="F18" s="1043">
        <v>13345.800000000001</v>
      </c>
      <c r="G18" s="1043">
        <v>1789.9</v>
      </c>
      <c r="H18" s="1092"/>
      <c r="I18" s="1044">
        <v>622.29999999999995</v>
      </c>
      <c r="J18" s="1086" t="s">
        <v>88</v>
      </c>
      <c r="K18" s="1049">
        <v>53129.600000000006</v>
      </c>
      <c r="L18" s="1046">
        <v>15030.800000000003</v>
      </c>
      <c r="M18" s="1047">
        <v>31.9</v>
      </c>
      <c r="N18" s="1048">
        <v>22702.599999999991</v>
      </c>
      <c r="O18" s="1049">
        <v>226643.69999999995</v>
      </c>
      <c r="P18" s="254"/>
      <c r="Q18" s="254"/>
      <c r="R18" s="254"/>
    </row>
    <row r="19" spans="1:18">
      <c r="A19" s="265" t="s">
        <v>669</v>
      </c>
      <c r="B19" s="1041">
        <v>95830.5</v>
      </c>
      <c r="C19" s="1041">
        <v>53007.80000000001</v>
      </c>
      <c r="D19" s="1087" t="s">
        <v>88</v>
      </c>
      <c r="E19" s="1042">
        <v>4537.7</v>
      </c>
      <c r="F19" s="1043">
        <v>21115.300000000003</v>
      </c>
      <c r="G19" s="1043">
        <v>3149</v>
      </c>
      <c r="H19" s="1092"/>
      <c r="I19" s="1096">
        <v>805.1</v>
      </c>
      <c r="J19" s="1086" t="s">
        <v>88</v>
      </c>
      <c r="K19" s="1049">
        <v>63998</v>
      </c>
      <c r="L19" s="1046">
        <v>15875.800000000003</v>
      </c>
      <c r="M19" s="1047">
        <v>67.2</v>
      </c>
      <c r="N19" s="1048">
        <v>26472.399999999998</v>
      </c>
      <c r="O19" s="1049">
        <v>284858.8000000001</v>
      </c>
      <c r="P19" s="254"/>
      <c r="Q19" s="254"/>
      <c r="R19" s="254"/>
    </row>
    <row r="20" spans="1:18" s="1051" customFormat="1" hidden="1">
      <c r="A20" s="1076"/>
      <c r="B20" s="1041"/>
      <c r="C20" s="1041"/>
      <c r="D20" s="1087"/>
      <c r="E20" s="1042"/>
      <c r="F20" s="1043"/>
      <c r="G20" s="1043"/>
      <c r="H20" s="1092"/>
      <c r="I20" s="1096"/>
      <c r="J20" s="1086"/>
      <c r="K20" s="1049"/>
      <c r="L20" s="1046"/>
      <c r="M20" s="1047"/>
      <c r="N20" s="1048"/>
      <c r="O20" s="1049"/>
      <c r="P20" s="1055"/>
      <c r="Q20" s="1055"/>
      <c r="R20" s="1055"/>
    </row>
    <row r="21" spans="1:18" hidden="1">
      <c r="A21" s="266" t="s">
        <v>61</v>
      </c>
      <c r="B21" s="1043">
        <v>28095.900000000005</v>
      </c>
      <c r="C21" s="1041">
        <v>52650.35</v>
      </c>
      <c r="D21" s="1087" t="s">
        <v>88</v>
      </c>
      <c r="E21" s="1041">
        <v>2478.0749999999998</v>
      </c>
      <c r="F21" s="1043">
        <v>11275.5</v>
      </c>
      <c r="G21" s="1043">
        <v>1596.625</v>
      </c>
      <c r="H21" s="1092"/>
      <c r="I21" s="1044">
        <v>335.7</v>
      </c>
      <c r="J21" s="1043">
        <v>97.15</v>
      </c>
      <c r="K21" s="1095">
        <v>34734.600000000006</v>
      </c>
      <c r="L21" s="1046">
        <v>7085.9249999999993</v>
      </c>
      <c r="M21" s="1047">
        <v>-62.350000000000023</v>
      </c>
      <c r="N21" s="1096">
        <v>13312.25</v>
      </c>
      <c r="O21" s="1049">
        <v>151599.72499999998</v>
      </c>
      <c r="P21" s="254"/>
      <c r="Q21" s="254"/>
      <c r="R21" s="254"/>
    </row>
    <row r="22" spans="1:18" hidden="1">
      <c r="A22" s="266" t="s">
        <v>44</v>
      </c>
      <c r="B22" s="1041">
        <v>29476.5</v>
      </c>
      <c r="C22" s="1041">
        <v>55248.800000000003</v>
      </c>
      <c r="D22" s="1087" t="s">
        <v>88</v>
      </c>
      <c r="E22" s="1041">
        <v>2487.25</v>
      </c>
      <c r="F22" s="1043">
        <v>11878.900000000001</v>
      </c>
      <c r="G22" s="1043">
        <v>1474.55</v>
      </c>
      <c r="H22" s="1092"/>
      <c r="I22" s="1044">
        <v>293.2</v>
      </c>
      <c r="J22" s="1043">
        <v>97.1</v>
      </c>
      <c r="K22" s="1095">
        <v>37804.300000000003</v>
      </c>
      <c r="L22" s="1046">
        <v>5703.2500000000009</v>
      </c>
      <c r="M22" s="1047">
        <v>-128.1</v>
      </c>
      <c r="N22" s="1096">
        <v>12401.999999999998</v>
      </c>
      <c r="O22" s="1049">
        <v>156737.75000000003</v>
      </c>
      <c r="P22" s="254"/>
      <c r="Q22" s="254"/>
      <c r="R22" s="254"/>
    </row>
    <row r="23" spans="1:18" hidden="1">
      <c r="A23" s="266" t="s">
        <v>636</v>
      </c>
      <c r="B23" s="1041">
        <v>32537.952777777777</v>
      </c>
      <c r="C23" s="1041">
        <v>57473.061111111114</v>
      </c>
      <c r="D23" s="1087" t="s">
        <v>88</v>
      </c>
      <c r="E23" s="1041">
        <v>2812.5555555555557</v>
      </c>
      <c r="F23" s="1043">
        <v>13281.56388888889</v>
      </c>
      <c r="G23" s="1043">
        <v>2120.1750000000002</v>
      </c>
      <c r="H23" s="1092"/>
      <c r="I23" s="1044">
        <v>441.65</v>
      </c>
      <c r="J23" s="1043">
        <v>72.849999999999994</v>
      </c>
      <c r="K23" s="1095">
        <v>38415.569444444445</v>
      </c>
      <c r="L23" s="1046">
        <v>7381.6694444444456</v>
      </c>
      <c r="M23" s="1047">
        <v>145.44999999999996</v>
      </c>
      <c r="N23" s="1096">
        <v>12825.219444444445</v>
      </c>
      <c r="O23" s="1049">
        <v>167507.71666666667</v>
      </c>
      <c r="P23" s="254"/>
      <c r="Q23" s="254"/>
      <c r="R23" s="254"/>
    </row>
    <row r="24" spans="1:18" hidden="1">
      <c r="A24" s="266" t="s">
        <v>667</v>
      </c>
      <c r="B24" s="1041">
        <v>37258.599999999991</v>
      </c>
      <c r="C24" s="1041">
        <v>59038.099999999984</v>
      </c>
      <c r="D24" s="1087" t="s">
        <v>88</v>
      </c>
      <c r="E24" s="1041">
        <v>3260</v>
      </c>
      <c r="F24" s="1043">
        <v>15591.699999999999</v>
      </c>
      <c r="G24" s="1043">
        <v>2765.8</v>
      </c>
      <c r="H24" s="1092"/>
      <c r="I24" s="1044">
        <v>590.1</v>
      </c>
      <c r="J24" s="1043">
        <v>48.6</v>
      </c>
      <c r="K24" s="1095">
        <v>39132.200000000004</v>
      </c>
      <c r="L24" s="1046">
        <v>9426.1999999999971</v>
      </c>
      <c r="M24" s="1047">
        <v>519</v>
      </c>
      <c r="N24" s="1096">
        <v>13272.8</v>
      </c>
      <c r="O24" s="1049">
        <v>180903.09999999998</v>
      </c>
      <c r="P24" s="254"/>
      <c r="Q24" s="254"/>
      <c r="R24" s="254"/>
    </row>
    <row r="25" spans="1:18">
      <c r="A25" s="266"/>
      <c r="B25" s="1041"/>
      <c r="C25" s="1041"/>
      <c r="D25" s="1087"/>
      <c r="E25" s="1041"/>
      <c r="F25" s="1043"/>
      <c r="G25" s="1043"/>
      <c r="H25" s="1092"/>
      <c r="I25" s="1044"/>
      <c r="J25" s="1043"/>
      <c r="K25" s="1095"/>
      <c r="L25" s="1046"/>
      <c r="M25" s="1047"/>
      <c r="N25" s="1096"/>
      <c r="O25" s="1049"/>
      <c r="P25" s="254"/>
      <c r="Q25" s="254"/>
      <c r="R25" s="254"/>
    </row>
    <row r="26" spans="1:18">
      <c r="A26" s="266" t="s">
        <v>53</v>
      </c>
      <c r="B26" s="1041">
        <v>33178.25</v>
      </c>
      <c r="C26" s="1041">
        <v>63522.5</v>
      </c>
      <c r="D26" s="1087" t="s">
        <v>88</v>
      </c>
      <c r="E26" s="1041">
        <v>3537.35</v>
      </c>
      <c r="F26" s="1043">
        <v>14376.349999999999</v>
      </c>
      <c r="G26" s="1043">
        <v>1871.1</v>
      </c>
      <c r="H26" s="1092"/>
      <c r="I26" s="1044">
        <v>452.9</v>
      </c>
      <c r="J26" s="1043">
        <v>24.300000000000004</v>
      </c>
      <c r="K26" s="1095">
        <v>40620.35</v>
      </c>
      <c r="L26" s="1046">
        <v>7933.6000000000022</v>
      </c>
      <c r="M26" s="1047">
        <v>460.85</v>
      </c>
      <c r="N26" s="1096">
        <v>13668.05</v>
      </c>
      <c r="O26" s="1049">
        <v>179645.6</v>
      </c>
      <c r="P26" s="254"/>
      <c r="Q26" s="254"/>
      <c r="R26" s="254"/>
    </row>
    <row r="27" spans="1:18">
      <c r="A27" s="266" t="s">
        <v>44</v>
      </c>
      <c r="B27" s="1041">
        <v>29097.9</v>
      </c>
      <c r="C27" s="1041">
        <v>68077.699999999983</v>
      </c>
      <c r="D27" s="1087" t="s">
        <v>88</v>
      </c>
      <c r="E27" s="1041">
        <v>3814.7</v>
      </c>
      <c r="F27" s="1043">
        <v>13359.5</v>
      </c>
      <c r="G27" s="1043">
        <v>2170.5</v>
      </c>
      <c r="H27" s="1092"/>
      <c r="I27" s="1044">
        <v>315.7</v>
      </c>
      <c r="J27" s="1086" t="s">
        <v>88</v>
      </c>
      <c r="K27" s="1095">
        <v>42177.8</v>
      </c>
      <c r="L27" s="1046">
        <v>6400</v>
      </c>
      <c r="M27" s="1047">
        <v>402.7</v>
      </c>
      <c r="N27" s="1096">
        <v>14061.5</v>
      </c>
      <c r="O27" s="1049">
        <v>179878</v>
      </c>
      <c r="P27" s="254"/>
      <c r="Q27" s="254"/>
      <c r="R27" s="254"/>
    </row>
    <row r="28" spans="1:18">
      <c r="A28" s="266" t="s">
        <v>47</v>
      </c>
      <c r="B28" s="1041">
        <v>29170.111111111109</v>
      </c>
      <c r="C28" s="1041">
        <v>71153.775000000009</v>
      </c>
      <c r="D28" s="1087" t="s">
        <v>88</v>
      </c>
      <c r="E28" s="1041">
        <v>3003.8583333333336</v>
      </c>
      <c r="F28" s="1043">
        <v>14514.761111111111</v>
      </c>
      <c r="G28" s="1043">
        <v>2167.1000000000004</v>
      </c>
      <c r="H28" s="1092"/>
      <c r="I28" s="1044">
        <v>299.39444444444445</v>
      </c>
      <c r="J28" s="1086" t="s">
        <v>88</v>
      </c>
      <c r="K28" s="1095">
        <v>44807.186111111107</v>
      </c>
      <c r="L28" s="1046">
        <v>9035.4555555555544</v>
      </c>
      <c r="M28" s="1047">
        <v>169.63611111111106</v>
      </c>
      <c r="N28" s="1096">
        <v>13214.147222222224</v>
      </c>
      <c r="O28" s="1049">
        <v>187535.42500000005</v>
      </c>
      <c r="P28" s="254"/>
      <c r="Q28" s="254"/>
      <c r="R28" s="254"/>
    </row>
    <row r="29" spans="1:18">
      <c r="A29" s="266" t="s">
        <v>50</v>
      </c>
      <c r="B29" s="1041">
        <v>29253.600000000002</v>
      </c>
      <c r="C29" s="1041">
        <v>74216.599999999991</v>
      </c>
      <c r="D29" s="1087" t="s">
        <v>88</v>
      </c>
      <c r="E29" s="1042">
        <v>2161.1</v>
      </c>
      <c r="F29" s="1043">
        <v>15601.8</v>
      </c>
      <c r="G29" s="1043">
        <v>2163.6999999999998</v>
      </c>
      <c r="H29" s="1092"/>
      <c r="I29" s="1044">
        <v>257.2</v>
      </c>
      <c r="J29" s="1086" t="s">
        <v>88</v>
      </c>
      <c r="K29" s="1095">
        <v>47399.6</v>
      </c>
      <c r="L29" s="1046">
        <v>11709.299999999997</v>
      </c>
      <c r="M29" s="1047">
        <v>-71.400000000000006</v>
      </c>
      <c r="N29" s="1048">
        <v>12224.6</v>
      </c>
      <c r="O29" s="1049">
        <v>194916.1</v>
      </c>
      <c r="P29" s="254"/>
      <c r="Q29" s="254"/>
      <c r="R29" s="254"/>
    </row>
    <row r="30" spans="1:18">
      <c r="A30" s="266"/>
      <c r="B30" s="1041"/>
      <c r="C30" s="1041"/>
      <c r="D30" s="1048"/>
      <c r="E30" s="1042"/>
      <c r="F30" s="1043"/>
      <c r="G30" s="1043"/>
      <c r="H30" s="1043"/>
      <c r="I30" s="1044"/>
      <c r="J30" s="1043"/>
      <c r="K30" s="1095"/>
      <c r="L30" s="1046"/>
      <c r="M30" s="1047"/>
      <c r="N30" s="1048"/>
      <c r="O30" s="1049"/>
      <c r="P30" s="254"/>
      <c r="Q30" s="254"/>
      <c r="R30" s="254"/>
    </row>
    <row r="31" spans="1:18">
      <c r="A31" s="266" t="s">
        <v>65</v>
      </c>
      <c r="B31" s="1041">
        <v>58269.950000000004</v>
      </c>
      <c r="C31" s="1041">
        <v>53882.299999999996</v>
      </c>
      <c r="D31" s="1087" t="s">
        <v>88</v>
      </c>
      <c r="E31" s="1042">
        <v>3520.5250000000001</v>
      </c>
      <c r="F31" s="1043">
        <v>14999.225</v>
      </c>
      <c r="G31" s="1043">
        <v>2076.0500000000002</v>
      </c>
      <c r="H31" s="1092"/>
      <c r="I31" s="1044">
        <v>712.7</v>
      </c>
      <c r="J31" s="1086" t="s">
        <v>88</v>
      </c>
      <c r="K31" s="1095">
        <v>51528.624999999993</v>
      </c>
      <c r="L31" s="1046">
        <v>11285.349999999999</v>
      </c>
      <c r="M31" s="1047">
        <v>-34.6</v>
      </c>
      <c r="N31" s="1048">
        <v>16090.15</v>
      </c>
      <c r="O31" s="1049">
        <v>212330.27499999999</v>
      </c>
      <c r="P31" s="254"/>
      <c r="Q31" s="254"/>
      <c r="R31" s="254"/>
    </row>
    <row r="32" spans="1:18">
      <c r="A32" s="266" t="s">
        <v>44</v>
      </c>
      <c r="B32" s="1041">
        <v>87286.3</v>
      </c>
      <c r="C32" s="1041">
        <v>33548.000000000007</v>
      </c>
      <c r="D32" s="1087" t="s">
        <v>88</v>
      </c>
      <c r="E32" s="1042">
        <v>4879.95</v>
      </c>
      <c r="F32" s="1043">
        <v>14396.65</v>
      </c>
      <c r="G32" s="1043">
        <v>1988.4</v>
      </c>
      <c r="H32" s="1092"/>
      <c r="I32" s="1044">
        <v>1168.2</v>
      </c>
      <c r="J32" s="1086" t="s">
        <v>88</v>
      </c>
      <c r="K32" s="1049">
        <v>55657.65</v>
      </c>
      <c r="L32" s="1046">
        <v>10861.400000000001</v>
      </c>
      <c r="M32" s="1047">
        <v>2.1999999999999957</v>
      </c>
      <c r="N32" s="1048">
        <v>19955.699999999997</v>
      </c>
      <c r="O32" s="1049">
        <v>229744.45</v>
      </c>
      <c r="Q32" s="254"/>
      <c r="R32" s="254"/>
    </row>
    <row r="33" spans="1:21">
      <c r="A33" s="266" t="s">
        <v>47</v>
      </c>
      <c r="B33" s="1041">
        <v>69680</v>
      </c>
      <c r="C33" s="1041">
        <v>36208.800000000003</v>
      </c>
      <c r="D33" s="1087" t="s">
        <v>88</v>
      </c>
      <c r="E33" s="1042">
        <v>4748.4250000000002</v>
      </c>
      <c r="F33" s="1043">
        <v>14526.675000000001</v>
      </c>
      <c r="G33" s="1043">
        <v>2017.0500000000002</v>
      </c>
      <c r="H33" s="1092"/>
      <c r="I33" s="1044">
        <v>907.95</v>
      </c>
      <c r="J33" s="1086" t="s">
        <v>88</v>
      </c>
      <c r="K33" s="1049">
        <v>52761.025000000009</v>
      </c>
      <c r="L33" s="1046">
        <v>14717.800000000003</v>
      </c>
      <c r="M33" s="1047">
        <v>-303.10000000000002</v>
      </c>
      <c r="N33" s="1048">
        <v>17996.5</v>
      </c>
      <c r="O33" s="1049">
        <v>213261.12500000003</v>
      </c>
      <c r="Q33" s="254"/>
      <c r="R33" s="254"/>
    </row>
    <row r="34" spans="1:21">
      <c r="A34" s="266" t="s">
        <v>50</v>
      </c>
      <c r="B34" s="1041">
        <v>76525.799999999988</v>
      </c>
      <c r="C34" s="1041">
        <v>38875.399999999994</v>
      </c>
      <c r="D34" s="1087" t="s">
        <v>88</v>
      </c>
      <c r="E34" s="1042">
        <v>4589.6000000000004</v>
      </c>
      <c r="F34" s="1043">
        <v>13345.800000000001</v>
      </c>
      <c r="G34" s="1043">
        <v>1789.9</v>
      </c>
      <c r="H34" s="1092"/>
      <c r="I34" s="1044">
        <v>622.29999999999995</v>
      </c>
      <c r="J34" s="1086" t="s">
        <v>88</v>
      </c>
      <c r="K34" s="1049">
        <v>53129.600000000006</v>
      </c>
      <c r="L34" s="1046">
        <v>15030.800000000003</v>
      </c>
      <c r="M34" s="1047">
        <v>31.9</v>
      </c>
      <c r="N34" s="1048">
        <v>22702.599999999991</v>
      </c>
      <c r="O34" s="1049">
        <v>226643.69999999995</v>
      </c>
      <c r="Q34" s="254"/>
      <c r="R34" s="254"/>
    </row>
    <row r="35" spans="1:21">
      <c r="A35" s="266"/>
      <c r="B35" s="1041"/>
      <c r="C35" s="1041"/>
      <c r="D35" s="1048"/>
      <c r="E35" s="1042"/>
      <c r="F35" s="1043"/>
      <c r="G35" s="1043"/>
      <c r="H35" s="1043"/>
      <c r="I35" s="1044"/>
      <c r="J35" s="1043"/>
      <c r="K35" s="1049"/>
      <c r="L35" s="1046"/>
      <c r="M35" s="1047"/>
      <c r="N35" s="1048"/>
      <c r="O35" s="1049"/>
      <c r="Q35" s="254"/>
      <c r="R35" s="254"/>
    </row>
    <row r="36" spans="1:21">
      <c r="A36" s="266" t="s">
        <v>66</v>
      </c>
      <c r="B36" s="1041">
        <v>87359.15</v>
      </c>
      <c r="C36" s="1041">
        <v>44303.35</v>
      </c>
      <c r="D36" s="1087" t="s">
        <v>88</v>
      </c>
      <c r="E36" s="1042">
        <v>3112.9499999999994</v>
      </c>
      <c r="F36" s="1043">
        <v>12254.6</v>
      </c>
      <c r="G36" s="1043">
        <v>2894.8500000000004</v>
      </c>
      <c r="H36" s="1092"/>
      <c r="I36" s="1044">
        <v>1263.0500000000002</v>
      </c>
      <c r="J36" s="1086" t="s">
        <v>88</v>
      </c>
      <c r="K36" s="1049">
        <v>60728.949999999983</v>
      </c>
      <c r="L36" s="1046">
        <v>8854</v>
      </c>
      <c r="M36" s="1047">
        <v>-538.29999999999995</v>
      </c>
      <c r="N36" s="1048">
        <v>23227.850000000002</v>
      </c>
      <c r="O36" s="1049">
        <v>243460.45</v>
      </c>
      <c r="Q36" s="254"/>
      <c r="R36" s="254"/>
    </row>
    <row r="37" spans="1:21">
      <c r="A37" s="113" t="s">
        <v>613</v>
      </c>
      <c r="B37" s="1041">
        <v>129884.00000000001</v>
      </c>
      <c r="C37" s="1041">
        <v>46633.1</v>
      </c>
      <c r="D37" s="1087" t="s">
        <v>88</v>
      </c>
      <c r="E37" s="1042">
        <v>25006.699999999997</v>
      </c>
      <c r="F37" s="1043">
        <v>16830.100000000002</v>
      </c>
      <c r="G37" s="1043">
        <v>4105.5</v>
      </c>
      <c r="H37" s="1092"/>
      <c r="I37" s="1044">
        <v>2261.6</v>
      </c>
      <c r="J37" s="1086" t="s">
        <v>88</v>
      </c>
      <c r="K37" s="1049">
        <v>65065.700000000019</v>
      </c>
      <c r="L37" s="1046">
        <v>8348.3000000000011</v>
      </c>
      <c r="M37" s="1047">
        <v>-491.29999999999995</v>
      </c>
      <c r="N37" s="1048">
        <v>34669</v>
      </c>
      <c r="O37" s="1049">
        <v>332312.7</v>
      </c>
      <c r="P37" s="261"/>
      <c r="Q37" s="254"/>
      <c r="R37" s="322"/>
    </row>
    <row r="38" spans="1:21">
      <c r="A38" s="113" t="s">
        <v>626</v>
      </c>
      <c r="B38" s="1041">
        <v>89818.550000000017</v>
      </c>
      <c r="C38" s="1041">
        <v>48789</v>
      </c>
      <c r="D38" s="1087" t="s">
        <v>88</v>
      </c>
      <c r="E38" s="1042">
        <v>4102.2999999999993</v>
      </c>
      <c r="F38" s="1043">
        <v>18805.100000000002</v>
      </c>
      <c r="G38" s="1043">
        <v>3389.05</v>
      </c>
      <c r="H38" s="1092"/>
      <c r="I38" s="1096">
        <v>1309.8500000000001</v>
      </c>
      <c r="J38" s="1086" t="s">
        <v>88</v>
      </c>
      <c r="K38" s="1049">
        <v>62837.499999999985</v>
      </c>
      <c r="L38" s="1046">
        <v>14036.8</v>
      </c>
      <c r="M38" s="1047">
        <v>-34.5</v>
      </c>
      <c r="N38" s="1048">
        <v>30847.1</v>
      </c>
      <c r="O38" s="1049">
        <v>273900.74999999994</v>
      </c>
      <c r="P38" s="264"/>
      <c r="Q38" s="254"/>
      <c r="R38" s="322"/>
    </row>
    <row r="39" spans="1:21">
      <c r="A39" s="113" t="s">
        <v>662</v>
      </c>
      <c r="B39" s="1041">
        <v>95830.5</v>
      </c>
      <c r="C39" s="1041">
        <v>53007.80000000001</v>
      </c>
      <c r="D39" s="1087" t="s">
        <v>88</v>
      </c>
      <c r="E39" s="1042">
        <v>4537.7</v>
      </c>
      <c r="F39" s="1043">
        <v>21115.300000000003</v>
      </c>
      <c r="G39" s="1043">
        <v>3149</v>
      </c>
      <c r="H39" s="1092"/>
      <c r="I39" s="1096">
        <v>805.1</v>
      </c>
      <c r="J39" s="1086" t="s">
        <v>88</v>
      </c>
      <c r="K39" s="1049">
        <v>63998</v>
      </c>
      <c r="L39" s="1046">
        <v>15875.800000000003</v>
      </c>
      <c r="M39" s="1047">
        <v>67.2</v>
      </c>
      <c r="N39" s="1048">
        <v>26472.399999999998</v>
      </c>
      <c r="O39" s="1049">
        <v>284858.8000000001</v>
      </c>
      <c r="P39" s="264"/>
      <c r="Q39" s="254"/>
      <c r="R39" s="322"/>
    </row>
    <row r="40" spans="1:21">
      <c r="A40" s="113"/>
      <c r="B40" s="1041"/>
      <c r="C40" s="1041"/>
      <c r="D40" s="1087"/>
      <c r="E40" s="1042"/>
      <c r="F40" s="1043"/>
      <c r="G40" s="1043"/>
      <c r="H40" s="1092"/>
      <c r="I40" s="1096"/>
      <c r="J40" s="1086"/>
      <c r="K40" s="1049"/>
      <c r="L40" s="1046"/>
      <c r="M40" s="1047"/>
      <c r="N40" s="1048"/>
      <c r="O40" s="1049"/>
      <c r="P40" s="264"/>
      <c r="Q40" s="254"/>
      <c r="R40" s="322"/>
    </row>
    <row r="41" spans="1:21">
      <c r="A41" s="113" t="s">
        <v>684</v>
      </c>
      <c r="B41" s="1041">
        <v>115279.00000000001</v>
      </c>
      <c r="C41" s="1041">
        <v>58424.899999999994</v>
      </c>
      <c r="D41" s="1087" t="s">
        <v>88</v>
      </c>
      <c r="E41" s="1042">
        <v>5507.5</v>
      </c>
      <c r="F41" s="1043">
        <v>19288.8</v>
      </c>
      <c r="G41" s="1043">
        <v>3077.7000000000003</v>
      </c>
      <c r="H41" s="1092"/>
      <c r="I41" s="1096">
        <v>390.8</v>
      </c>
      <c r="J41" s="1086" t="s">
        <v>88</v>
      </c>
      <c r="K41" s="1049">
        <v>67505.899999999994</v>
      </c>
      <c r="L41" s="1046">
        <v>13386.600000000004</v>
      </c>
      <c r="M41" s="1047">
        <v>-976.19999999999993</v>
      </c>
      <c r="N41" s="1048">
        <v>30357.999999999993</v>
      </c>
      <c r="O41" s="1049">
        <v>312242.99999999994</v>
      </c>
      <c r="P41" s="264"/>
      <c r="Q41" s="254"/>
      <c r="R41" s="322"/>
    </row>
    <row r="42" spans="1:21" s="1051" customFormat="1">
      <c r="A42" s="1059" t="s">
        <v>715</v>
      </c>
      <c r="B42" s="1041">
        <v>115279.00000000001</v>
      </c>
      <c r="C42" s="1041">
        <v>58424.899999999994</v>
      </c>
      <c r="D42" s="1087" t="s">
        <v>88</v>
      </c>
      <c r="E42" s="1042">
        <v>5507.5</v>
      </c>
      <c r="F42" s="1043">
        <v>19288.8</v>
      </c>
      <c r="G42" s="1043">
        <v>3077.7000000000003</v>
      </c>
      <c r="H42" s="1092"/>
      <c r="I42" s="1096">
        <v>390.8</v>
      </c>
      <c r="J42" s="1086" t="s">
        <v>88</v>
      </c>
      <c r="K42" s="1049">
        <v>67505.899999999994</v>
      </c>
      <c r="L42" s="1046">
        <v>13386.600000000004</v>
      </c>
      <c r="M42" s="1047">
        <v>-976.19999999999993</v>
      </c>
      <c r="N42" s="1048">
        <v>30357.999999999993</v>
      </c>
      <c r="O42" s="1049">
        <v>312242.99999999994</v>
      </c>
      <c r="P42" s="1069"/>
      <c r="Q42" s="1055"/>
      <c r="R42" s="322"/>
    </row>
    <row r="43" spans="1:21">
      <c r="A43" s="266"/>
      <c r="B43" s="1041"/>
      <c r="C43" s="1041"/>
      <c r="D43" s="1048"/>
      <c r="E43" s="1042"/>
      <c r="F43" s="1043"/>
      <c r="G43" s="1043"/>
      <c r="H43" s="1043"/>
      <c r="I43" s="1044"/>
      <c r="J43" s="1043"/>
      <c r="K43" s="1049"/>
      <c r="L43" s="1046"/>
      <c r="M43" s="1047"/>
      <c r="N43" s="1048"/>
      <c r="O43" s="1049"/>
      <c r="P43" s="254"/>
      <c r="Q43" s="254"/>
      <c r="R43" s="254"/>
    </row>
    <row r="44" spans="1:21" s="88" customFormat="1" hidden="1">
      <c r="A44" s="144" t="s">
        <v>234</v>
      </c>
      <c r="B44" s="1086">
        <v>17477.2</v>
      </c>
      <c r="C44" s="1086">
        <v>10707.699999999997</v>
      </c>
      <c r="D44" s="1087" t="s">
        <v>88</v>
      </c>
      <c r="E44" s="1086">
        <v>774.09999999999991</v>
      </c>
      <c r="F44" s="1086">
        <v>19735.600000000002</v>
      </c>
      <c r="G44" s="1086">
        <v>1247</v>
      </c>
      <c r="H44" s="1088"/>
      <c r="I44" s="1089">
        <v>423</v>
      </c>
      <c r="J44" s="1086" t="s">
        <v>88</v>
      </c>
      <c r="K44" s="1086">
        <v>11708</v>
      </c>
      <c r="L44" s="1090">
        <v>2129</v>
      </c>
      <c r="M44" s="940">
        <v>-12.8</v>
      </c>
      <c r="N44" s="1091">
        <v>6738.5999999999985</v>
      </c>
      <c r="O44" s="1086">
        <f t="shared" ref="O44:O57" si="0">SUM(B44:N44)</f>
        <v>70927.399999999994</v>
      </c>
      <c r="P44" s="298"/>
      <c r="Q44" s="298"/>
      <c r="R44" s="298"/>
    </row>
    <row r="45" spans="1:21" s="88" customFormat="1" hidden="1">
      <c r="A45" s="144"/>
      <c r="B45" s="1086"/>
      <c r="C45" s="1086"/>
      <c r="D45" s="1087"/>
      <c r="E45" s="1086"/>
      <c r="F45" s="1086"/>
      <c r="G45" s="1086"/>
      <c r="H45" s="1088"/>
      <c r="I45" s="1089"/>
      <c r="J45" s="1086"/>
      <c r="K45" s="1086"/>
      <c r="L45" s="1090"/>
      <c r="M45" s="940"/>
      <c r="N45" s="1091"/>
      <c r="O45" s="1086"/>
      <c r="P45" s="254"/>
      <c r="Q45" s="254"/>
      <c r="R45" s="322"/>
      <c r="T45" s="69"/>
      <c r="U45" s="69"/>
    </row>
    <row r="46" spans="1:21" s="88" customFormat="1" hidden="1">
      <c r="A46" s="113" t="s">
        <v>57</v>
      </c>
      <c r="B46" s="1086">
        <v>17521.066666666666</v>
      </c>
      <c r="C46" s="1086">
        <v>10979.058333333332</v>
      </c>
      <c r="D46" s="1087" t="s">
        <v>88</v>
      </c>
      <c r="E46" s="1086">
        <v>810.36666666666656</v>
      </c>
      <c r="F46" s="1086">
        <v>20651.558333333334</v>
      </c>
      <c r="G46" s="1086">
        <v>1171.375</v>
      </c>
      <c r="H46" s="1092"/>
      <c r="I46" s="1089">
        <v>405.63333333333333</v>
      </c>
      <c r="J46" s="1086" t="s">
        <v>88</v>
      </c>
      <c r="K46" s="1097">
        <v>12086.708333333334</v>
      </c>
      <c r="L46" s="1046">
        <v>2233.5916666666667</v>
      </c>
      <c r="M46" s="942">
        <v>-23.716666666666669</v>
      </c>
      <c r="N46" s="1098">
        <v>6298.6000000000013</v>
      </c>
      <c r="O46" s="1049">
        <f t="shared" si="0"/>
        <v>72134.241666666683</v>
      </c>
      <c r="P46" s="254"/>
      <c r="Q46" s="254"/>
      <c r="R46" s="322"/>
      <c r="T46" s="69"/>
      <c r="U46" s="69"/>
    </row>
    <row r="47" spans="1:21" s="88" customFormat="1" hidden="1">
      <c r="A47" s="113" t="s">
        <v>40</v>
      </c>
      <c r="B47" s="1086">
        <v>17564.933333333334</v>
      </c>
      <c r="C47" s="1086">
        <v>11250.416666666666</v>
      </c>
      <c r="D47" s="1087" t="s">
        <v>88</v>
      </c>
      <c r="E47" s="1086">
        <v>846.63333333333333</v>
      </c>
      <c r="F47" s="1086">
        <v>21567.516666666666</v>
      </c>
      <c r="G47" s="1086">
        <v>1095.75</v>
      </c>
      <c r="H47" s="1092"/>
      <c r="I47" s="1089">
        <v>388.26666666666665</v>
      </c>
      <c r="J47" s="1086" t="s">
        <v>88</v>
      </c>
      <c r="K47" s="1049">
        <v>12465.416666666664</v>
      </c>
      <c r="L47" s="1046">
        <v>2338.1833333333334</v>
      </c>
      <c r="M47" s="942">
        <v>-34.63333333333334</v>
      </c>
      <c r="N47" s="1093">
        <v>5858.6</v>
      </c>
      <c r="O47" s="1049">
        <f t="shared" si="0"/>
        <v>73341.083333333343</v>
      </c>
      <c r="P47" s="254"/>
      <c r="Q47" s="254"/>
      <c r="R47" s="322"/>
      <c r="T47" s="69"/>
      <c r="U47" s="69"/>
    </row>
    <row r="48" spans="1:21" s="88" customFormat="1" hidden="1">
      <c r="A48" s="113" t="s">
        <v>41</v>
      </c>
      <c r="B48" s="1086">
        <v>17608.799999999996</v>
      </c>
      <c r="C48" s="1086">
        <v>11521.774999999998</v>
      </c>
      <c r="D48" s="1087" t="s">
        <v>88</v>
      </c>
      <c r="E48" s="1086">
        <v>882.90000000000009</v>
      </c>
      <c r="F48" s="1086">
        <v>22483.475000000002</v>
      </c>
      <c r="G48" s="1086">
        <v>1020.125</v>
      </c>
      <c r="H48" s="1092"/>
      <c r="I48" s="1089">
        <v>370.9</v>
      </c>
      <c r="J48" s="1086" t="s">
        <v>88</v>
      </c>
      <c r="K48" s="1049">
        <v>12844.125</v>
      </c>
      <c r="L48" s="1046">
        <v>2442.7750000000005</v>
      </c>
      <c r="M48" s="942">
        <v>-45.550000000000004</v>
      </c>
      <c r="N48" s="1093">
        <v>5418.6</v>
      </c>
      <c r="O48" s="1049">
        <f t="shared" si="0"/>
        <v>74547.925000000003</v>
      </c>
      <c r="P48" s="254"/>
      <c r="Q48" s="254"/>
      <c r="R48" s="322"/>
      <c r="T48" s="69"/>
      <c r="U48" s="69"/>
    </row>
    <row r="49" spans="1:21" s="88" customFormat="1" hidden="1">
      <c r="A49" s="113" t="s">
        <v>42</v>
      </c>
      <c r="B49" s="1086">
        <v>17652.666666666668</v>
      </c>
      <c r="C49" s="1086">
        <v>11793.133333333335</v>
      </c>
      <c r="D49" s="1087" t="s">
        <v>88</v>
      </c>
      <c r="E49" s="1086">
        <v>919.16666666666674</v>
      </c>
      <c r="F49" s="1086">
        <v>23399.433333333334</v>
      </c>
      <c r="G49" s="1086">
        <v>944.5</v>
      </c>
      <c r="H49" s="1092"/>
      <c r="I49" s="1089">
        <v>353.53333333333336</v>
      </c>
      <c r="J49" s="1086" t="s">
        <v>88</v>
      </c>
      <c r="K49" s="1049">
        <v>13222.833333333334</v>
      </c>
      <c r="L49" s="1046">
        <v>2547.3666666666663</v>
      </c>
      <c r="M49" s="942">
        <v>-56.466666666666676</v>
      </c>
      <c r="N49" s="1093">
        <v>4978.6000000000004</v>
      </c>
      <c r="O49" s="1049">
        <f t="shared" si="0"/>
        <v>75754.766666666692</v>
      </c>
      <c r="P49" s="254"/>
      <c r="Q49" s="254"/>
      <c r="R49" s="322"/>
      <c r="T49" s="69"/>
      <c r="U49" s="69"/>
    </row>
    <row r="50" spans="1:21" s="88" customFormat="1" hidden="1">
      <c r="A50" s="113" t="s">
        <v>43</v>
      </c>
      <c r="B50" s="1086">
        <v>17696.533333333333</v>
      </c>
      <c r="C50" s="1086">
        <v>12064.491666666665</v>
      </c>
      <c r="D50" s="1087" t="s">
        <v>88</v>
      </c>
      <c r="E50" s="1086">
        <v>955.43333333333328</v>
      </c>
      <c r="F50" s="1086">
        <v>24315.391666666663</v>
      </c>
      <c r="G50" s="1086">
        <v>868.875</v>
      </c>
      <c r="H50" s="1092"/>
      <c r="I50" s="1089">
        <v>336.16666666666669</v>
      </c>
      <c r="J50" s="1086" t="s">
        <v>88</v>
      </c>
      <c r="K50" s="1049">
        <v>13601.541666666668</v>
      </c>
      <c r="L50" s="1046">
        <v>2651.9583333333335</v>
      </c>
      <c r="M50" s="942">
        <v>-67.38333333333334</v>
      </c>
      <c r="N50" s="1093">
        <v>4538.6000000000004</v>
      </c>
      <c r="O50" s="1049">
        <f t="shared" si="0"/>
        <v>76961.608333333323</v>
      </c>
      <c r="P50" s="254"/>
      <c r="Q50" s="254"/>
      <c r="R50" s="322"/>
      <c r="T50" s="69"/>
      <c r="U50" s="69"/>
    </row>
    <row r="51" spans="1:21" s="88" customFormat="1" hidden="1">
      <c r="A51" s="113" t="s">
        <v>44</v>
      </c>
      <c r="B51" s="1086">
        <v>17740.399999999998</v>
      </c>
      <c r="C51" s="1086">
        <v>12335.85</v>
      </c>
      <c r="D51" s="1087" t="s">
        <v>88</v>
      </c>
      <c r="E51" s="1086">
        <v>991.7</v>
      </c>
      <c r="F51" s="1086">
        <v>25231.35</v>
      </c>
      <c r="G51" s="1086">
        <v>793.25</v>
      </c>
      <c r="H51" s="1092"/>
      <c r="I51" s="1089">
        <v>318.8</v>
      </c>
      <c r="J51" s="1086" t="s">
        <v>88</v>
      </c>
      <c r="K51" s="1049">
        <v>13980.25</v>
      </c>
      <c r="L51" s="1046">
        <v>2756.5499999999993</v>
      </c>
      <c r="M51" s="942">
        <v>-78.300000000000011</v>
      </c>
      <c r="N51" s="1093">
        <v>4098.6000000000004</v>
      </c>
      <c r="O51" s="1049">
        <f t="shared" si="0"/>
        <v>78168.450000000012</v>
      </c>
      <c r="P51" s="254"/>
      <c r="Q51" s="254"/>
      <c r="R51" s="322"/>
      <c r="T51" s="69"/>
      <c r="U51" s="69"/>
    </row>
    <row r="52" spans="1:21" s="88" customFormat="1" hidden="1">
      <c r="A52" s="113" t="s">
        <v>45</v>
      </c>
      <c r="B52" s="1086">
        <v>18787.594444444443</v>
      </c>
      <c r="C52" s="1086">
        <v>12836.174999999999</v>
      </c>
      <c r="D52" s="1087" t="s">
        <v>88</v>
      </c>
      <c r="E52" s="1086">
        <v>1248.4777777777776</v>
      </c>
      <c r="F52" s="1086">
        <v>24378.075000000001</v>
      </c>
      <c r="G52" s="1086">
        <v>732.375</v>
      </c>
      <c r="H52" s="1092"/>
      <c r="I52" s="1089">
        <v>300.73333333333335</v>
      </c>
      <c r="J52" s="1086" t="s">
        <v>88</v>
      </c>
      <c r="K52" s="1049">
        <v>14268.008333333333</v>
      </c>
      <c r="L52" s="1046">
        <v>2821.2916666666665</v>
      </c>
      <c r="M52" s="942">
        <v>-66.583333333333343</v>
      </c>
      <c r="N52" s="1093">
        <v>4124.1611111111115</v>
      </c>
      <c r="O52" s="1049">
        <f t="shared" si="0"/>
        <v>79430.308333333349</v>
      </c>
      <c r="P52" s="254"/>
      <c r="Q52" s="254"/>
      <c r="R52" s="322"/>
      <c r="T52" s="69"/>
      <c r="U52" s="69"/>
    </row>
    <row r="53" spans="1:21" s="88" customFormat="1" hidden="1">
      <c r="A53" s="113" t="s">
        <v>46</v>
      </c>
      <c r="B53" s="1086">
        <v>19834.788888888885</v>
      </c>
      <c r="C53" s="1086">
        <v>13336.5</v>
      </c>
      <c r="D53" s="1087" t="s">
        <v>88</v>
      </c>
      <c r="E53" s="1086">
        <v>1505.2555555555557</v>
      </c>
      <c r="F53" s="1086">
        <v>23524.799999999996</v>
      </c>
      <c r="G53" s="1086">
        <v>671.5</v>
      </c>
      <c r="H53" s="1092"/>
      <c r="I53" s="1089">
        <v>282.66666666666669</v>
      </c>
      <c r="J53" s="1086" t="s">
        <v>88</v>
      </c>
      <c r="K53" s="1049">
        <v>14555.76666666667</v>
      </c>
      <c r="L53" s="1046">
        <v>2886.0333333333328</v>
      </c>
      <c r="M53" s="942">
        <v>-54.866666666666667</v>
      </c>
      <c r="N53" s="1093">
        <v>4149.7222222222217</v>
      </c>
      <c r="O53" s="1049">
        <f t="shared" si="0"/>
        <v>80692.166666666657</v>
      </c>
      <c r="P53" s="254"/>
      <c r="Q53" s="254"/>
      <c r="R53" s="322"/>
      <c r="T53" s="69"/>
      <c r="U53" s="69"/>
    </row>
    <row r="54" spans="1:21" s="88" customFormat="1" hidden="1">
      <c r="A54" s="113" t="s">
        <v>47</v>
      </c>
      <c r="B54" s="1086">
        <v>20881.983333333334</v>
      </c>
      <c r="C54" s="1086">
        <v>13836.825000000001</v>
      </c>
      <c r="D54" s="1087" t="s">
        <v>88</v>
      </c>
      <c r="E54" s="1086">
        <v>1762.0333333333333</v>
      </c>
      <c r="F54" s="1086">
        <v>22671.524999999998</v>
      </c>
      <c r="G54" s="1086">
        <v>610.625</v>
      </c>
      <c r="H54" s="1092"/>
      <c r="I54" s="1089">
        <v>264.60000000000002</v>
      </c>
      <c r="J54" s="1086" t="s">
        <v>88</v>
      </c>
      <c r="K54" s="1049">
        <v>14843.525000000003</v>
      </c>
      <c r="L54" s="1046">
        <v>2950.7749999999996</v>
      </c>
      <c r="M54" s="942">
        <v>-43.150000000000006</v>
      </c>
      <c r="N54" s="1093">
        <v>4175.2833333333338</v>
      </c>
      <c r="O54" s="1049">
        <f t="shared" si="0"/>
        <v>81954.025000000009</v>
      </c>
      <c r="P54" s="254"/>
      <c r="Q54" s="254"/>
      <c r="R54" s="322"/>
      <c r="T54" s="69"/>
      <c r="U54" s="69"/>
    </row>
    <row r="55" spans="1:21" s="88" customFormat="1" hidden="1">
      <c r="A55" s="113" t="s">
        <v>48</v>
      </c>
      <c r="B55" s="1086">
        <v>21929.177777777779</v>
      </c>
      <c r="C55" s="1086">
        <v>14337.149999999998</v>
      </c>
      <c r="D55" s="1087" t="s">
        <v>88</v>
      </c>
      <c r="E55" s="1086">
        <v>2018.8111111111111</v>
      </c>
      <c r="F55" s="1086">
        <v>21818.25</v>
      </c>
      <c r="G55" s="1086">
        <v>549.75</v>
      </c>
      <c r="H55" s="1092"/>
      <c r="I55" s="1089">
        <v>246.53333333333336</v>
      </c>
      <c r="J55" s="1086" t="s">
        <v>88</v>
      </c>
      <c r="K55" s="1049">
        <v>15131.283333333333</v>
      </c>
      <c r="L55" s="1046">
        <v>3015.516666666666</v>
      </c>
      <c r="M55" s="942">
        <v>-31.43333333333333</v>
      </c>
      <c r="N55" s="1093">
        <v>4200.8444444444449</v>
      </c>
      <c r="O55" s="1049">
        <f t="shared" si="0"/>
        <v>83215.883333333331</v>
      </c>
      <c r="P55" s="254"/>
      <c r="Q55" s="254"/>
      <c r="R55" s="322"/>
      <c r="T55" s="69"/>
      <c r="U55" s="69"/>
    </row>
    <row r="56" spans="1:21" s="88" customFormat="1" hidden="1">
      <c r="A56" s="113" t="s">
        <v>49</v>
      </c>
      <c r="B56" s="1086">
        <v>22976.37222222222</v>
      </c>
      <c r="C56" s="1086">
        <v>14837.474999999997</v>
      </c>
      <c r="D56" s="1087" t="s">
        <v>88</v>
      </c>
      <c r="E56" s="1086">
        <v>2275.588888888889</v>
      </c>
      <c r="F56" s="1086">
        <v>20964.974999999999</v>
      </c>
      <c r="G56" s="1086">
        <v>488.875</v>
      </c>
      <c r="H56" s="1092"/>
      <c r="I56" s="1089">
        <v>228.4666666666667</v>
      </c>
      <c r="J56" s="1086" t="s">
        <v>88</v>
      </c>
      <c r="K56" s="1049">
        <v>15419.041666666666</v>
      </c>
      <c r="L56" s="1046">
        <v>3080.2583333333341</v>
      </c>
      <c r="M56" s="942">
        <v>-19.716666666666661</v>
      </c>
      <c r="N56" s="1093">
        <v>4226.405555555556</v>
      </c>
      <c r="O56" s="1049">
        <f t="shared" si="0"/>
        <v>84477.741666666669</v>
      </c>
      <c r="P56" s="254"/>
      <c r="Q56" s="254"/>
      <c r="R56" s="322"/>
      <c r="T56" s="69"/>
      <c r="U56" s="69"/>
    </row>
    <row r="57" spans="1:21" s="88" customFormat="1" hidden="1">
      <c r="A57" s="113" t="s">
        <v>50</v>
      </c>
      <c r="B57" s="1086">
        <v>24023.566666666669</v>
      </c>
      <c r="C57" s="1086">
        <v>15337.8</v>
      </c>
      <c r="D57" s="1087" t="s">
        <v>88</v>
      </c>
      <c r="E57" s="1086">
        <v>2508.6666666666665</v>
      </c>
      <c r="F57" s="1086">
        <v>20111.7</v>
      </c>
      <c r="G57" s="1086">
        <v>428</v>
      </c>
      <c r="H57" s="1092"/>
      <c r="I57" s="1089">
        <v>210.4</v>
      </c>
      <c r="J57" s="1086" t="s">
        <v>88</v>
      </c>
      <c r="K57" s="1049">
        <v>15616.799999999997</v>
      </c>
      <c r="L57" s="1046">
        <v>3200.0000000000009</v>
      </c>
      <c r="M57" s="942">
        <v>-7.9999999999999991</v>
      </c>
      <c r="N57" s="1093">
        <v>4660.4666666666662</v>
      </c>
      <c r="O57" s="1049">
        <f t="shared" si="0"/>
        <v>86089.4</v>
      </c>
      <c r="P57" s="254"/>
      <c r="Q57" s="254"/>
      <c r="R57" s="322"/>
      <c r="T57" s="69"/>
      <c r="U57" s="69"/>
    </row>
    <row r="58" spans="1:21" s="88" customFormat="1" hidden="1">
      <c r="A58" s="113"/>
      <c r="B58" s="1086"/>
      <c r="C58" s="1086"/>
      <c r="D58" s="1087"/>
      <c r="E58" s="1086"/>
      <c r="F58" s="1086"/>
      <c r="G58" s="1086"/>
      <c r="H58" s="1092"/>
      <c r="I58" s="1089"/>
      <c r="J58" s="1086"/>
      <c r="K58" s="1049"/>
      <c r="L58" s="1046"/>
      <c r="M58" s="942"/>
      <c r="N58" s="1093"/>
      <c r="O58" s="1049"/>
      <c r="P58" s="254"/>
      <c r="Q58" s="254"/>
      <c r="R58" s="322"/>
      <c r="T58" s="69"/>
      <c r="U58" s="69"/>
    </row>
    <row r="59" spans="1:21" s="88" customFormat="1" hidden="1">
      <c r="A59" s="113" t="s">
        <v>56</v>
      </c>
      <c r="B59" s="1086">
        <v>23737.302777777782</v>
      </c>
      <c r="C59" s="1086">
        <v>16997.216666666664</v>
      </c>
      <c r="D59" s="1087" t="s">
        <v>88</v>
      </c>
      <c r="E59" s="1086">
        <v>2583.4861111111113</v>
      </c>
      <c r="F59" s="1086">
        <v>19406.500000000004</v>
      </c>
      <c r="G59" s="1086">
        <v>407.08333333333331</v>
      </c>
      <c r="H59" s="1092"/>
      <c r="I59" s="1089">
        <v>245.28333333333333</v>
      </c>
      <c r="J59" s="1086" t="s">
        <v>88</v>
      </c>
      <c r="K59" s="1049">
        <v>16652.549999999996</v>
      </c>
      <c r="L59" s="1046">
        <v>3295.8583333333336</v>
      </c>
      <c r="M59" s="942">
        <v>-8.1666666666666661</v>
      </c>
      <c r="N59" s="1093">
        <v>4921.0361111111115</v>
      </c>
      <c r="O59" s="1049">
        <f t="shared" ref="O59:O70" si="1">SUM(B59:N59)</f>
        <v>88238.150000000009</v>
      </c>
      <c r="P59" s="254"/>
      <c r="Q59" s="254"/>
      <c r="R59" s="322"/>
      <c r="T59" s="69"/>
      <c r="U59" s="69"/>
    </row>
    <row r="60" spans="1:21" s="88" customFormat="1" hidden="1">
      <c r="A60" s="113" t="s">
        <v>40</v>
      </c>
      <c r="B60" s="1086">
        <v>23451.038888888888</v>
      </c>
      <c r="C60" s="1086">
        <v>18656.633333333335</v>
      </c>
      <c r="D60" s="1087" t="s">
        <v>88</v>
      </c>
      <c r="E60" s="1086">
        <v>2658.3055555555557</v>
      </c>
      <c r="F60" s="1086">
        <v>18701.3</v>
      </c>
      <c r="G60" s="1086">
        <v>386.16666666666669</v>
      </c>
      <c r="H60" s="1092"/>
      <c r="I60" s="1089">
        <v>280.16666666666669</v>
      </c>
      <c r="J60" s="1086" t="s">
        <v>88</v>
      </c>
      <c r="K60" s="1049">
        <v>17688.300000000003</v>
      </c>
      <c r="L60" s="1046">
        <v>3391.7166666666672</v>
      </c>
      <c r="M60" s="942">
        <v>-8.3333333333333321</v>
      </c>
      <c r="N60" s="1093">
        <v>5181.6055555555558</v>
      </c>
      <c r="O60" s="1049">
        <f t="shared" si="1"/>
        <v>90386.900000000009</v>
      </c>
      <c r="P60" s="254"/>
      <c r="Q60" s="254"/>
      <c r="R60" s="322"/>
      <c r="T60" s="69"/>
      <c r="U60" s="69"/>
    </row>
    <row r="61" spans="1:21" s="88" customFormat="1" hidden="1">
      <c r="A61" s="113" t="s">
        <v>41</v>
      </c>
      <c r="B61" s="1086">
        <v>23164.775000000001</v>
      </c>
      <c r="C61" s="1086">
        <v>20316.05</v>
      </c>
      <c r="D61" s="1087" t="s">
        <v>88</v>
      </c>
      <c r="E61" s="1086">
        <v>2733.125</v>
      </c>
      <c r="F61" s="1086">
        <v>17996.099999999999</v>
      </c>
      <c r="G61" s="1086">
        <v>365.25</v>
      </c>
      <c r="H61" s="1092"/>
      <c r="I61" s="1089">
        <v>315.05</v>
      </c>
      <c r="J61" s="1086" t="s">
        <v>88</v>
      </c>
      <c r="K61" s="1049">
        <v>18724.05</v>
      </c>
      <c r="L61" s="1046">
        <v>3487.5749999999998</v>
      </c>
      <c r="M61" s="942">
        <v>-8.5</v>
      </c>
      <c r="N61" s="1093">
        <v>5442.1750000000002</v>
      </c>
      <c r="O61" s="1049">
        <f t="shared" si="1"/>
        <v>92535.65</v>
      </c>
      <c r="P61" s="254"/>
      <c r="Q61" s="254"/>
      <c r="R61" s="322"/>
      <c r="T61" s="69"/>
      <c r="U61" s="69"/>
    </row>
    <row r="62" spans="1:21" s="88" customFormat="1" hidden="1">
      <c r="A62" s="113" t="s">
        <v>42</v>
      </c>
      <c r="B62" s="1086">
        <v>22878.511111111107</v>
      </c>
      <c r="C62" s="1086">
        <v>21975.466666666667</v>
      </c>
      <c r="D62" s="1087" t="s">
        <v>88</v>
      </c>
      <c r="E62" s="1086">
        <v>2807.9444444444448</v>
      </c>
      <c r="F62" s="1086">
        <v>17290.900000000001</v>
      </c>
      <c r="G62" s="1086">
        <v>344.33333333333337</v>
      </c>
      <c r="H62" s="1092"/>
      <c r="I62" s="1089">
        <v>349.93333333333334</v>
      </c>
      <c r="J62" s="1086" t="s">
        <v>88</v>
      </c>
      <c r="K62" s="1049">
        <v>19759.8</v>
      </c>
      <c r="L62" s="1046">
        <v>3583.4333333333334</v>
      </c>
      <c r="M62" s="942">
        <v>-8.6666666666666679</v>
      </c>
      <c r="N62" s="1093">
        <v>5702.7444444444445</v>
      </c>
      <c r="O62" s="1049">
        <f t="shared" si="1"/>
        <v>94684.4</v>
      </c>
      <c r="P62" s="254"/>
      <c r="Q62" s="254"/>
      <c r="R62" s="322"/>
      <c r="T62" s="69"/>
      <c r="U62" s="69"/>
    </row>
    <row r="63" spans="1:21" s="88" customFormat="1" hidden="1">
      <c r="A63" s="113" t="s">
        <v>43</v>
      </c>
      <c r="B63" s="1086">
        <v>22592.247222222224</v>
      </c>
      <c r="C63" s="1086">
        <v>23634.883333333339</v>
      </c>
      <c r="D63" s="1087" t="s">
        <v>88</v>
      </c>
      <c r="E63" s="1086">
        <v>2882.7638888888887</v>
      </c>
      <c r="F63" s="1086">
        <v>16585.7</v>
      </c>
      <c r="G63" s="1086">
        <v>323.41666666666674</v>
      </c>
      <c r="H63" s="1092"/>
      <c r="I63" s="1089">
        <v>384.81666666666666</v>
      </c>
      <c r="J63" s="1086" t="s">
        <v>88</v>
      </c>
      <c r="K63" s="1049">
        <v>20795.55</v>
      </c>
      <c r="L63" s="1046">
        <v>3679.291666666667</v>
      </c>
      <c r="M63" s="942">
        <v>-8.8333333333333339</v>
      </c>
      <c r="N63" s="1093">
        <v>5963.3138888888889</v>
      </c>
      <c r="O63" s="1049">
        <f t="shared" si="1"/>
        <v>96833.150000000023</v>
      </c>
      <c r="P63" s="254"/>
      <c r="Q63" s="254"/>
      <c r="R63" s="322"/>
      <c r="T63" s="69"/>
      <c r="U63" s="69"/>
    </row>
    <row r="64" spans="1:21" s="88" customFormat="1" hidden="1">
      <c r="A64" s="113" t="s">
        <v>44</v>
      </c>
      <c r="B64" s="1086">
        <v>22305.983333333337</v>
      </c>
      <c r="C64" s="1086">
        <v>25294.300000000007</v>
      </c>
      <c r="D64" s="1087" t="s">
        <v>88</v>
      </c>
      <c r="E64" s="1086">
        <v>2957.5833333333335</v>
      </c>
      <c r="F64" s="1086">
        <v>15880.5</v>
      </c>
      <c r="G64" s="1086">
        <v>302.5</v>
      </c>
      <c r="H64" s="1092"/>
      <c r="I64" s="1089">
        <v>419.7</v>
      </c>
      <c r="J64" s="1086" t="s">
        <v>88</v>
      </c>
      <c r="K64" s="1049">
        <v>21831.300000000003</v>
      </c>
      <c r="L64" s="1046">
        <v>3775.1500000000005</v>
      </c>
      <c r="M64" s="942">
        <v>-9</v>
      </c>
      <c r="N64" s="1093">
        <v>6223.8833333333341</v>
      </c>
      <c r="O64" s="1049">
        <f t="shared" si="1"/>
        <v>98981.9</v>
      </c>
      <c r="P64" s="254"/>
      <c r="Q64" s="254"/>
      <c r="R64" s="322"/>
      <c r="T64" s="69"/>
      <c r="U64" s="69"/>
    </row>
    <row r="65" spans="1:21" s="88" customFormat="1" hidden="1">
      <c r="A65" s="113" t="s">
        <v>45</v>
      </c>
      <c r="B65" s="1086">
        <v>22060.93611111111</v>
      </c>
      <c r="C65" s="1086">
        <v>28299.7</v>
      </c>
      <c r="D65" s="1087">
        <v>1141.5166666666667</v>
      </c>
      <c r="E65" s="1086">
        <v>2787.8527777777776</v>
      </c>
      <c r="F65" s="1086">
        <v>15352.05</v>
      </c>
      <c r="G65" s="1086">
        <v>463.04999999999995</v>
      </c>
      <c r="H65" s="1092"/>
      <c r="I65" s="1089">
        <v>426.41666666666663</v>
      </c>
      <c r="J65" s="1086" t="s">
        <v>88</v>
      </c>
      <c r="K65" s="1049">
        <v>22550.433333333338</v>
      </c>
      <c r="L65" s="1046">
        <v>4024.1583333333328</v>
      </c>
      <c r="M65" s="942">
        <v>-2.1666666666666661</v>
      </c>
      <c r="N65" s="1093">
        <v>8831.7194444444449</v>
      </c>
      <c r="O65" s="1049">
        <f t="shared" si="1"/>
        <v>105935.66666666669</v>
      </c>
      <c r="P65" s="254"/>
      <c r="Q65" s="254"/>
      <c r="R65" s="322"/>
      <c r="T65" s="69"/>
      <c r="U65" s="69"/>
    </row>
    <row r="66" spans="1:21" s="88" customFormat="1" hidden="1">
      <c r="A66" s="113" t="s">
        <v>46</v>
      </c>
      <c r="B66" s="1086">
        <v>21815.888888888887</v>
      </c>
      <c r="C66" s="1086">
        <v>31305.1</v>
      </c>
      <c r="D66" s="1087">
        <v>2283.0333333333333</v>
      </c>
      <c r="E66" s="1086">
        <v>2618.1222222222223</v>
      </c>
      <c r="F66" s="1086">
        <v>14823.6</v>
      </c>
      <c r="G66" s="1086">
        <v>623.6</v>
      </c>
      <c r="H66" s="1092"/>
      <c r="I66" s="1089">
        <v>433.13333333333333</v>
      </c>
      <c r="J66" s="1086" t="s">
        <v>88</v>
      </c>
      <c r="K66" s="1049">
        <v>23269.566666666666</v>
      </c>
      <c r="L66" s="1046">
        <v>4273.1666666666661</v>
      </c>
      <c r="M66" s="942">
        <v>4.6666666666666661</v>
      </c>
      <c r="N66" s="1093">
        <v>11439.555555555557</v>
      </c>
      <c r="O66" s="1049">
        <f t="shared" si="1"/>
        <v>112889.43333333335</v>
      </c>
      <c r="P66" s="254"/>
      <c r="Q66" s="254"/>
      <c r="R66" s="322"/>
      <c r="T66" s="69"/>
      <c r="U66" s="69"/>
    </row>
    <row r="67" spans="1:21" s="88" customFormat="1" hidden="1">
      <c r="A67" s="113" t="s">
        <v>47</v>
      </c>
      <c r="B67" s="1086">
        <v>21570.841666666667</v>
      </c>
      <c r="C67" s="1086">
        <v>34310.5</v>
      </c>
      <c r="D67" s="1087">
        <v>3424.55</v>
      </c>
      <c r="E67" s="1086">
        <v>2448.3916666666669</v>
      </c>
      <c r="F67" s="1086">
        <v>14295.150000000001</v>
      </c>
      <c r="G67" s="1086">
        <v>784.15</v>
      </c>
      <c r="H67" s="1092"/>
      <c r="I67" s="1089">
        <v>439.84999999999997</v>
      </c>
      <c r="J67" s="1086" t="s">
        <v>88</v>
      </c>
      <c r="K67" s="1049">
        <v>23988.700000000004</v>
      </c>
      <c r="L67" s="1046">
        <v>4522.1749999999993</v>
      </c>
      <c r="M67" s="942">
        <v>11.5</v>
      </c>
      <c r="N67" s="1093">
        <v>14047.391666666668</v>
      </c>
      <c r="O67" s="1049">
        <f t="shared" si="1"/>
        <v>119843.20000000003</v>
      </c>
      <c r="P67" s="254"/>
      <c r="Q67" s="254"/>
      <c r="R67" s="322"/>
      <c r="T67" s="69"/>
      <c r="U67" s="69"/>
    </row>
    <row r="68" spans="1:21" s="88" customFormat="1" hidden="1">
      <c r="A68" s="113" t="s">
        <v>48</v>
      </c>
      <c r="B68" s="1086">
        <v>21325.794444444444</v>
      </c>
      <c r="C68" s="1086">
        <v>37315.899999999994</v>
      </c>
      <c r="D68" s="1087">
        <v>4566.0666666666666</v>
      </c>
      <c r="E68" s="1086">
        <v>2278.661111111111</v>
      </c>
      <c r="F68" s="1086">
        <v>13766.7</v>
      </c>
      <c r="G68" s="1086">
        <v>944.7</v>
      </c>
      <c r="H68" s="1092"/>
      <c r="I68" s="1089">
        <v>446.56666666666661</v>
      </c>
      <c r="J68" s="1086" t="s">
        <v>88</v>
      </c>
      <c r="K68" s="1049">
        <v>24707.833333333336</v>
      </c>
      <c r="L68" s="1046">
        <v>4771.1833333333325</v>
      </c>
      <c r="M68" s="942">
        <v>18.333333333333336</v>
      </c>
      <c r="N68" s="1093">
        <v>16655.227777777774</v>
      </c>
      <c r="O68" s="1049">
        <f t="shared" si="1"/>
        <v>126796.96666666666</v>
      </c>
      <c r="P68" s="254"/>
      <c r="Q68" s="254"/>
      <c r="R68" s="322"/>
      <c r="T68" s="69"/>
      <c r="U68" s="69"/>
    </row>
    <row r="69" spans="1:21" s="88" customFormat="1" hidden="1">
      <c r="A69" s="113" t="s">
        <v>49</v>
      </c>
      <c r="B69" s="1086">
        <v>21080.74722222222</v>
      </c>
      <c r="C69" s="1086">
        <v>40321.299999999996</v>
      </c>
      <c r="D69" s="1087">
        <v>5707.583333333333</v>
      </c>
      <c r="E69" s="1086">
        <v>2108.9305555555557</v>
      </c>
      <c r="F69" s="1086">
        <v>13238.25</v>
      </c>
      <c r="G69" s="1086">
        <v>1105.25</v>
      </c>
      <c r="H69" s="1092"/>
      <c r="I69" s="1089">
        <v>453.2833333333333</v>
      </c>
      <c r="J69" s="1086" t="s">
        <v>88</v>
      </c>
      <c r="K69" s="1049">
        <v>25426.966666666664</v>
      </c>
      <c r="L69" s="1046">
        <v>5020.1916666666666</v>
      </c>
      <c r="M69" s="942">
        <v>25.166666666666664</v>
      </c>
      <c r="N69" s="1093">
        <v>19263.06388888889</v>
      </c>
      <c r="O69" s="1049">
        <f t="shared" si="1"/>
        <v>133750.73333333334</v>
      </c>
      <c r="P69" s="254"/>
      <c r="Q69" s="254"/>
      <c r="R69" s="322"/>
      <c r="T69" s="69"/>
      <c r="U69" s="69"/>
    </row>
    <row r="70" spans="1:21" s="88" customFormat="1" hidden="1">
      <c r="A70" s="113" t="s">
        <v>50</v>
      </c>
      <c r="B70" s="1086">
        <v>20835.7</v>
      </c>
      <c r="C70" s="1086">
        <v>43326.7</v>
      </c>
      <c r="D70" s="1087">
        <v>6849.1</v>
      </c>
      <c r="E70" s="1086">
        <v>1939.2</v>
      </c>
      <c r="F70" s="1086">
        <v>12709.8</v>
      </c>
      <c r="G70" s="1086">
        <v>1265.8</v>
      </c>
      <c r="H70" s="1092"/>
      <c r="I70" s="1089">
        <v>460</v>
      </c>
      <c r="J70" s="1086" t="s">
        <v>88</v>
      </c>
      <c r="K70" s="1049">
        <v>26146.1</v>
      </c>
      <c r="L70" s="1046">
        <v>5269.2</v>
      </c>
      <c r="M70" s="942">
        <v>32</v>
      </c>
      <c r="N70" s="1093">
        <v>21870.900000000005</v>
      </c>
      <c r="O70" s="1049">
        <f t="shared" si="1"/>
        <v>140704.5</v>
      </c>
      <c r="P70" s="254"/>
      <c r="Q70" s="254"/>
      <c r="R70" s="322"/>
      <c r="T70" s="69"/>
      <c r="U70" s="69"/>
    </row>
    <row r="71" spans="1:21" hidden="1">
      <c r="A71" s="113"/>
      <c r="B71" s="1086"/>
      <c r="C71" s="1086"/>
      <c r="D71" s="1087"/>
      <c r="E71" s="1086"/>
      <c r="F71" s="1086"/>
      <c r="G71" s="1086"/>
      <c r="H71" s="1092"/>
      <c r="I71" s="1089"/>
      <c r="J71" s="1086"/>
      <c r="K71" s="1049"/>
      <c r="L71" s="1046"/>
      <c r="M71" s="942"/>
      <c r="N71" s="1093"/>
      <c r="O71" s="1049"/>
      <c r="P71" s="254"/>
      <c r="Q71" s="254"/>
      <c r="R71" s="322"/>
    </row>
    <row r="72" spans="1:21" hidden="1">
      <c r="A72" s="113" t="s">
        <v>55</v>
      </c>
      <c r="B72" s="1086">
        <v>21372.216666666667</v>
      </c>
      <c r="C72" s="1043">
        <v>44045.441666666666</v>
      </c>
      <c r="D72" s="1099">
        <v>5707.5833333333339</v>
      </c>
      <c r="E72" s="1043">
        <v>2094.9499999999998</v>
      </c>
      <c r="F72" s="1043">
        <v>12221.308333333334</v>
      </c>
      <c r="G72" s="1043">
        <v>1312.625</v>
      </c>
      <c r="H72" s="1092"/>
      <c r="I72" s="1094">
        <v>448.58333333333331</v>
      </c>
      <c r="J72" s="1043">
        <v>8.1</v>
      </c>
      <c r="K72" s="1049">
        <v>27043.808333333331</v>
      </c>
      <c r="L72" s="1046">
        <v>5277.9250000000011</v>
      </c>
      <c r="M72" s="942">
        <v>-30.666666666666671</v>
      </c>
      <c r="N72" s="1093">
        <v>20343.76666666667</v>
      </c>
      <c r="O72" s="1049">
        <f t="shared" ref="O72:O140" si="2">SUM(B72:N72)</f>
        <v>139845.64166666666</v>
      </c>
      <c r="P72" s="254"/>
      <c r="Q72" s="254"/>
      <c r="R72" s="322"/>
    </row>
    <row r="73" spans="1:21" hidden="1">
      <c r="A73" s="113" t="s">
        <v>40</v>
      </c>
      <c r="B73" s="1043">
        <v>21908.73333333333</v>
      </c>
      <c r="C73" s="1043">
        <v>44764.183333333334</v>
      </c>
      <c r="D73" s="1099">
        <v>4566.0666666666675</v>
      </c>
      <c r="E73" s="1043">
        <v>2250.6999999999998</v>
      </c>
      <c r="F73" s="1043">
        <v>11732.816666666669</v>
      </c>
      <c r="G73" s="1043">
        <v>1359.4499999999998</v>
      </c>
      <c r="H73" s="1092"/>
      <c r="I73" s="1094">
        <v>437.16666666666669</v>
      </c>
      <c r="J73" s="1043">
        <v>16.2</v>
      </c>
      <c r="K73" s="1049">
        <v>27941.51666666667</v>
      </c>
      <c r="L73" s="1046">
        <v>5286.6500000000015</v>
      </c>
      <c r="M73" s="942">
        <v>-93.333333333333357</v>
      </c>
      <c r="N73" s="1093">
        <v>18816.633333333331</v>
      </c>
      <c r="O73" s="1049">
        <f t="shared" si="2"/>
        <v>138986.78333333333</v>
      </c>
      <c r="P73" s="254"/>
      <c r="Q73" s="254"/>
      <c r="R73" s="322"/>
    </row>
    <row r="74" spans="1:21" hidden="1">
      <c r="A74" s="113" t="s">
        <v>41</v>
      </c>
      <c r="B74" s="1043">
        <v>22445.25</v>
      </c>
      <c r="C74" s="1043">
        <v>45482.924999999996</v>
      </c>
      <c r="D74" s="1099">
        <v>3424.55</v>
      </c>
      <c r="E74" s="1043">
        <v>2406.4499999999998</v>
      </c>
      <c r="F74" s="1043">
        <v>11244.325000000001</v>
      </c>
      <c r="G74" s="1043">
        <v>1406.2750000000001</v>
      </c>
      <c r="H74" s="1092"/>
      <c r="I74" s="1094">
        <v>425.75</v>
      </c>
      <c r="J74" s="1043">
        <v>24.299999999999997</v>
      </c>
      <c r="K74" s="1049">
        <v>28839.225000000006</v>
      </c>
      <c r="L74" s="1046">
        <v>5295.3750000000009</v>
      </c>
      <c r="M74" s="942">
        <v>-155.99999999999997</v>
      </c>
      <c r="N74" s="1093">
        <v>17289.500000000004</v>
      </c>
      <c r="O74" s="1049">
        <f t="shared" si="2"/>
        <v>138127.92499999999</v>
      </c>
      <c r="P74" s="254"/>
      <c r="Q74" s="254"/>
      <c r="R74" s="322"/>
    </row>
    <row r="75" spans="1:21" hidden="1">
      <c r="A75" s="113" t="s">
        <v>42</v>
      </c>
      <c r="B75" s="1043">
        <v>22981.766666666666</v>
      </c>
      <c r="C75" s="1043">
        <v>46201.666666666672</v>
      </c>
      <c r="D75" s="1099">
        <v>2283.0333333333338</v>
      </c>
      <c r="E75" s="1043">
        <v>2562.1999999999998</v>
      </c>
      <c r="F75" s="1043">
        <v>10755.833333333332</v>
      </c>
      <c r="G75" s="1043">
        <v>1453.1</v>
      </c>
      <c r="H75" s="1092"/>
      <c r="I75" s="1094">
        <v>414.33333333333331</v>
      </c>
      <c r="J75" s="1043">
        <v>32.4</v>
      </c>
      <c r="K75" s="1049">
        <v>29736.933333333331</v>
      </c>
      <c r="L75" s="1046">
        <v>5304.1</v>
      </c>
      <c r="M75" s="942">
        <v>-218.66666666666669</v>
      </c>
      <c r="N75" s="1093">
        <v>15762.366666666663</v>
      </c>
      <c r="O75" s="1049">
        <f t="shared" si="2"/>
        <v>137269.06666666665</v>
      </c>
      <c r="P75" s="254"/>
      <c r="Q75" s="254"/>
      <c r="R75" s="322"/>
    </row>
    <row r="76" spans="1:21" s="139" customFormat="1" hidden="1">
      <c r="A76" s="113" t="s">
        <v>43</v>
      </c>
      <c r="B76" s="1043">
        <v>23518.283333333336</v>
      </c>
      <c r="C76" s="1043">
        <v>46920.408333333333</v>
      </c>
      <c r="D76" s="1099">
        <v>1141.5166666666673</v>
      </c>
      <c r="E76" s="1043">
        <v>2717.95</v>
      </c>
      <c r="F76" s="1043">
        <v>10267.341666666665</v>
      </c>
      <c r="G76" s="1043">
        <v>1499.925</v>
      </c>
      <c r="H76" s="1092"/>
      <c r="I76" s="1094">
        <v>402.91666666666669</v>
      </c>
      <c r="J76" s="1043">
        <v>40.5</v>
      </c>
      <c r="K76" s="1049">
        <v>30634.641666666674</v>
      </c>
      <c r="L76" s="1046">
        <v>5312.8250000000007</v>
      </c>
      <c r="M76" s="942">
        <v>-281.33333333333337</v>
      </c>
      <c r="N76" s="1093">
        <v>14235.233333333335</v>
      </c>
      <c r="O76" s="1049">
        <f t="shared" si="2"/>
        <v>136410.20833333334</v>
      </c>
      <c r="P76" s="254"/>
      <c r="Q76" s="254"/>
      <c r="R76" s="322"/>
      <c r="S76" s="69"/>
      <c r="T76" s="69"/>
      <c r="U76" s="69"/>
    </row>
    <row r="77" spans="1:21" hidden="1">
      <c r="A77" s="113" t="s">
        <v>44</v>
      </c>
      <c r="B77" s="1043">
        <v>24054.800000000003</v>
      </c>
      <c r="C77" s="1043">
        <v>47639.150000000016</v>
      </c>
      <c r="D77" s="1087" t="s">
        <v>88</v>
      </c>
      <c r="E77" s="1043">
        <v>2873.7</v>
      </c>
      <c r="F77" s="1043">
        <v>9778.85</v>
      </c>
      <c r="G77" s="1043">
        <v>1546.75</v>
      </c>
      <c r="H77" s="1092"/>
      <c r="I77" s="1094">
        <v>391.5</v>
      </c>
      <c r="J77" s="1043">
        <v>48.599999999999994</v>
      </c>
      <c r="K77" s="1049">
        <v>31532.35</v>
      </c>
      <c r="L77" s="1046">
        <v>5321.5499999999993</v>
      </c>
      <c r="M77" s="942">
        <v>-344</v>
      </c>
      <c r="N77" s="1093">
        <v>12708.1</v>
      </c>
      <c r="O77" s="1049">
        <f t="shared" si="2"/>
        <v>135551.35</v>
      </c>
      <c r="P77" s="254"/>
      <c r="Q77" s="254"/>
      <c r="R77" s="322"/>
    </row>
    <row r="78" spans="1:21" hidden="1">
      <c r="A78" s="113" t="s">
        <v>45</v>
      </c>
      <c r="B78" s="1043">
        <v>24498.216666666664</v>
      </c>
      <c r="C78" s="1043">
        <v>48041.275000000009</v>
      </c>
      <c r="D78" s="1087" t="s">
        <v>88</v>
      </c>
      <c r="E78" s="1043">
        <v>2806.2333333333336</v>
      </c>
      <c r="F78" s="1043">
        <v>9927.7249999999985</v>
      </c>
      <c r="G78" s="1043">
        <v>1575.4083333333333</v>
      </c>
      <c r="H78" s="1092"/>
      <c r="I78" s="1094">
        <v>389.28333333333336</v>
      </c>
      <c r="J78" s="1043">
        <v>56.699999999999996</v>
      </c>
      <c r="K78" s="1049">
        <v>31554.441666666666</v>
      </c>
      <c r="L78" s="1046">
        <v>5846.0583333333325</v>
      </c>
      <c r="M78" s="942">
        <v>-286.09999999999997</v>
      </c>
      <c r="N78" s="1093">
        <v>12960.5</v>
      </c>
      <c r="O78" s="1049">
        <f t="shared" si="2"/>
        <v>137369.7416666667</v>
      </c>
      <c r="P78" s="254"/>
      <c r="Q78" s="254"/>
      <c r="R78" s="322"/>
    </row>
    <row r="79" spans="1:21" hidden="1">
      <c r="A79" s="113" t="s">
        <v>46</v>
      </c>
      <c r="B79" s="1043">
        <v>24941.633333333331</v>
      </c>
      <c r="C79" s="1043">
        <v>48443.399999999994</v>
      </c>
      <c r="D79" s="1087" t="s">
        <v>88</v>
      </c>
      <c r="E79" s="1043">
        <v>2738.7666666666664</v>
      </c>
      <c r="F79" s="1043">
        <v>10076.599999999999</v>
      </c>
      <c r="G79" s="1043">
        <v>1604.0666666666668</v>
      </c>
      <c r="H79" s="1092"/>
      <c r="I79" s="1094">
        <v>387.06666666666666</v>
      </c>
      <c r="J79" s="1043">
        <v>64.8</v>
      </c>
      <c r="K79" s="1049">
        <v>31576.533333333336</v>
      </c>
      <c r="L79" s="1046">
        <v>6370.5666666666639</v>
      </c>
      <c r="M79" s="942">
        <v>-228.19999999999996</v>
      </c>
      <c r="N79" s="1093">
        <v>13212.900000000001</v>
      </c>
      <c r="O79" s="1049">
        <f t="shared" si="2"/>
        <v>139188.13333333333</v>
      </c>
      <c r="P79" s="254"/>
      <c r="Q79" s="254"/>
      <c r="R79" s="322"/>
    </row>
    <row r="80" spans="1:21" hidden="1">
      <c r="A80" s="113" t="s">
        <v>47</v>
      </c>
      <c r="B80" s="1043">
        <v>25385.05</v>
      </c>
      <c r="C80" s="1043">
        <v>48845.525000000001</v>
      </c>
      <c r="D80" s="1087" t="s">
        <v>88</v>
      </c>
      <c r="E80" s="1043">
        <v>2671.3</v>
      </c>
      <c r="F80" s="1043">
        <v>10225.475000000002</v>
      </c>
      <c r="G80" s="1043">
        <v>1632.7250000000001</v>
      </c>
      <c r="H80" s="1092"/>
      <c r="I80" s="1094">
        <v>384.84999999999997</v>
      </c>
      <c r="J80" s="1043">
        <v>72.899999999999991</v>
      </c>
      <c r="K80" s="1049">
        <v>31598.624999999996</v>
      </c>
      <c r="L80" s="1046">
        <v>6895.0750000000016</v>
      </c>
      <c r="M80" s="942">
        <v>-170.29999999999998</v>
      </c>
      <c r="N80" s="1093">
        <v>13465.300000000001</v>
      </c>
      <c r="O80" s="1049">
        <f t="shared" si="2"/>
        <v>141006.52499999999</v>
      </c>
      <c r="P80" s="254"/>
      <c r="Q80" s="254"/>
      <c r="R80" s="322"/>
    </row>
    <row r="81" spans="1:18" hidden="1">
      <c r="A81" s="113" t="s">
        <v>48</v>
      </c>
      <c r="B81" s="1043">
        <v>25828.466666666671</v>
      </c>
      <c r="C81" s="1043">
        <v>49247.65</v>
      </c>
      <c r="D81" s="1087" t="s">
        <v>88</v>
      </c>
      <c r="E81" s="1043">
        <v>2603.833333333333</v>
      </c>
      <c r="F81" s="1043">
        <v>10374.349999999999</v>
      </c>
      <c r="G81" s="1043">
        <v>1661.3833333333337</v>
      </c>
      <c r="H81" s="1092"/>
      <c r="I81" s="1094">
        <v>382.63333333333333</v>
      </c>
      <c r="J81" s="1043">
        <v>81</v>
      </c>
      <c r="K81" s="1049">
        <v>31620.716666666671</v>
      </c>
      <c r="L81" s="1046">
        <v>7419.5833333333348</v>
      </c>
      <c r="M81" s="942">
        <v>-112.39999999999996</v>
      </c>
      <c r="N81" s="1093">
        <v>13717.699999999999</v>
      </c>
      <c r="O81" s="1049">
        <f t="shared" si="2"/>
        <v>142824.91666666666</v>
      </c>
      <c r="P81" s="254"/>
      <c r="Q81" s="254"/>
      <c r="R81" s="322"/>
    </row>
    <row r="82" spans="1:18" hidden="1">
      <c r="A82" s="113" t="s">
        <v>49</v>
      </c>
      <c r="B82" s="1043">
        <v>26271.883333333335</v>
      </c>
      <c r="C82" s="1043">
        <v>49649.774999999994</v>
      </c>
      <c r="D82" s="1087" t="s">
        <v>88</v>
      </c>
      <c r="E82" s="1043">
        <v>2536.3666666666668</v>
      </c>
      <c r="F82" s="1043">
        <v>10523.224999999999</v>
      </c>
      <c r="G82" s="1043">
        <v>1690.041666666667</v>
      </c>
      <c r="H82" s="1092"/>
      <c r="I82" s="1094">
        <v>380.41666666666663</v>
      </c>
      <c r="J82" s="1043">
        <v>89.1</v>
      </c>
      <c r="K82" s="1049">
        <v>31642.808333333327</v>
      </c>
      <c r="L82" s="1046">
        <v>7944.0916666666662</v>
      </c>
      <c r="M82" s="942">
        <v>-54.5</v>
      </c>
      <c r="N82" s="1093">
        <v>13970.099999999999</v>
      </c>
      <c r="O82" s="1049">
        <f t="shared" si="2"/>
        <v>144643.30833333332</v>
      </c>
      <c r="P82" s="254"/>
      <c r="Q82" s="254"/>
      <c r="R82" s="322"/>
    </row>
    <row r="83" spans="1:18" hidden="1">
      <c r="A83" s="113" t="s">
        <v>50</v>
      </c>
      <c r="B83" s="1043">
        <v>26715.3</v>
      </c>
      <c r="C83" s="1043">
        <v>50051.899999999994</v>
      </c>
      <c r="D83" s="1087" t="s">
        <v>88</v>
      </c>
      <c r="E83" s="1043">
        <v>2468.8999999999996</v>
      </c>
      <c r="F83" s="1043">
        <v>10672.1</v>
      </c>
      <c r="G83" s="1043">
        <v>1718.7</v>
      </c>
      <c r="H83" s="1092"/>
      <c r="I83" s="1094">
        <v>378.2</v>
      </c>
      <c r="J83" s="1043">
        <v>97.2</v>
      </c>
      <c r="K83" s="1049">
        <v>31664.9</v>
      </c>
      <c r="L83" s="1046">
        <v>8468.6</v>
      </c>
      <c r="M83" s="942">
        <v>3.3999999999999915</v>
      </c>
      <c r="N83" s="1093">
        <v>14222.500000000002</v>
      </c>
      <c r="O83" s="1049">
        <f t="shared" si="2"/>
        <v>146461.69999999998</v>
      </c>
      <c r="P83" s="254"/>
      <c r="Q83" s="254"/>
      <c r="R83" s="322"/>
    </row>
    <row r="84" spans="1:18" hidden="1">
      <c r="A84" s="142"/>
      <c r="B84" s="1043"/>
      <c r="C84" s="1043"/>
      <c r="D84" s="1087"/>
      <c r="E84" s="1043"/>
      <c r="F84" s="1043"/>
      <c r="G84" s="1043"/>
      <c r="H84" s="1092"/>
      <c r="I84" s="1094"/>
      <c r="J84" s="1043"/>
      <c r="K84" s="1049"/>
      <c r="L84" s="1046"/>
      <c r="M84" s="942"/>
      <c r="N84" s="1093"/>
      <c r="O84" s="1049"/>
      <c r="P84" s="254"/>
      <c r="Q84" s="254"/>
      <c r="R84" s="322"/>
    </row>
    <row r="85" spans="1:18" hidden="1">
      <c r="A85" s="113" t="s">
        <v>54</v>
      </c>
      <c r="B85" s="1043">
        <v>27175.5</v>
      </c>
      <c r="C85" s="1043">
        <v>50918.049999999988</v>
      </c>
      <c r="D85" s="1087" t="s">
        <v>88</v>
      </c>
      <c r="E85" s="1043">
        <v>2471.958333333333</v>
      </c>
      <c r="F85" s="1043">
        <v>10873.233333333334</v>
      </c>
      <c r="G85" s="1043">
        <v>1678.0083333333334</v>
      </c>
      <c r="H85" s="1092"/>
      <c r="I85" s="1094">
        <v>364.0333333333333</v>
      </c>
      <c r="J85" s="1043">
        <v>97.183333333333337</v>
      </c>
      <c r="K85" s="1049">
        <v>32688.133333333331</v>
      </c>
      <c r="L85" s="1046">
        <v>8007.7083333333321</v>
      </c>
      <c r="M85" s="942">
        <v>-18.516666666666666</v>
      </c>
      <c r="N85" s="1093">
        <v>13919.083333333332</v>
      </c>
      <c r="O85" s="1049">
        <f t="shared" si="2"/>
        <v>148174.375</v>
      </c>
      <c r="P85" s="254"/>
      <c r="Q85" s="254"/>
      <c r="R85" s="322"/>
    </row>
    <row r="86" spans="1:18" hidden="1">
      <c r="A86" s="113" t="s">
        <v>40</v>
      </c>
      <c r="B86" s="1043">
        <v>27635.7</v>
      </c>
      <c r="C86" s="1041">
        <v>51784.200000000004</v>
      </c>
      <c r="D86" s="1087" t="s">
        <v>88</v>
      </c>
      <c r="E86" s="1041">
        <v>2475.0166666666669</v>
      </c>
      <c r="F86" s="1043">
        <v>11074.366666666667</v>
      </c>
      <c r="G86" s="1043">
        <v>1637.3166666666666</v>
      </c>
      <c r="H86" s="1092"/>
      <c r="I86" s="1044">
        <v>349.86666666666667</v>
      </c>
      <c r="J86" s="1043">
        <v>97.166666666666671</v>
      </c>
      <c r="K86" s="1095">
        <v>33711.366666666669</v>
      </c>
      <c r="L86" s="1046">
        <v>7546.8166666666675</v>
      </c>
      <c r="M86" s="1047">
        <v>-40.433333333333337</v>
      </c>
      <c r="N86" s="1096">
        <v>13615.666666666666</v>
      </c>
      <c r="O86" s="1049">
        <f t="shared" si="2"/>
        <v>149887.05000000002</v>
      </c>
      <c r="P86" s="254"/>
      <c r="Q86" s="254"/>
      <c r="R86" s="322"/>
    </row>
    <row r="87" spans="1:18" hidden="1">
      <c r="A87" s="113" t="s">
        <v>41</v>
      </c>
      <c r="B87" s="1043">
        <v>28095.900000000005</v>
      </c>
      <c r="C87" s="1041">
        <v>52650.35</v>
      </c>
      <c r="D87" s="1087" t="s">
        <v>88</v>
      </c>
      <c r="E87" s="1041">
        <v>2478.0749999999998</v>
      </c>
      <c r="F87" s="1043">
        <v>11275.5</v>
      </c>
      <c r="G87" s="1043">
        <v>1596.625</v>
      </c>
      <c r="H87" s="1092"/>
      <c r="I87" s="1044">
        <v>335.7</v>
      </c>
      <c r="J87" s="1043">
        <v>97.15</v>
      </c>
      <c r="K87" s="1095">
        <v>34734.600000000006</v>
      </c>
      <c r="L87" s="1046">
        <v>7085.9249999999993</v>
      </c>
      <c r="M87" s="1047">
        <v>-62.350000000000023</v>
      </c>
      <c r="N87" s="1096">
        <v>13312.25</v>
      </c>
      <c r="O87" s="1049">
        <f t="shared" si="2"/>
        <v>151599.72499999998</v>
      </c>
      <c r="P87" s="254"/>
      <c r="Q87" s="254"/>
      <c r="R87" s="322"/>
    </row>
    <row r="88" spans="1:18" hidden="1">
      <c r="A88" s="113" t="s">
        <v>42</v>
      </c>
      <c r="B88" s="1041">
        <v>28556.100000000002</v>
      </c>
      <c r="C88" s="1041">
        <v>53516.499999999993</v>
      </c>
      <c r="D88" s="1087" t="s">
        <v>88</v>
      </c>
      <c r="E88" s="1041">
        <v>2481.1333333333332</v>
      </c>
      <c r="F88" s="1043">
        <v>11476.633333333333</v>
      </c>
      <c r="G88" s="1043">
        <v>1555.9333333333334</v>
      </c>
      <c r="H88" s="1092"/>
      <c r="I88" s="1044">
        <v>321.5333333333333</v>
      </c>
      <c r="J88" s="1043">
        <v>97.133333333333326</v>
      </c>
      <c r="K88" s="1095">
        <v>35757.833333333328</v>
      </c>
      <c r="L88" s="1046">
        <v>6625.0333333333347</v>
      </c>
      <c r="M88" s="1047">
        <v>-84.266666666666708</v>
      </c>
      <c r="N88" s="1096">
        <v>13008.833333333334</v>
      </c>
      <c r="O88" s="1049">
        <f t="shared" si="2"/>
        <v>153312.4</v>
      </c>
      <c r="P88" s="254"/>
      <c r="Q88" s="254"/>
      <c r="R88" s="322"/>
    </row>
    <row r="89" spans="1:18" hidden="1">
      <c r="A89" s="113" t="s">
        <v>43</v>
      </c>
      <c r="B89" s="1041">
        <v>29016.300000000003</v>
      </c>
      <c r="C89" s="1041">
        <v>54382.650000000009</v>
      </c>
      <c r="D89" s="1087" t="s">
        <v>88</v>
      </c>
      <c r="E89" s="1041">
        <v>2484.1916666666666</v>
      </c>
      <c r="F89" s="1043">
        <v>11677.766666666666</v>
      </c>
      <c r="G89" s="1043">
        <v>1515.2416666666666</v>
      </c>
      <c r="H89" s="1092"/>
      <c r="I89" s="1044">
        <v>307.36666666666667</v>
      </c>
      <c r="J89" s="1043">
        <v>97.11666666666666</v>
      </c>
      <c r="K89" s="1095">
        <v>36781.066666666666</v>
      </c>
      <c r="L89" s="1046">
        <v>6164.1416666666655</v>
      </c>
      <c r="M89" s="1047">
        <v>-106.18333333333334</v>
      </c>
      <c r="N89" s="1096">
        <v>12705.416666666668</v>
      </c>
      <c r="O89" s="1049">
        <f t="shared" si="2"/>
        <v>155025.07500000001</v>
      </c>
      <c r="P89" s="254"/>
      <c r="Q89" s="254"/>
      <c r="R89" s="322"/>
    </row>
    <row r="90" spans="1:18" hidden="1">
      <c r="A90" s="113" t="s">
        <v>44</v>
      </c>
      <c r="B90" s="1041">
        <v>29476.5</v>
      </c>
      <c r="C90" s="1041">
        <v>55248.800000000003</v>
      </c>
      <c r="D90" s="1087" t="s">
        <v>88</v>
      </c>
      <c r="E90" s="1041">
        <v>2487.25</v>
      </c>
      <c r="F90" s="1043">
        <v>11878.900000000001</v>
      </c>
      <c r="G90" s="1043">
        <v>1474.55</v>
      </c>
      <c r="H90" s="1092"/>
      <c r="I90" s="1044">
        <v>293.2</v>
      </c>
      <c r="J90" s="1043">
        <v>97.1</v>
      </c>
      <c r="K90" s="1095">
        <v>37804.300000000003</v>
      </c>
      <c r="L90" s="1046">
        <v>5703.2500000000009</v>
      </c>
      <c r="M90" s="1047">
        <v>-128.1</v>
      </c>
      <c r="N90" s="1096">
        <v>12401.999999999998</v>
      </c>
      <c r="O90" s="1049">
        <f t="shared" si="2"/>
        <v>156737.75000000003</v>
      </c>
      <c r="P90" s="254"/>
      <c r="Q90" s="254"/>
      <c r="R90" s="322"/>
    </row>
    <row r="91" spans="1:18" hidden="1">
      <c r="A91" s="113" t="s">
        <v>45</v>
      </c>
      <c r="B91" s="1041">
        <v>30773.51666666667</v>
      </c>
      <c r="C91" s="1041">
        <v>55880.349999999991</v>
      </c>
      <c r="D91" s="1087" t="s">
        <v>88</v>
      </c>
      <c r="E91" s="1041">
        <v>2616.041666666667</v>
      </c>
      <c r="F91" s="1043">
        <v>12497.700000000003</v>
      </c>
      <c r="G91" s="1043">
        <v>1689.7583333333334</v>
      </c>
      <c r="H91" s="1092"/>
      <c r="I91" s="1044">
        <v>342.68333333333334</v>
      </c>
      <c r="J91" s="1043">
        <v>89.016666666666666</v>
      </c>
      <c r="K91" s="1095">
        <v>38025.616666666669</v>
      </c>
      <c r="L91" s="1046">
        <v>6323.7416666666668</v>
      </c>
      <c r="M91" s="1047">
        <v>-20.249999999999989</v>
      </c>
      <c r="N91" s="1096">
        <v>12547.133333333333</v>
      </c>
      <c r="O91" s="1049">
        <f t="shared" si="2"/>
        <v>160765.30833333335</v>
      </c>
      <c r="Q91" s="254"/>
      <c r="R91" s="322"/>
    </row>
    <row r="92" spans="1:18" hidden="1">
      <c r="A92" s="113" t="s">
        <v>46</v>
      </c>
      <c r="B92" s="1041">
        <v>31738.694444444445</v>
      </c>
      <c r="C92" s="1041">
        <v>56643.744444444448</v>
      </c>
      <c r="D92" s="1087" t="s">
        <v>88</v>
      </c>
      <c r="E92" s="1041">
        <v>2720.4055555555556</v>
      </c>
      <c r="F92" s="1043">
        <v>12935.005555555555</v>
      </c>
      <c r="G92" s="1043">
        <v>1904.9666666666667</v>
      </c>
      <c r="H92" s="1092"/>
      <c r="I92" s="1044">
        <v>392.16666666666669</v>
      </c>
      <c r="J92" s="1043">
        <v>80.933333333333337</v>
      </c>
      <c r="K92" s="1095">
        <v>38225.861111111109</v>
      </c>
      <c r="L92" s="1046">
        <v>6871.0111111111109</v>
      </c>
      <c r="M92" s="1047">
        <v>67.600000000000023</v>
      </c>
      <c r="N92" s="1096">
        <v>12687.394444444442</v>
      </c>
      <c r="O92" s="1049">
        <f t="shared" si="2"/>
        <v>164267.78333333335</v>
      </c>
      <c r="P92" s="254"/>
      <c r="Q92" s="254"/>
      <c r="R92" s="322"/>
    </row>
    <row r="93" spans="1:18" hidden="1">
      <c r="A93" s="113" t="s">
        <v>47</v>
      </c>
      <c r="B93" s="1041">
        <v>32537.952777777777</v>
      </c>
      <c r="C93" s="1041">
        <v>57473.061111111114</v>
      </c>
      <c r="D93" s="1087" t="s">
        <v>88</v>
      </c>
      <c r="E93" s="1041">
        <v>2812.5555555555557</v>
      </c>
      <c r="F93" s="1043">
        <v>13281.56388888889</v>
      </c>
      <c r="G93" s="1043">
        <v>2120.1750000000002</v>
      </c>
      <c r="H93" s="1092"/>
      <c r="I93" s="1044">
        <v>441.65</v>
      </c>
      <c r="J93" s="1043">
        <v>72.849999999999994</v>
      </c>
      <c r="K93" s="1095">
        <v>38415.569444444445</v>
      </c>
      <c r="L93" s="1046">
        <v>7381.6694444444456</v>
      </c>
      <c r="M93" s="1047">
        <v>145.44999999999996</v>
      </c>
      <c r="N93" s="1096">
        <v>12825.219444444445</v>
      </c>
      <c r="O93" s="1049">
        <f t="shared" si="2"/>
        <v>167507.71666666667</v>
      </c>
      <c r="P93" s="254"/>
      <c r="Q93" s="254"/>
      <c r="R93" s="322"/>
    </row>
    <row r="94" spans="1:18" hidden="1">
      <c r="A94" s="113" t="s">
        <v>48</v>
      </c>
      <c r="B94" s="1041">
        <v>33226.59814814815</v>
      </c>
      <c r="C94" s="1041">
        <v>58346.325925925928</v>
      </c>
      <c r="D94" s="1087" t="s">
        <v>88</v>
      </c>
      <c r="E94" s="1041">
        <v>2896.562962962963</v>
      </c>
      <c r="F94" s="1043">
        <v>13567.624074074074</v>
      </c>
      <c r="G94" s="1043">
        <v>2335.3833333333332</v>
      </c>
      <c r="H94" s="1092"/>
      <c r="I94" s="1044">
        <v>491.13333333333333</v>
      </c>
      <c r="J94" s="1043">
        <v>64.766666666666666</v>
      </c>
      <c r="K94" s="1095">
        <v>38598.253703703704</v>
      </c>
      <c r="L94" s="1046">
        <v>7867.9203703703697</v>
      </c>
      <c r="M94" s="1047">
        <v>216.63333333333338</v>
      </c>
      <c r="N94" s="1096">
        <v>12961.42037037037</v>
      </c>
      <c r="O94" s="1049">
        <f t="shared" si="2"/>
        <v>170572.62222222224</v>
      </c>
      <c r="P94" s="254"/>
      <c r="Q94" s="254"/>
      <c r="R94" s="322"/>
    </row>
    <row r="95" spans="1:18" hidden="1">
      <c r="A95" s="113" t="s">
        <v>49</v>
      </c>
      <c r="B95" s="1041">
        <v>33841.501543209866</v>
      </c>
      <c r="C95" s="1041">
        <v>59248.889506172847</v>
      </c>
      <c r="D95" s="1087" t="s">
        <v>88</v>
      </c>
      <c r="E95" s="1041">
        <v>2975.141975308642</v>
      </c>
      <c r="F95" s="1043">
        <v>13813.352160493827</v>
      </c>
      <c r="G95" s="1043">
        <v>2550.5916666666662</v>
      </c>
      <c r="H95" s="1092"/>
      <c r="I95" s="1044">
        <v>540.61666666666667</v>
      </c>
      <c r="J95" s="1043">
        <v>56.683333333333337</v>
      </c>
      <c r="K95" s="1095">
        <v>38776.255246913577</v>
      </c>
      <c r="L95" s="1046">
        <v>8337.8996913580268</v>
      </c>
      <c r="M95" s="1047">
        <v>283.37222222222226</v>
      </c>
      <c r="N95" s="1096">
        <v>13096.538580246914</v>
      </c>
      <c r="O95" s="1049">
        <f t="shared" si="2"/>
        <v>173520.84259259258</v>
      </c>
      <c r="P95" s="254"/>
      <c r="Q95" s="254"/>
      <c r="R95" s="322"/>
    </row>
    <row r="96" spans="1:18" hidden="1">
      <c r="A96" s="113" t="s">
        <v>50</v>
      </c>
      <c r="B96" s="1041">
        <v>37258.599999999991</v>
      </c>
      <c r="C96" s="1041">
        <v>59038.099999999984</v>
      </c>
      <c r="D96" s="1087" t="s">
        <v>88</v>
      </c>
      <c r="E96" s="1041">
        <v>3260</v>
      </c>
      <c r="F96" s="1043">
        <v>15591.699999999999</v>
      </c>
      <c r="G96" s="1043">
        <v>2765.8</v>
      </c>
      <c r="H96" s="1092"/>
      <c r="I96" s="1044">
        <v>590.1</v>
      </c>
      <c r="J96" s="1043">
        <v>48.6</v>
      </c>
      <c r="K96" s="1095">
        <v>39132.200000000004</v>
      </c>
      <c r="L96" s="1046">
        <v>9426.1999999999971</v>
      </c>
      <c r="M96" s="1047">
        <v>519</v>
      </c>
      <c r="N96" s="1096">
        <v>13272.8</v>
      </c>
      <c r="O96" s="1049">
        <f t="shared" si="2"/>
        <v>180903.09999999998</v>
      </c>
      <c r="P96" s="254"/>
      <c r="Q96" s="254"/>
      <c r="R96" s="322"/>
    </row>
    <row r="97" spans="1:18" hidden="1">
      <c r="A97" s="113"/>
      <c r="B97" s="1041"/>
      <c r="C97" s="1041"/>
      <c r="D97" s="1087"/>
      <c r="E97" s="1041"/>
      <c r="F97" s="1043"/>
      <c r="G97" s="1043"/>
      <c r="H97" s="1092"/>
      <c r="I97" s="1044"/>
      <c r="J97" s="1043"/>
      <c r="K97" s="1095"/>
      <c r="L97" s="1046"/>
      <c r="M97" s="1047"/>
      <c r="N97" s="1096"/>
      <c r="O97" s="1049"/>
      <c r="P97" s="254"/>
      <c r="Q97" s="254"/>
      <c r="R97" s="322"/>
    </row>
    <row r="98" spans="1:18" hidden="1">
      <c r="A98" s="113" t="s">
        <v>51</v>
      </c>
      <c r="B98" s="1041">
        <v>35898.483333333337</v>
      </c>
      <c r="C98" s="1041">
        <v>60508.366666666654</v>
      </c>
      <c r="D98" s="1087" t="s">
        <v>88</v>
      </c>
      <c r="E98" s="1041">
        <v>3352.45</v>
      </c>
      <c r="F98" s="1043">
        <v>15008.25</v>
      </c>
      <c r="G98" s="1043">
        <v>1572.9666666666667</v>
      </c>
      <c r="H98" s="1092"/>
      <c r="I98" s="1044">
        <v>544.36666666666667</v>
      </c>
      <c r="J98" s="1043">
        <v>40.5</v>
      </c>
      <c r="K98" s="1095">
        <v>39623.983333333337</v>
      </c>
      <c r="L98" s="1046">
        <v>8921.5999999999985</v>
      </c>
      <c r="M98" s="1047">
        <v>499.61666666666673</v>
      </c>
      <c r="N98" s="1096">
        <v>13412.55</v>
      </c>
      <c r="O98" s="1049">
        <f t="shared" si="2"/>
        <v>179383.1333333333</v>
      </c>
      <c r="P98" s="254"/>
      <c r="Q98" s="254"/>
      <c r="R98" s="322"/>
    </row>
    <row r="99" spans="1:18" hidden="1">
      <c r="A99" s="113" t="s">
        <v>52</v>
      </c>
      <c r="B99" s="1041">
        <v>34538.366666666676</v>
      </c>
      <c r="C99" s="1041">
        <v>62015.433333333327</v>
      </c>
      <c r="D99" s="1087" t="s">
        <v>88</v>
      </c>
      <c r="E99" s="1041">
        <v>3444.9</v>
      </c>
      <c r="F99" s="1043">
        <v>14692.3</v>
      </c>
      <c r="G99" s="1043">
        <v>1722.0333333333333</v>
      </c>
      <c r="H99" s="1092"/>
      <c r="I99" s="1044">
        <v>498.63333333333333</v>
      </c>
      <c r="J99" s="1043">
        <v>32.400000000000006</v>
      </c>
      <c r="K99" s="1095">
        <v>40122.166666666672</v>
      </c>
      <c r="L99" s="1046">
        <v>8427.6</v>
      </c>
      <c r="M99" s="1047">
        <v>480.23333333333329</v>
      </c>
      <c r="N99" s="1096">
        <v>13540.299999999997</v>
      </c>
      <c r="O99" s="1049">
        <f t="shared" si="2"/>
        <v>179514.36666666667</v>
      </c>
      <c r="P99" s="254"/>
      <c r="Q99" s="254"/>
      <c r="R99" s="322"/>
    </row>
    <row r="100" spans="1:18" hidden="1">
      <c r="A100" s="113" t="s">
        <v>53</v>
      </c>
      <c r="B100" s="1041">
        <v>33178.25</v>
      </c>
      <c r="C100" s="1041">
        <v>63522.5</v>
      </c>
      <c r="D100" s="1087" t="s">
        <v>88</v>
      </c>
      <c r="E100" s="1041">
        <v>3537.35</v>
      </c>
      <c r="F100" s="1043">
        <v>14376.349999999999</v>
      </c>
      <c r="G100" s="1043">
        <v>1871.1</v>
      </c>
      <c r="H100" s="1092"/>
      <c r="I100" s="1044">
        <v>452.9</v>
      </c>
      <c r="J100" s="1043">
        <v>24.300000000000004</v>
      </c>
      <c r="K100" s="1095">
        <v>40620.35</v>
      </c>
      <c r="L100" s="1046">
        <v>7933.6000000000022</v>
      </c>
      <c r="M100" s="1047">
        <v>460.85</v>
      </c>
      <c r="N100" s="1096">
        <v>13668.05</v>
      </c>
      <c r="O100" s="1049">
        <f t="shared" si="2"/>
        <v>179645.6</v>
      </c>
      <c r="P100" s="254"/>
      <c r="Q100" s="254"/>
      <c r="R100" s="322"/>
    </row>
    <row r="101" spans="1:18" hidden="1">
      <c r="A101" s="113" t="s">
        <v>603</v>
      </c>
      <c r="B101" s="1041">
        <v>31818.133333333331</v>
      </c>
      <c r="C101" s="1041">
        <v>65029.566666666666</v>
      </c>
      <c r="D101" s="1087" t="s">
        <v>88</v>
      </c>
      <c r="E101" s="1041">
        <v>3629.8</v>
      </c>
      <c r="F101" s="1043">
        <v>14060.400000000001</v>
      </c>
      <c r="G101" s="1043">
        <v>2020.1666666666667</v>
      </c>
      <c r="H101" s="1092"/>
      <c r="I101" s="1044">
        <v>407.16666666666663</v>
      </c>
      <c r="J101" s="1043">
        <v>16.200000000000003</v>
      </c>
      <c r="K101" s="1095">
        <v>41118.533333333326</v>
      </c>
      <c r="L101" s="1046">
        <v>7439.5999999999995</v>
      </c>
      <c r="M101" s="1047">
        <v>441.4666666666667</v>
      </c>
      <c r="N101" s="1096">
        <v>13795.800000000001</v>
      </c>
      <c r="O101" s="1049">
        <f t="shared" si="2"/>
        <v>179776.83333333334</v>
      </c>
      <c r="P101" s="254"/>
      <c r="Q101" s="254"/>
      <c r="R101" s="322"/>
    </row>
    <row r="102" spans="1:18" hidden="1">
      <c r="A102" s="113" t="s">
        <v>609</v>
      </c>
      <c r="B102" s="1041">
        <v>30458.016666666666</v>
      </c>
      <c r="C102" s="1041">
        <v>66536.633333333331</v>
      </c>
      <c r="D102" s="1087" t="s">
        <v>88</v>
      </c>
      <c r="E102" s="1041">
        <v>3722.25</v>
      </c>
      <c r="F102" s="1043">
        <v>13744.45</v>
      </c>
      <c r="G102" s="1043">
        <v>2169.2333333333336</v>
      </c>
      <c r="H102" s="1092"/>
      <c r="I102" s="1044">
        <v>361.43333333333328</v>
      </c>
      <c r="J102" s="1043">
        <v>8.1000000000000014</v>
      </c>
      <c r="K102" s="1095">
        <v>41616.716666666667</v>
      </c>
      <c r="L102" s="1046">
        <v>6945.5999999999995</v>
      </c>
      <c r="M102" s="1047">
        <v>422.08333333333337</v>
      </c>
      <c r="N102" s="1096">
        <v>13923.550000000001</v>
      </c>
      <c r="O102" s="1049">
        <f>SUM(B102:N102)</f>
        <v>179908.06666666668</v>
      </c>
      <c r="P102" s="254"/>
      <c r="Q102" s="254"/>
      <c r="R102" s="322"/>
    </row>
    <row r="103" spans="1:18" hidden="1">
      <c r="A103" s="113" t="s">
        <v>44</v>
      </c>
      <c r="B103" s="1041">
        <v>29097.9</v>
      </c>
      <c r="C103" s="1041">
        <v>68077.699999999983</v>
      </c>
      <c r="D103" s="1087" t="s">
        <v>88</v>
      </c>
      <c r="E103" s="1041">
        <v>3814.7</v>
      </c>
      <c r="F103" s="1043">
        <v>13359.5</v>
      </c>
      <c r="G103" s="1043">
        <v>2170.5</v>
      </c>
      <c r="H103" s="1092"/>
      <c r="I103" s="1044">
        <v>315.7</v>
      </c>
      <c r="J103" s="1086" t="s">
        <v>88</v>
      </c>
      <c r="K103" s="1095">
        <v>42177.8</v>
      </c>
      <c r="L103" s="1046">
        <v>6400</v>
      </c>
      <c r="M103" s="1047">
        <v>402.7</v>
      </c>
      <c r="N103" s="1096">
        <v>14061.5</v>
      </c>
      <c r="O103" s="1049">
        <f t="shared" si="2"/>
        <v>179878</v>
      </c>
      <c r="P103" s="254"/>
      <c r="Q103" s="254"/>
      <c r="R103" s="322"/>
    </row>
    <row r="104" spans="1:18" hidden="1">
      <c r="A104" s="113" t="s">
        <v>617</v>
      </c>
      <c r="B104" s="1041">
        <v>29123.850000000002</v>
      </c>
      <c r="C104" s="1041">
        <v>69100.849999999991</v>
      </c>
      <c r="D104" s="1087" t="s">
        <v>88</v>
      </c>
      <c r="E104" s="1041">
        <v>3539.1</v>
      </c>
      <c r="F104" s="1043">
        <v>13733.216666666665</v>
      </c>
      <c r="G104" s="1043">
        <v>2169.3666666666668</v>
      </c>
      <c r="H104" s="1092"/>
      <c r="I104" s="1044">
        <v>305.95</v>
      </c>
      <c r="J104" s="1086" t="s">
        <v>88</v>
      </c>
      <c r="K104" s="1095">
        <v>43048.1</v>
      </c>
      <c r="L104" s="1046">
        <v>7284.8833333333323</v>
      </c>
      <c r="M104" s="1047">
        <v>323.68333333333334</v>
      </c>
      <c r="N104" s="1096">
        <v>13755.349999999999</v>
      </c>
      <c r="O104" s="1049">
        <f t="shared" si="2"/>
        <v>182384.34999999998</v>
      </c>
      <c r="P104" s="254"/>
      <c r="Q104" s="254"/>
      <c r="R104" s="322"/>
    </row>
    <row r="105" spans="1:18" hidden="1">
      <c r="A105" s="113" t="s">
        <v>623</v>
      </c>
      <c r="B105" s="1041">
        <v>29147.544444444444</v>
      </c>
      <c r="C105" s="1041">
        <v>70126.649999999994</v>
      </c>
      <c r="D105" s="1087" t="s">
        <v>88</v>
      </c>
      <c r="E105" s="1041">
        <v>3269.8833333333332</v>
      </c>
      <c r="F105" s="1043">
        <v>14120.577777777778</v>
      </c>
      <c r="G105" s="1043">
        <v>2168.2333333333336</v>
      </c>
      <c r="H105" s="1092"/>
      <c r="I105" s="1044">
        <v>301.37777777777774</v>
      </c>
      <c r="J105" s="1086" t="s">
        <v>88</v>
      </c>
      <c r="K105" s="1095">
        <v>43925.794444444444</v>
      </c>
      <c r="L105" s="1046">
        <v>8162.0888888888903</v>
      </c>
      <c r="M105" s="1047">
        <v>246.26111111111109</v>
      </c>
      <c r="N105" s="1096">
        <v>13477.638888888891</v>
      </c>
      <c r="O105" s="1049">
        <f t="shared" si="2"/>
        <v>184946.05</v>
      </c>
      <c r="P105" s="254"/>
      <c r="Q105" s="254"/>
      <c r="R105" s="322"/>
    </row>
    <row r="106" spans="1:18" hidden="1">
      <c r="A106" s="113" t="s">
        <v>47</v>
      </c>
      <c r="B106" s="1041">
        <v>29170.111111111109</v>
      </c>
      <c r="C106" s="1041">
        <v>71153.775000000009</v>
      </c>
      <c r="D106" s="1087" t="s">
        <v>88</v>
      </c>
      <c r="E106" s="1041">
        <v>3003.8583333333336</v>
      </c>
      <c r="F106" s="1043">
        <v>14514.761111111111</v>
      </c>
      <c r="G106" s="1043">
        <v>2167.1000000000004</v>
      </c>
      <c r="H106" s="1092"/>
      <c r="I106" s="1044">
        <v>299.39444444444445</v>
      </c>
      <c r="J106" s="1086" t="s">
        <v>88</v>
      </c>
      <c r="K106" s="1095">
        <v>44807.186111111107</v>
      </c>
      <c r="L106" s="1046">
        <v>9035.4555555555544</v>
      </c>
      <c r="M106" s="1047">
        <v>169.63611111111106</v>
      </c>
      <c r="N106" s="1096">
        <v>13214.147222222224</v>
      </c>
      <c r="O106" s="1049">
        <f t="shared" si="2"/>
        <v>187535.42500000005</v>
      </c>
      <c r="P106" s="254"/>
      <c r="Q106" s="254"/>
      <c r="R106" s="322"/>
    </row>
    <row r="107" spans="1:18" hidden="1">
      <c r="A107" s="113" t="s">
        <v>631</v>
      </c>
      <c r="B107" s="1041">
        <v>29191.925925925923</v>
      </c>
      <c r="C107" s="1041">
        <v>72181.78333333334</v>
      </c>
      <c r="D107" s="1087" t="s">
        <v>88</v>
      </c>
      <c r="E107" s="1041">
        <v>2739.9611111111108</v>
      </c>
      <c r="F107" s="1043">
        <v>14913.492592592595</v>
      </c>
      <c r="G107" s="1043">
        <v>2165.9666666666667</v>
      </c>
      <c r="H107" s="1092"/>
      <c r="I107" s="1044">
        <v>299.13703703703709</v>
      </c>
      <c r="J107" s="1086" t="s">
        <v>88</v>
      </c>
      <c r="K107" s="1095">
        <v>45691.042592592588</v>
      </c>
      <c r="L107" s="1046">
        <v>9906.262962962961</v>
      </c>
      <c r="M107" s="1047">
        <v>93.542592592592555</v>
      </c>
      <c r="N107" s="1096">
        <v>12960.135185185187</v>
      </c>
      <c r="O107" s="1049">
        <f t="shared" si="2"/>
        <v>190143.25</v>
      </c>
      <c r="P107" s="254"/>
      <c r="Q107" s="254"/>
      <c r="R107" s="322"/>
    </row>
    <row r="108" spans="1:18" hidden="1">
      <c r="A108" s="113" t="s">
        <v>654</v>
      </c>
      <c r="B108" s="1041">
        <v>29213.239506172842</v>
      </c>
      <c r="C108" s="1041">
        <v>73210.380555555559</v>
      </c>
      <c r="D108" s="1087" t="s">
        <v>88</v>
      </c>
      <c r="E108" s="1042">
        <v>2477.4824074074072</v>
      </c>
      <c r="F108" s="1043">
        <v>15315.256172839507</v>
      </c>
      <c r="G108" s="1043">
        <v>2164.8333333333335</v>
      </c>
      <c r="H108" s="1092"/>
      <c r="I108" s="1044">
        <v>300.03024691358024</v>
      </c>
      <c r="J108" s="1086" t="s">
        <v>88</v>
      </c>
      <c r="K108" s="1095">
        <v>46576.542283950614</v>
      </c>
      <c r="L108" s="1046">
        <v>10775.364197530864</v>
      </c>
      <c r="M108" s="1047">
        <v>17.803395061728395</v>
      </c>
      <c r="N108" s="1048">
        <v>12712.442901234568</v>
      </c>
      <c r="O108" s="1049">
        <f t="shared" si="2"/>
        <v>192763.37500000003</v>
      </c>
      <c r="P108" s="254"/>
      <c r="Q108" s="254"/>
      <c r="R108" s="322"/>
    </row>
    <row r="109" spans="1:18" hidden="1">
      <c r="A109" s="113" t="s">
        <v>665</v>
      </c>
      <c r="B109" s="1041">
        <v>29253.600000000002</v>
      </c>
      <c r="C109" s="1041">
        <v>74216.599999999991</v>
      </c>
      <c r="D109" s="1087" t="s">
        <v>88</v>
      </c>
      <c r="E109" s="1042">
        <v>2161.1</v>
      </c>
      <c r="F109" s="1043">
        <v>15601.8</v>
      </c>
      <c r="G109" s="1043">
        <v>2163.6999999999998</v>
      </c>
      <c r="H109" s="1092"/>
      <c r="I109" s="1044">
        <v>257.2</v>
      </c>
      <c r="J109" s="1086" t="s">
        <v>88</v>
      </c>
      <c r="K109" s="1095">
        <v>47399.6</v>
      </c>
      <c r="L109" s="1046">
        <v>11709.299999999997</v>
      </c>
      <c r="M109" s="1047">
        <v>-71.400000000000006</v>
      </c>
      <c r="N109" s="1048">
        <v>12224.6</v>
      </c>
      <c r="O109" s="1049">
        <f t="shared" si="2"/>
        <v>194916.1</v>
      </c>
      <c r="P109" s="254"/>
      <c r="Q109" s="254"/>
      <c r="R109" s="322"/>
    </row>
    <row r="110" spans="1:18" hidden="1">
      <c r="A110" s="113"/>
      <c r="B110" s="1041"/>
      <c r="C110" s="1041"/>
      <c r="D110" s="1087"/>
      <c r="E110" s="1042"/>
      <c r="F110" s="1043"/>
      <c r="G110" s="1043"/>
      <c r="H110" s="1092"/>
      <c r="I110" s="1044"/>
      <c r="J110" s="1086"/>
      <c r="K110" s="1095"/>
      <c r="L110" s="1046"/>
      <c r="M110" s="1047"/>
      <c r="N110" s="1048"/>
      <c r="O110" s="1049"/>
      <c r="P110" s="254"/>
      <c r="Q110" s="254"/>
      <c r="R110" s="322"/>
    </row>
    <row r="111" spans="1:18" hidden="1">
      <c r="A111" s="113" t="s">
        <v>39</v>
      </c>
      <c r="B111" s="1041">
        <v>38925.716666666667</v>
      </c>
      <c r="C111" s="1041">
        <v>67438.5</v>
      </c>
      <c r="D111" s="1087" t="s">
        <v>88</v>
      </c>
      <c r="E111" s="1042">
        <v>2614.2416666666668</v>
      </c>
      <c r="F111" s="1043">
        <v>15400.941666666666</v>
      </c>
      <c r="G111" s="1043">
        <v>2134.4833333333331</v>
      </c>
      <c r="H111" s="1092"/>
      <c r="I111" s="1044">
        <v>409.03333333333336</v>
      </c>
      <c r="J111" s="1086" t="s">
        <v>88</v>
      </c>
      <c r="K111" s="1095">
        <v>48775.941666666673</v>
      </c>
      <c r="L111" s="1046">
        <v>11567.98333333333</v>
      </c>
      <c r="M111" s="1047">
        <v>-59.133333333333333</v>
      </c>
      <c r="N111" s="1048">
        <v>13513.116666666669</v>
      </c>
      <c r="O111" s="1049">
        <f t="shared" si="2"/>
        <v>200720.82500000004</v>
      </c>
      <c r="P111" s="254"/>
      <c r="Q111" s="254"/>
      <c r="R111" s="322"/>
    </row>
    <row r="112" spans="1:18" hidden="1">
      <c r="A112" s="113" t="s">
        <v>677</v>
      </c>
      <c r="B112" s="1041">
        <v>48597.833333333328</v>
      </c>
      <c r="C112" s="1041">
        <v>60660.399999999994</v>
      </c>
      <c r="D112" s="1087" t="s">
        <v>88</v>
      </c>
      <c r="E112" s="1042">
        <v>3067.3833333333332</v>
      </c>
      <c r="F112" s="1043">
        <v>15200.083333333334</v>
      </c>
      <c r="G112" s="1043">
        <v>2105.2666666666664</v>
      </c>
      <c r="H112" s="1092"/>
      <c r="I112" s="1044">
        <v>560.86666666666667</v>
      </c>
      <c r="J112" s="1086" t="s">
        <v>88</v>
      </c>
      <c r="K112" s="1095">
        <v>50152.283333333347</v>
      </c>
      <c r="L112" s="1046">
        <v>11426.666666666664</v>
      </c>
      <c r="M112" s="1047">
        <v>-46.866666666666674</v>
      </c>
      <c r="N112" s="1048">
        <v>14801.633333333331</v>
      </c>
      <c r="O112" s="1049">
        <f t="shared" si="2"/>
        <v>206525.55</v>
      </c>
      <c r="P112" s="254"/>
      <c r="Q112" s="254"/>
      <c r="R112" s="322"/>
    </row>
    <row r="113" spans="1:18" hidden="1">
      <c r="A113" s="113" t="s">
        <v>65</v>
      </c>
      <c r="B113" s="1041">
        <v>58269.950000000004</v>
      </c>
      <c r="C113" s="1041">
        <v>53882.299999999996</v>
      </c>
      <c r="D113" s="1087" t="s">
        <v>88</v>
      </c>
      <c r="E113" s="1042">
        <v>3520.5250000000001</v>
      </c>
      <c r="F113" s="1043">
        <v>14999.225</v>
      </c>
      <c r="G113" s="1043">
        <v>2076.0500000000002</v>
      </c>
      <c r="H113" s="1092"/>
      <c r="I113" s="1044">
        <v>712.7</v>
      </c>
      <c r="J113" s="1086" t="s">
        <v>88</v>
      </c>
      <c r="K113" s="1095">
        <v>51528.624999999993</v>
      </c>
      <c r="L113" s="1046">
        <v>11285.349999999999</v>
      </c>
      <c r="M113" s="1047">
        <v>-34.6</v>
      </c>
      <c r="N113" s="1048">
        <v>16090.15</v>
      </c>
      <c r="O113" s="1049">
        <f t="shared" si="2"/>
        <v>212330.27499999999</v>
      </c>
      <c r="P113" s="254"/>
      <c r="Q113" s="254"/>
      <c r="R113" s="322"/>
    </row>
    <row r="114" spans="1:18" hidden="1">
      <c r="A114" s="113" t="s">
        <v>691</v>
      </c>
      <c r="B114" s="1041">
        <v>67942.066666666666</v>
      </c>
      <c r="C114" s="1041">
        <v>47104.2</v>
      </c>
      <c r="D114" s="1087" t="s">
        <v>88</v>
      </c>
      <c r="E114" s="1042">
        <v>3973.666666666667</v>
      </c>
      <c r="F114" s="1043">
        <v>14798.366666666669</v>
      </c>
      <c r="G114" s="1043">
        <v>2046.8333333333335</v>
      </c>
      <c r="H114" s="1092"/>
      <c r="I114" s="1044">
        <v>864.53333333333342</v>
      </c>
      <c r="J114" s="1086" t="s">
        <v>88</v>
      </c>
      <c r="K114" s="1095">
        <v>52904.966666666674</v>
      </c>
      <c r="L114" s="1046">
        <v>11144.033333333333</v>
      </c>
      <c r="M114" s="1047">
        <v>-22.333333333333339</v>
      </c>
      <c r="N114" s="1048">
        <v>17378.666666666668</v>
      </c>
      <c r="O114" s="1049">
        <f t="shared" si="2"/>
        <v>218134.99999999997</v>
      </c>
      <c r="P114" s="254"/>
      <c r="Q114" s="254"/>
      <c r="R114" s="322"/>
    </row>
    <row r="115" spans="1:18" hidden="1">
      <c r="A115" s="113" t="s">
        <v>701</v>
      </c>
      <c r="B115" s="1041">
        <v>77614.18333333332</v>
      </c>
      <c r="C115" s="1041">
        <v>40326.100000000006</v>
      </c>
      <c r="D115" s="1087" t="s">
        <v>88</v>
      </c>
      <c r="E115" s="1042">
        <v>4426.8083333333334</v>
      </c>
      <c r="F115" s="1043">
        <v>14597.508333333331</v>
      </c>
      <c r="G115" s="1043">
        <v>2017.6166666666666</v>
      </c>
      <c r="H115" s="1092"/>
      <c r="I115" s="1044">
        <v>1016.3666666666667</v>
      </c>
      <c r="J115" s="1086" t="s">
        <v>88</v>
      </c>
      <c r="K115" s="1095">
        <v>54281.308333333342</v>
      </c>
      <c r="L115" s="1046">
        <v>11002.716666666667</v>
      </c>
      <c r="M115" s="1047">
        <v>-10.066666666666675</v>
      </c>
      <c r="N115" s="1048">
        <v>18667.183333333331</v>
      </c>
      <c r="O115" s="1049">
        <f t="shared" si="2"/>
        <v>223939.72499999998</v>
      </c>
      <c r="Q115" s="254"/>
      <c r="R115" s="322"/>
    </row>
    <row r="116" spans="1:18" hidden="1">
      <c r="A116" s="113" t="s">
        <v>713</v>
      </c>
      <c r="B116" s="1041">
        <v>87286.3</v>
      </c>
      <c r="C116" s="1041">
        <v>33548.000000000007</v>
      </c>
      <c r="D116" s="1087" t="s">
        <v>88</v>
      </c>
      <c r="E116" s="1042">
        <v>4879.95</v>
      </c>
      <c r="F116" s="1043">
        <v>14396.65</v>
      </c>
      <c r="G116" s="1043">
        <v>1988.4</v>
      </c>
      <c r="H116" s="1092"/>
      <c r="I116" s="1044">
        <v>1168.2</v>
      </c>
      <c r="J116" s="1086" t="s">
        <v>88</v>
      </c>
      <c r="K116" s="1049">
        <v>55657.65</v>
      </c>
      <c r="L116" s="1046">
        <v>10861.400000000001</v>
      </c>
      <c r="M116" s="1047">
        <v>2.1999999999999957</v>
      </c>
      <c r="N116" s="1048">
        <v>19955.699999999997</v>
      </c>
      <c r="O116" s="1049">
        <f t="shared" si="2"/>
        <v>229744.45</v>
      </c>
      <c r="P116" s="254"/>
      <c r="Q116" s="254"/>
      <c r="R116" s="322"/>
    </row>
    <row r="117" spans="1:18">
      <c r="A117" s="113" t="s">
        <v>735</v>
      </c>
      <c r="B117" s="1041">
        <v>81417.533333333326</v>
      </c>
      <c r="C117" s="1041">
        <v>34434.933333333342</v>
      </c>
      <c r="D117" s="1087" t="s">
        <v>88</v>
      </c>
      <c r="E117" s="1042">
        <v>4836.1083333333336</v>
      </c>
      <c r="F117" s="1043">
        <v>14439.991666666665</v>
      </c>
      <c r="G117" s="1043">
        <v>1997.9499999999998</v>
      </c>
      <c r="H117" s="1092"/>
      <c r="I117" s="1044">
        <v>1081.45</v>
      </c>
      <c r="J117" s="1086" t="s">
        <v>88</v>
      </c>
      <c r="K117" s="1049">
        <v>54692.108333333337</v>
      </c>
      <c r="L117" s="1046">
        <v>12146.866666666667</v>
      </c>
      <c r="M117" s="1047">
        <v>-99.566666666666677</v>
      </c>
      <c r="N117" s="1048">
        <v>19302.633333333335</v>
      </c>
      <c r="O117" s="1049">
        <f t="shared" si="2"/>
        <v>224250.00833333336</v>
      </c>
      <c r="Q117" s="254"/>
      <c r="R117" s="322"/>
    </row>
    <row r="118" spans="1:18">
      <c r="A118" s="113" t="s">
        <v>46</v>
      </c>
      <c r="B118" s="1041">
        <v>75548.766666666663</v>
      </c>
      <c r="C118" s="1041">
        <v>35321.866666666669</v>
      </c>
      <c r="D118" s="1087" t="s">
        <v>88</v>
      </c>
      <c r="E118" s="1042">
        <v>4792.2666666666664</v>
      </c>
      <c r="F118" s="1043">
        <v>14483.333333333332</v>
      </c>
      <c r="G118" s="1043">
        <v>2007.5</v>
      </c>
      <c r="H118" s="1092"/>
      <c r="I118" s="1044">
        <v>994.7</v>
      </c>
      <c r="J118" s="1086" t="s">
        <v>88</v>
      </c>
      <c r="K118" s="1049">
        <v>53726.566666666658</v>
      </c>
      <c r="L118" s="1046">
        <v>13432.333333333338</v>
      </c>
      <c r="M118" s="1047">
        <v>-201.33333333333334</v>
      </c>
      <c r="N118" s="1048">
        <v>18649.566666666669</v>
      </c>
      <c r="O118" s="1049">
        <f t="shared" si="2"/>
        <v>218755.56666666668</v>
      </c>
      <c r="Q118" s="254"/>
      <c r="R118" s="322"/>
    </row>
    <row r="119" spans="1:18">
      <c r="A119" s="113" t="s">
        <v>47</v>
      </c>
      <c r="B119" s="1041">
        <v>69680</v>
      </c>
      <c r="C119" s="1041">
        <v>36208.800000000003</v>
      </c>
      <c r="D119" s="1087" t="s">
        <v>88</v>
      </c>
      <c r="E119" s="1042">
        <v>4748.4250000000002</v>
      </c>
      <c r="F119" s="1043">
        <v>14526.675000000001</v>
      </c>
      <c r="G119" s="1043">
        <v>2017.0500000000002</v>
      </c>
      <c r="H119" s="1092"/>
      <c r="I119" s="1044">
        <v>907.95</v>
      </c>
      <c r="J119" s="1086" t="s">
        <v>88</v>
      </c>
      <c r="K119" s="1049">
        <v>52761.025000000009</v>
      </c>
      <c r="L119" s="1046">
        <v>14717.800000000003</v>
      </c>
      <c r="M119" s="1047">
        <v>-303.10000000000002</v>
      </c>
      <c r="N119" s="1048">
        <v>17996.5</v>
      </c>
      <c r="O119" s="1049">
        <f t="shared" si="2"/>
        <v>213261.12500000003</v>
      </c>
      <c r="Q119" s="254"/>
      <c r="R119" s="322"/>
    </row>
    <row r="120" spans="1:18">
      <c r="A120" s="113" t="s">
        <v>48</v>
      </c>
      <c r="B120" s="1041">
        <v>71961.933333333334</v>
      </c>
      <c r="C120" s="1041">
        <v>37097.666666666664</v>
      </c>
      <c r="D120" s="1087" t="s">
        <v>88</v>
      </c>
      <c r="E120" s="1042">
        <v>4695.4833333333336</v>
      </c>
      <c r="F120" s="1043">
        <v>14133.050000000003</v>
      </c>
      <c r="G120" s="1043">
        <v>1941.3333333333333</v>
      </c>
      <c r="H120" s="1092"/>
      <c r="I120" s="1044">
        <v>812.73333333333335</v>
      </c>
      <c r="J120" s="1086" t="s">
        <v>88</v>
      </c>
      <c r="K120" s="1049">
        <v>52883.883333333324</v>
      </c>
      <c r="L120" s="1046">
        <v>14822.133333333339</v>
      </c>
      <c r="M120" s="1047">
        <v>-191.43333333333331</v>
      </c>
      <c r="N120" s="1048">
        <v>19565.2</v>
      </c>
      <c r="O120" s="1049">
        <f t="shared" si="2"/>
        <v>217721.98333333337</v>
      </c>
      <c r="Q120" s="254"/>
      <c r="R120" s="322"/>
    </row>
    <row r="121" spans="1:18">
      <c r="A121" s="113" t="s">
        <v>49</v>
      </c>
      <c r="B121" s="1041">
        <v>74136.599999999991</v>
      </c>
      <c r="C121" s="1041">
        <v>37830.755555555545</v>
      </c>
      <c r="D121" s="1087" t="s">
        <v>88</v>
      </c>
      <c r="E121" s="1042">
        <v>4657.3861111111109</v>
      </c>
      <c r="F121" s="1043">
        <v>13975.158333333333</v>
      </c>
      <c r="G121" s="1043">
        <v>1865.6166666666668</v>
      </c>
      <c r="H121" s="1092"/>
      <c r="I121" s="1044">
        <v>717.51666666666665</v>
      </c>
      <c r="J121" s="1086" t="s">
        <v>88</v>
      </c>
      <c r="K121" s="1049">
        <v>52987.319444444445</v>
      </c>
      <c r="L121" s="1046">
        <v>15635.644444444444</v>
      </c>
      <c r="M121" s="1047">
        <v>-150.87777777777779</v>
      </c>
      <c r="N121" s="1048">
        <v>20245.433333333334</v>
      </c>
      <c r="O121" s="1049">
        <f t="shared" si="2"/>
        <v>221900.55277777772</v>
      </c>
      <c r="Q121" s="254"/>
      <c r="R121" s="322"/>
    </row>
    <row r="122" spans="1:18">
      <c r="A122" s="113" t="s">
        <v>50</v>
      </c>
      <c r="B122" s="1041">
        <v>76525.799999999988</v>
      </c>
      <c r="C122" s="1041">
        <v>38875.399999999994</v>
      </c>
      <c r="D122" s="1087" t="s">
        <v>88</v>
      </c>
      <c r="E122" s="1042">
        <v>4589.6000000000004</v>
      </c>
      <c r="F122" s="1043">
        <v>13345.800000000001</v>
      </c>
      <c r="G122" s="1043">
        <v>1789.9</v>
      </c>
      <c r="H122" s="1092"/>
      <c r="I122" s="1044">
        <v>622.29999999999995</v>
      </c>
      <c r="J122" s="1086" t="s">
        <v>88</v>
      </c>
      <c r="K122" s="1049">
        <v>53129.600000000006</v>
      </c>
      <c r="L122" s="1046">
        <v>15030.800000000003</v>
      </c>
      <c r="M122" s="1047">
        <v>31.9</v>
      </c>
      <c r="N122" s="1048">
        <v>22702.599999999991</v>
      </c>
      <c r="O122" s="1049">
        <f t="shared" si="2"/>
        <v>226643.69999999995</v>
      </c>
      <c r="Q122" s="254"/>
      <c r="R122" s="322"/>
    </row>
    <row r="123" spans="1:18">
      <c r="A123" s="113"/>
      <c r="B123" s="1041"/>
      <c r="C123" s="1041"/>
      <c r="D123" s="1087"/>
      <c r="E123" s="1042"/>
      <c r="F123" s="1043"/>
      <c r="G123" s="1043"/>
      <c r="H123" s="1092"/>
      <c r="I123" s="1044"/>
      <c r="J123" s="1086"/>
      <c r="K123" s="1049"/>
      <c r="L123" s="1046"/>
      <c r="M123" s="1047"/>
      <c r="N123" s="1048"/>
      <c r="O123" s="1049"/>
      <c r="Q123" s="254"/>
      <c r="R123" s="322"/>
    </row>
    <row r="124" spans="1:18">
      <c r="A124" s="113" t="s">
        <v>36</v>
      </c>
      <c r="B124" s="1041">
        <v>80136.916666666672</v>
      </c>
      <c r="C124" s="1041">
        <v>40684.71666666666</v>
      </c>
      <c r="D124" s="1087" t="s">
        <v>88</v>
      </c>
      <c r="E124" s="1042">
        <v>4097.3833333333332</v>
      </c>
      <c r="F124" s="1043">
        <v>12982.066666666666</v>
      </c>
      <c r="G124" s="1043">
        <v>2158.2166666666667</v>
      </c>
      <c r="H124" s="1092"/>
      <c r="I124" s="1044">
        <v>835.88333333333344</v>
      </c>
      <c r="J124" s="1086" t="s">
        <v>88</v>
      </c>
      <c r="K124" s="1049">
        <v>55662.716666666674</v>
      </c>
      <c r="L124" s="1046">
        <v>12971.866666666665</v>
      </c>
      <c r="M124" s="1047">
        <v>-158.16666666666663</v>
      </c>
      <c r="N124" s="1048">
        <v>22877.683333333334</v>
      </c>
      <c r="O124" s="1049">
        <f t="shared" si="2"/>
        <v>232249.28333333333</v>
      </c>
      <c r="P124" s="261"/>
      <c r="Q124" s="254"/>
      <c r="R124" s="322"/>
    </row>
    <row r="125" spans="1:18">
      <c r="A125" s="113" t="s">
        <v>37</v>
      </c>
      <c r="B125" s="1041">
        <v>83748.03333333334</v>
      </c>
      <c r="C125" s="1041">
        <v>42494.033333333333</v>
      </c>
      <c r="D125" s="1087" t="s">
        <v>88</v>
      </c>
      <c r="E125" s="1042">
        <v>3605.1666666666665</v>
      </c>
      <c r="F125" s="1043">
        <v>12618.333333333334</v>
      </c>
      <c r="G125" s="1043">
        <v>2526.5333333333333</v>
      </c>
      <c r="H125" s="1092"/>
      <c r="I125" s="1044">
        <v>1049.4666666666667</v>
      </c>
      <c r="J125" s="1086" t="s">
        <v>88</v>
      </c>
      <c r="K125" s="1049">
        <v>58195.833333333328</v>
      </c>
      <c r="L125" s="1046">
        <v>10912.933333333336</v>
      </c>
      <c r="M125" s="1047">
        <v>-348.23333333333329</v>
      </c>
      <c r="N125" s="1048">
        <v>23052.76666666667</v>
      </c>
      <c r="O125" s="1049">
        <f t="shared" si="2"/>
        <v>237854.8666666667</v>
      </c>
      <c r="P125" s="261"/>
      <c r="Q125" s="254"/>
      <c r="R125" s="322"/>
    </row>
    <row r="126" spans="1:18">
      <c r="A126" s="113" t="s">
        <v>38</v>
      </c>
      <c r="B126" s="1041">
        <v>87359.15</v>
      </c>
      <c r="C126" s="1041">
        <v>44303.35</v>
      </c>
      <c r="D126" s="1087" t="s">
        <v>88</v>
      </c>
      <c r="E126" s="1042">
        <v>3112.9499999999994</v>
      </c>
      <c r="F126" s="1043">
        <v>12254.6</v>
      </c>
      <c r="G126" s="1043">
        <v>2894.8500000000004</v>
      </c>
      <c r="H126" s="1092"/>
      <c r="I126" s="1044">
        <v>1263.0500000000002</v>
      </c>
      <c r="J126" s="1086" t="s">
        <v>88</v>
      </c>
      <c r="K126" s="1049">
        <v>60728.949999999983</v>
      </c>
      <c r="L126" s="1046">
        <v>8854</v>
      </c>
      <c r="M126" s="1047">
        <v>-538.29999999999995</v>
      </c>
      <c r="N126" s="1048">
        <v>23227.850000000002</v>
      </c>
      <c r="O126" s="1049">
        <f t="shared" si="2"/>
        <v>243460.45</v>
      </c>
      <c r="P126" s="261"/>
      <c r="Q126" s="254"/>
      <c r="R126" s="322"/>
    </row>
    <row r="127" spans="1:18">
      <c r="A127" s="113" t="s">
        <v>42</v>
      </c>
      <c r="B127" s="1041">
        <v>101534.09999999999</v>
      </c>
      <c r="C127" s="1041">
        <v>45079.93333333332</v>
      </c>
      <c r="D127" s="1087" t="s">
        <v>88</v>
      </c>
      <c r="E127" s="1042">
        <v>10410.866666666667</v>
      </c>
      <c r="F127" s="1043">
        <v>13779.766666666666</v>
      </c>
      <c r="G127" s="1043">
        <v>3298.3999999999996</v>
      </c>
      <c r="H127" s="1092"/>
      <c r="I127" s="1044">
        <v>1595.9</v>
      </c>
      <c r="J127" s="1086" t="s">
        <v>88</v>
      </c>
      <c r="K127" s="1049">
        <v>62174.53333333334</v>
      </c>
      <c r="L127" s="1046">
        <v>8685.4333333333343</v>
      </c>
      <c r="M127" s="1047">
        <v>-522.63333333333333</v>
      </c>
      <c r="N127" s="1048">
        <v>27041.566666666666</v>
      </c>
      <c r="O127" s="1049">
        <f t="shared" si="2"/>
        <v>273077.8666666667</v>
      </c>
      <c r="P127" s="261"/>
      <c r="Q127" s="254"/>
      <c r="R127" s="322"/>
    </row>
    <row r="128" spans="1:18">
      <c r="A128" s="113" t="s">
        <v>606</v>
      </c>
      <c r="B128" s="1041">
        <v>115709.05000000002</v>
      </c>
      <c r="C128" s="1041">
        <v>45856.51666666667</v>
      </c>
      <c r="D128" s="1087" t="s">
        <v>88</v>
      </c>
      <c r="E128" s="1042">
        <v>17708.783333333333</v>
      </c>
      <c r="F128" s="1043">
        <v>15304.933333333332</v>
      </c>
      <c r="G128" s="1043">
        <v>3701.9500000000003</v>
      </c>
      <c r="H128" s="1092"/>
      <c r="I128" s="1044">
        <v>1928.75</v>
      </c>
      <c r="J128" s="1086" t="s">
        <v>88</v>
      </c>
      <c r="K128" s="1049">
        <v>63620.116666666654</v>
      </c>
      <c r="L128" s="1046">
        <v>8516.8666666666686</v>
      </c>
      <c r="M128" s="1047">
        <v>-506.9666666666667</v>
      </c>
      <c r="N128" s="1048">
        <v>30855.283333333336</v>
      </c>
      <c r="O128" s="1049">
        <f t="shared" si="2"/>
        <v>302695.28333333333</v>
      </c>
      <c r="P128" s="261"/>
      <c r="Q128" s="254"/>
      <c r="R128" s="322"/>
    </row>
    <row r="129" spans="1:18">
      <c r="A129" s="113" t="s">
        <v>62</v>
      </c>
      <c r="B129" s="1041">
        <v>129884.00000000001</v>
      </c>
      <c r="C129" s="1041">
        <v>46633.1</v>
      </c>
      <c r="D129" s="1087" t="s">
        <v>88</v>
      </c>
      <c r="E129" s="1042">
        <v>25006.699999999997</v>
      </c>
      <c r="F129" s="1043">
        <v>16830.100000000002</v>
      </c>
      <c r="G129" s="1043">
        <v>4105.5</v>
      </c>
      <c r="H129" s="1092"/>
      <c r="I129" s="1044">
        <v>2261.6</v>
      </c>
      <c r="J129" s="1086" t="s">
        <v>88</v>
      </c>
      <c r="K129" s="1049">
        <v>65065.700000000019</v>
      </c>
      <c r="L129" s="1046">
        <v>8348.3000000000011</v>
      </c>
      <c r="M129" s="1047">
        <v>-491.29999999999995</v>
      </c>
      <c r="N129" s="1048">
        <v>34669</v>
      </c>
      <c r="O129" s="1049">
        <f t="shared" si="2"/>
        <v>332312.7</v>
      </c>
      <c r="P129" s="261"/>
      <c r="Q129" s="254"/>
      <c r="R129" s="322"/>
    </row>
    <row r="130" spans="1:18">
      <c r="A130" s="113" t="s">
        <v>614</v>
      </c>
      <c r="B130" s="1041">
        <v>116528.85</v>
      </c>
      <c r="C130" s="1041">
        <v>47351.73333333333</v>
      </c>
      <c r="D130" s="1087" t="s">
        <v>88</v>
      </c>
      <c r="E130" s="1042">
        <v>18038.566666666666</v>
      </c>
      <c r="F130" s="1043">
        <v>17488.433333333334</v>
      </c>
      <c r="G130" s="1043">
        <v>3866.6833333333334</v>
      </c>
      <c r="H130" s="1092"/>
      <c r="I130" s="1096">
        <v>1944.35</v>
      </c>
      <c r="J130" s="1086" t="s">
        <v>88</v>
      </c>
      <c r="K130" s="1049">
        <v>64322.966666666645</v>
      </c>
      <c r="L130" s="1046">
        <v>10244.466666666671</v>
      </c>
      <c r="M130" s="1047">
        <v>-339.03333333333336</v>
      </c>
      <c r="N130" s="1048">
        <v>33395.033333333333</v>
      </c>
      <c r="O130" s="1049">
        <f t="shared" si="2"/>
        <v>312842.05000000005</v>
      </c>
      <c r="P130" s="261"/>
      <c r="Q130" s="254"/>
      <c r="R130" s="322"/>
    </row>
    <row r="131" spans="1:18">
      <c r="A131" s="113" t="s">
        <v>620</v>
      </c>
      <c r="B131" s="1041">
        <v>103173.70000000001</v>
      </c>
      <c r="C131" s="1041">
        <v>48070.366666666669</v>
      </c>
      <c r="D131" s="1087" t="s">
        <v>88</v>
      </c>
      <c r="E131" s="1042">
        <v>11070.433333333332</v>
      </c>
      <c r="F131" s="1043">
        <v>18146.766666666666</v>
      </c>
      <c r="G131" s="1043">
        <v>3627.8666666666668</v>
      </c>
      <c r="H131" s="1092"/>
      <c r="I131" s="1096">
        <v>1627.1</v>
      </c>
      <c r="J131" s="1086" t="s">
        <v>88</v>
      </c>
      <c r="K131" s="1049">
        <v>63580.23333333333</v>
      </c>
      <c r="L131" s="1046">
        <v>12140.633333333335</v>
      </c>
      <c r="M131" s="1047">
        <v>-186.76666666666668</v>
      </c>
      <c r="N131" s="1048">
        <v>32121.066666666669</v>
      </c>
      <c r="O131" s="1049">
        <f t="shared" si="2"/>
        <v>293371.40000000002</v>
      </c>
      <c r="P131" s="261"/>
      <c r="Q131" s="254"/>
      <c r="R131" s="322"/>
    </row>
    <row r="132" spans="1:18">
      <c r="A132" s="113" t="s">
        <v>63</v>
      </c>
      <c r="B132" s="1041">
        <v>89818.550000000017</v>
      </c>
      <c r="C132" s="1041">
        <v>48789</v>
      </c>
      <c r="D132" s="1087" t="s">
        <v>88</v>
      </c>
      <c r="E132" s="1042">
        <v>4102.2999999999993</v>
      </c>
      <c r="F132" s="1043">
        <v>18805.100000000002</v>
      </c>
      <c r="G132" s="1043">
        <v>3389.05</v>
      </c>
      <c r="H132" s="1092"/>
      <c r="I132" s="1096">
        <v>1309.8500000000001</v>
      </c>
      <c r="J132" s="1086" t="s">
        <v>88</v>
      </c>
      <c r="K132" s="1049">
        <v>62837.499999999985</v>
      </c>
      <c r="L132" s="1046">
        <v>14036.8</v>
      </c>
      <c r="M132" s="1047">
        <v>-34.5</v>
      </c>
      <c r="N132" s="1048">
        <v>30847.1</v>
      </c>
      <c r="O132" s="1049">
        <f t="shared" si="2"/>
        <v>273900.74999999994</v>
      </c>
      <c r="P132" s="261"/>
      <c r="Q132" s="254"/>
      <c r="R132" s="322"/>
    </row>
    <row r="133" spans="1:18">
      <c r="A133" s="113" t="s">
        <v>632</v>
      </c>
      <c r="B133" s="1041">
        <v>91822.53333333334</v>
      </c>
      <c r="C133" s="1041">
        <v>50195.26666666667</v>
      </c>
      <c r="D133" s="1087" t="s">
        <v>88</v>
      </c>
      <c r="E133" s="1042">
        <v>4247.4333333333325</v>
      </c>
      <c r="F133" s="1043">
        <v>19575.166666666664</v>
      </c>
      <c r="G133" s="1043">
        <v>3309.0333333333338</v>
      </c>
      <c r="H133" s="1092"/>
      <c r="I133" s="1096">
        <v>1141.6000000000001</v>
      </c>
      <c r="J133" s="1086" t="s">
        <v>88</v>
      </c>
      <c r="K133" s="1049">
        <v>63224.333333333328</v>
      </c>
      <c r="L133" s="1046">
        <v>14649.800000000003</v>
      </c>
      <c r="M133" s="1047">
        <v>-0.59999999999999432</v>
      </c>
      <c r="N133" s="1048">
        <v>29388.866666666669</v>
      </c>
      <c r="O133" s="1049">
        <f t="shared" si="2"/>
        <v>277553.43333333329</v>
      </c>
      <c r="P133" s="261"/>
      <c r="Q133" s="254"/>
      <c r="R133" s="322"/>
    </row>
    <row r="134" spans="1:18">
      <c r="A134" s="113" t="s">
        <v>653</v>
      </c>
      <c r="B134" s="1041">
        <v>93826.516666666648</v>
      </c>
      <c r="C134" s="1041">
        <v>51601.533333333326</v>
      </c>
      <c r="D134" s="1087" t="s">
        <v>88</v>
      </c>
      <c r="E134" s="1042">
        <v>4392.5666666666666</v>
      </c>
      <c r="F134" s="1043">
        <v>20345.23333333333</v>
      </c>
      <c r="G134" s="1043">
        <v>3229.0166666666669</v>
      </c>
      <c r="H134" s="1092"/>
      <c r="I134" s="1096">
        <v>973.35000000000014</v>
      </c>
      <c r="J134" s="1086" t="s">
        <v>88</v>
      </c>
      <c r="K134" s="1049">
        <v>63611.166666666664</v>
      </c>
      <c r="L134" s="1046">
        <v>15262.800000000001</v>
      </c>
      <c r="M134" s="1047">
        <v>33.300000000000004</v>
      </c>
      <c r="N134" s="1048">
        <v>27930.633333333335</v>
      </c>
      <c r="O134" s="1049">
        <f t="shared" si="2"/>
        <v>281206.11666666664</v>
      </c>
      <c r="P134" s="261"/>
      <c r="Q134" s="254"/>
      <c r="R134" s="322"/>
    </row>
    <row r="135" spans="1:18">
      <c r="A135" s="113" t="s">
        <v>64</v>
      </c>
      <c r="B135" s="1041">
        <v>95830.5</v>
      </c>
      <c r="C135" s="1041">
        <v>53007.80000000001</v>
      </c>
      <c r="D135" s="1087" t="s">
        <v>88</v>
      </c>
      <c r="E135" s="1042">
        <v>4537.7</v>
      </c>
      <c r="F135" s="1043">
        <v>21115.300000000003</v>
      </c>
      <c r="G135" s="1043">
        <v>3149</v>
      </c>
      <c r="H135" s="1092"/>
      <c r="I135" s="1096">
        <v>805.1</v>
      </c>
      <c r="J135" s="1086" t="s">
        <v>88</v>
      </c>
      <c r="K135" s="1049">
        <v>63998</v>
      </c>
      <c r="L135" s="1046">
        <v>15875.800000000003</v>
      </c>
      <c r="M135" s="1047">
        <v>67.2</v>
      </c>
      <c r="N135" s="1048">
        <v>26472.399999999998</v>
      </c>
      <c r="O135" s="1049">
        <f t="shared" si="2"/>
        <v>284858.8000000001</v>
      </c>
      <c r="P135" s="261"/>
      <c r="Q135" s="254"/>
      <c r="R135" s="322"/>
    </row>
    <row r="136" spans="1:18">
      <c r="A136" s="113"/>
      <c r="B136" s="1041"/>
      <c r="C136" s="1041"/>
      <c r="D136" s="1087"/>
      <c r="E136" s="1042"/>
      <c r="F136" s="1043"/>
      <c r="G136" s="1043"/>
      <c r="H136" s="1092"/>
      <c r="I136" s="1096"/>
      <c r="J136" s="1086"/>
      <c r="K136" s="1049"/>
      <c r="L136" s="1046"/>
      <c r="M136" s="1047"/>
      <c r="N136" s="1048"/>
      <c r="O136" s="1049"/>
      <c r="P136" s="261"/>
      <c r="Q136" s="254"/>
      <c r="R136" s="322"/>
    </row>
    <row r="137" spans="1:18">
      <c r="A137" s="113" t="s">
        <v>671</v>
      </c>
      <c r="B137" s="1041">
        <v>101779.06666666668</v>
      </c>
      <c r="C137" s="1041">
        <v>54542.883333333324</v>
      </c>
      <c r="D137" s="1087" t="s">
        <v>88</v>
      </c>
      <c r="E137" s="1042">
        <v>4854.1499999999996</v>
      </c>
      <c r="F137" s="1043">
        <v>20519.149999999998</v>
      </c>
      <c r="G137" s="1043">
        <v>3131.416666666667</v>
      </c>
      <c r="H137" s="1092"/>
      <c r="I137" s="1096">
        <v>643.29999999999995</v>
      </c>
      <c r="J137" s="1086" t="s">
        <v>88</v>
      </c>
      <c r="K137" s="1049">
        <v>65219.95</v>
      </c>
      <c r="L137" s="1046">
        <v>15164.483333333337</v>
      </c>
      <c r="M137" s="1047">
        <v>-276.60000000000002</v>
      </c>
      <c r="N137" s="1048">
        <v>27765.033333333336</v>
      </c>
      <c r="O137" s="1049">
        <f t="shared" si="2"/>
        <v>293342.83333333331</v>
      </c>
      <c r="P137" s="261"/>
      <c r="Q137" s="254"/>
      <c r="R137" s="322"/>
    </row>
    <row r="138" spans="1:18">
      <c r="A138" s="113" t="s">
        <v>263</v>
      </c>
      <c r="B138" s="1041">
        <v>108073.73333333335</v>
      </c>
      <c r="C138" s="1041">
        <v>56440.266666666663</v>
      </c>
      <c r="D138" s="1087" t="s">
        <v>88</v>
      </c>
      <c r="E138" s="1042">
        <v>5170.6000000000004</v>
      </c>
      <c r="F138" s="1043">
        <v>19923</v>
      </c>
      <c r="G138" s="1043">
        <v>3113.8333333333335</v>
      </c>
      <c r="H138" s="1092"/>
      <c r="I138" s="1096">
        <v>633</v>
      </c>
      <c r="J138" s="1086" t="s">
        <v>88</v>
      </c>
      <c r="K138" s="1049">
        <v>66441.899999999994</v>
      </c>
      <c r="L138" s="1046">
        <v>14002.366666666667</v>
      </c>
      <c r="M138" s="1047">
        <v>-623.5</v>
      </c>
      <c r="N138" s="1048">
        <v>28983.566666666669</v>
      </c>
      <c r="O138" s="1049">
        <f t="shared" si="2"/>
        <v>302158.76666666666</v>
      </c>
      <c r="P138" s="261"/>
      <c r="Q138" s="254"/>
      <c r="R138" s="322"/>
    </row>
    <row r="139" spans="1:18">
      <c r="A139" s="113" t="s">
        <v>41</v>
      </c>
      <c r="B139" s="1041">
        <v>115279.00000000001</v>
      </c>
      <c r="C139" s="1041">
        <v>58424.899999999994</v>
      </c>
      <c r="D139" s="1087" t="s">
        <v>88</v>
      </c>
      <c r="E139" s="1042">
        <v>5507.5</v>
      </c>
      <c r="F139" s="1043">
        <v>19288.8</v>
      </c>
      <c r="G139" s="1043">
        <v>3077.7000000000003</v>
      </c>
      <c r="H139" s="1092"/>
      <c r="I139" s="1096">
        <v>390.8</v>
      </c>
      <c r="J139" s="1086" t="s">
        <v>88</v>
      </c>
      <c r="K139" s="1049">
        <v>67505.899999999994</v>
      </c>
      <c r="L139" s="1046">
        <v>13386.600000000004</v>
      </c>
      <c r="M139" s="1047">
        <v>-976.19999999999993</v>
      </c>
      <c r="N139" s="1048">
        <v>30357.999999999993</v>
      </c>
      <c r="O139" s="1049">
        <f t="shared" si="2"/>
        <v>312242.99999999994</v>
      </c>
      <c r="P139" s="261"/>
      <c r="Q139" s="254"/>
      <c r="R139" s="322"/>
    </row>
    <row r="140" spans="1:18">
      <c r="A140" s="113" t="s">
        <v>694</v>
      </c>
      <c r="B140" s="1041">
        <v>115279.00000000001</v>
      </c>
      <c r="C140" s="1041">
        <v>58424.899999999994</v>
      </c>
      <c r="D140" s="1087" t="s">
        <v>88</v>
      </c>
      <c r="E140" s="1042">
        <v>5507.5</v>
      </c>
      <c r="F140" s="1043">
        <v>19288.8</v>
      </c>
      <c r="G140" s="1043">
        <v>3077.7000000000003</v>
      </c>
      <c r="H140" s="1092"/>
      <c r="I140" s="1096">
        <v>390.8</v>
      </c>
      <c r="J140" s="1086" t="s">
        <v>88</v>
      </c>
      <c r="K140" s="1049">
        <v>67505.899999999994</v>
      </c>
      <c r="L140" s="1046">
        <v>13386.600000000004</v>
      </c>
      <c r="M140" s="1047">
        <v>-976.19999999999993</v>
      </c>
      <c r="N140" s="1048">
        <v>30357.999999999993</v>
      </c>
      <c r="O140" s="1049">
        <f t="shared" si="2"/>
        <v>312242.99999999994</v>
      </c>
      <c r="P140" s="261"/>
      <c r="Q140" s="254"/>
      <c r="R140" s="322"/>
    </row>
    <row r="141" spans="1:18">
      <c r="A141" s="113" t="s">
        <v>702</v>
      </c>
      <c r="B141" s="1041">
        <v>115279.00000000001</v>
      </c>
      <c r="C141" s="1041">
        <v>58424.899999999994</v>
      </c>
      <c r="D141" s="1087" t="s">
        <v>88</v>
      </c>
      <c r="E141" s="1042">
        <v>5507.5</v>
      </c>
      <c r="F141" s="1043">
        <v>19288.8</v>
      </c>
      <c r="G141" s="1043">
        <v>3077.7000000000003</v>
      </c>
      <c r="H141" s="1092"/>
      <c r="I141" s="1096">
        <v>390.8</v>
      </c>
      <c r="J141" s="1086" t="s">
        <v>88</v>
      </c>
      <c r="K141" s="1049">
        <v>67505.899999999994</v>
      </c>
      <c r="L141" s="1046">
        <v>13386.600000000004</v>
      </c>
      <c r="M141" s="1047">
        <v>-976.19999999999993</v>
      </c>
      <c r="N141" s="1048">
        <v>30357.999999999993</v>
      </c>
      <c r="O141" s="1049">
        <f t="shared" ref="O141:O142" si="3">SUM(B141:N141)</f>
        <v>312242.99999999994</v>
      </c>
      <c r="P141" s="261"/>
      <c r="Q141" s="254"/>
      <c r="R141" s="322"/>
    </row>
    <row r="142" spans="1:18" s="1051" customFormat="1">
      <c r="A142" s="1059" t="s">
        <v>715</v>
      </c>
      <c r="B142" s="1041">
        <v>115279.00000000001</v>
      </c>
      <c r="C142" s="1041">
        <v>58424.899999999994</v>
      </c>
      <c r="D142" s="1087" t="s">
        <v>88</v>
      </c>
      <c r="E142" s="1042">
        <v>5507.5</v>
      </c>
      <c r="F142" s="1043">
        <v>19288.8</v>
      </c>
      <c r="G142" s="1043">
        <v>3077.7000000000003</v>
      </c>
      <c r="H142" s="1092"/>
      <c r="I142" s="1096">
        <v>390.8</v>
      </c>
      <c r="J142" s="1086" t="s">
        <v>88</v>
      </c>
      <c r="K142" s="1049">
        <v>67505.899999999994</v>
      </c>
      <c r="L142" s="1046">
        <v>13386.600000000004</v>
      </c>
      <c r="M142" s="1047">
        <v>-976.19999999999993</v>
      </c>
      <c r="N142" s="1048">
        <v>30357.999999999993</v>
      </c>
      <c r="O142" s="1049">
        <f t="shared" si="3"/>
        <v>312242.99999999994</v>
      </c>
      <c r="P142" s="1068"/>
      <c r="Q142" s="1055"/>
      <c r="R142" s="322"/>
    </row>
    <row r="143" spans="1:18" s="1051" customFormat="1">
      <c r="A143" s="1059" t="s">
        <v>734</v>
      </c>
      <c r="B143" s="1041">
        <v>115279.00000000001</v>
      </c>
      <c r="C143" s="1041">
        <v>58424.899999999994</v>
      </c>
      <c r="D143" s="1087" t="s">
        <v>88</v>
      </c>
      <c r="E143" s="1041">
        <v>5507.5</v>
      </c>
      <c r="F143" s="1041">
        <v>19288.8</v>
      </c>
      <c r="G143" s="1041">
        <v>3077.7000000000003</v>
      </c>
      <c r="H143" s="1041"/>
      <c r="I143" s="1041">
        <v>390.8</v>
      </c>
      <c r="J143" s="1086" t="s">
        <v>88</v>
      </c>
      <c r="K143" s="1041">
        <v>67505.899999999994</v>
      </c>
      <c r="L143" s="1046">
        <v>13386.600000000004</v>
      </c>
      <c r="M143" s="1047">
        <v>-976.19999999999993</v>
      </c>
      <c r="N143" s="1041">
        <v>30357.999999999993</v>
      </c>
      <c r="O143" s="1041">
        <f t="shared" ref="O143" si="4">SUM(B143:N143)</f>
        <v>312242.99999999994</v>
      </c>
      <c r="P143" s="1068"/>
      <c r="Q143" s="1055"/>
      <c r="R143" s="322"/>
    </row>
    <row r="144" spans="1:18">
      <c r="A144" s="113"/>
      <c r="B144" s="80"/>
      <c r="C144" s="80"/>
      <c r="D144" s="804"/>
      <c r="E144" s="263"/>
      <c r="F144" s="261"/>
      <c r="G144" s="261"/>
      <c r="H144" s="290"/>
      <c r="I144" s="81"/>
      <c r="J144" s="131"/>
      <c r="K144" s="292"/>
      <c r="L144" s="2"/>
      <c r="M144" s="288"/>
      <c r="N144" s="268"/>
      <c r="O144" s="292"/>
      <c r="P144" s="261"/>
      <c r="Q144" s="254"/>
      <c r="R144" s="322"/>
    </row>
    <row r="145" spans="1:15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6"/>
      <c r="L145" s="3"/>
      <c r="M145" s="272"/>
      <c r="N145" s="66"/>
      <c r="O145" s="273"/>
    </row>
    <row r="146" spans="1:15" ht="12.75" customHeight="1">
      <c r="A146" s="1080" t="s">
        <v>659</v>
      </c>
      <c r="B146" s="1053"/>
      <c r="C146" s="1053"/>
      <c r="D146" s="1053"/>
      <c r="E146" s="1053"/>
      <c r="F146" s="1053"/>
      <c r="G146" s="1053"/>
      <c r="H146" s="1053"/>
      <c r="I146" s="1053"/>
      <c r="J146" s="1053"/>
      <c r="K146" s="1053"/>
      <c r="L146" s="1053"/>
      <c r="M146" s="1053"/>
      <c r="N146" s="1053"/>
      <c r="O146" s="1054"/>
    </row>
    <row r="147" spans="1:15" ht="15.75" customHeight="1">
      <c r="A147" s="1081" t="s">
        <v>728</v>
      </c>
      <c r="B147" s="1218"/>
      <c r="C147" s="1218"/>
      <c r="D147" s="1218"/>
      <c r="E147" s="1218"/>
      <c r="F147" s="1218"/>
      <c r="G147" s="1218"/>
      <c r="H147" s="1218"/>
      <c r="I147" s="1218"/>
      <c r="J147" s="1218"/>
      <c r="K147" s="1218"/>
      <c r="L147" s="1218"/>
      <c r="M147" s="1218"/>
      <c r="N147" s="1218"/>
      <c r="O147" s="1219"/>
    </row>
    <row r="148" spans="1:15" ht="26.25" customHeight="1"/>
    <row r="149" spans="1:15">
      <c r="M149" s="303"/>
      <c r="O149" s="304"/>
    </row>
    <row r="150" spans="1:15">
      <c r="M150" s="303"/>
      <c r="O150" s="304"/>
    </row>
  </sheetData>
  <mergeCells count="3">
    <mergeCell ref="B2:N2"/>
    <mergeCell ref="B3:N3"/>
    <mergeCell ref="B147:O147"/>
  </mergeCells>
  <pageMargins left="1.8897637795275593" right="0.70866141732283472" top="0.74803149606299213" bottom="0.74803149606299213" header="0.31496062992125984" footer="0.31496062992125984"/>
  <pageSetup paperSize="9" scale="57" orientation="landscape" horizontalDpi="4294967295" verticalDpi="4294967295" r:id="rId1"/>
  <colBreaks count="1" manualBreakCount="1">
    <brk id="15" max="12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showGridLines="0" view="pageBreakPreview" zoomScale="80" zoomScaleNormal="100" zoomScaleSheetLayoutView="80" workbookViewId="0">
      <pane xSplit="1" ySplit="14" topLeftCell="B175" activePane="bottomRight" state="frozen"/>
      <selection pane="topRight" activeCell="B1" sqref="B1"/>
      <selection pane="bottomLeft" activeCell="A15" sqref="A15"/>
      <selection pane="bottomRight" activeCell="D183" sqref="D183"/>
    </sheetView>
  </sheetViews>
  <sheetFormatPr defaultColWidth="13.88671875" defaultRowHeight="12.75"/>
  <cols>
    <col min="1" max="1" width="14.5546875" style="69" customWidth="1"/>
    <col min="2" max="2" width="8.6640625" style="69" bestFit="1" customWidth="1"/>
    <col min="3" max="3" width="9.77734375" style="69" bestFit="1" customWidth="1"/>
    <col min="4" max="4" width="9.88671875" style="69" bestFit="1" customWidth="1"/>
    <col min="5" max="5" width="9" style="69" bestFit="1" customWidth="1"/>
    <col min="6" max="6" width="9.21875" style="69" bestFit="1" customWidth="1"/>
    <col min="7" max="7" width="11.44140625" style="69" bestFit="1" customWidth="1"/>
    <col min="8" max="8" width="8.21875" style="69" hidden="1" customWidth="1"/>
    <col min="9" max="9" width="7.6640625" style="69" bestFit="1" customWidth="1"/>
    <col min="10" max="10" width="7.88671875" style="69" bestFit="1" customWidth="1"/>
    <col min="11" max="11" width="9.77734375" style="69" bestFit="1" customWidth="1"/>
    <col min="12" max="13" width="9.21875" style="69" bestFit="1" customWidth="1"/>
    <col min="14" max="14" width="9" style="69" bestFit="1" customWidth="1"/>
    <col min="15" max="15" width="9.33203125" style="69" bestFit="1" customWidth="1"/>
    <col min="16" max="16" width="1.6640625" style="69" hidden="1" customWidth="1"/>
    <col min="17" max="17" width="9.88671875" style="69" bestFit="1" customWidth="1"/>
    <col min="18" max="18" width="8.44140625" style="69" bestFit="1" customWidth="1"/>
    <col min="19" max="19" width="9" style="88" bestFit="1" customWidth="1"/>
    <col min="20" max="20" width="8.44140625" style="69" bestFit="1" customWidth="1"/>
    <col min="21" max="21" width="2.77734375" style="69" hidden="1" customWidth="1"/>
    <col min="22" max="22" width="9.77734375" style="69" bestFit="1" customWidth="1"/>
    <col min="23" max="23" width="9.5546875" style="69" bestFit="1" customWidth="1"/>
    <col min="24" max="16384" width="13.88671875" style="69"/>
  </cols>
  <sheetData>
    <row r="1" spans="1:25">
      <c r="A1" s="324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6"/>
      <c r="T1" s="325"/>
      <c r="U1" s="325"/>
      <c r="V1" s="325"/>
      <c r="W1" s="98"/>
    </row>
    <row r="2" spans="1:25" s="152" customFormat="1">
      <c r="A2" s="327"/>
      <c r="B2" s="328" t="s">
        <v>33</v>
      </c>
      <c r="C2" s="1210" t="s">
        <v>249</v>
      </c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1210"/>
      <c r="R2" s="1210"/>
      <c r="S2" s="1210"/>
      <c r="T2" s="1210"/>
      <c r="U2" s="1210"/>
      <c r="V2" s="1210"/>
      <c r="W2" s="74" t="s">
        <v>218</v>
      </c>
    </row>
    <row r="3" spans="1:25">
      <c r="A3" s="70"/>
      <c r="B3" s="329"/>
      <c r="C3" s="1210" t="s">
        <v>457</v>
      </c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1210"/>
      <c r="R3" s="1210"/>
      <c r="S3" s="1210"/>
      <c r="T3" s="1210"/>
      <c r="U3" s="1210"/>
      <c r="V3" s="1210"/>
      <c r="W3" s="330"/>
    </row>
    <row r="4" spans="1:25">
      <c r="A4" s="33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3"/>
      <c r="T4" s="332"/>
      <c r="U4" s="332"/>
      <c r="V4" s="332"/>
      <c r="W4" s="334"/>
      <c r="X4" s="251"/>
      <c r="Y4" s="251"/>
    </row>
    <row r="5" spans="1:25">
      <c r="A5" s="100"/>
      <c r="B5" s="335"/>
      <c r="C5" s="336"/>
      <c r="D5" s="336"/>
      <c r="E5" s="337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268"/>
      <c r="T5" s="71"/>
      <c r="U5" s="71"/>
      <c r="V5" s="82"/>
      <c r="W5" s="911" t="s">
        <v>219</v>
      </c>
    </row>
    <row r="6" spans="1:25">
      <c r="A6" s="824" t="s">
        <v>262</v>
      </c>
      <c r="B6" s="1220" t="s">
        <v>250</v>
      </c>
      <c r="C6" s="1221"/>
      <c r="D6" s="1221"/>
      <c r="E6" s="1222"/>
      <c r="F6" s="1220" t="s">
        <v>257</v>
      </c>
      <c r="G6" s="1221"/>
      <c r="H6" s="1221"/>
      <c r="I6" s="1221"/>
      <c r="J6" s="1221"/>
      <c r="K6" s="1221"/>
      <c r="L6" s="1221"/>
      <c r="M6" s="1221"/>
      <c r="N6" s="1221"/>
      <c r="O6" s="1221"/>
      <c r="P6" s="1221"/>
      <c r="Q6" s="1221"/>
      <c r="R6" s="1221"/>
      <c r="S6" s="1221"/>
      <c r="T6" s="1221"/>
      <c r="U6" s="1221"/>
      <c r="V6" s="1222"/>
      <c r="W6" s="911" t="s">
        <v>33</v>
      </c>
    </row>
    <row r="7" spans="1:25">
      <c r="A7" s="84"/>
      <c r="B7" s="80"/>
      <c r="C7" s="80"/>
      <c r="D7" s="80"/>
      <c r="E7" s="80"/>
      <c r="F7" s="95"/>
      <c r="G7" s="96"/>
      <c r="H7" s="96"/>
      <c r="I7" s="96"/>
      <c r="J7" s="96"/>
      <c r="K7" s="96"/>
      <c r="L7" s="96"/>
      <c r="M7" s="96"/>
      <c r="N7" s="96"/>
      <c r="O7" s="98"/>
      <c r="P7" s="98"/>
      <c r="Q7" s="95"/>
      <c r="R7" s="96"/>
      <c r="S7" s="338"/>
      <c r="T7" s="98"/>
      <c r="U7" s="71"/>
      <c r="V7" s="113" t="s">
        <v>0</v>
      </c>
      <c r="W7" s="82"/>
    </row>
    <row r="8" spans="1:25">
      <c r="A8" s="538" t="s">
        <v>0</v>
      </c>
      <c r="B8" s="115" t="s">
        <v>220</v>
      </c>
      <c r="C8" s="340" t="s">
        <v>248</v>
      </c>
      <c r="D8" s="912" t="s">
        <v>149</v>
      </c>
      <c r="E8" s="115" t="s">
        <v>9</v>
      </c>
      <c r="F8" s="1223" t="s">
        <v>256</v>
      </c>
      <c r="G8" s="1224"/>
      <c r="H8" s="1224"/>
      <c r="I8" s="1224"/>
      <c r="J8" s="1224"/>
      <c r="K8" s="1224"/>
      <c r="L8" s="1224"/>
      <c r="M8" s="1224"/>
      <c r="N8" s="1224"/>
      <c r="O8" s="1224"/>
      <c r="P8" s="1225"/>
      <c r="Q8" s="1223" t="s">
        <v>258</v>
      </c>
      <c r="R8" s="1224"/>
      <c r="S8" s="1224"/>
      <c r="T8" s="1225"/>
      <c r="U8" s="71"/>
      <c r="V8" s="247" t="s">
        <v>74</v>
      </c>
      <c r="W8" s="82"/>
    </row>
    <row r="9" spans="1:25">
      <c r="A9" s="84"/>
      <c r="B9" s="115" t="s">
        <v>0</v>
      </c>
      <c r="C9" s="915" t="s">
        <v>236</v>
      </c>
      <c r="D9" s="912" t="s">
        <v>246</v>
      </c>
      <c r="E9" s="115" t="s">
        <v>0</v>
      </c>
      <c r="F9" s="75"/>
      <c r="G9" s="76"/>
      <c r="H9" s="76"/>
      <c r="I9" s="76"/>
      <c r="J9" s="76"/>
      <c r="K9" s="76"/>
      <c r="L9" s="76"/>
      <c r="M9" s="76"/>
      <c r="N9" s="76"/>
      <c r="O9" s="79"/>
      <c r="P9" s="341"/>
      <c r="Q9" s="75"/>
      <c r="R9" s="76"/>
      <c r="S9" s="342"/>
      <c r="T9" s="79"/>
      <c r="U9" s="71"/>
      <c r="V9" s="343"/>
      <c r="W9" s="82"/>
    </row>
    <row r="10" spans="1:25">
      <c r="A10" s="84"/>
      <c r="B10" s="140"/>
      <c r="C10" s="80"/>
      <c r="D10" s="340"/>
      <c r="E10" s="140"/>
      <c r="F10" s="70"/>
      <c r="G10" s="80"/>
      <c r="H10" s="71"/>
      <c r="I10" s="70"/>
      <c r="J10" s="80"/>
      <c r="K10" s="80"/>
      <c r="L10" s="71"/>
      <c r="M10" s="80"/>
      <c r="N10" s="82"/>
      <c r="O10" s="80"/>
      <c r="P10" s="71"/>
      <c r="Q10" s="80"/>
      <c r="R10" s="80"/>
      <c r="S10" s="263"/>
      <c r="T10" s="80"/>
      <c r="U10" s="71"/>
      <c r="V10" s="80"/>
      <c r="W10" s="82"/>
    </row>
    <row r="11" spans="1:25">
      <c r="A11" s="825" t="s">
        <v>34</v>
      </c>
      <c r="B11" s="140"/>
      <c r="C11" s="80"/>
      <c r="D11" s="140"/>
      <c r="E11" s="140"/>
      <c r="F11" s="913" t="s">
        <v>251</v>
      </c>
      <c r="G11" s="115" t="s">
        <v>145</v>
      </c>
      <c r="H11" s="914" t="s">
        <v>157</v>
      </c>
      <c r="I11" s="327" t="s">
        <v>111</v>
      </c>
      <c r="J11" s="327" t="s">
        <v>97</v>
      </c>
      <c r="K11" s="120" t="s">
        <v>252</v>
      </c>
      <c r="L11" s="73" t="s">
        <v>253</v>
      </c>
      <c r="M11" s="120" t="s">
        <v>251</v>
      </c>
      <c r="N11" s="115" t="s">
        <v>144</v>
      </c>
      <c r="O11" s="115" t="s">
        <v>9</v>
      </c>
      <c r="P11" s="71"/>
      <c r="Q11" s="913" t="s">
        <v>259</v>
      </c>
      <c r="R11" s="913" t="s">
        <v>259</v>
      </c>
      <c r="S11" s="115" t="s">
        <v>144</v>
      </c>
      <c r="T11" s="115" t="s">
        <v>221</v>
      </c>
      <c r="U11" s="71"/>
      <c r="V11" s="80"/>
      <c r="W11" s="82"/>
    </row>
    <row r="12" spans="1:25">
      <c r="A12" s="84"/>
      <c r="B12" s="140"/>
      <c r="C12" s="80"/>
      <c r="D12" s="140"/>
      <c r="E12" s="140"/>
      <c r="F12" s="913" t="s">
        <v>254</v>
      </c>
      <c r="G12" s="115" t="s">
        <v>255</v>
      </c>
      <c r="H12" s="914" t="s">
        <v>222</v>
      </c>
      <c r="I12" s="913" t="s">
        <v>100</v>
      </c>
      <c r="J12" s="913" t="s">
        <v>98</v>
      </c>
      <c r="K12" s="115" t="s">
        <v>100</v>
      </c>
      <c r="L12" s="914" t="s">
        <v>100</v>
      </c>
      <c r="M12" s="115" t="s">
        <v>128</v>
      </c>
      <c r="N12" s="120" t="s">
        <v>143</v>
      </c>
      <c r="O12" s="80"/>
      <c r="P12" s="71"/>
      <c r="Q12" s="115" t="s">
        <v>260</v>
      </c>
      <c r="R12" s="115" t="s">
        <v>239</v>
      </c>
      <c r="S12" s="120" t="s">
        <v>143</v>
      </c>
      <c r="T12" s="80"/>
      <c r="U12" s="71"/>
      <c r="V12" s="80"/>
      <c r="W12" s="82"/>
    </row>
    <row r="13" spans="1:25">
      <c r="A13" s="80"/>
      <c r="B13" s="140"/>
      <c r="C13" s="80" t="s">
        <v>0</v>
      </c>
      <c r="D13" s="140"/>
      <c r="E13" s="140"/>
      <c r="F13" s="70"/>
      <c r="G13" s="120"/>
      <c r="H13" s="914"/>
      <c r="I13" s="913"/>
      <c r="J13" s="115"/>
      <c r="K13" s="115"/>
      <c r="L13" s="914"/>
      <c r="M13" s="80"/>
      <c r="N13" s="115" t="s">
        <v>128</v>
      </c>
      <c r="O13" s="80"/>
      <c r="P13" s="71"/>
      <c r="Q13" s="115" t="s">
        <v>261</v>
      </c>
      <c r="R13" s="115" t="s">
        <v>106</v>
      </c>
      <c r="S13" s="115" t="s">
        <v>128</v>
      </c>
      <c r="T13" s="80"/>
      <c r="U13" s="71"/>
      <c r="V13" s="80"/>
      <c r="W13" s="82"/>
    </row>
    <row r="14" spans="1:25">
      <c r="A14" s="253"/>
      <c r="B14" s="223"/>
      <c r="C14" s="121"/>
      <c r="D14" s="223"/>
      <c r="E14" s="223"/>
      <c r="F14" s="102"/>
      <c r="G14" s="121"/>
      <c r="H14" s="78"/>
      <c r="I14" s="102"/>
      <c r="J14" s="121"/>
      <c r="K14" s="121"/>
      <c r="L14" s="104"/>
      <c r="M14" s="121"/>
      <c r="N14" s="93"/>
      <c r="O14" s="121"/>
      <c r="P14" s="104"/>
      <c r="Q14" s="310" t="s">
        <v>109</v>
      </c>
      <c r="R14" s="310"/>
      <c r="S14" s="344"/>
      <c r="T14" s="121"/>
      <c r="U14" s="104"/>
      <c r="V14" s="121"/>
      <c r="W14" s="122"/>
    </row>
    <row r="15" spans="1:25">
      <c r="A15" s="100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5" s="145" customFormat="1" hidden="1">
      <c r="A16" s="127" t="s">
        <v>4</v>
      </c>
      <c r="B16" s="140">
        <v>159092.20000000007</v>
      </c>
      <c r="C16" s="140">
        <v>95759.5</v>
      </c>
      <c r="D16" s="140"/>
      <c r="E16" s="140">
        <v>254851.70000000007</v>
      </c>
      <c r="F16" s="140">
        <v>170798.9</v>
      </c>
      <c r="G16" s="140">
        <v>58561</v>
      </c>
      <c r="H16" s="140" t="s">
        <v>88</v>
      </c>
      <c r="I16" s="133">
        <v>9544.5</v>
      </c>
      <c r="J16" s="346" t="s">
        <v>88</v>
      </c>
      <c r="K16" s="346" t="s">
        <v>88</v>
      </c>
      <c r="L16" s="137">
        <v>238904.4</v>
      </c>
      <c r="M16" s="347">
        <v>125831.59999999999</v>
      </c>
      <c r="N16" s="140">
        <v>11736.2</v>
      </c>
      <c r="O16" s="137">
        <v>101336.6</v>
      </c>
      <c r="P16" s="133"/>
      <c r="Q16" s="348">
        <v>21927.199999999997</v>
      </c>
      <c r="R16" s="140">
        <v>261749.50000000003</v>
      </c>
      <c r="S16" s="136">
        <v>120.8</v>
      </c>
      <c r="T16" s="140">
        <v>283797.5</v>
      </c>
      <c r="U16" s="349"/>
      <c r="V16" s="348">
        <v>385134.1</v>
      </c>
      <c r="W16" s="140">
        <v>639985.80000000005</v>
      </c>
    </row>
    <row r="17" spans="1:23" s="145" customFormat="1" hidden="1">
      <c r="A17" s="127" t="s">
        <v>5</v>
      </c>
      <c r="B17" s="140">
        <v>144966.20000000007</v>
      </c>
      <c r="C17" s="140">
        <v>119531.40000000002</v>
      </c>
      <c r="D17" s="140"/>
      <c r="E17" s="140">
        <v>264497.60000000009</v>
      </c>
      <c r="F17" s="140">
        <v>215622.30000000002</v>
      </c>
      <c r="G17" s="140">
        <v>100072.8</v>
      </c>
      <c r="H17" s="140" t="s">
        <v>88</v>
      </c>
      <c r="I17" s="133">
        <v>11255.3</v>
      </c>
      <c r="J17" s="346" t="s">
        <v>88</v>
      </c>
      <c r="K17" s="346" t="s">
        <v>88</v>
      </c>
      <c r="L17" s="137">
        <v>326950.40000000002</v>
      </c>
      <c r="M17" s="347">
        <v>133925.09999999998</v>
      </c>
      <c r="N17" s="140">
        <v>14842.5</v>
      </c>
      <c r="O17" s="137">
        <v>178182.80000000005</v>
      </c>
      <c r="P17" s="133"/>
      <c r="Q17" s="348">
        <v>8440.7000000000007</v>
      </c>
      <c r="R17" s="140">
        <v>321233.5</v>
      </c>
      <c r="S17" s="136">
        <v>497.1</v>
      </c>
      <c r="T17" s="140">
        <v>330171.3</v>
      </c>
      <c r="U17" s="349"/>
      <c r="V17" s="348">
        <v>508354.10000000003</v>
      </c>
      <c r="W17" s="140">
        <v>772851.70000000019</v>
      </c>
    </row>
    <row r="18" spans="1:23" s="145" customFormat="1" hidden="1">
      <c r="A18" s="127" t="s">
        <v>7</v>
      </c>
      <c r="B18" s="140">
        <v>141613.59999999998</v>
      </c>
      <c r="C18" s="140">
        <v>112437.40000000001</v>
      </c>
      <c r="D18" s="140">
        <v>0</v>
      </c>
      <c r="E18" s="140">
        <v>254051</v>
      </c>
      <c r="F18" s="140">
        <v>19134.2</v>
      </c>
      <c r="G18" s="140">
        <v>109104.5</v>
      </c>
      <c r="H18" s="140" t="s">
        <v>88</v>
      </c>
      <c r="I18" s="133">
        <v>14177.3</v>
      </c>
      <c r="J18" s="140">
        <v>88925</v>
      </c>
      <c r="K18" s="133">
        <v>145130.9</v>
      </c>
      <c r="L18" s="140">
        <v>376471.9</v>
      </c>
      <c r="M18" s="347">
        <v>154442.40000000002</v>
      </c>
      <c r="N18" s="140">
        <v>11748.2</v>
      </c>
      <c r="O18" s="140">
        <v>210281.3</v>
      </c>
      <c r="P18" s="133"/>
      <c r="Q18" s="348">
        <v>8682.2000000000007</v>
      </c>
      <c r="R18" s="140">
        <v>460562.3</v>
      </c>
      <c r="S18" s="133">
        <v>599.4</v>
      </c>
      <c r="T18" s="140">
        <v>469843.9</v>
      </c>
      <c r="U18" s="349"/>
      <c r="V18" s="348">
        <v>680125.2</v>
      </c>
      <c r="W18" s="140">
        <v>934176.2</v>
      </c>
    </row>
    <row r="19" spans="1:23" s="145" customFormat="1" hidden="1">
      <c r="A19" s="127" t="s">
        <v>8</v>
      </c>
      <c r="B19" s="140">
        <v>82293.999999999942</v>
      </c>
      <c r="C19" s="140">
        <v>123231.6</v>
      </c>
      <c r="D19" s="140">
        <v>0</v>
      </c>
      <c r="E19" s="140">
        <v>205525.59999999995</v>
      </c>
      <c r="F19" s="140">
        <v>86260.6</v>
      </c>
      <c r="G19" s="140">
        <v>84484.4</v>
      </c>
      <c r="H19" s="140" t="s">
        <v>88</v>
      </c>
      <c r="I19" s="133">
        <v>14746.9</v>
      </c>
      <c r="J19" s="140">
        <v>94325</v>
      </c>
      <c r="K19" s="133">
        <v>141433.29999999999</v>
      </c>
      <c r="L19" s="137">
        <v>421250.2</v>
      </c>
      <c r="M19" s="347">
        <v>175708.5</v>
      </c>
      <c r="N19" s="140">
        <v>14154.1</v>
      </c>
      <c r="O19" s="137">
        <v>231387.6</v>
      </c>
      <c r="P19" s="133"/>
      <c r="Q19" s="348">
        <v>4009.9000000000005</v>
      </c>
      <c r="R19" s="140">
        <v>612267</v>
      </c>
      <c r="S19" s="136">
        <v>1021.9000000000001</v>
      </c>
      <c r="T19" s="140">
        <v>617298.80000000005</v>
      </c>
      <c r="U19" s="349"/>
      <c r="V19" s="348">
        <v>848686.4</v>
      </c>
      <c r="W19" s="140">
        <v>1054212</v>
      </c>
    </row>
    <row r="20" spans="1:23" s="145" customFormat="1" hidden="1">
      <c r="A20" s="127" t="s">
        <v>10</v>
      </c>
      <c r="B20" s="140">
        <v>66928.900000000023</v>
      </c>
      <c r="C20" s="140">
        <v>129708.8</v>
      </c>
      <c r="D20" s="140">
        <v>0</v>
      </c>
      <c r="E20" s="140">
        <v>196637.7</v>
      </c>
      <c r="F20" s="140">
        <v>155251.9</v>
      </c>
      <c r="G20" s="140">
        <v>49024.3</v>
      </c>
      <c r="H20" s="140"/>
      <c r="I20" s="133">
        <v>17982.599999999999</v>
      </c>
      <c r="J20" s="140">
        <v>117037.4</v>
      </c>
      <c r="K20" s="133">
        <v>137735.70000000001</v>
      </c>
      <c r="L20" s="137">
        <v>477031.9</v>
      </c>
      <c r="M20" s="347">
        <v>182803.7</v>
      </c>
      <c r="N20" s="140">
        <v>18296</v>
      </c>
      <c r="O20" s="137">
        <v>275932.2</v>
      </c>
      <c r="P20" s="133"/>
      <c r="Q20" s="348">
        <v>24157.200000000001</v>
      </c>
      <c r="R20" s="140">
        <v>683891.70000000007</v>
      </c>
      <c r="S20" s="136">
        <v>1057.9000000000001</v>
      </c>
      <c r="T20" s="140">
        <v>709106.8</v>
      </c>
      <c r="U20" s="349"/>
      <c r="V20" s="348">
        <v>985039</v>
      </c>
      <c r="W20" s="140">
        <v>1181676.7</v>
      </c>
    </row>
    <row r="21" spans="1:23" s="145" customFormat="1">
      <c r="A21" s="127" t="s">
        <v>11</v>
      </c>
      <c r="B21" s="140">
        <v>118133.79999999993</v>
      </c>
      <c r="C21" s="140">
        <v>111622.29999999997</v>
      </c>
      <c r="D21" s="140">
        <v>-97.2</v>
      </c>
      <c r="E21" s="140">
        <v>229658.89999999991</v>
      </c>
      <c r="F21" s="346" t="s">
        <v>88</v>
      </c>
      <c r="G21" s="140">
        <v>109019.90000000001</v>
      </c>
      <c r="H21" s="140"/>
      <c r="I21" s="133">
        <v>18506.300000000003</v>
      </c>
      <c r="J21" s="140">
        <v>107284.3</v>
      </c>
      <c r="K21" s="133">
        <v>289290</v>
      </c>
      <c r="L21" s="137">
        <v>524100.5</v>
      </c>
      <c r="M21" s="347">
        <v>227012.90000000002</v>
      </c>
      <c r="N21" s="140">
        <v>23790.1</v>
      </c>
      <c r="O21" s="137">
        <v>273297.5</v>
      </c>
      <c r="P21" s="133"/>
      <c r="Q21" s="348">
        <v>36129.5</v>
      </c>
      <c r="R21" s="140">
        <v>743181.20000000019</v>
      </c>
      <c r="S21" s="136">
        <v>2469.1999999999998</v>
      </c>
      <c r="T21" s="140">
        <v>781779.90000000014</v>
      </c>
      <c r="U21" s="349"/>
      <c r="V21" s="348">
        <v>1055077.4000000001</v>
      </c>
      <c r="W21" s="140">
        <v>1284736.3</v>
      </c>
    </row>
    <row r="22" spans="1:23" s="145" customFormat="1">
      <c r="A22" s="127" t="s">
        <v>13</v>
      </c>
      <c r="B22" s="140">
        <v>128675.89999999997</v>
      </c>
      <c r="C22" s="140">
        <v>51849.400000000023</v>
      </c>
      <c r="D22" s="140">
        <v>-48.6</v>
      </c>
      <c r="E22" s="140">
        <v>180476.69999999998</v>
      </c>
      <c r="F22" s="346">
        <v>55186.9</v>
      </c>
      <c r="G22" s="1058">
        <v>147702.70000000001</v>
      </c>
      <c r="H22" s="140"/>
      <c r="I22" s="362">
        <v>49269.8</v>
      </c>
      <c r="J22" s="140">
        <v>106976.2</v>
      </c>
      <c r="K22" s="133">
        <v>285900.5</v>
      </c>
      <c r="L22" s="137">
        <v>645036.10000000009</v>
      </c>
      <c r="M22" s="347">
        <v>238856.59999999998</v>
      </c>
      <c r="N22" s="140">
        <v>23004.400000000001</v>
      </c>
      <c r="O22" s="137">
        <v>383175.10000000009</v>
      </c>
      <c r="P22" s="133"/>
      <c r="Q22" s="362">
        <v>40818.700000000004</v>
      </c>
      <c r="R22" s="1058">
        <v>814694.39999999991</v>
      </c>
      <c r="S22" s="136">
        <v>3449.2999999999997</v>
      </c>
      <c r="T22" s="140">
        <v>858962.39999999991</v>
      </c>
      <c r="U22" s="349"/>
      <c r="V22" s="348">
        <v>1242137.5</v>
      </c>
      <c r="W22" s="140">
        <v>1422614.2</v>
      </c>
    </row>
    <row r="23" spans="1:23" s="145" customFormat="1">
      <c r="A23" s="127" t="s">
        <v>14</v>
      </c>
      <c r="B23" s="140">
        <v>-132985.60000000001</v>
      </c>
      <c r="C23" s="140">
        <v>57115.499999999971</v>
      </c>
      <c r="D23" s="140" t="s">
        <v>88</v>
      </c>
      <c r="E23" s="140">
        <v>-75870.100000000035</v>
      </c>
      <c r="F23" s="346">
        <v>273246</v>
      </c>
      <c r="G23" s="346">
        <v>254809.2</v>
      </c>
      <c r="H23" s="346"/>
      <c r="I23" s="346">
        <v>50054.3</v>
      </c>
      <c r="J23" s="346">
        <v>90564.7</v>
      </c>
      <c r="K23" s="346">
        <v>277913.90000000002</v>
      </c>
      <c r="L23" s="137">
        <v>946588.1</v>
      </c>
      <c r="M23" s="346">
        <v>233455.5</v>
      </c>
      <c r="N23" s="140">
        <v>26275.999999999996</v>
      </c>
      <c r="O23" s="137">
        <v>686856.6</v>
      </c>
      <c r="P23" s="133"/>
      <c r="Q23" s="362">
        <v>6532.0999999999995</v>
      </c>
      <c r="R23" s="137">
        <v>812972</v>
      </c>
      <c r="S23" s="136">
        <v>27.1</v>
      </c>
      <c r="T23" s="140">
        <v>819531.2</v>
      </c>
      <c r="U23" s="349"/>
      <c r="V23" s="348">
        <v>1506387.7999999998</v>
      </c>
      <c r="W23" s="140">
        <v>1430517.6999999997</v>
      </c>
    </row>
    <row r="24" spans="1:23" s="145" customFormat="1">
      <c r="A24" s="921">
        <v>2016</v>
      </c>
      <c r="B24" s="140">
        <v>-162073.80000000002</v>
      </c>
      <c r="C24" s="140">
        <v>-14449.299999999974</v>
      </c>
      <c r="D24" s="140" t="s">
        <v>88</v>
      </c>
      <c r="E24" s="140">
        <v>-176523.09999999998</v>
      </c>
      <c r="F24" s="346">
        <v>134973.1</v>
      </c>
      <c r="G24" s="346">
        <v>438079.6</v>
      </c>
      <c r="H24" s="346"/>
      <c r="I24" s="346">
        <v>37133.1</v>
      </c>
      <c r="J24" s="346">
        <v>73845.100000000006</v>
      </c>
      <c r="K24" s="351">
        <v>543481.59999999998</v>
      </c>
      <c r="L24" s="137">
        <v>1227512.5</v>
      </c>
      <c r="M24" s="352">
        <v>291260.3</v>
      </c>
      <c r="N24" s="140">
        <v>30394.800000000003</v>
      </c>
      <c r="O24" s="137">
        <v>905857.39999999991</v>
      </c>
      <c r="P24" s="133"/>
      <c r="Q24" s="362">
        <v>7173.4000000000005</v>
      </c>
      <c r="R24" s="137">
        <v>854034</v>
      </c>
      <c r="S24" s="136">
        <v>57.6</v>
      </c>
      <c r="T24" s="140">
        <v>861265</v>
      </c>
      <c r="U24" s="349"/>
      <c r="V24" s="133">
        <v>1767122.4</v>
      </c>
      <c r="W24" s="140">
        <v>1590599.2999999998</v>
      </c>
    </row>
    <row r="25" spans="1:23" s="145" customFormat="1">
      <c r="A25" s="921">
        <v>2017</v>
      </c>
      <c r="B25" s="140">
        <v>-144480.39999999997</v>
      </c>
      <c r="C25" s="140">
        <f>146133-156052.6</f>
        <v>-9919.6000000000058</v>
      </c>
      <c r="D25" s="140" t="s">
        <v>88</v>
      </c>
      <c r="E25" s="140">
        <f t="shared" ref="E25" si="0">+SUM(B25:D25)</f>
        <v>-154399.99999999997</v>
      </c>
      <c r="F25" s="346">
        <v>194279.4</v>
      </c>
      <c r="G25" s="346">
        <f>459750.2+183740.4</f>
        <v>643490.6</v>
      </c>
      <c r="H25" s="346"/>
      <c r="I25" s="346">
        <v>30924.9</v>
      </c>
      <c r="J25" s="346">
        <v>57125.4</v>
      </c>
      <c r="K25" s="351">
        <v>535803.19999999995</v>
      </c>
      <c r="L25" s="137">
        <f t="shared" ref="L25" si="1">+SUM(F25:K25)</f>
        <v>1461623.5</v>
      </c>
      <c r="M25" s="352">
        <v>300060.10000000009</v>
      </c>
      <c r="N25" s="140">
        <v>49349</v>
      </c>
      <c r="O25" s="137">
        <f t="shared" ref="O25" si="2">+L25-M25-N25</f>
        <v>1112214.3999999999</v>
      </c>
      <c r="P25" s="133"/>
      <c r="Q25" s="362">
        <f>28633.1+129.8</f>
        <v>28762.899999999998</v>
      </c>
      <c r="R25" s="137">
        <v>859241.30000000016</v>
      </c>
      <c r="S25" s="136">
        <v>4937.3999999999996</v>
      </c>
      <c r="T25" s="140">
        <f>SUM(Q25:S25)</f>
        <v>892941.60000000021</v>
      </c>
      <c r="U25" s="349"/>
      <c r="V25" s="133">
        <f t="shared" ref="V25" si="3">SUM(O25,T25)</f>
        <v>2005156</v>
      </c>
      <c r="W25" s="140">
        <f t="shared" ref="W25" si="4">SUM(E25,V25)</f>
        <v>1850756</v>
      </c>
    </row>
    <row r="26" spans="1:23" s="145" customFormat="1">
      <c r="A26" s="921"/>
      <c r="B26" s="140"/>
      <c r="C26" s="140"/>
      <c r="D26" s="140"/>
      <c r="E26" s="140"/>
      <c r="F26" s="346"/>
      <c r="G26" s="346"/>
      <c r="H26" s="346"/>
      <c r="I26" s="351"/>
      <c r="J26" s="346"/>
      <c r="K26" s="351"/>
      <c r="L26" s="137"/>
      <c r="M26" s="352"/>
      <c r="N26" s="140"/>
      <c r="O26" s="137"/>
      <c r="P26" s="133"/>
      <c r="Q26" s="362"/>
      <c r="R26" s="137"/>
      <c r="S26" s="136"/>
      <c r="T26" s="140"/>
      <c r="U26" s="349"/>
      <c r="V26" s="133"/>
      <c r="W26" s="140"/>
    </row>
    <row r="27" spans="1:23" s="145" customFormat="1" hidden="1">
      <c r="A27" s="113" t="s">
        <v>61</v>
      </c>
      <c r="B27" s="140">
        <v>95018.600000000035</v>
      </c>
      <c r="C27" s="140">
        <v>115929.5</v>
      </c>
      <c r="D27" s="140">
        <v>-97.15</v>
      </c>
      <c r="E27" s="140">
        <v>210850.95000000004</v>
      </c>
      <c r="F27" s="346">
        <v>8513</v>
      </c>
      <c r="G27" s="1058">
        <v>108771.9</v>
      </c>
      <c r="H27" s="140"/>
      <c r="I27" s="362">
        <v>13380.9</v>
      </c>
      <c r="J27" s="140">
        <v>107284.3</v>
      </c>
      <c r="K27" s="133">
        <v>288673.7</v>
      </c>
      <c r="L27" s="137">
        <v>526623.80000000005</v>
      </c>
      <c r="M27" s="347">
        <v>226231.92499999999</v>
      </c>
      <c r="N27" s="140">
        <v>17505.000000000004</v>
      </c>
      <c r="O27" s="137">
        <v>282886.87500000006</v>
      </c>
      <c r="P27" s="133"/>
      <c r="Q27" s="362">
        <v>35670.550000000003</v>
      </c>
      <c r="R27" s="1058">
        <v>743101.375</v>
      </c>
      <c r="S27" s="136">
        <v>3128.7000000000003</v>
      </c>
      <c r="T27" s="140">
        <v>781900.625</v>
      </c>
      <c r="U27" s="349"/>
      <c r="V27" s="348">
        <v>1064787.5</v>
      </c>
      <c r="W27" s="140">
        <v>1275638.45</v>
      </c>
    </row>
    <row r="28" spans="1:23" s="145" customFormat="1" hidden="1">
      <c r="A28" s="113" t="s">
        <v>62</v>
      </c>
      <c r="B28" s="140">
        <v>89071.500000000116</v>
      </c>
      <c r="C28" s="140">
        <v>95701.300000000032</v>
      </c>
      <c r="D28" s="140">
        <v>-97.1</v>
      </c>
      <c r="E28" s="140">
        <v>184675.70000000016</v>
      </c>
      <c r="F28" s="346">
        <v>39309.599999999999</v>
      </c>
      <c r="G28" s="1058">
        <v>134209.09999999998</v>
      </c>
      <c r="H28" s="140"/>
      <c r="I28" s="362">
        <v>19161.199999999997</v>
      </c>
      <c r="J28" s="140">
        <v>107284.3</v>
      </c>
      <c r="K28" s="133">
        <v>287441.19999999995</v>
      </c>
      <c r="L28" s="137">
        <v>587405.39999999991</v>
      </c>
      <c r="M28" s="347">
        <v>210539.85</v>
      </c>
      <c r="N28" s="140">
        <v>17287.8</v>
      </c>
      <c r="O28" s="137">
        <v>359577.74999999994</v>
      </c>
      <c r="P28" s="133"/>
      <c r="Q28" s="362">
        <v>41979.700000000004</v>
      </c>
      <c r="R28" s="1058">
        <v>766726.45000000007</v>
      </c>
      <c r="S28" s="136">
        <v>3154.2</v>
      </c>
      <c r="T28" s="140">
        <v>811860.35</v>
      </c>
      <c r="U28" s="349"/>
      <c r="V28" s="348">
        <v>1171438.0999999999</v>
      </c>
      <c r="W28" s="140">
        <v>1356113.8</v>
      </c>
    </row>
    <row r="29" spans="1:23" s="145" customFormat="1" hidden="1">
      <c r="A29" s="113" t="s">
        <v>63</v>
      </c>
      <c r="B29" s="140">
        <v>142837.30000000005</v>
      </c>
      <c r="C29" s="140">
        <v>70021.499999999971</v>
      </c>
      <c r="D29" s="140">
        <v>-72.849999999999994</v>
      </c>
      <c r="E29" s="140">
        <v>212785.95</v>
      </c>
      <c r="F29" s="346">
        <v>27300.1</v>
      </c>
      <c r="G29" s="1058">
        <v>151516.40000000002</v>
      </c>
      <c r="H29" s="140"/>
      <c r="I29" s="362">
        <v>22821.449999999997</v>
      </c>
      <c r="J29" s="140">
        <v>107284.3</v>
      </c>
      <c r="K29" s="133">
        <v>286825</v>
      </c>
      <c r="L29" s="137">
        <v>595747.25</v>
      </c>
      <c r="M29" s="347">
        <v>278447.73611111112</v>
      </c>
      <c r="N29" s="140">
        <v>25072.2</v>
      </c>
      <c r="O29" s="137">
        <v>292227.31388888886</v>
      </c>
      <c r="P29" s="133"/>
      <c r="Q29" s="362">
        <v>44045.2</v>
      </c>
      <c r="R29" s="1058">
        <v>785180.62499999988</v>
      </c>
      <c r="S29" s="136">
        <v>3642.8999999999996</v>
      </c>
      <c r="T29" s="140">
        <v>832868.72499999986</v>
      </c>
      <c r="U29" s="349"/>
      <c r="V29" s="348">
        <v>1125096.0388888887</v>
      </c>
      <c r="W29" s="140">
        <v>1337881.9888888886</v>
      </c>
    </row>
    <row r="30" spans="1:23" s="145" customFormat="1" hidden="1">
      <c r="A30" s="113" t="s">
        <v>64</v>
      </c>
      <c r="B30" s="140">
        <v>128675.89999999997</v>
      </c>
      <c r="C30" s="140">
        <v>51849.400000000023</v>
      </c>
      <c r="D30" s="140">
        <v>-48.6</v>
      </c>
      <c r="E30" s="140">
        <v>180476.69999999998</v>
      </c>
      <c r="F30" s="346">
        <v>55186.9</v>
      </c>
      <c r="G30" s="1058">
        <v>147702.70000000001</v>
      </c>
      <c r="H30" s="140"/>
      <c r="I30" s="362">
        <v>49269.8</v>
      </c>
      <c r="J30" s="140">
        <v>106976.2</v>
      </c>
      <c r="K30" s="133">
        <v>285900.5</v>
      </c>
      <c r="L30" s="137">
        <v>645036.10000000009</v>
      </c>
      <c r="M30" s="347">
        <v>238856.59999999998</v>
      </c>
      <c r="N30" s="140">
        <v>23004.400000000001</v>
      </c>
      <c r="O30" s="137">
        <v>383175.10000000009</v>
      </c>
      <c r="P30" s="133"/>
      <c r="Q30" s="362">
        <v>40818.700000000004</v>
      </c>
      <c r="R30" s="1058">
        <v>814694.39999999991</v>
      </c>
      <c r="S30" s="136">
        <v>3449.2999999999997</v>
      </c>
      <c r="T30" s="140">
        <v>858962.39999999991</v>
      </c>
      <c r="U30" s="349"/>
      <c r="V30" s="348">
        <v>1242137.5</v>
      </c>
      <c r="W30" s="140">
        <v>1422614.2</v>
      </c>
    </row>
    <row r="31" spans="1:23" s="145" customFormat="1" hidden="1">
      <c r="A31" s="113"/>
      <c r="B31" s="140"/>
      <c r="C31" s="140"/>
      <c r="D31" s="140"/>
      <c r="E31" s="140"/>
      <c r="F31" s="346"/>
      <c r="G31" s="1058"/>
      <c r="H31" s="140"/>
      <c r="I31" s="362"/>
      <c r="J31" s="140"/>
      <c r="K31" s="133"/>
      <c r="L31" s="137"/>
      <c r="M31" s="347"/>
      <c r="N31" s="140"/>
      <c r="O31" s="137"/>
      <c r="P31" s="133"/>
      <c r="Q31" s="362"/>
      <c r="R31" s="1058"/>
      <c r="S31" s="136"/>
      <c r="T31" s="140"/>
      <c r="U31" s="349"/>
      <c r="V31" s="348"/>
      <c r="W31" s="140"/>
    </row>
    <row r="32" spans="1:23" s="145" customFormat="1">
      <c r="A32" s="113" t="s">
        <v>53</v>
      </c>
      <c r="B32" s="140">
        <v>115526.40000000002</v>
      </c>
      <c r="C32" s="140">
        <v>45364.599999999977</v>
      </c>
      <c r="D32" s="140">
        <v>-24.300000000000004</v>
      </c>
      <c r="E32" s="140">
        <v>160866.70000000001</v>
      </c>
      <c r="F32" s="346">
        <v>23590.1</v>
      </c>
      <c r="G32" s="346">
        <v>156652.5</v>
      </c>
      <c r="H32" s="346"/>
      <c r="I32" s="346">
        <v>51794.399999999994</v>
      </c>
      <c r="J32" s="346">
        <v>104166</v>
      </c>
      <c r="K32" s="346">
        <v>284644.40000000002</v>
      </c>
      <c r="L32" s="137">
        <v>620847.4</v>
      </c>
      <c r="M32" s="346">
        <v>247417.85000000003</v>
      </c>
      <c r="N32" s="140">
        <v>29000.600000000002</v>
      </c>
      <c r="O32" s="137">
        <v>344428.95</v>
      </c>
      <c r="P32" s="133"/>
      <c r="Q32" s="362">
        <v>22882</v>
      </c>
      <c r="R32" s="137">
        <v>819545.25</v>
      </c>
      <c r="S32" s="136">
        <v>3910.9</v>
      </c>
      <c r="T32" s="140">
        <v>846338.15</v>
      </c>
      <c r="U32" s="349"/>
      <c r="V32" s="348">
        <v>1190767.1000000001</v>
      </c>
      <c r="W32" s="140">
        <v>1351633.8</v>
      </c>
    </row>
    <row r="33" spans="1:23" s="145" customFormat="1">
      <c r="A33" s="113" t="s">
        <v>44</v>
      </c>
      <c r="B33" s="140">
        <v>11927.5</v>
      </c>
      <c r="C33" s="140">
        <v>53211.099999999977</v>
      </c>
      <c r="D33" s="140" t="s">
        <v>88</v>
      </c>
      <c r="E33" s="140">
        <v>65138.599999999977</v>
      </c>
      <c r="F33" s="346">
        <v>121700.8</v>
      </c>
      <c r="G33" s="346">
        <v>166756.20000000001</v>
      </c>
      <c r="H33" s="346"/>
      <c r="I33" s="346">
        <v>48976.1</v>
      </c>
      <c r="J33" s="346">
        <v>100317.8</v>
      </c>
      <c r="K33" s="346">
        <v>282393.09999999998</v>
      </c>
      <c r="L33" s="137">
        <v>720144</v>
      </c>
      <c r="M33" s="346">
        <v>229581.90000000002</v>
      </c>
      <c r="N33" s="140">
        <v>26258.899999999998</v>
      </c>
      <c r="O33" s="137">
        <v>464303.19999999995</v>
      </c>
      <c r="P33" s="133"/>
      <c r="Q33" s="362">
        <v>9628.4</v>
      </c>
      <c r="R33" s="137">
        <v>856754.29999999981</v>
      </c>
      <c r="S33" s="136">
        <v>3822.2</v>
      </c>
      <c r="T33" s="140">
        <v>870204.89999999979</v>
      </c>
      <c r="U33" s="349"/>
      <c r="V33" s="348">
        <v>1334508.0999999996</v>
      </c>
      <c r="W33" s="140">
        <v>1399646.6999999997</v>
      </c>
    </row>
    <row r="34" spans="1:23" s="145" customFormat="1">
      <c r="A34" s="113" t="s">
        <v>47</v>
      </c>
      <c r="B34" s="140">
        <v>-77050.099999999977</v>
      </c>
      <c r="C34" s="140">
        <v>43805.499999999942</v>
      </c>
      <c r="D34" s="140" t="s">
        <v>88</v>
      </c>
      <c r="E34" s="140">
        <v>-33244.600000000035</v>
      </c>
      <c r="F34" s="346">
        <v>201450.1</v>
      </c>
      <c r="G34" s="346">
        <v>177101.60000000003</v>
      </c>
      <c r="H34" s="346"/>
      <c r="I34" s="346">
        <v>50077.969444444447</v>
      </c>
      <c r="J34" s="346">
        <v>96137.9</v>
      </c>
      <c r="K34" s="346">
        <v>280473.5</v>
      </c>
      <c r="L34" s="137">
        <v>805241.0694444445</v>
      </c>
      <c r="M34" s="346">
        <v>208852.61944444446</v>
      </c>
      <c r="N34" s="140">
        <v>29497.3</v>
      </c>
      <c r="O34" s="137">
        <v>566891.15</v>
      </c>
      <c r="P34" s="133"/>
      <c r="Q34" s="362">
        <v>14965.4</v>
      </c>
      <c r="R34" s="137">
        <v>865121.3833333333</v>
      </c>
      <c r="S34" s="136">
        <v>3755.9</v>
      </c>
      <c r="T34" s="140">
        <v>883842.68333333335</v>
      </c>
      <c r="U34" s="349"/>
      <c r="V34" s="348">
        <v>1450733.8333333335</v>
      </c>
      <c r="W34" s="140">
        <v>1417489.2333333334</v>
      </c>
    </row>
    <row r="35" spans="1:23" s="145" customFormat="1">
      <c r="A35" s="113" t="s">
        <v>50</v>
      </c>
      <c r="B35" s="140">
        <v>-132985.60000000001</v>
      </c>
      <c r="C35" s="140">
        <v>57115.499999999971</v>
      </c>
      <c r="D35" s="140" t="s">
        <v>88</v>
      </c>
      <c r="E35" s="140">
        <v>-75870.100000000035</v>
      </c>
      <c r="F35" s="346">
        <v>273246</v>
      </c>
      <c r="G35" s="346">
        <v>254809.2</v>
      </c>
      <c r="H35" s="346"/>
      <c r="I35" s="346">
        <v>50054.3</v>
      </c>
      <c r="J35" s="346">
        <v>90564.7</v>
      </c>
      <c r="K35" s="346">
        <v>277913.90000000002</v>
      </c>
      <c r="L35" s="137">
        <v>946588.1</v>
      </c>
      <c r="M35" s="346">
        <v>233455.5</v>
      </c>
      <c r="N35" s="140">
        <v>26275.999999999996</v>
      </c>
      <c r="O35" s="137">
        <v>686856.6</v>
      </c>
      <c r="P35" s="133"/>
      <c r="Q35" s="362">
        <v>6532.0999999999995</v>
      </c>
      <c r="R35" s="137">
        <v>812972</v>
      </c>
      <c r="S35" s="136">
        <v>27.1</v>
      </c>
      <c r="T35" s="140">
        <v>819531.2</v>
      </c>
      <c r="U35" s="349"/>
      <c r="V35" s="348">
        <v>1506387.7999999998</v>
      </c>
      <c r="W35" s="140">
        <v>1430517.6999999997</v>
      </c>
    </row>
    <row r="36" spans="1:23" s="145" customFormat="1">
      <c r="A36" s="113"/>
      <c r="B36" s="140"/>
      <c r="C36" s="140"/>
      <c r="D36" s="140"/>
      <c r="E36" s="140"/>
      <c r="F36" s="346"/>
      <c r="G36" s="346"/>
      <c r="H36" s="346"/>
      <c r="I36" s="346"/>
      <c r="J36" s="346"/>
      <c r="K36" s="346"/>
      <c r="L36" s="137"/>
      <c r="M36" s="346"/>
      <c r="N36" s="140"/>
      <c r="O36" s="137"/>
      <c r="P36" s="133"/>
      <c r="Q36" s="362"/>
      <c r="R36" s="137"/>
      <c r="S36" s="136"/>
      <c r="T36" s="140"/>
      <c r="U36" s="349"/>
      <c r="V36" s="348"/>
      <c r="W36" s="140"/>
    </row>
    <row r="37" spans="1:23" s="145" customFormat="1">
      <c r="A37" s="113" t="s">
        <v>65</v>
      </c>
      <c r="B37" s="140">
        <v>-194954.00000000006</v>
      </c>
      <c r="C37" s="140">
        <v>33930.199999999953</v>
      </c>
      <c r="D37" s="140" t="s">
        <v>88</v>
      </c>
      <c r="E37" s="140">
        <v>-161023.8000000001</v>
      </c>
      <c r="F37" s="346">
        <v>273246</v>
      </c>
      <c r="G37" s="346">
        <v>296894.8</v>
      </c>
      <c r="H37" s="346"/>
      <c r="I37" s="346">
        <v>49389.950000000004</v>
      </c>
      <c r="J37" s="346">
        <v>86384.8</v>
      </c>
      <c r="K37" s="346">
        <v>275994.3</v>
      </c>
      <c r="L37" s="137">
        <v>981909.85000000009</v>
      </c>
      <c r="M37" s="346">
        <v>231671.77500000002</v>
      </c>
      <c r="N37" s="140">
        <v>25784.100000000002</v>
      </c>
      <c r="O37" s="137">
        <v>724453.97500000009</v>
      </c>
      <c r="P37" s="133"/>
      <c r="Q37" s="362">
        <v>2767.5</v>
      </c>
      <c r="R37" s="137">
        <v>832325.4</v>
      </c>
      <c r="S37" s="136">
        <v>22.2</v>
      </c>
      <c r="T37" s="140">
        <v>835115.1</v>
      </c>
      <c r="U37" s="349"/>
      <c r="V37" s="348">
        <v>1559569.0750000002</v>
      </c>
      <c r="W37" s="140">
        <v>1398545.2750000001</v>
      </c>
    </row>
    <row r="38" spans="1:23" s="145" customFormat="1">
      <c r="A38" s="113" t="s">
        <v>44</v>
      </c>
      <c r="B38" s="140">
        <v>-186003.4</v>
      </c>
      <c r="C38" s="140">
        <v>20116.699999999953</v>
      </c>
      <c r="D38" s="140" t="s">
        <v>88</v>
      </c>
      <c r="E38" s="140">
        <v>-165886.70000000004</v>
      </c>
      <c r="F38" s="346">
        <v>19504.700000000012</v>
      </c>
      <c r="G38" s="346">
        <v>348742.9</v>
      </c>
      <c r="H38" s="346"/>
      <c r="I38" s="346">
        <v>53066.8</v>
      </c>
      <c r="J38" s="346">
        <v>83598.2</v>
      </c>
      <c r="K38" s="351">
        <v>547320.69999999995</v>
      </c>
      <c r="L38" s="137">
        <v>1052233.3</v>
      </c>
      <c r="M38" s="352">
        <v>222571.65000000002</v>
      </c>
      <c r="N38" s="140">
        <v>41471.800000000003</v>
      </c>
      <c r="O38" s="137">
        <v>788189.85</v>
      </c>
      <c r="P38" s="133"/>
      <c r="Q38" s="362">
        <v>6427</v>
      </c>
      <c r="R38" s="137">
        <v>857911.70000000007</v>
      </c>
      <c r="S38" s="136">
        <v>59.2</v>
      </c>
      <c r="T38" s="140">
        <v>864397.9</v>
      </c>
      <c r="U38" s="349"/>
      <c r="V38" s="348">
        <v>1652587.75</v>
      </c>
      <c r="W38" s="140">
        <v>1486701.05</v>
      </c>
    </row>
    <row r="39" spans="1:23" s="145" customFormat="1">
      <c r="A39" s="839" t="s">
        <v>47</v>
      </c>
      <c r="B39" s="140">
        <v>-181601</v>
      </c>
      <c r="C39" s="140">
        <v>-10844.799999999959</v>
      </c>
      <c r="D39" s="140" t="s">
        <v>88</v>
      </c>
      <c r="E39" s="140">
        <v>-192445.79999999996</v>
      </c>
      <c r="F39" s="346">
        <v>18972.7</v>
      </c>
      <c r="G39" s="346">
        <v>390238.4</v>
      </c>
      <c r="H39" s="346"/>
      <c r="I39" s="346">
        <v>46843.899999999994</v>
      </c>
      <c r="J39" s="346">
        <v>79418.3</v>
      </c>
      <c r="K39" s="351">
        <v>546041</v>
      </c>
      <c r="L39" s="137">
        <v>1081514.3</v>
      </c>
      <c r="M39" s="352">
        <v>220076.07500000001</v>
      </c>
      <c r="N39" s="140">
        <v>34600.5</v>
      </c>
      <c r="O39" s="137">
        <v>826837.72500000009</v>
      </c>
      <c r="P39" s="133"/>
      <c r="Q39" s="362">
        <v>11245.4</v>
      </c>
      <c r="R39" s="137">
        <v>872234.79999999993</v>
      </c>
      <c r="S39" s="136">
        <v>15.5</v>
      </c>
      <c r="T39" s="140">
        <v>883495.7</v>
      </c>
      <c r="U39" s="349"/>
      <c r="V39" s="133">
        <v>1710333.425</v>
      </c>
      <c r="W39" s="140">
        <v>1517887.625</v>
      </c>
    </row>
    <row r="40" spans="1:23" s="145" customFormat="1">
      <c r="A40" s="839" t="s">
        <v>50</v>
      </c>
      <c r="B40" s="140">
        <v>-162073.80000000002</v>
      </c>
      <c r="C40" s="140">
        <v>-14449.299999999974</v>
      </c>
      <c r="D40" s="140" t="s">
        <v>88</v>
      </c>
      <c r="E40" s="140">
        <v>-176523.09999999998</v>
      </c>
      <c r="F40" s="346">
        <v>134973.1</v>
      </c>
      <c r="G40" s="346">
        <v>438079.6</v>
      </c>
      <c r="H40" s="346"/>
      <c r="I40" s="346">
        <v>37133.1</v>
      </c>
      <c r="J40" s="346">
        <v>73845.100000000006</v>
      </c>
      <c r="K40" s="351">
        <v>543481.59999999998</v>
      </c>
      <c r="L40" s="137">
        <v>1227512.5</v>
      </c>
      <c r="M40" s="352">
        <v>291260.3</v>
      </c>
      <c r="N40" s="140">
        <v>30394.800000000003</v>
      </c>
      <c r="O40" s="137">
        <v>905857.39999999991</v>
      </c>
      <c r="P40" s="133"/>
      <c r="Q40" s="362">
        <v>7173.4000000000005</v>
      </c>
      <c r="R40" s="137">
        <v>854034</v>
      </c>
      <c r="S40" s="136">
        <v>57.6</v>
      </c>
      <c r="T40" s="140">
        <v>861265</v>
      </c>
      <c r="U40" s="349"/>
      <c r="V40" s="133">
        <v>1767122.4</v>
      </c>
      <c r="W40" s="140">
        <v>1590599.2999999998</v>
      </c>
    </row>
    <row r="41" spans="1:23" s="145" customFormat="1">
      <c r="A41" s="113"/>
      <c r="B41" s="140"/>
      <c r="C41" s="140"/>
      <c r="D41" s="140"/>
      <c r="E41" s="140"/>
      <c r="F41" s="346"/>
      <c r="G41" s="346"/>
      <c r="H41" s="346"/>
      <c r="I41" s="351"/>
      <c r="J41" s="346"/>
      <c r="K41" s="351"/>
      <c r="L41" s="137"/>
      <c r="M41" s="352"/>
      <c r="N41" s="140"/>
      <c r="O41" s="137"/>
      <c r="P41" s="133"/>
      <c r="Q41" s="362"/>
      <c r="R41" s="137"/>
      <c r="S41" s="136"/>
      <c r="T41" s="140"/>
      <c r="U41" s="349"/>
      <c r="V41" s="348"/>
      <c r="W41" s="140"/>
    </row>
    <row r="42" spans="1:23" s="145" customFormat="1">
      <c r="A42" s="839" t="s">
        <v>66</v>
      </c>
      <c r="B42" s="140">
        <v>-133135.90000000002</v>
      </c>
      <c r="C42" s="140">
        <v>-31494.300000000003</v>
      </c>
      <c r="D42" s="140" t="s">
        <v>88</v>
      </c>
      <c r="E42" s="140">
        <v>-164630.20000000001</v>
      </c>
      <c r="F42" s="346">
        <v>130042.5</v>
      </c>
      <c r="G42" s="346">
        <v>474831.29999999993</v>
      </c>
      <c r="H42" s="346"/>
      <c r="I42" s="346">
        <v>48614.55</v>
      </c>
      <c r="J42" s="346">
        <v>69665.100000000006</v>
      </c>
      <c r="K42" s="351">
        <v>541562</v>
      </c>
      <c r="L42" s="137">
        <v>1264715.45</v>
      </c>
      <c r="M42" s="352">
        <v>247676.35</v>
      </c>
      <c r="N42" s="140">
        <v>31886.899999999998</v>
      </c>
      <c r="O42" s="137">
        <v>985152.2</v>
      </c>
      <c r="P42" s="133"/>
      <c r="Q42" s="362">
        <v>6812.0999999999995</v>
      </c>
      <c r="R42" s="137">
        <v>806759.35000000009</v>
      </c>
      <c r="S42" s="136">
        <v>58.6</v>
      </c>
      <c r="T42" s="140">
        <v>813630.05</v>
      </c>
      <c r="U42" s="349"/>
      <c r="V42" s="133">
        <v>1798782.25</v>
      </c>
      <c r="W42" s="140">
        <v>1634152.05</v>
      </c>
    </row>
    <row r="43" spans="1:23" s="145" customFormat="1">
      <c r="A43" s="839" t="s">
        <v>627</v>
      </c>
      <c r="B43" s="140">
        <v>-140476.99999999994</v>
      </c>
      <c r="C43" s="140">
        <v>-12640.399999999994</v>
      </c>
      <c r="D43" s="140" t="s">
        <v>88</v>
      </c>
      <c r="E43" s="140">
        <v>-153117.39999999994</v>
      </c>
      <c r="F43" s="346">
        <v>141652.79999999999</v>
      </c>
      <c r="G43" s="346">
        <v>520961.5</v>
      </c>
      <c r="H43" s="346"/>
      <c r="I43" s="346">
        <v>41050</v>
      </c>
      <c r="J43" s="346">
        <v>66878.5</v>
      </c>
      <c r="K43" s="351">
        <v>540282.30000000005</v>
      </c>
      <c r="L43" s="137">
        <v>1310825.1000000001</v>
      </c>
      <c r="M43" s="352">
        <v>246217.90000000002</v>
      </c>
      <c r="N43" s="140">
        <v>54196.200000000004</v>
      </c>
      <c r="O43" s="137">
        <v>1010411.0000000002</v>
      </c>
      <c r="P43" s="133"/>
      <c r="Q43" s="362">
        <v>13580.699999999999</v>
      </c>
      <c r="R43" s="137">
        <v>857454.3</v>
      </c>
      <c r="S43" s="136">
        <v>33.299999999999997</v>
      </c>
      <c r="T43" s="140">
        <v>871068.3</v>
      </c>
      <c r="U43" s="349"/>
      <c r="V43" s="133">
        <v>1881479.3000000003</v>
      </c>
      <c r="W43" s="140">
        <v>1728361.9000000004</v>
      </c>
    </row>
    <row r="44" spans="1:23" s="145" customFormat="1">
      <c r="A44" s="839" t="s">
        <v>630</v>
      </c>
      <c r="B44" s="140">
        <v>-134023.79999999999</v>
      </c>
      <c r="C44" s="140">
        <v>-42355.7</v>
      </c>
      <c r="D44" s="140" t="s">
        <v>88</v>
      </c>
      <c r="E44" s="140">
        <v>-176379.5</v>
      </c>
      <c r="F44" s="346">
        <v>112382.3</v>
      </c>
      <c r="G44" s="346">
        <v>550738.80000000005</v>
      </c>
      <c r="H44" s="346"/>
      <c r="I44" s="346">
        <v>44013.45</v>
      </c>
      <c r="J44" s="346">
        <v>62698.6</v>
      </c>
      <c r="K44" s="351">
        <v>538362.6</v>
      </c>
      <c r="L44" s="137">
        <v>1308195.75</v>
      </c>
      <c r="M44" s="352">
        <v>234692.7</v>
      </c>
      <c r="N44" s="140">
        <v>36826.199999999997</v>
      </c>
      <c r="O44" s="137">
        <v>1036676.8500000001</v>
      </c>
      <c r="P44" s="133"/>
      <c r="Q44" s="362">
        <v>28033</v>
      </c>
      <c r="R44" s="137">
        <v>893468</v>
      </c>
      <c r="S44" s="136">
        <v>56.1</v>
      </c>
      <c r="T44" s="140">
        <v>921557.1</v>
      </c>
      <c r="U44" s="349"/>
      <c r="V44" s="133">
        <v>1958233.9500000002</v>
      </c>
      <c r="W44" s="140">
        <v>1781854.4500000002</v>
      </c>
    </row>
    <row r="45" spans="1:23" s="145" customFormat="1">
      <c r="A45" s="839" t="s">
        <v>663</v>
      </c>
      <c r="B45" s="140">
        <v>-144480.39999999997</v>
      </c>
      <c r="C45" s="140">
        <f>146133-156052.6</f>
        <v>-9919.6000000000058</v>
      </c>
      <c r="D45" s="140" t="s">
        <v>88</v>
      </c>
      <c r="E45" s="140">
        <f t="shared" ref="E45" si="5">+SUM(B45:D45)</f>
        <v>-154399.99999999997</v>
      </c>
      <c r="F45" s="346">
        <v>194279.4</v>
      </c>
      <c r="G45" s="346">
        <f>459750.2+183740.4</f>
        <v>643490.6</v>
      </c>
      <c r="H45" s="346"/>
      <c r="I45" s="346">
        <v>30924.9</v>
      </c>
      <c r="J45" s="346">
        <v>57125.4</v>
      </c>
      <c r="K45" s="351">
        <v>535803.19999999995</v>
      </c>
      <c r="L45" s="137">
        <f t="shared" ref="L45" si="6">+SUM(F45:K45)</f>
        <v>1461623.5</v>
      </c>
      <c r="M45" s="352">
        <v>300060.10000000009</v>
      </c>
      <c r="N45" s="140">
        <v>49349</v>
      </c>
      <c r="O45" s="137">
        <f t="shared" ref="O45" si="7">+L45-M45-N45</f>
        <v>1112214.3999999999</v>
      </c>
      <c r="P45" s="133"/>
      <c r="Q45" s="362">
        <f>28633.1+129.8</f>
        <v>28762.899999999998</v>
      </c>
      <c r="R45" s="137">
        <v>859241.30000000016</v>
      </c>
      <c r="S45" s="136">
        <v>4937.3999999999996</v>
      </c>
      <c r="T45" s="140">
        <f>SUM(Q45:S45)</f>
        <v>892941.60000000021</v>
      </c>
      <c r="U45" s="349"/>
      <c r="V45" s="133">
        <f t="shared" ref="V45" si="8">SUM(O45,T45)</f>
        <v>2005156</v>
      </c>
      <c r="W45" s="140">
        <f t="shared" ref="W45" si="9">SUM(E45,V45)</f>
        <v>1850756</v>
      </c>
    </row>
    <row r="46" spans="1:23" s="145" customFormat="1">
      <c r="A46" s="839"/>
      <c r="B46" s="140"/>
      <c r="C46" s="140"/>
      <c r="D46" s="140"/>
      <c r="E46" s="140"/>
      <c r="F46" s="346"/>
      <c r="G46" s="346"/>
      <c r="H46" s="346"/>
      <c r="I46" s="351"/>
      <c r="J46" s="346"/>
      <c r="K46" s="351"/>
      <c r="L46" s="137"/>
      <c r="M46" s="352"/>
      <c r="N46" s="140"/>
      <c r="O46" s="137"/>
      <c r="P46" s="133"/>
      <c r="Q46" s="362"/>
      <c r="R46" s="137"/>
      <c r="S46" s="136"/>
      <c r="T46" s="140"/>
      <c r="U46" s="349"/>
      <c r="V46" s="133"/>
      <c r="W46" s="140"/>
    </row>
    <row r="47" spans="1:23" s="145" customFormat="1">
      <c r="A47" s="839" t="s">
        <v>684</v>
      </c>
      <c r="B47" s="140">
        <v>-180504.6</v>
      </c>
      <c r="C47" s="140">
        <v>10814.499999999913</v>
      </c>
      <c r="D47" s="140" t="s">
        <v>88</v>
      </c>
      <c r="E47" s="140">
        <v>-169690.10000000009</v>
      </c>
      <c r="F47" s="346">
        <v>151279.20000000001</v>
      </c>
      <c r="G47" s="346">
        <v>716057.39999999991</v>
      </c>
      <c r="H47" s="346"/>
      <c r="I47" s="346">
        <v>29375</v>
      </c>
      <c r="J47" s="346">
        <v>52945.5</v>
      </c>
      <c r="K47" s="351">
        <v>533314.30000000005</v>
      </c>
      <c r="L47" s="137">
        <v>1482971.4</v>
      </c>
      <c r="M47" s="352">
        <v>289721.30000000005</v>
      </c>
      <c r="N47" s="140">
        <v>56551.900000000009</v>
      </c>
      <c r="O47" s="137">
        <v>1136698.2</v>
      </c>
      <c r="P47" s="133"/>
      <c r="Q47" s="362">
        <v>16032.599999999999</v>
      </c>
      <c r="R47" s="137">
        <v>887426.7</v>
      </c>
      <c r="S47" s="136">
        <v>5422.5</v>
      </c>
      <c r="T47" s="140">
        <v>908881.79999999993</v>
      </c>
      <c r="U47" s="349"/>
      <c r="V47" s="133">
        <v>2045580</v>
      </c>
      <c r="W47" s="140">
        <v>1875889.9</v>
      </c>
    </row>
    <row r="48" spans="1:23" s="145" customFormat="1">
      <c r="A48" s="839" t="s">
        <v>717</v>
      </c>
      <c r="B48" s="140">
        <v>-175279.1</v>
      </c>
      <c r="C48" s="140">
        <v>-25976.599999999977</v>
      </c>
      <c r="D48" s="140" t="s">
        <v>88</v>
      </c>
      <c r="E48" s="140">
        <v>-201255.69999999998</v>
      </c>
      <c r="F48" s="346">
        <v>201181.6</v>
      </c>
      <c r="G48" s="346">
        <v>799117.9</v>
      </c>
      <c r="H48" s="346"/>
      <c r="I48" s="346">
        <v>61961.200000000004</v>
      </c>
      <c r="J48" s="346">
        <v>50158.9</v>
      </c>
      <c r="K48" s="351">
        <v>529117.6</v>
      </c>
      <c r="L48" s="137">
        <v>1641537.1999999997</v>
      </c>
      <c r="M48" s="352">
        <v>399287.60000000003</v>
      </c>
      <c r="N48" s="140">
        <v>53521.5</v>
      </c>
      <c r="O48" s="137">
        <v>1188728.0999999996</v>
      </c>
      <c r="P48" s="133"/>
      <c r="Q48" s="362">
        <v>24405.8</v>
      </c>
      <c r="R48" s="137">
        <v>930561</v>
      </c>
      <c r="S48" s="136">
        <v>5533.2</v>
      </c>
      <c r="T48" s="140">
        <v>960500</v>
      </c>
      <c r="U48" s="349"/>
      <c r="V48" s="133">
        <v>2149228.0999999996</v>
      </c>
      <c r="W48" s="140">
        <v>1947972.3999999997</v>
      </c>
    </row>
    <row r="49" spans="1:23" s="145" customFormat="1">
      <c r="A49" s="839"/>
      <c r="B49" s="140"/>
      <c r="C49" s="140"/>
      <c r="D49" s="140"/>
      <c r="E49" s="140"/>
      <c r="F49" s="346"/>
      <c r="G49" s="346"/>
      <c r="H49" s="346"/>
      <c r="I49" s="351"/>
      <c r="J49" s="346"/>
      <c r="K49" s="351"/>
      <c r="L49" s="137"/>
      <c r="M49" s="352"/>
      <c r="N49" s="140"/>
      <c r="O49" s="137"/>
      <c r="P49" s="133"/>
      <c r="Q49" s="362"/>
      <c r="R49" s="137"/>
      <c r="S49" s="136"/>
      <c r="T49" s="140"/>
      <c r="U49" s="349"/>
      <c r="V49" s="348"/>
      <c r="W49" s="140"/>
    </row>
    <row r="50" spans="1:23" s="145" customFormat="1" hidden="1">
      <c r="A50" s="113" t="s">
        <v>60</v>
      </c>
      <c r="B50" s="140">
        <v>71000.099999999977</v>
      </c>
      <c r="C50" s="140">
        <v>72524.799999999988</v>
      </c>
      <c r="D50" s="140" t="s">
        <v>88</v>
      </c>
      <c r="E50" s="140">
        <f t="shared" ref="E50:E86" si="10">+SUM(B50:D50)</f>
        <v>143524.89999999997</v>
      </c>
      <c r="F50" s="140">
        <v>158139.70000000001</v>
      </c>
      <c r="G50" s="140">
        <v>40422.300000000003</v>
      </c>
      <c r="H50" s="140" t="s">
        <v>88</v>
      </c>
      <c r="I50" s="133">
        <v>5365.5</v>
      </c>
      <c r="J50" s="346" t="s">
        <v>88</v>
      </c>
      <c r="K50" s="346" t="s">
        <v>88</v>
      </c>
      <c r="L50" s="137">
        <f t="shared" ref="L50:L89" si="11">+SUM(F50:K50)</f>
        <v>203927.5</v>
      </c>
      <c r="M50" s="347">
        <v>80610.600000000006</v>
      </c>
      <c r="N50" s="140">
        <v>9941.8999999999978</v>
      </c>
      <c r="O50" s="137">
        <f t="shared" ref="O50:O118" si="12">+L50-M50-N50</f>
        <v>113375</v>
      </c>
      <c r="P50" s="133"/>
      <c r="Q50" s="348">
        <v>9503.2000000000007</v>
      </c>
      <c r="R50" s="140">
        <v>218676.50000000003</v>
      </c>
      <c r="S50" s="136">
        <v>77.900000000000006</v>
      </c>
      <c r="T50" s="140">
        <f t="shared" ref="T50:T118" si="13">SUM(Q50:S50)</f>
        <v>228257.60000000003</v>
      </c>
      <c r="U50" s="349"/>
      <c r="V50" s="348">
        <f t="shared" ref="V50:V118" si="14">SUM(O50,T50)</f>
        <v>341632.60000000003</v>
      </c>
      <c r="W50" s="140">
        <f>SUM(E50,V50)</f>
        <v>485157.5</v>
      </c>
    </row>
    <row r="51" spans="1:23" s="145" customFormat="1" hidden="1">
      <c r="A51" s="113" t="s">
        <v>40</v>
      </c>
      <c r="B51" s="140">
        <v>62812.299999999988</v>
      </c>
      <c r="C51" s="140">
        <v>81461.900000000009</v>
      </c>
      <c r="D51" s="140" t="s">
        <v>88</v>
      </c>
      <c r="E51" s="140">
        <f t="shared" si="10"/>
        <v>144274.20000000001</v>
      </c>
      <c r="F51" s="140">
        <v>163802</v>
      </c>
      <c r="G51" s="140">
        <v>45396.9</v>
      </c>
      <c r="H51" s="140" t="s">
        <v>88</v>
      </c>
      <c r="I51" s="133">
        <v>6283.7000000000007</v>
      </c>
      <c r="J51" s="346" t="s">
        <v>88</v>
      </c>
      <c r="K51" s="346" t="s">
        <v>88</v>
      </c>
      <c r="L51" s="137">
        <f t="shared" si="11"/>
        <v>215482.6</v>
      </c>
      <c r="M51" s="347">
        <v>76125.5</v>
      </c>
      <c r="N51" s="140">
        <v>9334.5</v>
      </c>
      <c r="O51" s="137">
        <f t="shared" si="12"/>
        <v>130022.6</v>
      </c>
      <c r="P51" s="133"/>
      <c r="Q51" s="348">
        <v>9111.2000000000007</v>
      </c>
      <c r="R51" s="140">
        <v>217278.00000000003</v>
      </c>
      <c r="S51" s="136">
        <v>106.1</v>
      </c>
      <c r="T51" s="140">
        <f t="shared" si="13"/>
        <v>226495.30000000005</v>
      </c>
      <c r="U51" s="349"/>
      <c r="V51" s="348">
        <f t="shared" si="14"/>
        <v>356517.9</v>
      </c>
      <c r="W51" s="140">
        <f t="shared" ref="W51:W119" si="15">SUM(E51,V51)</f>
        <v>500792.10000000003</v>
      </c>
    </row>
    <row r="52" spans="1:23" s="145" customFormat="1" hidden="1">
      <c r="A52" s="113" t="s">
        <v>41</v>
      </c>
      <c r="B52" s="140">
        <v>60403.499999999942</v>
      </c>
      <c r="C52" s="140">
        <v>88180.9</v>
      </c>
      <c r="D52" s="140" t="s">
        <v>88</v>
      </c>
      <c r="E52" s="140">
        <f t="shared" si="10"/>
        <v>148584.39999999994</v>
      </c>
      <c r="F52" s="140">
        <v>173616.9</v>
      </c>
      <c r="G52" s="140">
        <v>45326.400000000001</v>
      </c>
      <c r="H52" s="140" t="s">
        <v>88</v>
      </c>
      <c r="I52" s="133">
        <v>6220.2999999999993</v>
      </c>
      <c r="J52" s="346" t="s">
        <v>88</v>
      </c>
      <c r="K52" s="346" t="s">
        <v>88</v>
      </c>
      <c r="L52" s="137">
        <f t="shared" si="11"/>
        <v>225163.59999999998</v>
      </c>
      <c r="M52" s="347">
        <v>80768</v>
      </c>
      <c r="N52" s="140">
        <v>11101.600000000002</v>
      </c>
      <c r="O52" s="137">
        <f t="shared" si="12"/>
        <v>133293.99999999997</v>
      </c>
      <c r="P52" s="133"/>
      <c r="Q52" s="348">
        <v>9802.6999999999989</v>
      </c>
      <c r="R52" s="140">
        <v>220978.30000000005</v>
      </c>
      <c r="S52" s="136">
        <v>105.1</v>
      </c>
      <c r="T52" s="140">
        <f t="shared" si="13"/>
        <v>230886.10000000006</v>
      </c>
      <c r="U52" s="349"/>
      <c r="V52" s="348">
        <f t="shared" si="14"/>
        <v>364180.10000000003</v>
      </c>
      <c r="W52" s="140">
        <f t="shared" si="15"/>
        <v>512764.5</v>
      </c>
    </row>
    <row r="53" spans="1:23" s="145" customFormat="1" hidden="1">
      <c r="A53" s="113" t="s">
        <v>42</v>
      </c>
      <c r="B53" s="140">
        <v>65629.399999999994</v>
      </c>
      <c r="C53" s="140">
        <v>84707.599999999977</v>
      </c>
      <c r="D53" s="140" t="s">
        <v>88</v>
      </c>
      <c r="E53" s="140">
        <f t="shared" si="10"/>
        <v>150336.99999999997</v>
      </c>
      <c r="F53" s="140">
        <v>179672.1</v>
      </c>
      <c r="G53" s="140">
        <v>44626.400000000001</v>
      </c>
      <c r="H53" s="140" t="s">
        <v>88</v>
      </c>
      <c r="I53" s="133">
        <v>8569.1</v>
      </c>
      <c r="J53" s="346" t="s">
        <v>88</v>
      </c>
      <c r="K53" s="346" t="s">
        <v>88</v>
      </c>
      <c r="L53" s="137">
        <f t="shared" si="11"/>
        <v>232867.6</v>
      </c>
      <c r="M53" s="347">
        <v>91380.599999999991</v>
      </c>
      <c r="N53" s="140">
        <v>11534.699999999999</v>
      </c>
      <c r="O53" s="137">
        <f t="shared" si="12"/>
        <v>129952.3</v>
      </c>
      <c r="P53" s="133"/>
      <c r="Q53" s="348">
        <v>9230.9999999999982</v>
      </c>
      <c r="R53" s="140">
        <v>223510</v>
      </c>
      <c r="S53" s="136">
        <v>104.3</v>
      </c>
      <c r="T53" s="140">
        <f t="shared" si="13"/>
        <v>232845.3</v>
      </c>
      <c r="U53" s="349"/>
      <c r="V53" s="348">
        <f t="shared" si="14"/>
        <v>362797.6</v>
      </c>
      <c r="W53" s="140">
        <f t="shared" si="15"/>
        <v>513134.6</v>
      </c>
    </row>
    <row r="54" spans="1:23" s="145" customFormat="1" hidden="1">
      <c r="A54" s="113" t="s">
        <v>43</v>
      </c>
      <c r="B54" s="140">
        <v>61488</v>
      </c>
      <c r="C54" s="140">
        <v>79298.499999999985</v>
      </c>
      <c r="D54" s="140" t="s">
        <v>88</v>
      </c>
      <c r="E54" s="140">
        <f t="shared" si="10"/>
        <v>140786.5</v>
      </c>
      <c r="F54" s="140">
        <v>182582.3</v>
      </c>
      <c r="G54" s="140">
        <v>40822.200000000004</v>
      </c>
      <c r="H54" s="140" t="s">
        <v>88</v>
      </c>
      <c r="I54" s="133">
        <v>5414</v>
      </c>
      <c r="J54" s="346" t="s">
        <v>88</v>
      </c>
      <c r="K54" s="346" t="s">
        <v>88</v>
      </c>
      <c r="L54" s="137">
        <f t="shared" si="11"/>
        <v>228818.5</v>
      </c>
      <c r="M54" s="347">
        <v>89184.723000000013</v>
      </c>
      <c r="N54" s="140">
        <v>10026.699999999999</v>
      </c>
      <c r="O54" s="137">
        <f t="shared" si="12"/>
        <v>129607.077</v>
      </c>
      <c r="P54" s="133"/>
      <c r="Q54" s="348">
        <v>9642.4</v>
      </c>
      <c r="R54" s="140">
        <v>225959.4</v>
      </c>
      <c r="S54" s="136">
        <v>104.4</v>
      </c>
      <c r="T54" s="140">
        <f t="shared" si="13"/>
        <v>235706.19999999998</v>
      </c>
      <c r="U54" s="349"/>
      <c r="V54" s="348">
        <f t="shared" si="14"/>
        <v>365313.277</v>
      </c>
      <c r="W54" s="140">
        <f t="shared" si="15"/>
        <v>506099.777</v>
      </c>
    </row>
    <row r="55" spans="1:23" s="145" customFormat="1" hidden="1">
      <c r="A55" s="113" t="s">
        <v>44</v>
      </c>
      <c r="B55" s="140">
        <v>56309.5</v>
      </c>
      <c r="C55" s="140">
        <v>82636.399999999994</v>
      </c>
      <c r="D55" s="140" t="s">
        <v>88</v>
      </c>
      <c r="E55" s="140">
        <f t="shared" si="10"/>
        <v>138945.9</v>
      </c>
      <c r="F55" s="140">
        <v>185113.8</v>
      </c>
      <c r="G55" s="140">
        <v>41022.200000000004</v>
      </c>
      <c r="H55" s="140" t="s">
        <v>88</v>
      </c>
      <c r="I55" s="133">
        <v>8052.4</v>
      </c>
      <c r="J55" s="346" t="s">
        <v>88</v>
      </c>
      <c r="K55" s="346" t="s">
        <v>88</v>
      </c>
      <c r="L55" s="137">
        <f t="shared" si="11"/>
        <v>234188.4</v>
      </c>
      <c r="M55" s="219">
        <v>82103</v>
      </c>
      <c r="N55" s="140">
        <v>10096.199999999999</v>
      </c>
      <c r="O55" s="137">
        <f t="shared" si="12"/>
        <v>141989.19999999998</v>
      </c>
      <c r="P55" s="133"/>
      <c r="Q55" s="348">
        <v>12850.8</v>
      </c>
      <c r="R55" s="140">
        <v>237857.6</v>
      </c>
      <c r="S55" s="136">
        <v>101.8</v>
      </c>
      <c r="T55" s="140">
        <f t="shared" si="13"/>
        <v>250810.19999999998</v>
      </c>
      <c r="U55" s="349"/>
      <c r="V55" s="348">
        <f t="shared" si="14"/>
        <v>392799.39999999997</v>
      </c>
      <c r="W55" s="140">
        <f t="shared" si="15"/>
        <v>531745.29999999993</v>
      </c>
    </row>
    <row r="56" spans="1:23" s="145" customFormat="1" hidden="1">
      <c r="A56" s="113" t="s">
        <v>45</v>
      </c>
      <c r="B56" s="140">
        <v>70144.199999999953</v>
      </c>
      <c r="C56" s="140">
        <v>74558.799999999988</v>
      </c>
      <c r="D56" s="140" t="s">
        <v>88</v>
      </c>
      <c r="E56" s="140">
        <f t="shared" si="10"/>
        <v>144702.99999999994</v>
      </c>
      <c r="F56" s="140">
        <v>177924.3</v>
      </c>
      <c r="G56" s="140">
        <v>36154.800000000003</v>
      </c>
      <c r="H56" s="140" t="s">
        <v>88</v>
      </c>
      <c r="I56" s="133">
        <v>7102.2999999999993</v>
      </c>
      <c r="J56" s="346" t="s">
        <v>88</v>
      </c>
      <c r="K56" s="346" t="s">
        <v>88</v>
      </c>
      <c r="L56" s="137">
        <f t="shared" si="11"/>
        <v>221181.39999999997</v>
      </c>
      <c r="M56" s="219">
        <v>79078.900000000009</v>
      </c>
      <c r="N56" s="140">
        <v>9264.6999999999989</v>
      </c>
      <c r="O56" s="137">
        <f t="shared" si="12"/>
        <v>132837.79999999993</v>
      </c>
      <c r="P56" s="133"/>
      <c r="Q56" s="348">
        <v>23911.999999999996</v>
      </c>
      <c r="R56" s="140">
        <v>245655.30000000002</v>
      </c>
      <c r="S56" s="136">
        <v>102.39999999999999</v>
      </c>
      <c r="T56" s="140">
        <f t="shared" si="13"/>
        <v>269669.7</v>
      </c>
      <c r="U56" s="349"/>
      <c r="V56" s="348">
        <f t="shared" si="14"/>
        <v>402507.49999999994</v>
      </c>
      <c r="W56" s="140">
        <f t="shared" si="15"/>
        <v>547210.49999999988</v>
      </c>
    </row>
    <row r="57" spans="1:23" s="145" customFormat="1" hidden="1">
      <c r="A57" s="113" t="s">
        <v>46</v>
      </c>
      <c r="B57" s="140">
        <v>79117.500000000029</v>
      </c>
      <c r="C57" s="140">
        <v>86599.4</v>
      </c>
      <c r="D57" s="140" t="s">
        <v>88</v>
      </c>
      <c r="E57" s="140">
        <f t="shared" si="10"/>
        <v>165716.90000000002</v>
      </c>
      <c r="F57" s="140">
        <v>181494.5</v>
      </c>
      <c r="G57" s="140">
        <v>35951.5</v>
      </c>
      <c r="H57" s="140" t="s">
        <v>88</v>
      </c>
      <c r="I57" s="133">
        <v>6763.1</v>
      </c>
      <c r="J57" s="346" t="s">
        <v>88</v>
      </c>
      <c r="K57" s="346" t="s">
        <v>88</v>
      </c>
      <c r="L57" s="137">
        <f t="shared" si="11"/>
        <v>224209.1</v>
      </c>
      <c r="M57" s="219">
        <v>100261.9</v>
      </c>
      <c r="N57" s="140">
        <v>9613.6999999999989</v>
      </c>
      <c r="O57" s="137">
        <f t="shared" si="12"/>
        <v>114333.50000000001</v>
      </c>
      <c r="P57" s="133"/>
      <c r="Q57" s="348">
        <v>30283.5</v>
      </c>
      <c r="R57" s="140">
        <v>249193.1</v>
      </c>
      <c r="S57" s="136">
        <v>90.899999999999991</v>
      </c>
      <c r="T57" s="140">
        <f t="shared" si="13"/>
        <v>279567.5</v>
      </c>
      <c r="U57" s="349"/>
      <c r="V57" s="348">
        <f t="shared" si="14"/>
        <v>393901</v>
      </c>
      <c r="W57" s="140">
        <f t="shared" si="15"/>
        <v>559617.9</v>
      </c>
    </row>
    <row r="58" spans="1:23" s="145" customFormat="1" hidden="1">
      <c r="A58" s="113" t="s">
        <v>47</v>
      </c>
      <c r="B58" s="140">
        <v>75833.299999999959</v>
      </c>
      <c r="C58" s="140">
        <v>106593.50000000003</v>
      </c>
      <c r="D58" s="140" t="s">
        <v>88</v>
      </c>
      <c r="E58" s="140">
        <f t="shared" si="10"/>
        <v>182426.8</v>
      </c>
      <c r="F58" s="140">
        <v>167686.39999999999</v>
      </c>
      <c r="G58" s="140">
        <v>44061</v>
      </c>
      <c r="H58" s="140" t="s">
        <v>88</v>
      </c>
      <c r="I58" s="133">
        <v>7787.3</v>
      </c>
      <c r="J58" s="346" t="s">
        <v>88</v>
      </c>
      <c r="K58" s="346" t="s">
        <v>88</v>
      </c>
      <c r="L58" s="137">
        <f t="shared" si="11"/>
        <v>219534.69999999998</v>
      </c>
      <c r="M58" s="219">
        <v>100053.9</v>
      </c>
      <c r="N58" s="140">
        <v>9456.2000000000007</v>
      </c>
      <c r="O58" s="137">
        <f t="shared" si="12"/>
        <v>110024.59999999999</v>
      </c>
      <c r="P58" s="133"/>
      <c r="Q58" s="348">
        <v>31552.799999999999</v>
      </c>
      <c r="R58" s="140">
        <v>254099.09999999998</v>
      </c>
      <c r="S58" s="136">
        <v>93</v>
      </c>
      <c r="T58" s="140">
        <f t="shared" si="13"/>
        <v>285744.89999999997</v>
      </c>
      <c r="U58" s="349"/>
      <c r="V58" s="348">
        <f t="shared" si="14"/>
        <v>395769.49999999994</v>
      </c>
      <c r="W58" s="140">
        <f t="shared" si="15"/>
        <v>578196.29999999993</v>
      </c>
    </row>
    <row r="59" spans="1:23" s="145" customFormat="1" hidden="1">
      <c r="A59" s="113" t="s">
        <v>48</v>
      </c>
      <c r="B59" s="140">
        <v>95303.6</v>
      </c>
      <c r="C59" s="140">
        <v>96499.799999999988</v>
      </c>
      <c r="D59" s="140" t="s">
        <v>88</v>
      </c>
      <c r="E59" s="140">
        <f t="shared" si="10"/>
        <v>191803.4</v>
      </c>
      <c r="F59" s="140">
        <v>161646.39999999999</v>
      </c>
      <c r="G59" s="140">
        <v>43061</v>
      </c>
      <c r="H59" s="140" t="s">
        <v>88</v>
      </c>
      <c r="I59" s="133">
        <v>7537.4000000000005</v>
      </c>
      <c r="J59" s="346" t="s">
        <v>88</v>
      </c>
      <c r="K59" s="346" t="s">
        <v>88</v>
      </c>
      <c r="L59" s="137">
        <f t="shared" si="11"/>
        <v>212244.8</v>
      </c>
      <c r="M59" s="219">
        <v>101928.7</v>
      </c>
      <c r="N59" s="140">
        <v>11011.5</v>
      </c>
      <c r="O59" s="137">
        <f t="shared" si="12"/>
        <v>99304.599999999991</v>
      </c>
      <c r="P59" s="133"/>
      <c r="Q59" s="348">
        <v>27717.1</v>
      </c>
      <c r="R59" s="140">
        <v>268878.59999999998</v>
      </c>
      <c r="S59" s="136">
        <v>129.9</v>
      </c>
      <c r="T59" s="140">
        <f t="shared" si="13"/>
        <v>296725.59999999998</v>
      </c>
      <c r="U59" s="349"/>
      <c r="V59" s="348">
        <f t="shared" si="14"/>
        <v>396030.19999999995</v>
      </c>
      <c r="W59" s="140">
        <f t="shared" si="15"/>
        <v>587833.59999999998</v>
      </c>
    </row>
    <row r="60" spans="1:23" s="145" customFormat="1" hidden="1">
      <c r="A60" s="113" t="s">
        <v>49</v>
      </c>
      <c r="B60" s="140">
        <v>107336.39999999994</v>
      </c>
      <c r="C60" s="140">
        <v>99747.400000000023</v>
      </c>
      <c r="D60" s="140" t="s">
        <v>88</v>
      </c>
      <c r="E60" s="140">
        <f t="shared" si="10"/>
        <v>207083.79999999996</v>
      </c>
      <c r="F60" s="140">
        <v>146839.90000000002</v>
      </c>
      <c r="G60" s="140">
        <v>49561</v>
      </c>
      <c r="H60" s="140" t="s">
        <v>88</v>
      </c>
      <c r="I60" s="133">
        <v>7407</v>
      </c>
      <c r="J60" s="346" t="s">
        <v>88</v>
      </c>
      <c r="K60" s="346" t="s">
        <v>88</v>
      </c>
      <c r="L60" s="137">
        <f t="shared" si="11"/>
        <v>203807.90000000002</v>
      </c>
      <c r="M60" s="219">
        <v>100314.5</v>
      </c>
      <c r="N60" s="140">
        <v>9960.7000000000007</v>
      </c>
      <c r="O60" s="137">
        <f t="shared" si="12"/>
        <v>93532.700000000026</v>
      </c>
      <c r="P60" s="133"/>
      <c r="Q60" s="348">
        <v>24662.6</v>
      </c>
      <c r="R60" s="140">
        <v>267453.30000000005</v>
      </c>
      <c r="S60" s="136">
        <v>126.60000000000001</v>
      </c>
      <c r="T60" s="140">
        <f t="shared" si="13"/>
        <v>292242.5</v>
      </c>
      <c r="U60" s="349"/>
      <c r="V60" s="348">
        <f t="shared" si="14"/>
        <v>385775.2</v>
      </c>
      <c r="W60" s="140">
        <f t="shared" si="15"/>
        <v>592859</v>
      </c>
    </row>
    <row r="61" spans="1:23" s="145" customFormat="1" hidden="1">
      <c r="A61" s="113" t="s">
        <v>50</v>
      </c>
      <c r="B61" s="140">
        <v>159092.20000000007</v>
      </c>
      <c r="C61" s="140">
        <v>95759.5</v>
      </c>
      <c r="D61" s="140" t="s">
        <v>88</v>
      </c>
      <c r="E61" s="140">
        <f t="shared" si="10"/>
        <v>254851.70000000007</v>
      </c>
      <c r="F61" s="140">
        <v>170798.9</v>
      </c>
      <c r="G61" s="140">
        <v>58561</v>
      </c>
      <c r="H61" s="140" t="s">
        <v>88</v>
      </c>
      <c r="I61" s="133">
        <v>9544.5</v>
      </c>
      <c r="J61" s="346" t="s">
        <v>88</v>
      </c>
      <c r="K61" s="346" t="s">
        <v>88</v>
      </c>
      <c r="L61" s="137">
        <f t="shared" si="11"/>
        <v>238904.4</v>
      </c>
      <c r="M61" s="219">
        <v>125831.59999999999</v>
      </c>
      <c r="N61" s="140">
        <v>11736.2</v>
      </c>
      <c r="O61" s="137">
        <f t="shared" si="12"/>
        <v>101336.6</v>
      </c>
      <c r="P61" s="133"/>
      <c r="Q61" s="348">
        <v>21927.199999999997</v>
      </c>
      <c r="R61" s="140">
        <v>261749.50000000003</v>
      </c>
      <c r="S61" s="136">
        <v>120.8</v>
      </c>
      <c r="T61" s="140">
        <f t="shared" si="13"/>
        <v>283797.5</v>
      </c>
      <c r="U61" s="349"/>
      <c r="V61" s="348">
        <f t="shared" si="14"/>
        <v>385134.1</v>
      </c>
      <c r="W61" s="140">
        <f t="shared" si="15"/>
        <v>639985.80000000005</v>
      </c>
    </row>
    <row r="62" spans="1:23" s="145" customFormat="1" hidden="1">
      <c r="A62" s="142"/>
      <c r="B62" s="140"/>
      <c r="C62" s="140"/>
      <c r="D62" s="140"/>
      <c r="E62" s="140"/>
      <c r="F62" s="140"/>
      <c r="G62" s="140"/>
      <c r="H62" s="140"/>
      <c r="I62" s="133"/>
      <c r="J62" s="346"/>
      <c r="K62" s="346"/>
      <c r="L62" s="137"/>
      <c r="M62" s="219"/>
      <c r="N62" s="140"/>
      <c r="O62" s="137"/>
      <c r="P62" s="133"/>
      <c r="Q62" s="348"/>
      <c r="R62" s="140"/>
      <c r="S62" s="136"/>
      <c r="T62" s="140"/>
      <c r="U62" s="349"/>
      <c r="V62" s="348"/>
      <c r="W62" s="140"/>
    </row>
    <row r="63" spans="1:23" s="145" customFormat="1" hidden="1">
      <c r="A63" s="113" t="s">
        <v>59</v>
      </c>
      <c r="B63" s="140">
        <v>141369.9</v>
      </c>
      <c r="C63" s="140">
        <v>88477.799999999988</v>
      </c>
      <c r="D63" s="140" t="s">
        <v>88</v>
      </c>
      <c r="E63" s="140">
        <f t="shared" si="10"/>
        <v>229847.69999999998</v>
      </c>
      <c r="F63" s="140">
        <v>148190.5</v>
      </c>
      <c r="G63" s="140">
        <v>55061</v>
      </c>
      <c r="H63" s="140" t="s">
        <v>88</v>
      </c>
      <c r="I63" s="133">
        <v>7472.2</v>
      </c>
      <c r="J63" s="346" t="s">
        <v>88</v>
      </c>
      <c r="K63" s="346" t="s">
        <v>88</v>
      </c>
      <c r="L63" s="137">
        <f t="shared" si="11"/>
        <v>210723.7</v>
      </c>
      <c r="M63" s="219">
        <v>107241.29999999999</v>
      </c>
      <c r="N63" s="140">
        <v>11146.4</v>
      </c>
      <c r="O63" s="137">
        <f t="shared" si="12"/>
        <v>92336.000000000029</v>
      </c>
      <c r="P63" s="133"/>
      <c r="Q63" s="348">
        <v>19781.399999999998</v>
      </c>
      <c r="R63" s="140">
        <v>262133.40000000002</v>
      </c>
      <c r="S63" s="136">
        <v>116.7</v>
      </c>
      <c r="T63" s="140">
        <f t="shared" si="13"/>
        <v>282031.50000000006</v>
      </c>
      <c r="U63" s="349"/>
      <c r="V63" s="348">
        <f t="shared" si="14"/>
        <v>374367.50000000012</v>
      </c>
      <c r="W63" s="140">
        <f t="shared" si="15"/>
        <v>604215.20000000007</v>
      </c>
    </row>
    <row r="64" spans="1:23" s="145" customFormat="1" hidden="1">
      <c r="A64" s="113" t="s">
        <v>40</v>
      </c>
      <c r="B64" s="140">
        <v>125265.90000000002</v>
      </c>
      <c r="C64" s="140">
        <v>89948.099999999977</v>
      </c>
      <c r="D64" s="140" t="s">
        <v>88</v>
      </c>
      <c r="E64" s="140">
        <f t="shared" si="10"/>
        <v>215214</v>
      </c>
      <c r="F64" s="140">
        <v>154147.90000000002</v>
      </c>
      <c r="G64" s="140">
        <v>62061</v>
      </c>
      <c r="H64" s="140" t="s">
        <v>88</v>
      </c>
      <c r="I64" s="133">
        <v>7189.7</v>
      </c>
      <c r="J64" s="346" t="s">
        <v>88</v>
      </c>
      <c r="K64" s="346" t="s">
        <v>88</v>
      </c>
      <c r="L64" s="137">
        <f t="shared" si="11"/>
        <v>223398.60000000003</v>
      </c>
      <c r="M64" s="219">
        <v>104477.63200000001</v>
      </c>
      <c r="N64" s="140">
        <v>13227.599999999999</v>
      </c>
      <c r="O64" s="137">
        <f t="shared" si="12"/>
        <v>105693.36800000002</v>
      </c>
      <c r="P64" s="133"/>
      <c r="Q64" s="348">
        <v>15991.599999999999</v>
      </c>
      <c r="R64" s="140">
        <v>265166.90000000002</v>
      </c>
      <c r="S64" s="136">
        <v>130.70000000000002</v>
      </c>
      <c r="T64" s="140">
        <f t="shared" si="13"/>
        <v>281289.2</v>
      </c>
      <c r="U64" s="349"/>
      <c r="V64" s="348">
        <f t="shared" si="14"/>
        <v>386982.56800000003</v>
      </c>
      <c r="W64" s="140">
        <f t="shared" si="15"/>
        <v>602196.56799999997</v>
      </c>
    </row>
    <row r="65" spans="1:23" s="145" customFormat="1" hidden="1">
      <c r="A65" s="113" t="s">
        <v>41</v>
      </c>
      <c r="B65" s="140">
        <v>105784.50000000003</v>
      </c>
      <c r="C65" s="140">
        <v>92328.9</v>
      </c>
      <c r="D65" s="140" t="s">
        <v>88</v>
      </c>
      <c r="E65" s="140">
        <f t="shared" si="10"/>
        <v>198113.40000000002</v>
      </c>
      <c r="F65" s="140">
        <v>157525.1</v>
      </c>
      <c r="G65" s="140">
        <v>66253.7</v>
      </c>
      <c r="H65" s="140" t="s">
        <v>88</v>
      </c>
      <c r="I65" s="133">
        <v>6953.7</v>
      </c>
      <c r="J65" s="346" t="s">
        <v>88</v>
      </c>
      <c r="K65" s="346" t="s">
        <v>88</v>
      </c>
      <c r="L65" s="137">
        <f t="shared" si="11"/>
        <v>230732.5</v>
      </c>
      <c r="M65" s="219">
        <v>101779.5</v>
      </c>
      <c r="N65" s="140">
        <v>10745.9</v>
      </c>
      <c r="O65" s="137">
        <f t="shared" si="12"/>
        <v>118207.1</v>
      </c>
      <c r="P65" s="133"/>
      <c r="Q65" s="348">
        <v>12695.3</v>
      </c>
      <c r="R65" s="140">
        <v>273015.60000000003</v>
      </c>
      <c r="S65" s="136">
        <v>126.7</v>
      </c>
      <c r="T65" s="140">
        <f t="shared" si="13"/>
        <v>285837.60000000003</v>
      </c>
      <c r="U65" s="349"/>
      <c r="V65" s="348">
        <f t="shared" si="14"/>
        <v>404044.70000000007</v>
      </c>
      <c r="W65" s="140">
        <f t="shared" si="15"/>
        <v>602158.10000000009</v>
      </c>
    </row>
    <row r="66" spans="1:23" s="145" customFormat="1" hidden="1">
      <c r="A66" s="113" t="s">
        <v>42</v>
      </c>
      <c r="B66" s="140">
        <v>90877.500000000029</v>
      </c>
      <c r="C66" s="140">
        <v>89777.400000000023</v>
      </c>
      <c r="D66" s="140" t="s">
        <v>88</v>
      </c>
      <c r="E66" s="140">
        <f t="shared" si="10"/>
        <v>180654.90000000005</v>
      </c>
      <c r="F66" s="140">
        <v>163693.70000000001</v>
      </c>
      <c r="G66" s="140">
        <v>66353.7</v>
      </c>
      <c r="H66" s="140" t="s">
        <v>88</v>
      </c>
      <c r="I66" s="133">
        <v>9039.1</v>
      </c>
      <c r="J66" s="346" t="s">
        <v>88</v>
      </c>
      <c r="K66" s="346" t="s">
        <v>88</v>
      </c>
      <c r="L66" s="137">
        <f t="shared" si="11"/>
        <v>239086.50000000003</v>
      </c>
      <c r="M66" s="219">
        <v>93895.6</v>
      </c>
      <c r="N66" s="140">
        <v>11639.400000000003</v>
      </c>
      <c r="O66" s="137">
        <f t="shared" si="12"/>
        <v>133551.50000000003</v>
      </c>
      <c r="P66" s="133"/>
      <c r="Q66" s="348">
        <v>11258.4</v>
      </c>
      <c r="R66" s="140">
        <v>275860</v>
      </c>
      <c r="S66" s="136">
        <v>152.1</v>
      </c>
      <c r="T66" s="140">
        <f t="shared" si="13"/>
        <v>287270.5</v>
      </c>
      <c r="U66" s="349"/>
      <c r="V66" s="348">
        <f t="shared" si="14"/>
        <v>420822</v>
      </c>
      <c r="W66" s="140">
        <f t="shared" si="15"/>
        <v>601476.9</v>
      </c>
    </row>
    <row r="67" spans="1:23" s="145" customFormat="1" hidden="1">
      <c r="A67" s="113" t="s">
        <v>43</v>
      </c>
      <c r="B67" s="140">
        <v>154336.40000000008</v>
      </c>
      <c r="C67" s="140">
        <v>89065.299999999988</v>
      </c>
      <c r="D67" s="140" t="s">
        <v>88</v>
      </c>
      <c r="E67" s="140">
        <f t="shared" si="10"/>
        <v>243401.70000000007</v>
      </c>
      <c r="F67" s="140">
        <v>131037.20000000001</v>
      </c>
      <c r="G67" s="140">
        <v>103194.9</v>
      </c>
      <c r="H67" s="140" t="s">
        <v>88</v>
      </c>
      <c r="I67" s="133">
        <v>6620.5999999999995</v>
      </c>
      <c r="J67" s="346" t="s">
        <v>88</v>
      </c>
      <c r="K67" s="346" t="s">
        <v>88</v>
      </c>
      <c r="L67" s="137">
        <f t="shared" si="11"/>
        <v>240852.7</v>
      </c>
      <c r="M67" s="219">
        <v>127178.00000000001</v>
      </c>
      <c r="N67" s="140">
        <v>10597.9</v>
      </c>
      <c r="O67" s="137">
        <f t="shared" si="12"/>
        <v>103076.8</v>
      </c>
      <c r="P67" s="133"/>
      <c r="Q67" s="348">
        <v>10002.6</v>
      </c>
      <c r="R67" s="140">
        <v>280752.8</v>
      </c>
      <c r="S67" s="136">
        <v>146.30000000000001</v>
      </c>
      <c r="T67" s="140">
        <f t="shared" si="13"/>
        <v>290901.69999999995</v>
      </c>
      <c r="U67" s="349"/>
      <c r="V67" s="348">
        <f t="shared" si="14"/>
        <v>393978.49999999994</v>
      </c>
      <c r="W67" s="140">
        <f t="shared" si="15"/>
        <v>637380.19999999995</v>
      </c>
    </row>
    <row r="68" spans="1:23" s="145" customFormat="1" hidden="1">
      <c r="A68" s="113" t="s">
        <v>44</v>
      </c>
      <c r="B68" s="140">
        <v>148241.89999999997</v>
      </c>
      <c r="C68" s="140">
        <v>88724.5</v>
      </c>
      <c r="D68" s="140" t="s">
        <v>88</v>
      </c>
      <c r="E68" s="140">
        <f t="shared" si="10"/>
        <v>236966.39999999997</v>
      </c>
      <c r="F68" s="140">
        <v>153145.30000000002</v>
      </c>
      <c r="G68" s="140">
        <v>100670</v>
      </c>
      <c r="H68" s="140" t="s">
        <v>88</v>
      </c>
      <c r="I68" s="133">
        <v>9624.6</v>
      </c>
      <c r="J68" s="346" t="s">
        <v>88</v>
      </c>
      <c r="K68" s="346" t="s">
        <v>88</v>
      </c>
      <c r="L68" s="137">
        <f t="shared" si="11"/>
        <v>263439.90000000002</v>
      </c>
      <c r="M68" s="219">
        <v>125026.4</v>
      </c>
      <c r="N68" s="140">
        <v>13685.099999999999</v>
      </c>
      <c r="O68" s="137">
        <f t="shared" si="12"/>
        <v>124728.40000000002</v>
      </c>
      <c r="P68" s="133"/>
      <c r="Q68" s="348">
        <v>10443.4</v>
      </c>
      <c r="R68" s="140">
        <v>285914.39999999997</v>
      </c>
      <c r="S68" s="136">
        <v>142.10000000000002</v>
      </c>
      <c r="T68" s="140">
        <f t="shared" si="13"/>
        <v>296499.89999999997</v>
      </c>
      <c r="U68" s="349"/>
      <c r="V68" s="348">
        <f t="shared" si="14"/>
        <v>421228.3</v>
      </c>
      <c r="W68" s="140">
        <f t="shared" si="15"/>
        <v>658194.69999999995</v>
      </c>
    </row>
    <row r="69" spans="1:23" s="145" customFormat="1" hidden="1">
      <c r="A69" s="113" t="s">
        <v>45</v>
      </c>
      <c r="B69" s="140">
        <v>132152.60000000003</v>
      </c>
      <c r="C69" s="140">
        <v>87512.499999999985</v>
      </c>
      <c r="D69" s="140" t="s">
        <v>88</v>
      </c>
      <c r="E69" s="140">
        <f t="shared" si="10"/>
        <v>219665.10000000003</v>
      </c>
      <c r="F69" s="140">
        <v>147058</v>
      </c>
      <c r="G69" s="140">
        <v>106002.2</v>
      </c>
      <c r="H69" s="140" t="s">
        <v>88</v>
      </c>
      <c r="I69" s="133">
        <v>6644.5</v>
      </c>
      <c r="J69" s="346" t="s">
        <v>88</v>
      </c>
      <c r="K69" s="346" t="s">
        <v>88</v>
      </c>
      <c r="L69" s="137">
        <f t="shared" si="11"/>
        <v>259704.7</v>
      </c>
      <c r="M69" s="219">
        <v>115641</v>
      </c>
      <c r="N69" s="140">
        <v>12756.2</v>
      </c>
      <c r="O69" s="137">
        <f t="shared" si="12"/>
        <v>131307.5</v>
      </c>
      <c r="P69" s="133"/>
      <c r="Q69" s="348">
        <v>14183.899999999998</v>
      </c>
      <c r="R69" s="140">
        <v>290106.40000000002</v>
      </c>
      <c r="S69" s="136">
        <v>429.20000000000005</v>
      </c>
      <c r="T69" s="140">
        <f t="shared" si="13"/>
        <v>304719.50000000006</v>
      </c>
      <c r="U69" s="349"/>
      <c r="V69" s="348">
        <f t="shared" si="14"/>
        <v>436027.00000000006</v>
      </c>
      <c r="W69" s="140">
        <f t="shared" si="15"/>
        <v>655692.10000000009</v>
      </c>
    </row>
    <row r="70" spans="1:23" s="145" customFormat="1" hidden="1">
      <c r="A70" s="113" t="s">
        <v>46</v>
      </c>
      <c r="B70" s="140">
        <v>115750.00000000003</v>
      </c>
      <c r="C70" s="140">
        <v>92033.199999999983</v>
      </c>
      <c r="D70" s="140" t="s">
        <v>88</v>
      </c>
      <c r="E70" s="140">
        <f t="shared" si="10"/>
        <v>207783.2</v>
      </c>
      <c r="F70" s="140">
        <v>156341.6</v>
      </c>
      <c r="G70" s="140">
        <v>105584.9</v>
      </c>
      <c r="H70" s="140" t="s">
        <v>88</v>
      </c>
      <c r="I70" s="133">
        <v>6352.8</v>
      </c>
      <c r="J70" s="346" t="s">
        <v>88</v>
      </c>
      <c r="K70" s="346" t="s">
        <v>88</v>
      </c>
      <c r="L70" s="137">
        <f t="shared" si="11"/>
        <v>268279.3</v>
      </c>
      <c r="M70" s="219">
        <v>110373.8</v>
      </c>
      <c r="N70" s="140">
        <v>11905</v>
      </c>
      <c r="O70" s="137">
        <f t="shared" si="12"/>
        <v>146000.5</v>
      </c>
      <c r="P70" s="133"/>
      <c r="Q70" s="348">
        <v>16355.099999999999</v>
      </c>
      <c r="R70" s="140">
        <v>291438.90000000002</v>
      </c>
      <c r="S70" s="136">
        <v>405.20000000000005</v>
      </c>
      <c r="T70" s="140">
        <f t="shared" si="13"/>
        <v>308199.2</v>
      </c>
      <c r="U70" s="349"/>
      <c r="V70" s="348">
        <f t="shared" si="14"/>
        <v>454199.7</v>
      </c>
      <c r="W70" s="140">
        <f t="shared" si="15"/>
        <v>661982.9</v>
      </c>
    </row>
    <row r="71" spans="1:23" s="145" customFormat="1" hidden="1">
      <c r="A71" s="113" t="s">
        <v>47</v>
      </c>
      <c r="B71" s="140">
        <v>133943.70000000004</v>
      </c>
      <c r="C71" s="140">
        <v>88222.400000000009</v>
      </c>
      <c r="D71" s="140" t="s">
        <v>88</v>
      </c>
      <c r="E71" s="140">
        <f t="shared" si="10"/>
        <v>222166.10000000003</v>
      </c>
      <c r="F71" s="140">
        <v>138074.1</v>
      </c>
      <c r="G71" s="140">
        <v>111702.90000000001</v>
      </c>
      <c r="H71" s="140" t="s">
        <v>88</v>
      </c>
      <c r="I71" s="133">
        <v>6331.8</v>
      </c>
      <c r="J71" s="346" t="s">
        <v>88</v>
      </c>
      <c r="K71" s="346" t="s">
        <v>88</v>
      </c>
      <c r="L71" s="137">
        <f t="shared" si="11"/>
        <v>256108.79999999999</v>
      </c>
      <c r="M71" s="219">
        <v>103935.40000000001</v>
      </c>
      <c r="N71" s="140">
        <v>13697.7</v>
      </c>
      <c r="O71" s="137">
        <f t="shared" si="12"/>
        <v>138475.69999999995</v>
      </c>
      <c r="P71" s="133"/>
      <c r="Q71" s="348">
        <v>13712.800000000001</v>
      </c>
      <c r="R71" s="140">
        <v>303197.90000000002</v>
      </c>
      <c r="S71" s="136">
        <v>396.70000000000005</v>
      </c>
      <c r="T71" s="140">
        <f t="shared" si="13"/>
        <v>317307.40000000002</v>
      </c>
      <c r="U71" s="349"/>
      <c r="V71" s="348">
        <f t="shared" si="14"/>
        <v>455783.1</v>
      </c>
      <c r="W71" s="140">
        <f t="shared" si="15"/>
        <v>677949.2</v>
      </c>
    </row>
    <row r="72" spans="1:23" s="145" customFormat="1" hidden="1">
      <c r="A72" s="113" t="s">
        <v>48</v>
      </c>
      <c r="B72" s="140">
        <v>129014.59999999998</v>
      </c>
      <c r="C72" s="140">
        <v>87002.4</v>
      </c>
      <c r="D72" s="140" t="s">
        <v>88</v>
      </c>
      <c r="E72" s="140">
        <f t="shared" si="10"/>
        <v>216016.99999999997</v>
      </c>
      <c r="F72" s="140">
        <v>148531</v>
      </c>
      <c r="G72" s="140">
        <v>113360.5</v>
      </c>
      <c r="H72" s="140" t="s">
        <v>88</v>
      </c>
      <c r="I72" s="133">
        <v>6576.2</v>
      </c>
      <c r="J72" s="346" t="s">
        <v>88</v>
      </c>
      <c r="K72" s="346" t="s">
        <v>88</v>
      </c>
      <c r="L72" s="137">
        <f t="shared" si="11"/>
        <v>268467.7</v>
      </c>
      <c r="M72" s="219">
        <v>104063.5</v>
      </c>
      <c r="N72" s="140">
        <v>15167.399999999998</v>
      </c>
      <c r="O72" s="137">
        <f t="shared" si="12"/>
        <v>149236.80000000002</v>
      </c>
      <c r="P72" s="133"/>
      <c r="Q72" s="348">
        <v>12242.300000000001</v>
      </c>
      <c r="R72" s="140">
        <v>310656.40000000008</v>
      </c>
      <c r="S72" s="136">
        <v>295.3</v>
      </c>
      <c r="T72" s="140">
        <f t="shared" si="13"/>
        <v>323194.00000000006</v>
      </c>
      <c r="U72" s="349"/>
      <c r="V72" s="348">
        <f t="shared" si="14"/>
        <v>472430.80000000005</v>
      </c>
      <c r="W72" s="140">
        <f t="shared" si="15"/>
        <v>688447.8</v>
      </c>
    </row>
    <row r="73" spans="1:23" s="145" customFormat="1" hidden="1">
      <c r="A73" s="113" t="s">
        <v>49</v>
      </c>
      <c r="B73" s="140">
        <v>120358.70000000001</v>
      </c>
      <c r="C73" s="140">
        <v>92642.1</v>
      </c>
      <c r="D73" s="140" t="s">
        <v>88</v>
      </c>
      <c r="E73" s="140">
        <f t="shared" si="10"/>
        <v>213000.80000000002</v>
      </c>
      <c r="F73" s="140">
        <v>174575.8</v>
      </c>
      <c r="G73" s="140">
        <v>101650.3</v>
      </c>
      <c r="H73" s="140" t="s">
        <v>88</v>
      </c>
      <c r="I73" s="133">
        <v>6466</v>
      </c>
      <c r="J73" s="346" t="s">
        <v>88</v>
      </c>
      <c r="K73" s="346" t="s">
        <v>88</v>
      </c>
      <c r="L73" s="137">
        <f t="shared" si="11"/>
        <v>282692.09999999998</v>
      </c>
      <c r="M73" s="219">
        <v>123845.3</v>
      </c>
      <c r="N73" s="140">
        <v>15123.200000000003</v>
      </c>
      <c r="O73" s="137">
        <f t="shared" si="12"/>
        <v>143723.59999999998</v>
      </c>
      <c r="P73" s="133"/>
      <c r="Q73" s="348">
        <v>9760.8999999999978</v>
      </c>
      <c r="R73" s="140">
        <v>323284.70000000007</v>
      </c>
      <c r="S73" s="136">
        <v>277</v>
      </c>
      <c r="T73" s="140">
        <f t="shared" si="13"/>
        <v>333322.60000000009</v>
      </c>
      <c r="U73" s="349"/>
      <c r="V73" s="348">
        <f t="shared" si="14"/>
        <v>477046.20000000007</v>
      </c>
      <c r="W73" s="140">
        <f t="shared" si="15"/>
        <v>690047.00000000012</v>
      </c>
    </row>
    <row r="74" spans="1:23" s="145" customFormat="1" hidden="1">
      <c r="A74" s="113" t="s">
        <v>50</v>
      </c>
      <c r="B74" s="140">
        <v>144966.20000000007</v>
      </c>
      <c r="C74" s="140">
        <v>119531.40000000002</v>
      </c>
      <c r="D74" s="140" t="s">
        <v>88</v>
      </c>
      <c r="E74" s="140">
        <f t="shared" si="10"/>
        <v>264497.60000000009</v>
      </c>
      <c r="F74" s="140">
        <v>215622.30000000002</v>
      </c>
      <c r="G74" s="140">
        <v>100072.8</v>
      </c>
      <c r="H74" s="140" t="s">
        <v>88</v>
      </c>
      <c r="I74" s="133">
        <v>11255.3</v>
      </c>
      <c r="J74" s="346" t="s">
        <v>88</v>
      </c>
      <c r="K74" s="346" t="s">
        <v>88</v>
      </c>
      <c r="L74" s="137">
        <f t="shared" si="11"/>
        <v>326950.40000000002</v>
      </c>
      <c r="M74" s="219">
        <v>133925.09999999998</v>
      </c>
      <c r="N74" s="140">
        <v>14842.5</v>
      </c>
      <c r="O74" s="137">
        <f t="shared" si="12"/>
        <v>178182.80000000005</v>
      </c>
      <c r="P74" s="133"/>
      <c r="Q74" s="348">
        <v>8440.7000000000007</v>
      </c>
      <c r="R74" s="140">
        <v>321233.5</v>
      </c>
      <c r="S74" s="136">
        <v>497.1</v>
      </c>
      <c r="T74" s="140">
        <f t="shared" si="13"/>
        <v>330171.3</v>
      </c>
      <c r="U74" s="349"/>
      <c r="V74" s="348">
        <f t="shared" si="14"/>
        <v>508354.10000000003</v>
      </c>
      <c r="W74" s="140">
        <f t="shared" si="15"/>
        <v>772851.70000000019</v>
      </c>
    </row>
    <row r="75" spans="1:23" s="145" customFormat="1" hidden="1">
      <c r="A75" s="113"/>
      <c r="B75" s="140"/>
      <c r="C75" s="140"/>
      <c r="D75" s="140"/>
      <c r="E75" s="140"/>
      <c r="F75" s="140"/>
      <c r="G75" s="140"/>
      <c r="H75" s="140"/>
      <c r="I75" s="133"/>
      <c r="J75" s="346"/>
      <c r="K75" s="346"/>
      <c r="L75" s="137"/>
      <c r="M75" s="219"/>
      <c r="N75" s="140"/>
      <c r="O75" s="137"/>
      <c r="P75" s="133"/>
      <c r="Q75" s="348"/>
      <c r="R75" s="140"/>
      <c r="S75" s="136"/>
      <c r="T75" s="140"/>
      <c r="U75" s="349"/>
      <c r="V75" s="348"/>
      <c r="W75" s="140"/>
    </row>
    <row r="76" spans="1:23" s="145" customFormat="1" hidden="1">
      <c r="A76" s="113" t="s">
        <v>58</v>
      </c>
      <c r="B76" s="140">
        <v>153042.50000000006</v>
      </c>
      <c r="C76" s="140">
        <v>117804.09999999999</v>
      </c>
      <c r="D76" s="140" t="s">
        <v>88</v>
      </c>
      <c r="E76" s="140">
        <f t="shared" si="10"/>
        <v>270846.60000000003</v>
      </c>
      <c r="F76" s="140">
        <v>161824.1</v>
      </c>
      <c r="G76" s="140">
        <v>99123.8</v>
      </c>
      <c r="H76" s="140" t="s">
        <v>88</v>
      </c>
      <c r="I76" s="133">
        <v>9359.6999999999989</v>
      </c>
      <c r="J76" s="140">
        <v>6525</v>
      </c>
      <c r="K76" s="346" t="s">
        <v>88</v>
      </c>
      <c r="L76" s="137">
        <f t="shared" si="11"/>
        <v>276832.60000000003</v>
      </c>
      <c r="M76" s="347">
        <v>135087.70000000001</v>
      </c>
      <c r="N76" s="140">
        <v>12646.6</v>
      </c>
      <c r="O76" s="137">
        <f t="shared" si="12"/>
        <v>129098.30000000002</v>
      </c>
      <c r="P76" s="133"/>
      <c r="Q76" s="348">
        <v>6768.0999999999995</v>
      </c>
      <c r="R76" s="140">
        <v>323617.89999999997</v>
      </c>
      <c r="S76" s="136">
        <v>363.6</v>
      </c>
      <c r="T76" s="140">
        <f t="shared" si="13"/>
        <v>330749.59999999992</v>
      </c>
      <c r="U76" s="349"/>
      <c r="V76" s="348">
        <f t="shared" si="14"/>
        <v>459847.89999999991</v>
      </c>
      <c r="W76" s="140">
        <f t="shared" si="15"/>
        <v>730694.5</v>
      </c>
    </row>
    <row r="77" spans="1:23" s="145" customFormat="1" hidden="1">
      <c r="A77" s="113" t="s">
        <v>40</v>
      </c>
      <c r="B77" s="140">
        <v>150227.50000000003</v>
      </c>
      <c r="C77" s="140">
        <v>122034.5</v>
      </c>
      <c r="D77" s="140" t="s">
        <v>88</v>
      </c>
      <c r="E77" s="140">
        <f t="shared" si="10"/>
        <v>272262</v>
      </c>
      <c r="F77" s="140">
        <v>171434.6</v>
      </c>
      <c r="G77" s="140">
        <v>99350.599999999991</v>
      </c>
      <c r="H77" s="140" t="s">
        <v>88</v>
      </c>
      <c r="I77" s="133">
        <v>9111</v>
      </c>
      <c r="J77" s="140">
        <v>6525</v>
      </c>
      <c r="K77" s="346" t="s">
        <v>88</v>
      </c>
      <c r="L77" s="137">
        <f t="shared" si="11"/>
        <v>286421.2</v>
      </c>
      <c r="M77" s="347">
        <v>145525.6</v>
      </c>
      <c r="N77" s="140">
        <v>14153.599999999999</v>
      </c>
      <c r="O77" s="137">
        <f t="shared" si="12"/>
        <v>126742</v>
      </c>
      <c r="P77" s="133"/>
      <c r="Q77" s="348">
        <v>6538.1</v>
      </c>
      <c r="R77" s="140">
        <v>334217.7</v>
      </c>
      <c r="S77" s="136">
        <v>457.29999999999995</v>
      </c>
      <c r="T77" s="140">
        <f t="shared" si="13"/>
        <v>341213.1</v>
      </c>
      <c r="U77" s="349"/>
      <c r="V77" s="348">
        <f t="shared" si="14"/>
        <v>467955.1</v>
      </c>
      <c r="W77" s="140">
        <f t="shared" si="15"/>
        <v>740217.1</v>
      </c>
    </row>
    <row r="78" spans="1:23" s="145" customFormat="1" hidden="1">
      <c r="A78" s="113" t="s">
        <v>41</v>
      </c>
      <c r="B78" s="140">
        <v>136213.69999999992</v>
      </c>
      <c r="C78" s="140">
        <v>122176.10000000003</v>
      </c>
      <c r="D78" s="140" t="s">
        <v>88</v>
      </c>
      <c r="E78" s="140">
        <f t="shared" si="10"/>
        <v>258389.79999999996</v>
      </c>
      <c r="F78" s="140">
        <v>154941.59999999998</v>
      </c>
      <c r="G78" s="140">
        <v>114821.4</v>
      </c>
      <c r="H78" s="140" t="s">
        <v>88</v>
      </c>
      <c r="I78" s="133">
        <v>8598.3000000000011</v>
      </c>
      <c r="J78" s="140">
        <v>18525</v>
      </c>
      <c r="K78" s="346" t="s">
        <v>88</v>
      </c>
      <c r="L78" s="137">
        <f t="shared" si="11"/>
        <v>296886.3</v>
      </c>
      <c r="M78" s="347">
        <v>137174.40000000002</v>
      </c>
      <c r="N78" s="140">
        <v>15411</v>
      </c>
      <c r="O78" s="137">
        <f t="shared" si="12"/>
        <v>144300.89999999997</v>
      </c>
      <c r="P78" s="133"/>
      <c r="Q78" s="348">
        <v>6418.5000000000009</v>
      </c>
      <c r="R78" s="140">
        <v>342239.60000000003</v>
      </c>
      <c r="S78" s="136">
        <v>462.8</v>
      </c>
      <c r="T78" s="140">
        <f t="shared" si="13"/>
        <v>349120.9</v>
      </c>
      <c r="U78" s="349"/>
      <c r="V78" s="348">
        <f t="shared" si="14"/>
        <v>493421.8</v>
      </c>
      <c r="W78" s="140">
        <f t="shared" si="15"/>
        <v>751811.6</v>
      </c>
    </row>
    <row r="79" spans="1:23" s="145" customFormat="1" hidden="1">
      <c r="A79" s="113" t="s">
        <v>42</v>
      </c>
      <c r="B79" s="140">
        <v>124940.20000000007</v>
      </c>
      <c r="C79" s="140">
        <v>108840.40000000002</v>
      </c>
      <c r="D79" s="140" t="s">
        <v>88</v>
      </c>
      <c r="E79" s="140">
        <f t="shared" si="10"/>
        <v>233780.60000000009</v>
      </c>
      <c r="F79" s="140">
        <v>45521.4</v>
      </c>
      <c r="G79" s="140">
        <v>73152.899999999994</v>
      </c>
      <c r="H79" s="140" t="s">
        <v>88</v>
      </c>
      <c r="I79" s="133">
        <v>8719.1</v>
      </c>
      <c r="J79" s="140">
        <v>18525</v>
      </c>
      <c r="K79" s="133">
        <v>147596</v>
      </c>
      <c r="L79" s="137">
        <f t="shared" si="11"/>
        <v>293514.40000000002</v>
      </c>
      <c r="M79" s="347">
        <v>121214.40000000002</v>
      </c>
      <c r="N79" s="140">
        <v>15187.500000000004</v>
      </c>
      <c r="O79" s="137">
        <f t="shared" si="12"/>
        <v>157112.5</v>
      </c>
      <c r="P79" s="133"/>
      <c r="Q79" s="348">
        <v>6268.5</v>
      </c>
      <c r="R79" s="140">
        <v>349366.80000000005</v>
      </c>
      <c r="S79" s="136">
        <v>429.1</v>
      </c>
      <c r="T79" s="140">
        <f t="shared" si="13"/>
        <v>356064.4</v>
      </c>
      <c r="U79" s="349"/>
      <c r="V79" s="348">
        <f t="shared" si="14"/>
        <v>513176.9</v>
      </c>
      <c r="W79" s="140">
        <f t="shared" si="15"/>
        <v>746957.50000000012</v>
      </c>
    </row>
    <row r="80" spans="1:23" s="145" customFormat="1" hidden="1">
      <c r="A80" s="113" t="s">
        <v>43</v>
      </c>
      <c r="B80" s="140">
        <v>110538.00000000006</v>
      </c>
      <c r="C80" s="140">
        <v>100611.79999999999</v>
      </c>
      <c r="D80" s="140" t="s">
        <v>88</v>
      </c>
      <c r="E80" s="140">
        <f t="shared" si="10"/>
        <v>211149.80000000005</v>
      </c>
      <c r="F80" s="140">
        <v>24665.8</v>
      </c>
      <c r="G80" s="140">
        <v>86658.5</v>
      </c>
      <c r="H80" s="140" t="s">
        <v>88</v>
      </c>
      <c r="I80" s="133">
        <v>7955.0999999999995</v>
      </c>
      <c r="J80" s="140">
        <v>18525</v>
      </c>
      <c r="K80" s="133">
        <v>147287.9</v>
      </c>
      <c r="L80" s="137">
        <f t="shared" si="11"/>
        <v>285092.30000000005</v>
      </c>
      <c r="M80" s="347">
        <v>109438.09999999999</v>
      </c>
      <c r="N80" s="140">
        <v>14048.7</v>
      </c>
      <c r="O80" s="137">
        <f t="shared" si="12"/>
        <v>161605.50000000006</v>
      </c>
      <c r="P80" s="133"/>
      <c r="Q80" s="348">
        <v>8259.9</v>
      </c>
      <c r="R80" s="140">
        <v>354485.49999999994</v>
      </c>
      <c r="S80" s="136">
        <v>595.79999999999995</v>
      </c>
      <c r="T80" s="140">
        <f t="shared" si="13"/>
        <v>363341.19999999995</v>
      </c>
      <c r="U80" s="349"/>
      <c r="V80" s="348">
        <f t="shared" si="14"/>
        <v>524946.69999999995</v>
      </c>
      <c r="W80" s="140">
        <f t="shared" si="15"/>
        <v>736096.5</v>
      </c>
    </row>
    <row r="81" spans="1:23" s="145" customFormat="1" hidden="1">
      <c r="A81" s="113" t="s">
        <v>44</v>
      </c>
      <c r="B81" s="140">
        <v>94137.999999999971</v>
      </c>
      <c r="C81" s="140">
        <v>102210.99999999997</v>
      </c>
      <c r="D81" s="140" t="s">
        <v>88</v>
      </c>
      <c r="E81" s="140">
        <f t="shared" si="10"/>
        <v>196348.99999999994</v>
      </c>
      <c r="F81" s="140">
        <v>33331.199999999997</v>
      </c>
      <c r="G81" s="140">
        <v>79001.5</v>
      </c>
      <c r="H81" s="140" t="s">
        <v>88</v>
      </c>
      <c r="I81" s="133">
        <v>9787.6999999999989</v>
      </c>
      <c r="J81" s="140">
        <v>40525</v>
      </c>
      <c r="K81" s="133">
        <v>146979.70000000001</v>
      </c>
      <c r="L81" s="137">
        <f t="shared" si="11"/>
        <v>309625.09999999998</v>
      </c>
      <c r="M81" s="347">
        <v>114248.4</v>
      </c>
      <c r="N81" s="140">
        <v>15094.000000000002</v>
      </c>
      <c r="O81" s="137">
        <f t="shared" si="12"/>
        <v>180282.69999999998</v>
      </c>
      <c r="P81" s="133"/>
      <c r="Q81" s="348">
        <v>9789</v>
      </c>
      <c r="R81" s="140">
        <v>378377.39999999997</v>
      </c>
      <c r="S81" s="136">
        <v>512.09999999999991</v>
      </c>
      <c r="T81" s="140">
        <f t="shared" si="13"/>
        <v>388678.49999999994</v>
      </c>
      <c r="U81" s="349"/>
      <c r="V81" s="348">
        <f t="shared" si="14"/>
        <v>568961.19999999995</v>
      </c>
      <c r="W81" s="140">
        <f t="shared" si="15"/>
        <v>765310.2</v>
      </c>
    </row>
    <row r="82" spans="1:23" s="145" customFormat="1" hidden="1">
      <c r="A82" s="113" t="s">
        <v>45</v>
      </c>
      <c r="B82" s="140">
        <v>91739.900000000023</v>
      </c>
      <c r="C82" s="140">
        <v>109495.9</v>
      </c>
      <c r="D82" s="140" t="s">
        <v>88</v>
      </c>
      <c r="E82" s="140">
        <f t="shared" si="10"/>
        <v>201235.80000000002</v>
      </c>
      <c r="F82" s="140">
        <v>30261.7</v>
      </c>
      <c r="G82" s="140">
        <v>76878.5</v>
      </c>
      <c r="H82" s="140" t="s">
        <v>88</v>
      </c>
      <c r="I82" s="133">
        <v>11007.6</v>
      </c>
      <c r="J82" s="140">
        <v>50525</v>
      </c>
      <c r="K82" s="133">
        <v>146671.6</v>
      </c>
      <c r="L82" s="137">
        <f t="shared" si="11"/>
        <v>315344.40000000002</v>
      </c>
      <c r="M82" s="347">
        <v>104308.1</v>
      </c>
      <c r="N82" s="140">
        <v>17832.2</v>
      </c>
      <c r="O82" s="137">
        <f t="shared" si="12"/>
        <v>193204.1</v>
      </c>
      <c r="P82" s="133"/>
      <c r="Q82" s="348">
        <v>24237.7</v>
      </c>
      <c r="R82" s="140">
        <v>380861.39999999997</v>
      </c>
      <c r="S82" s="136">
        <v>677.2</v>
      </c>
      <c r="T82" s="140">
        <f t="shared" si="13"/>
        <v>405776.3</v>
      </c>
      <c r="U82" s="349"/>
      <c r="V82" s="348">
        <f t="shared" si="14"/>
        <v>598980.4</v>
      </c>
      <c r="W82" s="140">
        <f t="shared" si="15"/>
        <v>800216.20000000007</v>
      </c>
    </row>
    <row r="83" spans="1:23" s="145" customFormat="1" hidden="1">
      <c r="A83" s="113" t="s">
        <v>46</v>
      </c>
      <c r="B83" s="140">
        <v>83653</v>
      </c>
      <c r="C83" s="140">
        <v>101473.7</v>
      </c>
      <c r="D83" s="140" t="s">
        <v>88</v>
      </c>
      <c r="E83" s="140">
        <f t="shared" si="10"/>
        <v>185126.7</v>
      </c>
      <c r="F83" s="140">
        <v>37841.9</v>
      </c>
      <c r="G83" s="140">
        <v>87243</v>
      </c>
      <c r="H83" s="140" t="s">
        <v>88</v>
      </c>
      <c r="I83" s="133">
        <v>10351.299999999999</v>
      </c>
      <c r="J83" s="140">
        <v>50525</v>
      </c>
      <c r="K83" s="133">
        <v>146363.5</v>
      </c>
      <c r="L83" s="137">
        <f t="shared" si="11"/>
        <v>332324.69999999995</v>
      </c>
      <c r="M83" s="347">
        <v>116344.12</v>
      </c>
      <c r="N83" s="140">
        <v>14284.900000000001</v>
      </c>
      <c r="O83" s="137">
        <f t="shared" si="12"/>
        <v>201695.67999999996</v>
      </c>
      <c r="P83" s="133"/>
      <c r="Q83" s="348">
        <v>24172.199999999997</v>
      </c>
      <c r="R83" s="140">
        <v>392829.59999999992</v>
      </c>
      <c r="S83" s="136">
        <v>678.59999999999991</v>
      </c>
      <c r="T83" s="140">
        <f t="shared" si="13"/>
        <v>417680.39999999991</v>
      </c>
      <c r="U83" s="349"/>
      <c r="V83" s="348">
        <f t="shared" si="14"/>
        <v>619376.07999999984</v>
      </c>
      <c r="W83" s="140">
        <f t="shared" si="15"/>
        <v>804502.7799999998</v>
      </c>
    </row>
    <row r="84" spans="1:23" s="145" customFormat="1" hidden="1">
      <c r="A84" s="113" t="s">
        <v>47</v>
      </c>
      <c r="B84" s="140">
        <v>69547.100000000035</v>
      </c>
      <c r="C84" s="140">
        <v>98149.299999999988</v>
      </c>
      <c r="D84" s="140" t="s">
        <v>88</v>
      </c>
      <c r="E84" s="140">
        <f t="shared" si="10"/>
        <v>167696.40000000002</v>
      </c>
      <c r="F84" s="140">
        <v>37014.199999999997</v>
      </c>
      <c r="G84" s="140">
        <v>97609.1</v>
      </c>
      <c r="H84" s="140" t="s">
        <v>88</v>
      </c>
      <c r="I84" s="133">
        <v>9655.2999999999993</v>
      </c>
      <c r="J84" s="140">
        <v>50525</v>
      </c>
      <c r="K84" s="133">
        <v>146055.29999999999</v>
      </c>
      <c r="L84" s="137">
        <f t="shared" si="11"/>
        <v>340858.89999999997</v>
      </c>
      <c r="M84" s="347">
        <v>108989</v>
      </c>
      <c r="N84" s="140">
        <v>13247.7</v>
      </c>
      <c r="O84" s="137">
        <f t="shared" si="12"/>
        <v>218622.19999999995</v>
      </c>
      <c r="P84" s="133"/>
      <c r="Q84" s="348">
        <v>21154.600000000002</v>
      </c>
      <c r="R84" s="140">
        <v>401374.89999999997</v>
      </c>
      <c r="S84" s="136">
        <v>647.79999999999995</v>
      </c>
      <c r="T84" s="140">
        <f t="shared" si="13"/>
        <v>423177.29999999993</v>
      </c>
      <c r="U84" s="349"/>
      <c r="V84" s="348">
        <f t="shared" si="14"/>
        <v>641799.49999999988</v>
      </c>
      <c r="W84" s="140">
        <f t="shared" si="15"/>
        <v>809495.89999999991</v>
      </c>
    </row>
    <row r="85" spans="1:23" s="145" customFormat="1" hidden="1">
      <c r="A85" s="113" t="s">
        <v>48</v>
      </c>
      <c r="B85" s="140">
        <v>66483.800000000047</v>
      </c>
      <c r="C85" s="140">
        <v>108069.90000000001</v>
      </c>
      <c r="D85" s="140" t="s">
        <v>88</v>
      </c>
      <c r="E85" s="140">
        <f t="shared" si="10"/>
        <v>174553.70000000007</v>
      </c>
      <c r="F85" s="140">
        <v>25932</v>
      </c>
      <c r="G85" s="140">
        <v>108265.2</v>
      </c>
      <c r="H85" s="140" t="s">
        <v>88</v>
      </c>
      <c r="I85" s="133">
        <v>9619.8000000000011</v>
      </c>
      <c r="J85" s="140">
        <v>50525</v>
      </c>
      <c r="K85" s="133">
        <v>145747.20000000001</v>
      </c>
      <c r="L85" s="137">
        <f t="shared" si="11"/>
        <v>340089.2</v>
      </c>
      <c r="M85" s="347">
        <v>122944.1</v>
      </c>
      <c r="N85" s="140">
        <v>12589.2</v>
      </c>
      <c r="O85" s="137">
        <f t="shared" si="12"/>
        <v>204555.9</v>
      </c>
      <c r="P85" s="133"/>
      <c r="Q85" s="348">
        <v>17146</v>
      </c>
      <c r="R85" s="140">
        <v>410459.6</v>
      </c>
      <c r="S85" s="136">
        <v>656.2</v>
      </c>
      <c r="T85" s="140">
        <f t="shared" si="13"/>
        <v>428261.8</v>
      </c>
      <c r="U85" s="349"/>
      <c r="V85" s="348">
        <f t="shared" si="14"/>
        <v>632817.69999999995</v>
      </c>
      <c r="W85" s="140">
        <f t="shared" si="15"/>
        <v>807371.4</v>
      </c>
    </row>
    <row r="86" spans="1:23" s="145" customFormat="1" hidden="1">
      <c r="A86" s="113" t="s">
        <v>49</v>
      </c>
      <c r="B86" s="140">
        <v>74650.300000000047</v>
      </c>
      <c r="C86" s="140">
        <v>103346.49999999997</v>
      </c>
      <c r="D86" s="140" t="s">
        <v>88</v>
      </c>
      <c r="E86" s="140">
        <f t="shared" si="10"/>
        <v>177996.80000000002</v>
      </c>
      <c r="F86" s="140">
        <v>35424.1</v>
      </c>
      <c r="G86" s="140">
        <v>107157.2</v>
      </c>
      <c r="H86" s="140" t="s">
        <v>88</v>
      </c>
      <c r="I86" s="133">
        <v>10363.699999999999</v>
      </c>
      <c r="J86" s="140">
        <v>50525</v>
      </c>
      <c r="K86" s="133">
        <v>145439.1</v>
      </c>
      <c r="L86" s="137">
        <f t="shared" si="11"/>
        <v>348909.1</v>
      </c>
      <c r="M86" s="347">
        <v>112932.1</v>
      </c>
      <c r="N86" s="140">
        <v>12494.599999999999</v>
      </c>
      <c r="O86" s="137">
        <f t="shared" si="12"/>
        <v>223482.39999999997</v>
      </c>
      <c r="P86" s="133"/>
      <c r="Q86" s="348">
        <v>12787.9</v>
      </c>
      <c r="R86" s="140">
        <v>412702.2</v>
      </c>
      <c r="S86" s="136">
        <v>620.79999999999995</v>
      </c>
      <c r="T86" s="140">
        <f t="shared" si="13"/>
        <v>426110.9</v>
      </c>
      <c r="U86" s="349"/>
      <c r="V86" s="348">
        <f t="shared" si="14"/>
        <v>649593.30000000005</v>
      </c>
      <c r="W86" s="140">
        <f t="shared" si="15"/>
        <v>827590.10000000009</v>
      </c>
    </row>
    <row r="87" spans="1:23" s="145" customFormat="1" hidden="1">
      <c r="A87" s="144" t="s">
        <v>50</v>
      </c>
      <c r="B87" s="140">
        <v>141613.59999999998</v>
      </c>
      <c r="C87" s="140">
        <v>112437.40000000001</v>
      </c>
      <c r="D87" s="140">
        <v>0</v>
      </c>
      <c r="E87" s="140">
        <f>+SUM(B87:D87)</f>
        <v>254051</v>
      </c>
      <c r="F87" s="140">
        <v>19134.2</v>
      </c>
      <c r="G87" s="140">
        <v>109104.5</v>
      </c>
      <c r="H87" s="140" t="s">
        <v>88</v>
      </c>
      <c r="I87" s="133">
        <v>14177.3</v>
      </c>
      <c r="J87" s="140">
        <v>88925</v>
      </c>
      <c r="K87" s="133">
        <v>145130.9</v>
      </c>
      <c r="L87" s="140">
        <f t="shared" si="11"/>
        <v>376471.9</v>
      </c>
      <c r="M87" s="347">
        <v>154442.40000000002</v>
      </c>
      <c r="N87" s="140">
        <v>11748.2</v>
      </c>
      <c r="O87" s="140">
        <f t="shared" si="12"/>
        <v>210281.3</v>
      </c>
      <c r="P87" s="133"/>
      <c r="Q87" s="348">
        <v>8682.2000000000007</v>
      </c>
      <c r="R87" s="140">
        <v>460562.3</v>
      </c>
      <c r="S87" s="133">
        <v>599.4</v>
      </c>
      <c r="T87" s="140">
        <f t="shared" si="13"/>
        <v>469843.9</v>
      </c>
      <c r="U87" s="349"/>
      <c r="V87" s="348">
        <f t="shared" si="14"/>
        <v>680125.2</v>
      </c>
      <c r="W87" s="140">
        <f t="shared" si="15"/>
        <v>934176.2</v>
      </c>
    </row>
    <row r="88" spans="1:23" s="145" customFormat="1" hidden="1">
      <c r="A88" s="144"/>
      <c r="B88" s="140"/>
      <c r="C88" s="140"/>
      <c r="D88" s="140"/>
      <c r="E88" s="140"/>
      <c r="F88" s="140"/>
      <c r="G88" s="140"/>
      <c r="H88" s="140"/>
      <c r="I88" s="133"/>
      <c r="J88" s="140"/>
      <c r="K88" s="133"/>
      <c r="L88" s="140"/>
      <c r="M88" s="347"/>
      <c r="N88" s="140"/>
      <c r="O88" s="140"/>
      <c r="P88" s="133"/>
      <c r="Q88" s="348"/>
      <c r="R88" s="140"/>
      <c r="S88" s="133"/>
      <c r="T88" s="140"/>
      <c r="U88" s="349"/>
      <c r="V88" s="348"/>
      <c r="W88" s="140"/>
    </row>
    <row r="89" spans="1:23" s="145" customFormat="1" hidden="1">
      <c r="A89" s="113" t="s">
        <v>57</v>
      </c>
      <c r="B89" s="140">
        <v>131446.90000000002</v>
      </c>
      <c r="C89" s="140">
        <v>108031.50000000003</v>
      </c>
      <c r="D89" s="140">
        <v>0</v>
      </c>
      <c r="E89" s="140">
        <f t="shared" ref="E89:E150" si="16">+SUM(B89:D89)</f>
        <v>239478.40000000005</v>
      </c>
      <c r="F89" s="346" t="s">
        <v>88</v>
      </c>
      <c r="G89" s="140">
        <v>120122</v>
      </c>
      <c r="H89" s="140" t="s">
        <v>88</v>
      </c>
      <c r="I89" s="133">
        <v>11301.6</v>
      </c>
      <c r="J89" s="140">
        <v>88925</v>
      </c>
      <c r="K89" s="133">
        <v>144822.79999999999</v>
      </c>
      <c r="L89" s="137">
        <f t="shared" si="11"/>
        <v>365171.4</v>
      </c>
      <c r="M89" s="347">
        <v>178191.98333333334</v>
      </c>
      <c r="N89" s="140">
        <v>9081.1</v>
      </c>
      <c r="O89" s="137">
        <f t="shared" si="12"/>
        <v>177898.31666666668</v>
      </c>
      <c r="P89" s="133"/>
      <c r="Q89" s="348">
        <v>7606.4000000000005</v>
      </c>
      <c r="R89" s="140">
        <v>467155.83333333326</v>
      </c>
      <c r="S89" s="136">
        <v>588.79999999999995</v>
      </c>
      <c r="T89" s="140">
        <f t="shared" si="13"/>
        <v>475351.03333333327</v>
      </c>
      <c r="U89" s="349"/>
      <c r="V89" s="348">
        <f t="shared" si="14"/>
        <v>653249.35</v>
      </c>
      <c r="W89" s="140">
        <f t="shared" si="15"/>
        <v>892727.75</v>
      </c>
    </row>
    <row r="90" spans="1:23" s="145" customFormat="1" hidden="1">
      <c r="A90" s="113" t="s">
        <v>40</v>
      </c>
      <c r="B90" s="140">
        <v>156264.40000000002</v>
      </c>
      <c r="C90" s="140">
        <v>100573.6</v>
      </c>
      <c r="D90" s="140">
        <v>0</v>
      </c>
      <c r="E90" s="140">
        <f t="shared" si="16"/>
        <v>256838.00000000003</v>
      </c>
      <c r="F90" s="346" t="s">
        <v>88</v>
      </c>
      <c r="G90" s="140">
        <v>130026.7</v>
      </c>
      <c r="H90" s="140" t="s">
        <v>88</v>
      </c>
      <c r="I90" s="133">
        <v>10764.699999999999</v>
      </c>
      <c r="J90" s="140">
        <v>88925</v>
      </c>
      <c r="K90" s="133">
        <v>144514.70000000001</v>
      </c>
      <c r="L90" s="137">
        <f t="shared" ref="L90:L151" si="17">+SUM(F90:K90)</f>
        <v>374231.1</v>
      </c>
      <c r="M90" s="347">
        <v>211563.76666666666</v>
      </c>
      <c r="N90" s="140">
        <v>11244.5</v>
      </c>
      <c r="O90" s="137">
        <f t="shared" si="12"/>
        <v>151422.83333333331</v>
      </c>
      <c r="P90" s="133"/>
      <c r="Q90" s="348">
        <v>7244.9000000000005</v>
      </c>
      <c r="R90" s="140">
        <v>483273.76666666666</v>
      </c>
      <c r="S90" s="136">
        <v>508.4</v>
      </c>
      <c r="T90" s="140">
        <f t="shared" si="13"/>
        <v>491027.06666666671</v>
      </c>
      <c r="U90" s="349"/>
      <c r="V90" s="348">
        <f t="shared" si="14"/>
        <v>642449.9</v>
      </c>
      <c r="W90" s="140">
        <f t="shared" si="15"/>
        <v>899287.9</v>
      </c>
    </row>
    <row r="91" spans="1:23" s="145" customFormat="1" hidden="1">
      <c r="A91" s="113" t="s">
        <v>41</v>
      </c>
      <c r="B91" s="140">
        <v>143339.09999999998</v>
      </c>
      <c r="C91" s="140">
        <v>104483.19999999995</v>
      </c>
      <c r="D91" s="140">
        <v>0</v>
      </c>
      <c r="E91" s="140">
        <f t="shared" si="16"/>
        <v>247822.29999999993</v>
      </c>
      <c r="F91" s="140">
        <v>2480.5</v>
      </c>
      <c r="G91" s="140">
        <v>119566.29999999999</v>
      </c>
      <c r="H91" s="140" t="s">
        <v>88</v>
      </c>
      <c r="I91" s="133">
        <v>12695.1</v>
      </c>
      <c r="J91" s="140">
        <v>74325</v>
      </c>
      <c r="K91" s="133">
        <v>144206.6</v>
      </c>
      <c r="L91" s="137">
        <f t="shared" si="17"/>
        <v>353273.5</v>
      </c>
      <c r="M91" s="347">
        <v>168004.45</v>
      </c>
      <c r="N91" s="140">
        <v>9395.7999999999993</v>
      </c>
      <c r="O91" s="137">
        <f t="shared" si="12"/>
        <v>175873.25</v>
      </c>
      <c r="P91" s="133"/>
      <c r="Q91" s="348">
        <v>6471.0000000000009</v>
      </c>
      <c r="R91" s="140">
        <v>493087.8</v>
      </c>
      <c r="S91" s="136">
        <v>599</v>
      </c>
      <c r="T91" s="140">
        <f t="shared" si="13"/>
        <v>500157.8</v>
      </c>
      <c r="U91" s="349"/>
      <c r="V91" s="348">
        <f t="shared" si="14"/>
        <v>676031.05</v>
      </c>
      <c r="W91" s="140">
        <f t="shared" si="15"/>
        <v>923853.35</v>
      </c>
    </row>
    <row r="92" spans="1:23" s="145" customFormat="1" hidden="1">
      <c r="A92" s="113" t="s">
        <v>42</v>
      </c>
      <c r="B92" s="140">
        <v>151581.59999999998</v>
      </c>
      <c r="C92" s="140">
        <v>98502.399999999994</v>
      </c>
      <c r="D92" s="140">
        <v>0</v>
      </c>
      <c r="E92" s="140">
        <f t="shared" si="16"/>
        <v>250083.99999999997</v>
      </c>
      <c r="F92" s="346" t="s">
        <v>88</v>
      </c>
      <c r="G92" s="140">
        <v>121966.1</v>
      </c>
      <c r="H92" s="140" t="s">
        <v>88</v>
      </c>
      <c r="I92" s="133">
        <v>15459.300000000001</v>
      </c>
      <c r="J92" s="140">
        <v>74325</v>
      </c>
      <c r="K92" s="133">
        <v>143898.4</v>
      </c>
      <c r="L92" s="137">
        <f t="shared" si="17"/>
        <v>355648.8</v>
      </c>
      <c r="M92" s="347">
        <v>173148.33333333331</v>
      </c>
      <c r="N92" s="140">
        <v>11236.499999999998</v>
      </c>
      <c r="O92" s="137">
        <f t="shared" si="12"/>
        <v>171263.96666666667</v>
      </c>
      <c r="P92" s="133"/>
      <c r="Q92" s="348">
        <v>5060.1000000000013</v>
      </c>
      <c r="R92" s="140">
        <v>501672.03333333333</v>
      </c>
      <c r="S92" s="136">
        <v>583.6</v>
      </c>
      <c r="T92" s="140">
        <f t="shared" si="13"/>
        <v>507315.73333333328</v>
      </c>
      <c r="U92" s="349"/>
      <c r="V92" s="348">
        <f t="shared" si="14"/>
        <v>678579.7</v>
      </c>
      <c r="W92" s="140">
        <f t="shared" si="15"/>
        <v>928663.7</v>
      </c>
    </row>
    <row r="93" spans="1:23" s="145" customFormat="1" hidden="1">
      <c r="A93" s="113" t="s">
        <v>43</v>
      </c>
      <c r="B93" s="140">
        <v>145435.50000000006</v>
      </c>
      <c r="C93" s="140">
        <v>94834.900000000038</v>
      </c>
      <c r="D93" s="140">
        <v>0</v>
      </c>
      <c r="E93" s="140">
        <f t="shared" si="16"/>
        <v>240270.40000000008</v>
      </c>
      <c r="F93" s="140">
        <v>12986.3</v>
      </c>
      <c r="G93" s="140">
        <v>124240.19999999998</v>
      </c>
      <c r="H93" s="140" t="s">
        <v>88</v>
      </c>
      <c r="I93" s="133">
        <v>19313.400000000001</v>
      </c>
      <c r="J93" s="140">
        <v>74325</v>
      </c>
      <c r="K93" s="133">
        <v>143590.29999999999</v>
      </c>
      <c r="L93" s="137">
        <f t="shared" si="17"/>
        <v>374455.19999999995</v>
      </c>
      <c r="M93" s="347">
        <v>190756.71666666667</v>
      </c>
      <c r="N93" s="140">
        <v>10405.5</v>
      </c>
      <c r="O93" s="137">
        <f t="shared" si="12"/>
        <v>173292.98333333328</v>
      </c>
      <c r="P93" s="133"/>
      <c r="Q93" s="348">
        <v>4973.6000000000013</v>
      </c>
      <c r="R93" s="140">
        <v>521741.36666666664</v>
      </c>
      <c r="S93" s="136">
        <v>631.5</v>
      </c>
      <c r="T93" s="140">
        <f t="shared" si="13"/>
        <v>527346.46666666667</v>
      </c>
      <c r="U93" s="349"/>
      <c r="V93" s="348">
        <f t="shared" si="14"/>
        <v>700639.45</v>
      </c>
      <c r="W93" s="140">
        <f t="shared" si="15"/>
        <v>940909.85000000009</v>
      </c>
    </row>
    <row r="94" spans="1:23" s="145" customFormat="1" hidden="1">
      <c r="A94" s="113" t="s">
        <v>44</v>
      </c>
      <c r="B94" s="140">
        <v>133383.10000000003</v>
      </c>
      <c r="C94" s="140">
        <v>90655.799999999988</v>
      </c>
      <c r="D94" s="140">
        <v>0</v>
      </c>
      <c r="E94" s="140">
        <f t="shared" si="16"/>
        <v>224038.90000000002</v>
      </c>
      <c r="F94" s="140">
        <v>24462.799999999999</v>
      </c>
      <c r="G94" s="140">
        <v>117440.9</v>
      </c>
      <c r="H94" s="140" t="s">
        <v>88</v>
      </c>
      <c r="I94" s="133">
        <v>17897.8</v>
      </c>
      <c r="J94" s="140">
        <v>74325</v>
      </c>
      <c r="K94" s="133">
        <v>143282.1</v>
      </c>
      <c r="L94" s="137">
        <f t="shared" si="17"/>
        <v>377408.6</v>
      </c>
      <c r="M94" s="347">
        <v>178132.2</v>
      </c>
      <c r="N94" s="140">
        <v>12941</v>
      </c>
      <c r="O94" s="137">
        <f t="shared" si="12"/>
        <v>186335.39999999997</v>
      </c>
      <c r="P94" s="133"/>
      <c r="Q94" s="348">
        <v>5148.5000000000009</v>
      </c>
      <c r="R94" s="140">
        <v>552170.20000000007</v>
      </c>
      <c r="S94" s="136">
        <v>597.5</v>
      </c>
      <c r="T94" s="140">
        <f t="shared" si="13"/>
        <v>557916.20000000007</v>
      </c>
      <c r="U94" s="349"/>
      <c r="V94" s="348">
        <f t="shared" si="14"/>
        <v>744251.60000000009</v>
      </c>
      <c r="W94" s="140">
        <f t="shared" si="15"/>
        <v>968290.50000000012</v>
      </c>
    </row>
    <row r="95" spans="1:23" s="145" customFormat="1" hidden="1">
      <c r="A95" s="113" t="s">
        <v>45</v>
      </c>
      <c r="B95" s="140">
        <v>119995.09999999998</v>
      </c>
      <c r="C95" s="140">
        <v>94244.900000000023</v>
      </c>
      <c r="D95" s="140">
        <v>0</v>
      </c>
      <c r="E95" s="140">
        <f t="shared" si="16"/>
        <v>214240</v>
      </c>
      <c r="F95" s="140">
        <v>31447.8</v>
      </c>
      <c r="G95" s="140">
        <v>119540.9</v>
      </c>
      <c r="H95" s="140" t="s">
        <v>88</v>
      </c>
      <c r="I95" s="133">
        <v>16240.1</v>
      </c>
      <c r="J95" s="140">
        <v>74325</v>
      </c>
      <c r="K95" s="133">
        <v>142974</v>
      </c>
      <c r="L95" s="137">
        <f t="shared" si="17"/>
        <v>384527.8</v>
      </c>
      <c r="M95" s="347">
        <v>159211.65</v>
      </c>
      <c r="N95" s="140">
        <v>12144.3</v>
      </c>
      <c r="O95" s="137">
        <f t="shared" si="12"/>
        <v>213171.85</v>
      </c>
      <c r="P95" s="133"/>
      <c r="Q95" s="348">
        <v>8163.5</v>
      </c>
      <c r="R95" s="140">
        <v>567671.01666666672</v>
      </c>
      <c r="S95" s="136">
        <v>600</v>
      </c>
      <c r="T95" s="140">
        <f t="shared" si="13"/>
        <v>576434.51666666672</v>
      </c>
      <c r="U95" s="349"/>
      <c r="V95" s="348">
        <f t="shared" si="14"/>
        <v>789606.3666666667</v>
      </c>
      <c r="W95" s="140">
        <f t="shared" si="15"/>
        <v>1003846.3666666667</v>
      </c>
    </row>
    <row r="96" spans="1:23" s="145" customFormat="1" hidden="1">
      <c r="A96" s="113" t="s">
        <v>46</v>
      </c>
      <c r="B96" s="140">
        <v>101092.90000000002</v>
      </c>
      <c r="C96" s="140">
        <v>95644.100000000035</v>
      </c>
      <c r="D96" s="140">
        <v>0</v>
      </c>
      <c r="E96" s="140">
        <f t="shared" si="16"/>
        <v>196737.00000000006</v>
      </c>
      <c r="F96" s="140">
        <v>35035.800000000003</v>
      </c>
      <c r="G96" s="140">
        <v>104184.4</v>
      </c>
      <c r="H96" s="140" t="s">
        <v>88</v>
      </c>
      <c r="I96" s="133">
        <v>13778.1</v>
      </c>
      <c r="J96" s="140">
        <v>74325</v>
      </c>
      <c r="K96" s="133">
        <v>142665.9</v>
      </c>
      <c r="L96" s="137">
        <f t="shared" si="17"/>
        <v>369989.2</v>
      </c>
      <c r="M96" s="347">
        <v>157183.1</v>
      </c>
      <c r="N96" s="140">
        <v>13843.4</v>
      </c>
      <c r="O96" s="137">
        <f t="shared" si="12"/>
        <v>198962.7</v>
      </c>
      <c r="P96" s="133"/>
      <c r="Q96" s="348">
        <v>10457.799999999999</v>
      </c>
      <c r="R96" s="140">
        <v>584936.33333333337</v>
      </c>
      <c r="S96" s="136">
        <v>573.40000000000009</v>
      </c>
      <c r="T96" s="140">
        <f t="shared" si="13"/>
        <v>595967.53333333344</v>
      </c>
      <c r="U96" s="349"/>
      <c r="V96" s="348">
        <f t="shared" si="14"/>
        <v>794930.2333333334</v>
      </c>
      <c r="W96" s="140">
        <f t="shared" si="15"/>
        <v>991667.2333333334</v>
      </c>
    </row>
    <row r="97" spans="1:23" s="145" customFormat="1" hidden="1">
      <c r="A97" s="113" t="s">
        <v>47</v>
      </c>
      <c r="B97" s="140">
        <v>81241.400000000023</v>
      </c>
      <c r="C97" s="140">
        <v>88234.400000000023</v>
      </c>
      <c r="D97" s="140">
        <v>0</v>
      </c>
      <c r="E97" s="140">
        <f t="shared" si="16"/>
        <v>169475.80000000005</v>
      </c>
      <c r="F97" s="140">
        <v>29256.3</v>
      </c>
      <c r="G97" s="140">
        <v>106984.4</v>
      </c>
      <c r="H97" s="140" t="s">
        <v>88</v>
      </c>
      <c r="I97" s="133">
        <v>12911.2</v>
      </c>
      <c r="J97" s="140">
        <v>74325</v>
      </c>
      <c r="K97" s="133">
        <v>142357.70000000001</v>
      </c>
      <c r="L97" s="137">
        <f t="shared" si="17"/>
        <v>365834.6</v>
      </c>
      <c r="M97" s="347">
        <v>152796.54999999999</v>
      </c>
      <c r="N97" s="140">
        <v>13503.9</v>
      </c>
      <c r="O97" s="137">
        <f t="shared" si="12"/>
        <v>199534.15</v>
      </c>
      <c r="P97" s="133"/>
      <c r="Q97" s="348">
        <v>8482.0999999999985</v>
      </c>
      <c r="R97" s="140">
        <v>592674.85</v>
      </c>
      <c r="S97" s="136">
        <v>1019.5999999999999</v>
      </c>
      <c r="T97" s="140">
        <f t="shared" si="13"/>
        <v>602176.54999999993</v>
      </c>
      <c r="U97" s="349"/>
      <c r="V97" s="348">
        <f t="shared" si="14"/>
        <v>801710.7</v>
      </c>
      <c r="W97" s="140">
        <f t="shared" si="15"/>
        <v>971186.5</v>
      </c>
    </row>
    <row r="98" spans="1:23" s="145" customFormat="1" hidden="1">
      <c r="A98" s="113" t="s">
        <v>48</v>
      </c>
      <c r="B98" s="140">
        <v>61605.000000000058</v>
      </c>
      <c r="C98" s="140">
        <v>91985.2</v>
      </c>
      <c r="D98" s="140">
        <v>0</v>
      </c>
      <c r="E98" s="140">
        <f t="shared" si="16"/>
        <v>153590.20000000007</v>
      </c>
      <c r="F98" s="140">
        <v>29858.9</v>
      </c>
      <c r="G98" s="140">
        <v>105384.4</v>
      </c>
      <c r="H98" s="140" t="s">
        <v>88</v>
      </c>
      <c r="I98" s="133">
        <v>13872.2</v>
      </c>
      <c r="J98" s="140">
        <v>94325</v>
      </c>
      <c r="K98" s="133">
        <v>142049.60000000001</v>
      </c>
      <c r="L98" s="137">
        <f t="shared" si="17"/>
        <v>385490.1</v>
      </c>
      <c r="M98" s="347">
        <v>161133.20000000001</v>
      </c>
      <c r="N98" s="140">
        <v>14274.7</v>
      </c>
      <c r="O98" s="137">
        <f t="shared" si="12"/>
        <v>210082.19999999995</v>
      </c>
      <c r="P98" s="133"/>
      <c r="Q98" s="348">
        <v>4975.6000000000013</v>
      </c>
      <c r="R98" s="140">
        <v>612731.76666666649</v>
      </c>
      <c r="S98" s="136">
        <v>994.09999999999991</v>
      </c>
      <c r="T98" s="140">
        <f t="shared" si="13"/>
        <v>618701.46666666644</v>
      </c>
      <c r="U98" s="349"/>
      <c r="V98" s="348">
        <f t="shared" si="14"/>
        <v>828783.6666666664</v>
      </c>
      <c r="W98" s="140">
        <f t="shared" si="15"/>
        <v>982373.86666666646</v>
      </c>
    </row>
    <row r="99" spans="1:23" s="145" customFormat="1" hidden="1">
      <c r="A99" s="113" t="s">
        <v>49</v>
      </c>
      <c r="B99" s="140">
        <v>59710.299999999988</v>
      </c>
      <c r="C99" s="140">
        <v>101477.99999999999</v>
      </c>
      <c r="D99" s="140">
        <v>0</v>
      </c>
      <c r="E99" s="140">
        <f t="shared" si="16"/>
        <v>161188.29999999999</v>
      </c>
      <c r="F99" s="140">
        <v>13631.5</v>
      </c>
      <c r="G99" s="140">
        <v>94884.4</v>
      </c>
      <c r="H99" s="140" t="s">
        <v>88</v>
      </c>
      <c r="I99" s="133">
        <v>14068.5</v>
      </c>
      <c r="J99" s="140">
        <v>94325</v>
      </c>
      <c r="K99" s="133">
        <v>142049.60000000001</v>
      </c>
      <c r="L99" s="137">
        <f t="shared" si="17"/>
        <v>358959</v>
      </c>
      <c r="M99" s="347">
        <v>164059.25</v>
      </c>
      <c r="N99" s="140">
        <v>14823.400000000001</v>
      </c>
      <c r="O99" s="137">
        <f t="shared" si="12"/>
        <v>180076.35</v>
      </c>
      <c r="P99" s="133"/>
      <c r="Q99" s="348">
        <v>6924.0000000000009</v>
      </c>
      <c r="R99" s="140">
        <v>620487.28333333333</v>
      </c>
      <c r="S99" s="136">
        <v>1003.0999999999999</v>
      </c>
      <c r="T99" s="140">
        <f t="shared" si="13"/>
        <v>628414.3833333333</v>
      </c>
      <c r="U99" s="349"/>
      <c r="V99" s="348">
        <f t="shared" si="14"/>
        <v>808490.73333333328</v>
      </c>
      <c r="W99" s="140">
        <f t="shared" si="15"/>
        <v>969679.03333333321</v>
      </c>
    </row>
    <row r="100" spans="1:23" s="145" customFormat="1" hidden="1">
      <c r="A100" s="113" t="s">
        <v>50</v>
      </c>
      <c r="B100" s="140">
        <v>82293.999999999942</v>
      </c>
      <c r="C100" s="140">
        <v>123231.6</v>
      </c>
      <c r="D100" s="140">
        <v>0</v>
      </c>
      <c r="E100" s="140">
        <f t="shared" si="16"/>
        <v>205525.59999999995</v>
      </c>
      <c r="F100" s="140">
        <v>86260.6</v>
      </c>
      <c r="G100" s="140">
        <v>84484.4</v>
      </c>
      <c r="H100" s="140" t="s">
        <v>88</v>
      </c>
      <c r="I100" s="133">
        <v>14746.9</v>
      </c>
      <c r="J100" s="140">
        <v>94325</v>
      </c>
      <c r="K100" s="133">
        <v>141433.29999999999</v>
      </c>
      <c r="L100" s="137">
        <f t="shared" si="17"/>
        <v>421250.2</v>
      </c>
      <c r="M100" s="347">
        <v>175708.5</v>
      </c>
      <c r="N100" s="140">
        <v>14154.1</v>
      </c>
      <c r="O100" s="137">
        <f t="shared" si="12"/>
        <v>231387.6</v>
      </c>
      <c r="P100" s="133"/>
      <c r="Q100" s="348">
        <v>4009.9000000000005</v>
      </c>
      <c r="R100" s="140">
        <v>612267</v>
      </c>
      <c r="S100" s="136">
        <v>1021.9000000000001</v>
      </c>
      <c r="T100" s="140">
        <f t="shared" si="13"/>
        <v>617298.80000000005</v>
      </c>
      <c r="U100" s="349"/>
      <c r="V100" s="348">
        <f t="shared" si="14"/>
        <v>848686.4</v>
      </c>
      <c r="W100" s="140">
        <f t="shared" si="15"/>
        <v>1054212</v>
      </c>
    </row>
    <row r="101" spans="1:23" s="145" customFormat="1" hidden="1">
      <c r="A101" s="113"/>
      <c r="B101" s="140"/>
      <c r="C101" s="140"/>
      <c r="D101" s="140"/>
      <c r="E101" s="140"/>
      <c r="F101" s="140"/>
      <c r="G101" s="140"/>
      <c r="H101" s="140"/>
      <c r="I101" s="133"/>
      <c r="J101" s="140"/>
      <c r="K101" s="133"/>
      <c r="L101" s="137"/>
      <c r="M101" s="347"/>
      <c r="N101" s="140"/>
      <c r="O101" s="137"/>
      <c r="P101" s="133"/>
      <c r="Q101" s="348"/>
      <c r="R101" s="140"/>
      <c r="S101" s="136"/>
      <c r="T101" s="140"/>
      <c r="U101" s="349"/>
      <c r="V101" s="348"/>
      <c r="W101" s="140"/>
    </row>
    <row r="102" spans="1:23" s="145" customFormat="1" hidden="1">
      <c r="A102" s="113" t="s">
        <v>56</v>
      </c>
      <c r="B102" s="140">
        <v>112890.80000000016</v>
      </c>
      <c r="C102" s="140">
        <v>125509.49999999997</v>
      </c>
      <c r="D102" s="140">
        <v>0</v>
      </c>
      <c r="E102" s="140">
        <f t="shared" si="16"/>
        <v>238400.30000000013</v>
      </c>
      <c r="F102" s="140">
        <v>23225.200000000001</v>
      </c>
      <c r="G102" s="140">
        <v>85407.4</v>
      </c>
      <c r="H102" s="140" t="s">
        <v>88</v>
      </c>
      <c r="I102" s="133">
        <v>15311.9</v>
      </c>
      <c r="J102" s="140">
        <v>94325</v>
      </c>
      <c r="K102" s="133">
        <v>141125.20000000001</v>
      </c>
      <c r="L102" s="137">
        <f t="shared" si="17"/>
        <v>359394.7</v>
      </c>
      <c r="M102" s="347">
        <v>187619.55000000002</v>
      </c>
      <c r="N102" s="140">
        <v>16320.800000000001</v>
      </c>
      <c r="O102" s="137">
        <f t="shared" si="12"/>
        <v>155454.35</v>
      </c>
      <c r="P102" s="133"/>
      <c r="Q102" s="348">
        <v>5315.2</v>
      </c>
      <c r="R102" s="140">
        <v>615659.6</v>
      </c>
      <c r="S102" s="136">
        <v>1011.8</v>
      </c>
      <c r="T102" s="140">
        <f t="shared" si="13"/>
        <v>621986.6</v>
      </c>
      <c r="U102" s="349"/>
      <c r="V102" s="348">
        <f t="shared" si="14"/>
        <v>777440.95</v>
      </c>
      <c r="W102" s="140">
        <f t="shared" si="15"/>
        <v>1015841.2500000001</v>
      </c>
    </row>
    <row r="103" spans="1:23" s="145" customFormat="1" hidden="1">
      <c r="A103" s="113" t="s">
        <v>40</v>
      </c>
      <c r="B103" s="140">
        <v>98423.899999999965</v>
      </c>
      <c r="C103" s="140">
        <v>123068.90000000004</v>
      </c>
      <c r="D103" s="140">
        <v>0</v>
      </c>
      <c r="E103" s="140">
        <f t="shared" si="16"/>
        <v>221492.8</v>
      </c>
      <c r="F103" s="140">
        <v>19733.599999999999</v>
      </c>
      <c r="G103" s="140">
        <v>81551.099999999991</v>
      </c>
      <c r="H103" s="140" t="s">
        <v>88</v>
      </c>
      <c r="I103" s="133">
        <v>15168.9</v>
      </c>
      <c r="J103" s="140">
        <v>94325</v>
      </c>
      <c r="K103" s="133">
        <v>140817.1</v>
      </c>
      <c r="L103" s="137">
        <f t="shared" si="17"/>
        <v>351595.69999999995</v>
      </c>
      <c r="M103" s="347">
        <v>173429.90000000002</v>
      </c>
      <c r="N103" s="140">
        <v>17114.3</v>
      </c>
      <c r="O103" s="137">
        <f t="shared" si="12"/>
        <v>161051.49999999994</v>
      </c>
      <c r="P103" s="133"/>
      <c r="Q103" s="348">
        <v>10997.099999999999</v>
      </c>
      <c r="R103" s="140">
        <v>616794.9</v>
      </c>
      <c r="S103" s="136">
        <v>953.59999999999991</v>
      </c>
      <c r="T103" s="140">
        <f t="shared" si="13"/>
        <v>628745.6</v>
      </c>
      <c r="U103" s="349"/>
      <c r="V103" s="348">
        <f t="shared" si="14"/>
        <v>789797.09999999986</v>
      </c>
      <c r="W103" s="140">
        <f t="shared" si="15"/>
        <v>1011289.8999999999</v>
      </c>
    </row>
    <row r="104" spans="1:23" s="145" customFormat="1" hidden="1">
      <c r="A104" s="113" t="s">
        <v>41</v>
      </c>
      <c r="B104" s="140">
        <v>67729.100000000093</v>
      </c>
      <c r="C104" s="140">
        <v>118491.8</v>
      </c>
      <c r="D104" s="140">
        <v>0</v>
      </c>
      <c r="E104" s="140">
        <f t="shared" si="16"/>
        <v>186220.90000000008</v>
      </c>
      <c r="F104" s="140">
        <v>41361.199999999997</v>
      </c>
      <c r="G104" s="140">
        <v>72751.099999999991</v>
      </c>
      <c r="H104" s="140" t="s">
        <v>88</v>
      </c>
      <c r="I104" s="133">
        <v>16271.5</v>
      </c>
      <c r="J104" s="140">
        <v>94325</v>
      </c>
      <c r="K104" s="133">
        <v>140508.9</v>
      </c>
      <c r="L104" s="137">
        <f t="shared" si="17"/>
        <v>365217.69999999995</v>
      </c>
      <c r="M104" s="347">
        <v>189874.75</v>
      </c>
      <c r="N104" s="140">
        <v>16840.8</v>
      </c>
      <c r="O104" s="137">
        <f t="shared" si="12"/>
        <v>158502.14999999997</v>
      </c>
      <c r="P104" s="133"/>
      <c r="Q104" s="348">
        <v>11397</v>
      </c>
      <c r="R104" s="140">
        <v>625626.10000000009</v>
      </c>
      <c r="S104" s="136">
        <v>943.4</v>
      </c>
      <c r="T104" s="140">
        <f t="shared" si="13"/>
        <v>637966.50000000012</v>
      </c>
      <c r="U104" s="349"/>
      <c r="V104" s="348">
        <f t="shared" si="14"/>
        <v>796468.65000000014</v>
      </c>
      <c r="W104" s="140">
        <f t="shared" si="15"/>
        <v>982689.55000000028</v>
      </c>
    </row>
    <row r="105" spans="1:23" s="145" customFormat="1" hidden="1">
      <c r="A105" s="113" t="s">
        <v>42</v>
      </c>
      <c r="B105" s="140">
        <v>57855.800000000047</v>
      </c>
      <c r="C105" s="140">
        <v>106035.70000000001</v>
      </c>
      <c r="D105" s="140">
        <v>0</v>
      </c>
      <c r="E105" s="140">
        <f t="shared" si="16"/>
        <v>163891.50000000006</v>
      </c>
      <c r="F105" s="140">
        <v>51796.5</v>
      </c>
      <c r="G105" s="140">
        <v>68244.899999999994</v>
      </c>
      <c r="H105" s="140" t="s">
        <v>88</v>
      </c>
      <c r="I105" s="133">
        <v>17528.8</v>
      </c>
      <c r="J105" s="140">
        <v>94325</v>
      </c>
      <c r="K105" s="133">
        <v>140200.79999999999</v>
      </c>
      <c r="L105" s="137">
        <f t="shared" si="17"/>
        <v>372096</v>
      </c>
      <c r="M105" s="347">
        <v>167768.29999999999</v>
      </c>
      <c r="N105" s="140">
        <v>19564.399999999994</v>
      </c>
      <c r="O105" s="137">
        <f t="shared" si="12"/>
        <v>184763.30000000002</v>
      </c>
      <c r="P105" s="133"/>
      <c r="Q105" s="348">
        <v>13397.199999999999</v>
      </c>
      <c r="R105" s="140">
        <v>630867.39999999991</v>
      </c>
      <c r="S105" s="136">
        <v>916.8</v>
      </c>
      <c r="T105" s="140">
        <f t="shared" si="13"/>
        <v>645181.39999999991</v>
      </c>
      <c r="U105" s="349"/>
      <c r="V105" s="348">
        <f t="shared" si="14"/>
        <v>829944.7</v>
      </c>
      <c r="W105" s="140">
        <f t="shared" si="15"/>
        <v>993836.2</v>
      </c>
    </row>
    <row r="106" spans="1:23" s="145" customFormat="1" hidden="1">
      <c r="A106" s="113" t="s">
        <v>43</v>
      </c>
      <c r="B106" s="140">
        <v>60535.400000000081</v>
      </c>
      <c r="C106" s="140">
        <v>83366.000000000015</v>
      </c>
      <c r="D106" s="140">
        <v>0</v>
      </c>
      <c r="E106" s="140">
        <f t="shared" si="16"/>
        <v>143901.40000000008</v>
      </c>
      <c r="F106" s="140">
        <v>32561.9</v>
      </c>
      <c r="G106" s="140">
        <v>66801.100000000006</v>
      </c>
      <c r="H106" s="140" t="s">
        <v>88</v>
      </c>
      <c r="I106" s="133">
        <v>15899.2</v>
      </c>
      <c r="J106" s="140">
        <v>94325</v>
      </c>
      <c r="K106" s="133">
        <v>140200.79999999999</v>
      </c>
      <c r="L106" s="137">
        <f t="shared" si="17"/>
        <v>349788</v>
      </c>
      <c r="M106" s="347">
        <v>152755.05000000002</v>
      </c>
      <c r="N106" s="140">
        <v>13236.300000000001</v>
      </c>
      <c r="O106" s="137">
        <f t="shared" si="12"/>
        <v>183796.65</v>
      </c>
      <c r="P106" s="133"/>
      <c r="Q106" s="348">
        <v>14556.999999999998</v>
      </c>
      <c r="R106" s="140">
        <v>659531.89999999991</v>
      </c>
      <c r="S106" s="136">
        <v>992.09999999999991</v>
      </c>
      <c r="T106" s="140">
        <f t="shared" si="13"/>
        <v>675080.99999999988</v>
      </c>
      <c r="U106" s="349"/>
      <c r="V106" s="348">
        <f t="shared" si="14"/>
        <v>858877.64999999991</v>
      </c>
      <c r="W106" s="140">
        <f t="shared" si="15"/>
        <v>1002779.05</v>
      </c>
    </row>
    <row r="107" spans="1:23" s="145" customFormat="1" hidden="1">
      <c r="A107" s="113" t="s">
        <v>44</v>
      </c>
      <c r="B107" s="140">
        <v>49308</v>
      </c>
      <c r="C107" s="140">
        <v>78556.900000000023</v>
      </c>
      <c r="D107" s="140">
        <v>0</v>
      </c>
      <c r="E107" s="140">
        <f t="shared" si="16"/>
        <v>127864.90000000002</v>
      </c>
      <c r="F107" s="140">
        <v>49375</v>
      </c>
      <c r="G107" s="140">
        <v>63101.1</v>
      </c>
      <c r="H107" s="140" t="s">
        <v>88</v>
      </c>
      <c r="I107" s="133">
        <v>18502.399999999998</v>
      </c>
      <c r="J107" s="140">
        <v>94325</v>
      </c>
      <c r="K107" s="133">
        <v>139584.5</v>
      </c>
      <c r="L107" s="137">
        <f t="shared" si="17"/>
        <v>364888</v>
      </c>
      <c r="M107" s="347">
        <v>146789.10000000003</v>
      </c>
      <c r="N107" s="140">
        <v>13565.2</v>
      </c>
      <c r="O107" s="137">
        <f t="shared" si="12"/>
        <v>204533.69999999995</v>
      </c>
      <c r="P107" s="133"/>
      <c r="Q107" s="348">
        <v>16232.4</v>
      </c>
      <c r="R107" s="140">
        <v>681196.70000000007</v>
      </c>
      <c r="S107" s="136">
        <v>1005.8</v>
      </c>
      <c r="T107" s="140">
        <f t="shared" si="13"/>
        <v>698434.90000000014</v>
      </c>
      <c r="U107" s="349"/>
      <c r="V107" s="348">
        <f t="shared" si="14"/>
        <v>902968.60000000009</v>
      </c>
      <c r="W107" s="140">
        <f t="shared" si="15"/>
        <v>1030833.5000000001</v>
      </c>
    </row>
    <row r="108" spans="1:23" s="145" customFormat="1" hidden="1">
      <c r="A108" s="113" t="s">
        <v>45</v>
      </c>
      <c r="B108" s="140">
        <v>46872.800000000047</v>
      </c>
      <c r="C108" s="140">
        <v>98136.900000000023</v>
      </c>
      <c r="D108" s="140">
        <v>0</v>
      </c>
      <c r="E108" s="140">
        <f t="shared" si="16"/>
        <v>145009.70000000007</v>
      </c>
      <c r="F108" s="140">
        <v>53695.7</v>
      </c>
      <c r="G108" s="140">
        <v>52484.4</v>
      </c>
      <c r="H108" s="140" t="s">
        <v>88</v>
      </c>
      <c r="I108" s="133">
        <v>16648.166666666668</v>
      </c>
      <c r="J108" s="140">
        <v>108925</v>
      </c>
      <c r="K108" s="133">
        <v>139276.4</v>
      </c>
      <c r="L108" s="137">
        <f t="shared" si="17"/>
        <v>371029.66666666663</v>
      </c>
      <c r="M108" s="347">
        <v>143746.51666666666</v>
      </c>
      <c r="N108" s="140">
        <v>16513.699999999997</v>
      </c>
      <c r="O108" s="137">
        <f t="shared" si="12"/>
        <v>210769.44999999995</v>
      </c>
      <c r="P108" s="133"/>
      <c r="Q108" s="348">
        <v>17742.2</v>
      </c>
      <c r="R108" s="140">
        <v>682743.1166666667</v>
      </c>
      <c r="S108" s="136">
        <v>993.4</v>
      </c>
      <c r="T108" s="140">
        <f t="shared" si="13"/>
        <v>701478.71666666667</v>
      </c>
      <c r="U108" s="349"/>
      <c r="V108" s="348">
        <f t="shared" si="14"/>
        <v>912248.16666666663</v>
      </c>
      <c r="W108" s="140">
        <f t="shared" si="15"/>
        <v>1057257.8666666667</v>
      </c>
    </row>
    <row r="109" spans="1:23" s="145" customFormat="1" hidden="1">
      <c r="A109" s="113" t="s">
        <v>46</v>
      </c>
      <c r="B109" s="140">
        <v>39580.200000000012</v>
      </c>
      <c r="C109" s="140">
        <v>102097.4</v>
      </c>
      <c r="D109" s="140">
        <v>0</v>
      </c>
      <c r="E109" s="140">
        <f t="shared" si="16"/>
        <v>141677.6</v>
      </c>
      <c r="F109" s="140">
        <v>65092</v>
      </c>
      <c r="G109" s="140">
        <v>44735.199999999997</v>
      </c>
      <c r="H109" s="140" t="s">
        <v>88</v>
      </c>
      <c r="I109" s="133">
        <v>14110.133333333333</v>
      </c>
      <c r="J109" s="140">
        <v>108925</v>
      </c>
      <c r="K109" s="133">
        <v>138968.29999999999</v>
      </c>
      <c r="L109" s="137">
        <f t="shared" si="17"/>
        <v>371830.6333333333</v>
      </c>
      <c r="M109" s="347">
        <v>131362.43333333335</v>
      </c>
      <c r="N109" s="140">
        <v>18916.900000000001</v>
      </c>
      <c r="O109" s="137">
        <f t="shared" si="12"/>
        <v>221551.29999999996</v>
      </c>
      <c r="P109" s="133"/>
      <c r="Q109" s="348">
        <v>26322.699999999997</v>
      </c>
      <c r="R109" s="140">
        <v>691338.43333333335</v>
      </c>
      <c r="S109" s="136">
        <v>1013</v>
      </c>
      <c r="T109" s="140">
        <f t="shared" si="13"/>
        <v>718674.1333333333</v>
      </c>
      <c r="U109" s="349"/>
      <c r="V109" s="348">
        <f t="shared" si="14"/>
        <v>940225.43333333323</v>
      </c>
      <c r="W109" s="140">
        <f t="shared" si="15"/>
        <v>1081903.0333333332</v>
      </c>
    </row>
    <row r="110" spans="1:23" s="145" customFormat="1" hidden="1">
      <c r="A110" s="113" t="s">
        <v>47</v>
      </c>
      <c r="B110" s="140">
        <v>55414.5</v>
      </c>
      <c r="C110" s="140">
        <v>105595.80000000003</v>
      </c>
      <c r="D110" s="140">
        <v>0</v>
      </c>
      <c r="E110" s="140">
        <f t="shared" si="16"/>
        <v>161010.30000000005</v>
      </c>
      <c r="F110" s="140">
        <v>51763.199999999997</v>
      </c>
      <c r="G110" s="140">
        <v>38166.800000000003</v>
      </c>
      <c r="H110" s="140" t="s">
        <v>88</v>
      </c>
      <c r="I110" s="133">
        <v>13870.5</v>
      </c>
      <c r="J110" s="140">
        <v>108925</v>
      </c>
      <c r="K110" s="133">
        <v>138968.29999999999</v>
      </c>
      <c r="L110" s="137">
        <f t="shared" si="17"/>
        <v>351693.8</v>
      </c>
      <c r="M110" s="347">
        <v>133972.04999999999</v>
      </c>
      <c r="N110" s="140">
        <v>15255.2</v>
      </c>
      <c r="O110" s="137">
        <f t="shared" si="12"/>
        <v>202466.55</v>
      </c>
      <c r="P110" s="133"/>
      <c r="Q110" s="348">
        <v>24945.899999999998</v>
      </c>
      <c r="R110" s="140">
        <v>685471.85000000009</v>
      </c>
      <c r="S110" s="136">
        <v>1059.5</v>
      </c>
      <c r="T110" s="140">
        <f t="shared" si="13"/>
        <v>711477.25000000012</v>
      </c>
      <c r="U110" s="349"/>
      <c r="V110" s="348">
        <f t="shared" si="14"/>
        <v>913943.8</v>
      </c>
      <c r="W110" s="140">
        <f t="shared" si="15"/>
        <v>1074954.1000000001</v>
      </c>
    </row>
    <row r="111" spans="1:23" s="145" customFormat="1" hidden="1">
      <c r="A111" s="113" t="s">
        <v>48</v>
      </c>
      <c r="B111" s="140">
        <v>50733.300000000105</v>
      </c>
      <c r="C111" s="140">
        <v>99522.699999999968</v>
      </c>
      <c r="D111" s="140">
        <v>0</v>
      </c>
      <c r="E111" s="140">
        <f t="shared" si="16"/>
        <v>150256.00000000006</v>
      </c>
      <c r="F111" s="140">
        <v>78836.5</v>
      </c>
      <c r="G111" s="140">
        <v>34235.199999999997</v>
      </c>
      <c r="H111" s="140" t="s">
        <v>88</v>
      </c>
      <c r="I111" s="133">
        <v>14080.166666666668</v>
      </c>
      <c r="J111" s="140">
        <v>108925</v>
      </c>
      <c r="K111" s="133">
        <v>138352</v>
      </c>
      <c r="L111" s="137">
        <f t="shared" si="17"/>
        <v>374428.8666666667</v>
      </c>
      <c r="M111" s="347">
        <v>152751.86666666667</v>
      </c>
      <c r="N111" s="140">
        <v>14718.9</v>
      </c>
      <c r="O111" s="137">
        <f t="shared" si="12"/>
        <v>206958.10000000003</v>
      </c>
      <c r="P111" s="133"/>
      <c r="Q111" s="348">
        <v>23160.3</v>
      </c>
      <c r="R111" s="140">
        <v>697084.96666666656</v>
      </c>
      <c r="S111" s="136">
        <v>1087.2</v>
      </c>
      <c r="T111" s="140">
        <f t="shared" si="13"/>
        <v>721332.46666666656</v>
      </c>
      <c r="U111" s="349"/>
      <c r="V111" s="348">
        <f t="shared" si="14"/>
        <v>928290.56666666665</v>
      </c>
      <c r="W111" s="140">
        <f t="shared" si="15"/>
        <v>1078546.5666666667</v>
      </c>
    </row>
    <row r="112" spans="1:23" s="145" customFormat="1" hidden="1">
      <c r="A112" s="113" t="s">
        <v>49</v>
      </c>
      <c r="B112" s="140">
        <v>50395</v>
      </c>
      <c r="C112" s="140">
        <v>107039.20000000001</v>
      </c>
      <c r="D112" s="140">
        <v>0</v>
      </c>
      <c r="E112" s="140">
        <f t="shared" si="16"/>
        <v>157434.20000000001</v>
      </c>
      <c r="F112" s="140">
        <v>104206.5</v>
      </c>
      <c r="G112" s="140">
        <v>35864.9</v>
      </c>
      <c r="H112" s="140"/>
      <c r="I112" s="133">
        <v>16169.233333333334</v>
      </c>
      <c r="J112" s="140">
        <v>108925</v>
      </c>
      <c r="K112" s="133">
        <v>138043.9</v>
      </c>
      <c r="L112" s="137">
        <f t="shared" si="17"/>
        <v>403209.53333333333</v>
      </c>
      <c r="M112" s="347">
        <v>154275.78333333335</v>
      </c>
      <c r="N112" s="140">
        <v>17782.100000000002</v>
      </c>
      <c r="O112" s="137">
        <f t="shared" si="12"/>
        <v>231151.64999999997</v>
      </c>
      <c r="P112" s="133"/>
      <c r="Q112" s="348">
        <v>23395.500000000004</v>
      </c>
      <c r="R112" s="140">
        <v>699905.4833333334</v>
      </c>
      <c r="S112" s="136">
        <v>1050.5999999999999</v>
      </c>
      <c r="T112" s="140">
        <f t="shared" si="13"/>
        <v>724351.58333333337</v>
      </c>
      <c r="U112" s="349"/>
      <c r="V112" s="348">
        <f t="shared" si="14"/>
        <v>955503.2333333334</v>
      </c>
      <c r="W112" s="140">
        <f t="shared" si="15"/>
        <v>1112937.4333333333</v>
      </c>
    </row>
    <row r="113" spans="1:23" s="145" customFormat="1" hidden="1">
      <c r="A113" s="113" t="s">
        <v>50</v>
      </c>
      <c r="B113" s="140">
        <v>66928.900000000023</v>
      </c>
      <c r="C113" s="140">
        <v>129708.8</v>
      </c>
      <c r="D113" s="140">
        <v>0</v>
      </c>
      <c r="E113" s="140">
        <f t="shared" si="16"/>
        <v>196637.7</v>
      </c>
      <c r="F113" s="140">
        <v>155251.9</v>
      </c>
      <c r="G113" s="140">
        <v>49024.3</v>
      </c>
      <c r="H113" s="140"/>
      <c r="I113" s="133">
        <v>17982.599999999999</v>
      </c>
      <c r="J113" s="140">
        <v>117037.4</v>
      </c>
      <c r="K113" s="133">
        <v>137735.70000000001</v>
      </c>
      <c r="L113" s="137">
        <f t="shared" si="17"/>
        <v>477031.9</v>
      </c>
      <c r="M113" s="347">
        <v>182803.7</v>
      </c>
      <c r="N113" s="140">
        <v>18296</v>
      </c>
      <c r="O113" s="137">
        <f t="shared" si="12"/>
        <v>275932.2</v>
      </c>
      <c r="P113" s="133"/>
      <c r="Q113" s="348">
        <v>24157.200000000001</v>
      </c>
      <c r="R113" s="140">
        <v>683891.70000000007</v>
      </c>
      <c r="S113" s="136">
        <v>1057.9000000000001</v>
      </c>
      <c r="T113" s="140">
        <f t="shared" si="13"/>
        <v>709106.8</v>
      </c>
      <c r="U113" s="349"/>
      <c r="V113" s="348">
        <f t="shared" si="14"/>
        <v>985039</v>
      </c>
      <c r="W113" s="140">
        <f t="shared" si="15"/>
        <v>1181676.7</v>
      </c>
    </row>
    <row r="114" spans="1:23" s="145" customFormat="1" hidden="1">
      <c r="A114" s="113"/>
      <c r="B114" s="140"/>
      <c r="C114" s="140"/>
      <c r="D114" s="140"/>
      <c r="E114" s="140"/>
      <c r="F114" s="140"/>
      <c r="G114" s="140"/>
      <c r="H114" s="140"/>
      <c r="I114" s="133"/>
      <c r="J114" s="140"/>
      <c r="K114" s="133"/>
      <c r="L114" s="137"/>
      <c r="M114" s="347"/>
      <c r="N114" s="140"/>
      <c r="O114" s="137"/>
      <c r="P114" s="133"/>
      <c r="Q114" s="348"/>
      <c r="R114" s="140"/>
      <c r="S114" s="136"/>
      <c r="T114" s="140"/>
      <c r="U114" s="349"/>
      <c r="V114" s="348"/>
      <c r="W114" s="140"/>
    </row>
    <row r="115" spans="1:23" s="145" customFormat="1" hidden="1">
      <c r="A115" s="113" t="s">
        <v>55</v>
      </c>
      <c r="B115" s="140">
        <v>55782.700000000012</v>
      </c>
      <c r="C115" s="140">
        <v>140475.40000000002</v>
      </c>
      <c r="D115" s="140">
        <v>-8.1</v>
      </c>
      <c r="E115" s="140">
        <f t="shared" si="16"/>
        <v>196250.00000000003</v>
      </c>
      <c r="F115" s="346" t="s">
        <v>88</v>
      </c>
      <c r="G115" s="140">
        <v>53502.600000000006</v>
      </c>
      <c r="H115" s="140"/>
      <c r="I115" s="133">
        <v>14555.216666666667</v>
      </c>
      <c r="J115" s="140">
        <v>115644.1</v>
      </c>
      <c r="K115" s="133">
        <v>292679.5</v>
      </c>
      <c r="L115" s="137">
        <f t="shared" si="17"/>
        <v>476381.41666666669</v>
      </c>
      <c r="M115" s="347">
        <v>220799.68333333335</v>
      </c>
      <c r="N115" s="140">
        <v>21555.599999999999</v>
      </c>
      <c r="O115" s="137">
        <f t="shared" si="12"/>
        <v>234026.13333333333</v>
      </c>
      <c r="P115" s="133"/>
      <c r="Q115" s="348">
        <v>24524.300000000003</v>
      </c>
      <c r="R115" s="140">
        <v>708419.21666666667</v>
      </c>
      <c r="S115" s="136">
        <v>1099.5999999999999</v>
      </c>
      <c r="T115" s="140">
        <f t="shared" si="13"/>
        <v>734043.1166666667</v>
      </c>
      <c r="U115" s="349"/>
      <c r="V115" s="348">
        <f t="shared" si="14"/>
        <v>968069.25</v>
      </c>
      <c r="W115" s="140">
        <f t="shared" si="15"/>
        <v>1164319.25</v>
      </c>
    </row>
    <row r="116" spans="1:23" s="145" customFormat="1" hidden="1">
      <c r="A116" s="113" t="s">
        <v>40</v>
      </c>
      <c r="B116" s="140">
        <v>97419.499999999884</v>
      </c>
      <c r="C116" s="140">
        <v>158351.6</v>
      </c>
      <c r="D116" s="140">
        <v>-16.2</v>
      </c>
      <c r="E116" s="140">
        <f t="shared" si="16"/>
        <v>255754.89999999988</v>
      </c>
      <c r="F116" s="346" t="s">
        <v>88</v>
      </c>
      <c r="G116" s="140">
        <v>50864</v>
      </c>
      <c r="H116" s="140"/>
      <c r="I116" s="133">
        <v>16132.033333333333</v>
      </c>
      <c r="J116" s="140">
        <v>114250.8</v>
      </c>
      <c r="K116" s="133">
        <v>292371.40000000002</v>
      </c>
      <c r="L116" s="137">
        <f t="shared" si="17"/>
        <v>473618.23333333334</v>
      </c>
      <c r="M116" s="347">
        <v>241982.86666666667</v>
      </c>
      <c r="N116" s="140">
        <v>22934.400000000001</v>
      </c>
      <c r="O116" s="137">
        <f t="shared" si="12"/>
        <v>208700.96666666667</v>
      </c>
      <c r="P116" s="133"/>
      <c r="Q116" s="348">
        <v>25342.800000000003</v>
      </c>
      <c r="R116" s="140">
        <v>712390.53333333344</v>
      </c>
      <c r="S116" s="136">
        <v>1413.7</v>
      </c>
      <c r="T116" s="140">
        <f t="shared" si="13"/>
        <v>739147.03333333344</v>
      </c>
      <c r="U116" s="349"/>
      <c r="V116" s="348">
        <f t="shared" si="14"/>
        <v>947848.00000000012</v>
      </c>
      <c r="W116" s="140">
        <f t="shared" si="15"/>
        <v>1203602.8999999999</v>
      </c>
    </row>
    <row r="117" spans="1:23" s="145" customFormat="1" hidden="1">
      <c r="A117" s="113" t="s">
        <v>41</v>
      </c>
      <c r="B117" s="140">
        <v>48746.900000000081</v>
      </c>
      <c r="C117" s="140">
        <v>149107.00000000003</v>
      </c>
      <c r="D117" s="140">
        <v>-24.299999999999997</v>
      </c>
      <c r="E117" s="140">
        <f t="shared" si="16"/>
        <v>197829.60000000012</v>
      </c>
      <c r="F117" s="346" t="s">
        <v>88</v>
      </c>
      <c r="G117" s="140">
        <v>47334.399999999994</v>
      </c>
      <c r="H117" s="140"/>
      <c r="I117" s="133">
        <v>18914.650000000001</v>
      </c>
      <c r="J117" s="140">
        <v>112857.5</v>
      </c>
      <c r="K117" s="133">
        <v>292063.09999999998</v>
      </c>
      <c r="L117" s="137">
        <f t="shared" si="17"/>
        <v>471169.64999999997</v>
      </c>
      <c r="M117" s="347">
        <v>207006.84999999998</v>
      </c>
      <c r="N117" s="140">
        <v>23122.7</v>
      </c>
      <c r="O117" s="137">
        <f t="shared" si="12"/>
        <v>241040.09999999998</v>
      </c>
      <c r="P117" s="133"/>
      <c r="Q117" s="348">
        <v>27027.699999999997</v>
      </c>
      <c r="R117" s="140">
        <v>720855.35</v>
      </c>
      <c r="S117" s="136">
        <v>1398.1999999999998</v>
      </c>
      <c r="T117" s="140">
        <f t="shared" si="13"/>
        <v>749281.24999999988</v>
      </c>
      <c r="U117" s="349"/>
      <c r="V117" s="348">
        <f t="shared" si="14"/>
        <v>990321.34999999986</v>
      </c>
      <c r="W117" s="140">
        <f t="shared" si="15"/>
        <v>1188150.95</v>
      </c>
    </row>
    <row r="118" spans="1:23" s="145" customFormat="1" hidden="1">
      <c r="A118" s="113" t="s">
        <v>42</v>
      </c>
      <c r="B118" s="140">
        <v>44693.599999999977</v>
      </c>
      <c r="C118" s="140">
        <v>151956.90000000002</v>
      </c>
      <c r="D118" s="140">
        <v>-32.4</v>
      </c>
      <c r="E118" s="140">
        <f t="shared" si="16"/>
        <v>196618.1</v>
      </c>
      <c r="F118" s="140">
        <v>11186</v>
      </c>
      <c r="G118" s="140">
        <v>42558.399999999994</v>
      </c>
      <c r="H118" s="140"/>
      <c r="I118" s="133">
        <v>20646.366666666665</v>
      </c>
      <c r="J118" s="140">
        <v>111464.2</v>
      </c>
      <c r="K118" s="133">
        <v>291755.09999999998</v>
      </c>
      <c r="L118" s="137">
        <f t="shared" si="17"/>
        <v>477610.06666666665</v>
      </c>
      <c r="M118" s="347">
        <v>182261.53333333333</v>
      </c>
      <c r="N118" s="140">
        <v>21146.5</v>
      </c>
      <c r="O118" s="137">
        <f t="shared" si="12"/>
        <v>274202.03333333333</v>
      </c>
      <c r="P118" s="133"/>
      <c r="Q118" s="348">
        <v>27609.899999999998</v>
      </c>
      <c r="R118" s="140">
        <v>718491.16666666663</v>
      </c>
      <c r="S118" s="136">
        <v>1390.8</v>
      </c>
      <c r="T118" s="140">
        <f t="shared" si="13"/>
        <v>747491.8666666667</v>
      </c>
      <c r="U118" s="349"/>
      <c r="V118" s="348">
        <f t="shared" si="14"/>
        <v>1021693.9</v>
      </c>
      <c r="W118" s="140">
        <f t="shared" si="15"/>
        <v>1218312</v>
      </c>
    </row>
    <row r="119" spans="1:23" s="145" customFormat="1" hidden="1">
      <c r="A119" s="113" t="s">
        <v>43</v>
      </c>
      <c r="B119" s="140">
        <v>64212.600000000035</v>
      </c>
      <c r="C119" s="140">
        <v>122148.50000000001</v>
      </c>
      <c r="D119" s="140">
        <v>-40.5</v>
      </c>
      <c r="E119" s="140">
        <f t="shared" si="16"/>
        <v>186320.60000000003</v>
      </c>
      <c r="F119" s="346" t="s">
        <v>88</v>
      </c>
      <c r="G119" s="140">
        <v>68342</v>
      </c>
      <c r="H119" s="140"/>
      <c r="I119" s="133">
        <v>16971.283333333333</v>
      </c>
      <c r="J119" s="140">
        <v>110070.9</v>
      </c>
      <c r="K119" s="133">
        <v>291446.90000000002</v>
      </c>
      <c r="L119" s="137">
        <f t="shared" si="17"/>
        <v>486831.08333333337</v>
      </c>
      <c r="M119" s="347">
        <v>199125.41666666663</v>
      </c>
      <c r="N119" s="140">
        <v>19112.000000000004</v>
      </c>
      <c r="O119" s="137">
        <f t="shared" ref="O119:O128" si="18">+L119-M119-N119</f>
        <v>268593.66666666674</v>
      </c>
      <c r="P119" s="133"/>
      <c r="Q119" s="348">
        <v>28974.7</v>
      </c>
      <c r="R119" s="140">
        <v>723068.18333333335</v>
      </c>
      <c r="S119" s="136">
        <v>1390.6999999999998</v>
      </c>
      <c r="T119" s="140">
        <f t="shared" ref="T119:T128" si="19">SUM(Q119:S119)</f>
        <v>753433.58333333326</v>
      </c>
      <c r="U119" s="349"/>
      <c r="V119" s="348">
        <f t="shared" ref="V119:V139" si="20">SUM(O119,T119)</f>
        <v>1022027.25</v>
      </c>
      <c r="W119" s="140">
        <f t="shared" si="15"/>
        <v>1208347.8500000001</v>
      </c>
    </row>
    <row r="120" spans="1:23" s="145" customFormat="1" hidden="1">
      <c r="A120" s="113" t="s">
        <v>44</v>
      </c>
      <c r="B120" s="140">
        <v>56965.400000000081</v>
      </c>
      <c r="C120" s="140">
        <v>101928.40000000002</v>
      </c>
      <c r="D120" s="140">
        <v>-48.599999999999994</v>
      </c>
      <c r="E120" s="140">
        <f t="shared" si="16"/>
        <v>158845.2000000001</v>
      </c>
      <c r="F120" s="346" t="s">
        <v>88</v>
      </c>
      <c r="G120" s="140">
        <v>70934.600000000006</v>
      </c>
      <c r="H120" s="140"/>
      <c r="I120" s="133">
        <v>18757.3</v>
      </c>
      <c r="J120" s="140">
        <v>108677.6</v>
      </c>
      <c r="K120" s="133">
        <v>291138.8</v>
      </c>
      <c r="L120" s="137">
        <f t="shared" si="17"/>
        <v>489508.3</v>
      </c>
      <c r="M120" s="347">
        <v>190482.9</v>
      </c>
      <c r="N120" s="140">
        <v>15910.9</v>
      </c>
      <c r="O120" s="137">
        <f t="shared" si="18"/>
        <v>283114.5</v>
      </c>
      <c r="P120" s="133"/>
      <c r="Q120" s="348">
        <v>30429.199999999997</v>
      </c>
      <c r="R120" s="140">
        <v>726941.90000000014</v>
      </c>
      <c r="S120" s="136">
        <v>1401.7</v>
      </c>
      <c r="T120" s="140">
        <f t="shared" si="19"/>
        <v>758772.8</v>
      </c>
      <c r="U120" s="349"/>
      <c r="V120" s="348">
        <f t="shared" si="20"/>
        <v>1041887.3</v>
      </c>
      <c r="W120" s="140">
        <f t="shared" ref="W120:W139" si="21">SUM(E120,V120)</f>
        <v>1200732.5000000002</v>
      </c>
    </row>
    <row r="121" spans="1:23" s="145" customFormat="1" hidden="1">
      <c r="A121" s="113" t="s">
        <v>45</v>
      </c>
      <c r="B121" s="140">
        <v>88260.70000000007</v>
      </c>
      <c r="C121" s="140">
        <v>97529.599999999977</v>
      </c>
      <c r="D121" s="140">
        <v>-56.699999999999996</v>
      </c>
      <c r="E121" s="140">
        <f t="shared" si="16"/>
        <v>185733.60000000003</v>
      </c>
      <c r="F121" s="346" t="s">
        <v>88</v>
      </c>
      <c r="G121" s="140">
        <v>100965.3</v>
      </c>
      <c r="H121" s="140"/>
      <c r="I121" s="133">
        <v>17433.3</v>
      </c>
      <c r="J121" s="140">
        <v>107284.3</v>
      </c>
      <c r="K121" s="133">
        <v>290830.7</v>
      </c>
      <c r="L121" s="137">
        <f t="shared" si="17"/>
        <v>516513.60000000003</v>
      </c>
      <c r="M121" s="347">
        <v>245464.6</v>
      </c>
      <c r="N121" s="140">
        <v>18379.300000000003</v>
      </c>
      <c r="O121" s="137">
        <f t="shared" si="18"/>
        <v>252669.7</v>
      </c>
      <c r="P121" s="133"/>
      <c r="Q121" s="348">
        <v>29921.149999999994</v>
      </c>
      <c r="R121" s="140">
        <v>748005.86666666658</v>
      </c>
      <c r="S121" s="136">
        <v>1754.2</v>
      </c>
      <c r="T121" s="140">
        <f t="shared" si="19"/>
        <v>779681.21666666656</v>
      </c>
      <c r="U121" s="349"/>
      <c r="V121" s="348">
        <f t="shared" si="20"/>
        <v>1032350.9166666665</v>
      </c>
      <c r="W121" s="140">
        <f t="shared" si="21"/>
        <v>1218084.5166666666</v>
      </c>
    </row>
    <row r="122" spans="1:23" s="145" customFormat="1" hidden="1">
      <c r="A122" s="113" t="s">
        <v>46</v>
      </c>
      <c r="B122" s="140">
        <v>79468.299999999988</v>
      </c>
      <c r="C122" s="140">
        <v>88537.200000000012</v>
      </c>
      <c r="D122" s="140">
        <v>-64.8</v>
      </c>
      <c r="E122" s="140">
        <f t="shared" si="16"/>
        <v>167940.7</v>
      </c>
      <c r="F122" s="346" t="s">
        <v>88</v>
      </c>
      <c r="G122" s="140">
        <v>96477.700000000012</v>
      </c>
      <c r="H122" s="140"/>
      <c r="I122" s="133">
        <v>24620.9</v>
      </c>
      <c r="J122" s="140">
        <v>107284.3</v>
      </c>
      <c r="K122" s="133">
        <v>290830.7</v>
      </c>
      <c r="L122" s="137">
        <f t="shared" si="17"/>
        <v>519213.60000000003</v>
      </c>
      <c r="M122" s="347">
        <v>197386.4</v>
      </c>
      <c r="N122" s="140">
        <v>19610.8</v>
      </c>
      <c r="O122" s="137">
        <f t="shared" si="18"/>
        <v>302216.40000000008</v>
      </c>
      <c r="P122" s="133"/>
      <c r="Q122" s="348">
        <v>31534.7</v>
      </c>
      <c r="R122" s="140">
        <v>750770.33333333337</v>
      </c>
      <c r="S122" s="136">
        <v>1758.2</v>
      </c>
      <c r="T122" s="140">
        <f t="shared" si="19"/>
        <v>784063.23333333328</v>
      </c>
      <c r="U122" s="349"/>
      <c r="V122" s="348">
        <f t="shared" si="20"/>
        <v>1086279.6333333333</v>
      </c>
      <c r="W122" s="140">
        <f t="shared" si="21"/>
        <v>1254220.3333333333</v>
      </c>
    </row>
    <row r="123" spans="1:23" s="145" customFormat="1" hidden="1">
      <c r="A123" s="113" t="s">
        <v>47</v>
      </c>
      <c r="B123" s="140">
        <v>78410.799999999988</v>
      </c>
      <c r="C123" s="140">
        <v>86375.500000000015</v>
      </c>
      <c r="D123" s="140">
        <v>-72.899999999999991</v>
      </c>
      <c r="E123" s="140">
        <f t="shared" si="16"/>
        <v>164713.4</v>
      </c>
      <c r="F123" s="346" t="s">
        <v>88</v>
      </c>
      <c r="G123" s="140">
        <v>104499.4</v>
      </c>
      <c r="H123" s="140"/>
      <c r="I123" s="133">
        <v>22464.7</v>
      </c>
      <c r="J123" s="140">
        <v>107284.3</v>
      </c>
      <c r="K123" s="133">
        <v>290214.40000000002</v>
      </c>
      <c r="L123" s="137">
        <f t="shared" si="17"/>
        <v>524462.80000000005</v>
      </c>
      <c r="M123" s="347">
        <v>213218.7</v>
      </c>
      <c r="N123" s="140">
        <v>21460.2</v>
      </c>
      <c r="O123" s="137">
        <f t="shared" si="18"/>
        <v>289783.90000000002</v>
      </c>
      <c r="P123" s="133"/>
      <c r="Q123" s="348">
        <v>36136.950000000004</v>
      </c>
      <c r="R123" s="140">
        <v>759532.1</v>
      </c>
      <c r="S123" s="136">
        <v>2197.5</v>
      </c>
      <c r="T123" s="140">
        <f t="shared" si="19"/>
        <v>797866.54999999993</v>
      </c>
      <c r="U123" s="349"/>
      <c r="V123" s="348">
        <f t="shared" si="20"/>
        <v>1087650.45</v>
      </c>
      <c r="W123" s="140">
        <f t="shared" si="21"/>
        <v>1252363.8499999999</v>
      </c>
    </row>
    <row r="124" spans="1:23" s="145" customFormat="1" hidden="1">
      <c r="A124" s="113" t="s">
        <v>48</v>
      </c>
      <c r="B124" s="140">
        <v>98627.299999999988</v>
      </c>
      <c r="C124" s="140">
        <v>90134.000000000058</v>
      </c>
      <c r="D124" s="140">
        <v>-81</v>
      </c>
      <c r="E124" s="140">
        <f t="shared" si="16"/>
        <v>188680.30000000005</v>
      </c>
      <c r="F124" s="346">
        <v>6525.5</v>
      </c>
      <c r="G124" s="140">
        <v>108413.2</v>
      </c>
      <c r="H124" s="140"/>
      <c r="I124" s="133">
        <v>17531.800000000003</v>
      </c>
      <c r="J124" s="140">
        <v>107284.3</v>
      </c>
      <c r="K124" s="133">
        <v>289906.3</v>
      </c>
      <c r="L124" s="137">
        <f t="shared" si="17"/>
        <v>529661.1</v>
      </c>
      <c r="M124" s="347">
        <v>215330.6</v>
      </c>
      <c r="N124" s="140">
        <v>21130.1</v>
      </c>
      <c r="O124" s="137">
        <f t="shared" si="18"/>
        <v>293200.40000000002</v>
      </c>
      <c r="P124" s="133"/>
      <c r="Q124" s="348">
        <v>35876.800000000003</v>
      </c>
      <c r="R124" s="140">
        <v>753419.66666666674</v>
      </c>
      <c r="S124" s="136">
        <v>2357.1999999999998</v>
      </c>
      <c r="T124" s="140">
        <f t="shared" si="19"/>
        <v>791653.66666666674</v>
      </c>
      <c r="U124" s="349"/>
      <c r="V124" s="348">
        <f t="shared" si="20"/>
        <v>1084854.0666666669</v>
      </c>
      <c r="W124" s="140">
        <f t="shared" si="21"/>
        <v>1273534.3666666669</v>
      </c>
    </row>
    <row r="125" spans="1:23" s="145" customFormat="1" hidden="1">
      <c r="A125" s="113" t="s">
        <v>49</v>
      </c>
      <c r="B125" s="140">
        <v>81256.100000000093</v>
      </c>
      <c r="C125" s="140">
        <v>95735.2</v>
      </c>
      <c r="D125" s="140">
        <v>-89.1</v>
      </c>
      <c r="E125" s="140">
        <f t="shared" si="16"/>
        <v>176902.2000000001</v>
      </c>
      <c r="F125" s="346">
        <v>20947.400000000001</v>
      </c>
      <c r="G125" s="140">
        <v>107312.8</v>
      </c>
      <c r="H125" s="140"/>
      <c r="I125" s="133">
        <v>22148</v>
      </c>
      <c r="J125" s="140">
        <v>107284.3</v>
      </c>
      <c r="K125" s="133">
        <v>289906.3</v>
      </c>
      <c r="L125" s="137">
        <f t="shared" si="17"/>
        <v>547598.80000000005</v>
      </c>
      <c r="M125" s="347">
        <v>218783.4</v>
      </c>
      <c r="N125" s="140">
        <v>24576.5</v>
      </c>
      <c r="O125" s="137">
        <f t="shared" si="18"/>
        <v>304238.90000000002</v>
      </c>
      <c r="P125" s="133"/>
      <c r="Q125" s="348">
        <v>35971.050000000003</v>
      </c>
      <c r="R125" s="140">
        <v>749695.63333333342</v>
      </c>
      <c r="S125" s="136">
        <v>2366.6</v>
      </c>
      <c r="T125" s="140">
        <f t="shared" si="19"/>
        <v>788033.28333333344</v>
      </c>
      <c r="U125" s="349"/>
      <c r="V125" s="348">
        <f t="shared" si="20"/>
        <v>1092272.1833333336</v>
      </c>
      <c r="W125" s="140">
        <f t="shared" si="21"/>
        <v>1269174.3833333338</v>
      </c>
    </row>
    <row r="126" spans="1:23" s="145" customFormat="1" hidden="1">
      <c r="A126" s="113" t="s">
        <v>50</v>
      </c>
      <c r="B126" s="140">
        <v>118133.79999999993</v>
      </c>
      <c r="C126" s="140">
        <v>111622.29999999997</v>
      </c>
      <c r="D126" s="140">
        <v>-97.2</v>
      </c>
      <c r="E126" s="140">
        <f t="shared" si="16"/>
        <v>229658.89999999991</v>
      </c>
      <c r="F126" s="346" t="s">
        <v>88</v>
      </c>
      <c r="G126" s="140">
        <v>109019.90000000001</v>
      </c>
      <c r="H126" s="140"/>
      <c r="I126" s="133">
        <v>18506.300000000003</v>
      </c>
      <c r="J126" s="140">
        <v>107284.3</v>
      </c>
      <c r="K126" s="133">
        <v>289290</v>
      </c>
      <c r="L126" s="137">
        <f t="shared" si="17"/>
        <v>524100.5</v>
      </c>
      <c r="M126" s="347">
        <v>227012.90000000002</v>
      </c>
      <c r="N126" s="140">
        <v>23790.1</v>
      </c>
      <c r="O126" s="137">
        <f t="shared" si="18"/>
        <v>273297.5</v>
      </c>
      <c r="P126" s="133"/>
      <c r="Q126" s="348">
        <v>36129.5</v>
      </c>
      <c r="R126" s="140">
        <v>743181.20000000019</v>
      </c>
      <c r="S126" s="136">
        <v>2469.1999999999998</v>
      </c>
      <c r="T126" s="140">
        <f t="shared" si="19"/>
        <v>781779.90000000014</v>
      </c>
      <c r="U126" s="349"/>
      <c r="V126" s="348">
        <f t="shared" si="20"/>
        <v>1055077.4000000001</v>
      </c>
      <c r="W126" s="140">
        <f t="shared" si="21"/>
        <v>1284736.3</v>
      </c>
    </row>
    <row r="127" spans="1:23" s="145" customFormat="1" hidden="1">
      <c r="A127" s="142"/>
      <c r="B127" s="140"/>
      <c r="C127" s="140"/>
      <c r="D127" s="140"/>
      <c r="E127" s="140"/>
      <c r="F127" s="346"/>
      <c r="G127" s="140"/>
      <c r="H127" s="140"/>
      <c r="I127" s="133"/>
      <c r="J127" s="140"/>
      <c r="K127" s="133"/>
      <c r="L127" s="137"/>
      <c r="M127" s="347"/>
      <c r="N127" s="140"/>
      <c r="O127" s="137"/>
      <c r="P127" s="133"/>
      <c r="Q127" s="348"/>
      <c r="R127" s="140"/>
      <c r="S127" s="136"/>
      <c r="T127" s="140"/>
      <c r="U127" s="349"/>
      <c r="V127" s="348"/>
      <c r="W127" s="140"/>
    </row>
    <row r="128" spans="1:23" s="145" customFormat="1" hidden="1">
      <c r="A128" s="113" t="s">
        <v>54</v>
      </c>
      <c r="B128" s="140">
        <v>102196.30000000005</v>
      </c>
      <c r="C128" s="140">
        <v>112713.69999999998</v>
      </c>
      <c r="D128" s="140">
        <v>-97.183333333333337</v>
      </c>
      <c r="E128" s="140">
        <f t="shared" si="16"/>
        <v>214812.81666666671</v>
      </c>
      <c r="F128" s="346" t="s">
        <v>88</v>
      </c>
      <c r="G128" s="140">
        <v>108779.50000000001</v>
      </c>
      <c r="H128" s="140"/>
      <c r="I128" s="133">
        <v>15342.7</v>
      </c>
      <c r="J128" s="140">
        <v>107284.3</v>
      </c>
      <c r="K128" s="133">
        <v>289290</v>
      </c>
      <c r="L128" s="137">
        <f t="shared" si="17"/>
        <v>520696.5</v>
      </c>
      <c r="M128" s="347">
        <v>234401.17500000002</v>
      </c>
      <c r="N128" s="140">
        <v>23611.000000000004</v>
      </c>
      <c r="O128" s="137">
        <f t="shared" si="18"/>
        <v>262684.32499999995</v>
      </c>
      <c r="P128" s="133"/>
      <c r="Q128" s="348">
        <v>36088.483333333337</v>
      </c>
      <c r="R128" s="140">
        <v>750575.02499999991</v>
      </c>
      <c r="S128" s="136">
        <v>2774.6000000000004</v>
      </c>
      <c r="T128" s="140">
        <f t="shared" si="19"/>
        <v>789438.10833333328</v>
      </c>
      <c r="U128" s="349"/>
      <c r="V128" s="348">
        <f t="shared" si="20"/>
        <v>1052122.4333333331</v>
      </c>
      <c r="W128" s="140">
        <f t="shared" si="21"/>
        <v>1266935.2499999998</v>
      </c>
    </row>
    <row r="129" spans="1:23" s="145" customFormat="1" hidden="1">
      <c r="A129" s="113" t="s">
        <v>40</v>
      </c>
      <c r="B129" s="140">
        <v>91139.900000000023</v>
      </c>
      <c r="C129" s="140">
        <v>138740.90000000002</v>
      </c>
      <c r="D129" s="140">
        <v>-97.166666666666671</v>
      </c>
      <c r="E129" s="140">
        <f t="shared" si="16"/>
        <v>229783.63333333339</v>
      </c>
      <c r="F129" s="346" t="s">
        <v>88</v>
      </c>
      <c r="G129" s="1058">
        <v>112164</v>
      </c>
      <c r="H129" s="140"/>
      <c r="I129" s="362">
        <v>17035.8</v>
      </c>
      <c r="J129" s="140">
        <v>107284.3</v>
      </c>
      <c r="K129" s="133">
        <v>288673.7</v>
      </c>
      <c r="L129" s="137">
        <f t="shared" si="17"/>
        <v>525157.80000000005</v>
      </c>
      <c r="M129" s="347">
        <v>242509.65</v>
      </c>
      <c r="N129" s="140">
        <v>21791.600000000002</v>
      </c>
      <c r="O129" s="137">
        <f>+L129-M129-N129</f>
        <v>260856.55000000002</v>
      </c>
      <c r="P129" s="133"/>
      <c r="Q129" s="362">
        <v>36003.366666666669</v>
      </c>
      <c r="R129" s="1058">
        <v>755007.05</v>
      </c>
      <c r="S129" s="136">
        <v>3027.3</v>
      </c>
      <c r="T129" s="140">
        <f t="shared" ref="T129" si="22">SUM(Q129:S129)</f>
        <v>794037.71666666679</v>
      </c>
      <c r="U129" s="349"/>
      <c r="V129" s="348">
        <f t="shared" si="20"/>
        <v>1054894.2666666668</v>
      </c>
      <c r="W129" s="140">
        <f t="shared" si="21"/>
        <v>1284677.9000000001</v>
      </c>
    </row>
    <row r="130" spans="1:23" s="145" customFormat="1" hidden="1">
      <c r="A130" s="113" t="s">
        <v>41</v>
      </c>
      <c r="B130" s="140">
        <v>95018.600000000035</v>
      </c>
      <c r="C130" s="140">
        <v>115929.5</v>
      </c>
      <c r="D130" s="140">
        <v>-97.15</v>
      </c>
      <c r="E130" s="140">
        <f t="shared" si="16"/>
        <v>210850.95000000004</v>
      </c>
      <c r="F130" s="346">
        <v>8513</v>
      </c>
      <c r="G130" s="1058">
        <v>108771.9</v>
      </c>
      <c r="H130" s="140"/>
      <c r="I130" s="362">
        <v>13380.9</v>
      </c>
      <c r="J130" s="140">
        <v>107284.3</v>
      </c>
      <c r="K130" s="133">
        <v>288673.7</v>
      </c>
      <c r="L130" s="137">
        <f t="shared" si="17"/>
        <v>526623.80000000005</v>
      </c>
      <c r="M130" s="347">
        <v>226231.92499999999</v>
      </c>
      <c r="N130" s="140">
        <v>17505.000000000004</v>
      </c>
      <c r="O130" s="137">
        <f t="shared" ref="O130:O139" si="23">+L130-M130-N130</f>
        <v>282886.87500000006</v>
      </c>
      <c r="P130" s="133"/>
      <c r="Q130" s="362">
        <v>35670.550000000003</v>
      </c>
      <c r="R130" s="1058">
        <v>743101.375</v>
      </c>
      <c r="S130" s="136">
        <v>3128.7000000000003</v>
      </c>
      <c r="T130" s="140">
        <f t="shared" ref="T130:T134" si="24">SUM(Q130:S130)</f>
        <v>781900.625</v>
      </c>
      <c r="U130" s="349"/>
      <c r="V130" s="348">
        <f t="shared" si="20"/>
        <v>1064787.5</v>
      </c>
      <c r="W130" s="140">
        <f t="shared" si="21"/>
        <v>1275638.45</v>
      </c>
    </row>
    <row r="131" spans="1:23" s="145" customFormat="1" hidden="1">
      <c r="A131" s="113" t="s">
        <v>42</v>
      </c>
      <c r="B131" s="140">
        <v>95155.499999999942</v>
      </c>
      <c r="C131" s="140">
        <v>119186.49999999999</v>
      </c>
      <c r="D131" s="140">
        <v>-97.133333333333326</v>
      </c>
      <c r="E131" s="140">
        <f t="shared" si="16"/>
        <v>214244.86666666661</v>
      </c>
      <c r="F131" s="346">
        <v>14256.4</v>
      </c>
      <c r="G131" s="1058">
        <v>137931.09999999998</v>
      </c>
      <c r="H131" s="140"/>
      <c r="I131" s="362">
        <v>18226.099999999999</v>
      </c>
      <c r="J131" s="140">
        <v>107284.3</v>
      </c>
      <c r="K131" s="133">
        <v>288365.59999999998</v>
      </c>
      <c r="L131" s="137">
        <f t="shared" si="17"/>
        <v>566063.5</v>
      </c>
      <c r="M131" s="347">
        <v>216953.09999999998</v>
      </c>
      <c r="N131" s="140">
        <v>16806.800000000003</v>
      </c>
      <c r="O131" s="137">
        <f t="shared" si="23"/>
        <v>332303.60000000003</v>
      </c>
      <c r="P131" s="133"/>
      <c r="Q131" s="362">
        <v>35870.433333333342</v>
      </c>
      <c r="R131" s="1058">
        <v>746533.09999999986</v>
      </c>
      <c r="S131" s="136">
        <v>3057.1000000000004</v>
      </c>
      <c r="T131" s="140">
        <f t="shared" si="24"/>
        <v>785460.63333333319</v>
      </c>
      <c r="U131" s="349"/>
      <c r="V131" s="348">
        <f t="shared" si="20"/>
        <v>1117764.2333333332</v>
      </c>
      <c r="W131" s="140">
        <f t="shared" si="21"/>
        <v>1332009.0999999999</v>
      </c>
    </row>
    <row r="132" spans="1:23" s="145" customFormat="1" hidden="1">
      <c r="A132" s="113" t="s">
        <v>43</v>
      </c>
      <c r="B132" s="140">
        <v>85924</v>
      </c>
      <c r="C132" s="140">
        <v>97861.60000000002</v>
      </c>
      <c r="D132" s="140">
        <v>-97.11666666666666</v>
      </c>
      <c r="E132" s="140">
        <f t="shared" si="16"/>
        <v>183688.48333333337</v>
      </c>
      <c r="F132" s="346">
        <v>16076.5</v>
      </c>
      <c r="G132" s="1058">
        <v>131083.79999999999</v>
      </c>
      <c r="H132" s="140"/>
      <c r="I132" s="362">
        <v>15870.5</v>
      </c>
      <c r="J132" s="140">
        <v>107284.3</v>
      </c>
      <c r="K132" s="133">
        <v>287749.3</v>
      </c>
      <c r="L132" s="137">
        <f t="shared" si="17"/>
        <v>558064.39999999991</v>
      </c>
      <c r="M132" s="347">
        <v>200333.77500000002</v>
      </c>
      <c r="N132" s="140">
        <v>12657.699999999999</v>
      </c>
      <c r="O132" s="137">
        <f t="shared" si="23"/>
        <v>345072.92499999987</v>
      </c>
      <c r="P132" s="133"/>
      <c r="Q132" s="362">
        <v>38343.216666666674</v>
      </c>
      <c r="R132" s="1058">
        <v>749613.22499999986</v>
      </c>
      <c r="S132" s="136">
        <v>3066.6000000000004</v>
      </c>
      <c r="T132" s="140">
        <f t="shared" si="24"/>
        <v>791023.04166666651</v>
      </c>
      <c r="U132" s="349"/>
      <c r="V132" s="348">
        <f t="shared" si="20"/>
        <v>1136095.9666666663</v>
      </c>
      <c r="W132" s="140">
        <f t="shared" si="21"/>
        <v>1319784.4499999997</v>
      </c>
    </row>
    <row r="133" spans="1:23" s="145" customFormat="1" hidden="1">
      <c r="A133" s="113" t="s">
        <v>44</v>
      </c>
      <c r="B133" s="140">
        <v>89071.500000000116</v>
      </c>
      <c r="C133" s="140">
        <v>95701.300000000032</v>
      </c>
      <c r="D133" s="140">
        <v>-97.1</v>
      </c>
      <c r="E133" s="140">
        <f t="shared" si="16"/>
        <v>184675.70000000016</v>
      </c>
      <c r="F133" s="346">
        <v>39309.599999999999</v>
      </c>
      <c r="G133" s="1058">
        <v>134209.09999999998</v>
      </c>
      <c r="H133" s="140"/>
      <c r="I133" s="362">
        <v>19161.199999999997</v>
      </c>
      <c r="J133" s="140">
        <v>107284.3</v>
      </c>
      <c r="K133" s="133">
        <v>287441.19999999995</v>
      </c>
      <c r="L133" s="137">
        <f t="shared" si="17"/>
        <v>587405.39999999991</v>
      </c>
      <c r="M133" s="347">
        <v>210539.85</v>
      </c>
      <c r="N133" s="140">
        <v>17287.8</v>
      </c>
      <c r="O133" s="137">
        <f t="shared" si="23"/>
        <v>359577.74999999994</v>
      </c>
      <c r="P133" s="133"/>
      <c r="Q133" s="362">
        <v>41979.700000000004</v>
      </c>
      <c r="R133" s="1058">
        <v>766726.45000000007</v>
      </c>
      <c r="S133" s="136">
        <v>3154.2</v>
      </c>
      <c r="T133" s="140">
        <f t="shared" si="24"/>
        <v>811860.35</v>
      </c>
      <c r="U133" s="349"/>
      <c r="V133" s="348">
        <f t="shared" si="20"/>
        <v>1171438.0999999999</v>
      </c>
      <c r="W133" s="140">
        <f t="shared" si="21"/>
        <v>1356113.8</v>
      </c>
    </row>
    <row r="134" spans="1:23" s="145" customFormat="1" hidden="1">
      <c r="A134" s="113" t="s">
        <v>45</v>
      </c>
      <c r="B134" s="140">
        <v>70600.399999999965</v>
      </c>
      <c r="C134" s="140">
        <v>121995.19999999998</v>
      </c>
      <c r="D134" s="140">
        <v>-89.016666666666666</v>
      </c>
      <c r="E134" s="140">
        <f t="shared" si="16"/>
        <v>192506.58333333328</v>
      </c>
      <c r="F134" s="346">
        <v>52779.8</v>
      </c>
      <c r="G134" s="1058">
        <v>136756.6</v>
      </c>
      <c r="H134" s="140"/>
      <c r="I134" s="362">
        <v>22483.550000000003</v>
      </c>
      <c r="J134" s="140">
        <v>107284.3</v>
      </c>
      <c r="K134" s="133">
        <v>287441.19999999995</v>
      </c>
      <c r="L134" s="137">
        <f t="shared" si="17"/>
        <v>606745.44999999995</v>
      </c>
      <c r="M134" s="347">
        <v>202970.35833333334</v>
      </c>
      <c r="N134" s="140">
        <v>17393.5</v>
      </c>
      <c r="O134" s="137">
        <f t="shared" si="23"/>
        <v>386381.59166666662</v>
      </c>
      <c r="P134" s="133"/>
      <c r="Q134" s="362">
        <v>46379.933333333327</v>
      </c>
      <c r="R134" s="1058">
        <v>774029.6083333334</v>
      </c>
      <c r="S134" s="136">
        <v>3132.7999999999997</v>
      </c>
      <c r="T134" s="140">
        <f t="shared" si="24"/>
        <v>823542.34166666679</v>
      </c>
      <c r="U134" s="349"/>
      <c r="V134" s="348">
        <f t="shared" si="20"/>
        <v>1209923.9333333333</v>
      </c>
      <c r="W134" s="140">
        <f t="shared" si="21"/>
        <v>1402430.5166666666</v>
      </c>
    </row>
    <row r="135" spans="1:23" s="145" customFormat="1" hidden="1">
      <c r="A135" s="113" t="s">
        <v>46</v>
      </c>
      <c r="B135" s="140">
        <v>82609.899999999965</v>
      </c>
      <c r="C135" s="140">
        <v>68447.799999999974</v>
      </c>
      <c r="D135" s="140">
        <v>-80.933333333333337</v>
      </c>
      <c r="E135" s="140">
        <f t="shared" si="16"/>
        <v>150976.76666666663</v>
      </c>
      <c r="F135" s="346">
        <v>43358.6</v>
      </c>
      <c r="G135" s="1058">
        <v>157164.6</v>
      </c>
      <c r="H135" s="140"/>
      <c r="I135" s="362">
        <v>22709.600000000002</v>
      </c>
      <c r="J135" s="140">
        <v>107284.3</v>
      </c>
      <c r="K135" s="133">
        <v>286825</v>
      </c>
      <c r="L135" s="137">
        <f t="shared" si="17"/>
        <v>617342.10000000009</v>
      </c>
      <c r="M135" s="347">
        <v>197053.01111111112</v>
      </c>
      <c r="N135" s="140">
        <v>19854.8</v>
      </c>
      <c r="O135" s="137">
        <f t="shared" si="23"/>
        <v>400434.28888888896</v>
      </c>
      <c r="P135" s="133"/>
      <c r="Q135" s="362">
        <v>46409.666666666664</v>
      </c>
      <c r="R135" s="1058">
        <v>793456.26666666672</v>
      </c>
      <c r="S135" s="136">
        <v>3150.2999999999997</v>
      </c>
      <c r="T135" s="140">
        <f>SUM(Q135:S135)</f>
        <v>843016.2333333334</v>
      </c>
      <c r="U135" s="349"/>
      <c r="V135" s="348">
        <f t="shared" si="20"/>
        <v>1243450.5222222223</v>
      </c>
      <c r="W135" s="140">
        <f t="shared" si="21"/>
        <v>1394427.2888888889</v>
      </c>
    </row>
    <row r="136" spans="1:23" s="145" customFormat="1" hidden="1">
      <c r="A136" s="113" t="s">
        <v>47</v>
      </c>
      <c r="B136" s="140">
        <v>142837.30000000005</v>
      </c>
      <c r="C136" s="140">
        <v>70021.499999999971</v>
      </c>
      <c r="D136" s="140">
        <v>-72.849999999999994</v>
      </c>
      <c r="E136" s="140">
        <f t="shared" si="16"/>
        <v>212785.95</v>
      </c>
      <c r="F136" s="346">
        <v>27300.1</v>
      </c>
      <c r="G136" s="1058">
        <v>151516.40000000002</v>
      </c>
      <c r="H136" s="140"/>
      <c r="I136" s="362">
        <v>22821.449999999997</v>
      </c>
      <c r="J136" s="140">
        <v>107284.3</v>
      </c>
      <c r="K136" s="133">
        <v>286825</v>
      </c>
      <c r="L136" s="137">
        <f t="shared" si="17"/>
        <v>595747.25</v>
      </c>
      <c r="M136" s="347">
        <v>278447.73611111112</v>
      </c>
      <c r="N136" s="140">
        <v>25072.2</v>
      </c>
      <c r="O136" s="137">
        <f t="shared" si="23"/>
        <v>292227.31388888886</v>
      </c>
      <c r="P136" s="133"/>
      <c r="Q136" s="362">
        <v>44045.2</v>
      </c>
      <c r="R136" s="1058">
        <v>785180.62499999988</v>
      </c>
      <c r="S136" s="136">
        <v>3642.8999999999996</v>
      </c>
      <c r="T136" s="140">
        <f>SUM(Q136:S136)</f>
        <v>832868.72499999986</v>
      </c>
      <c r="U136" s="349"/>
      <c r="V136" s="348">
        <f t="shared" si="20"/>
        <v>1125096.0388888887</v>
      </c>
      <c r="W136" s="140">
        <f t="shared" si="21"/>
        <v>1337881.9888888886</v>
      </c>
    </row>
    <row r="137" spans="1:23" s="145" customFormat="1" hidden="1">
      <c r="A137" s="113" t="s">
        <v>48</v>
      </c>
      <c r="B137" s="140">
        <v>138959.60000000009</v>
      </c>
      <c r="C137" s="140">
        <v>64215.799999999974</v>
      </c>
      <c r="D137" s="140">
        <v>-64.766666666666666</v>
      </c>
      <c r="E137" s="140">
        <f t="shared" si="16"/>
        <v>203110.63333333342</v>
      </c>
      <c r="F137" s="346">
        <v>74347</v>
      </c>
      <c r="G137" s="1058">
        <v>146788.6</v>
      </c>
      <c r="H137" s="140"/>
      <c r="I137" s="362">
        <v>22390.1</v>
      </c>
      <c r="J137" s="140">
        <v>107284.3</v>
      </c>
      <c r="K137" s="133">
        <v>286516.8</v>
      </c>
      <c r="L137" s="137">
        <f t="shared" si="17"/>
        <v>637326.80000000005</v>
      </c>
      <c r="M137" s="347">
        <v>245816.67592592593</v>
      </c>
      <c r="N137" s="140">
        <v>29509.200000000001</v>
      </c>
      <c r="O137" s="137">
        <f t="shared" si="23"/>
        <v>362000.92407407408</v>
      </c>
      <c r="P137" s="133"/>
      <c r="Q137" s="362">
        <v>41628.933333333334</v>
      </c>
      <c r="R137" s="1058">
        <v>790875.81666666653</v>
      </c>
      <c r="S137" s="136">
        <v>3691</v>
      </c>
      <c r="T137" s="140">
        <f t="shared" ref="T137:T139" si="25">SUM(Q137:S137)</f>
        <v>836195.74999999988</v>
      </c>
      <c r="U137" s="349"/>
      <c r="V137" s="348">
        <f t="shared" si="20"/>
        <v>1198196.674074074</v>
      </c>
      <c r="W137" s="140">
        <f t="shared" si="21"/>
        <v>1401307.3074074076</v>
      </c>
    </row>
    <row r="138" spans="1:23" s="145" customFormat="1" hidden="1">
      <c r="A138" s="113" t="s">
        <v>49</v>
      </c>
      <c r="B138" s="140">
        <v>134061.10000000009</v>
      </c>
      <c r="C138" s="140">
        <v>57822.8</v>
      </c>
      <c r="D138" s="140">
        <v>-56.683333333333337</v>
      </c>
      <c r="E138" s="140">
        <f t="shared" si="16"/>
        <v>191827.21666666676</v>
      </c>
      <c r="F138" s="346">
        <v>41502.5</v>
      </c>
      <c r="G138" s="1058">
        <v>154082.5</v>
      </c>
      <c r="H138" s="140"/>
      <c r="I138" s="362">
        <v>18601.55</v>
      </c>
      <c r="J138" s="140">
        <v>106976.2</v>
      </c>
      <c r="K138" s="133">
        <v>286208.59999999998</v>
      </c>
      <c r="L138" s="137">
        <f t="shared" si="17"/>
        <v>607371.35</v>
      </c>
      <c r="M138" s="347">
        <v>246149.85895061732</v>
      </c>
      <c r="N138" s="140">
        <v>31987.8</v>
      </c>
      <c r="O138" s="137">
        <f t="shared" si="23"/>
        <v>329233.69104938267</v>
      </c>
      <c r="P138" s="133"/>
      <c r="Q138" s="362">
        <v>40555.466666666667</v>
      </c>
      <c r="R138" s="1058">
        <v>800124.2972222222</v>
      </c>
      <c r="S138" s="136">
        <v>3607.1</v>
      </c>
      <c r="T138" s="140">
        <f t="shared" si="25"/>
        <v>844286.86388888885</v>
      </c>
      <c r="U138" s="349"/>
      <c r="V138" s="348">
        <f t="shared" si="20"/>
        <v>1173520.5549382716</v>
      </c>
      <c r="W138" s="140">
        <f t="shared" si="21"/>
        <v>1365347.7716049384</v>
      </c>
    </row>
    <row r="139" spans="1:23" s="145" customFormat="1" hidden="1">
      <c r="A139" s="113" t="s">
        <v>50</v>
      </c>
      <c r="B139" s="140">
        <v>128675.89999999997</v>
      </c>
      <c r="C139" s="140">
        <v>51849.400000000023</v>
      </c>
      <c r="D139" s="140">
        <v>-48.6</v>
      </c>
      <c r="E139" s="140">
        <f t="shared" si="16"/>
        <v>180476.69999999998</v>
      </c>
      <c r="F139" s="346">
        <v>55186.9</v>
      </c>
      <c r="G139" s="1058">
        <v>147702.70000000001</v>
      </c>
      <c r="H139" s="140"/>
      <c r="I139" s="362">
        <v>49269.8</v>
      </c>
      <c r="J139" s="140">
        <v>106976.2</v>
      </c>
      <c r="K139" s="133">
        <v>285900.5</v>
      </c>
      <c r="L139" s="137">
        <f t="shared" si="17"/>
        <v>645036.10000000009</v>
      </c>
      <c r="M139" s="347">
        <v>238856.59999999998</v>
      </c>
      <c r="N139" s="140">
        <v>23004.400000000001</v>
      </c>
      <c r="O139" s="137">
        <f t="shared" si="23"/>
        <v>383175.10000000009</v>
      </c>
      <c r="P139" s="133"/>
      <c r="Q139" s="362">
        <v>40818.700000000004</v>
      </c>
      <c r="R139" s="1058">
        <v>814694.39999999991</v>
      </c>
      <c r="S139" s="136">
        <v>3449.2999999999997</v>
      </c>
      <c r="T139" s="140">
        <f t="shared" si="25"/>
        <v>858962.39999999991</v>
      </c>
      <c r="U139" s="349"/>
      <c r="V139" s="348">
        <f t="shared" si="20"/>
        <v>1242137.5</v>
      </c>
      <c r="W139" s="140">
        <f t="shared" si="21"/>
        <v>1422614.2</v>
      </c>
    </row>
    <row r="140" spans="1:23" s="145" customFormat="1" hidden="1">
      <c r="A140" s="113"/>
      <c r="B140" s="140"/>
      <c r="C140" s="140"/>
      <c r="D140" s="140"/>
      <c r="E140" s="140"/>
      <c r="F140" s="346"/>
      <c r="G140" s="1058"/>
      <c r="H140" s="140"/>
      <c r="I140" s="362"/>
      <c r="J140" s="140"/>
      <c r="K140" s="133"/>
      <c r="L140" s="137"/>
      <c r="M140" s="347"/>
      <c r="N140" s="140"/>
      <c r="O140" s="137"/>
      <c r="P140" s="133"/>
      <c r="Q140" s="362"/>
      <c r="R140" s="1058"/>
      <c r="S140" s="136"/>
      <c r="T140" s="140"/>
      <c r="U140" s="349"/>
      <c r="V140" s="348"/>
      <c r="W140" s="140"/>
    </row>
    <row r="141" spans="1:23" s="145" customFormat="1" hidden="1">
      <c r="A141" s="113" t="s">
        <v>51</v>
      </c>
      <c r="B141" s="140">
        <v>127066.10000000003</v>
      </c>
      <c r="C141" s="140">
        <v>48113.699999999983</v>
      </c>
      <c r="D141" s="140">
        <v>-40.5</v>
      </c>
      <c r="E141" s="140">
        <f t="shared" si="16"/>
        <v>175139.30000000002</v>
      </c>
      <c r="F141" s="346">
        <v>22472.2</v>
      </c>
      <c r="G141" s="346">
        <v>157245.1</v>
      </c>
      <c r="H141" s="346"/>
      <c r="I141" s="346">
        <v>50691.9</v>
      </c>
      <c r="J141" s="346">
        <v>106976.2</v>
      </c>
      <c r="K141" s="346">
        <v>285900.5</v>
      </c>
      <c r="L141" s="137">
        <f t="shared" si="17"/>
        <v>623285.9</v>
      </c>
      <c r="M141" s="346">
        <v>236855.05</v>
      </c>
      <c r="N141" s="140">
        <v>23585.300000000003</v>
      </c>
      <c r="O141" s="137">
        <f t="shared" ref="O141:O152" si="26">+L141-M141-N141</f>
        <v>362845.55000000005</v>
      </c>
      <c r="P141" s="133"/>
      <c r="Q141" s="362">
        <v>34865.033333333333</v>
      </c>
      <c r="R141" s="137">
        <v>814769.25</v>
      </c>
      <c r="S141" s="136">
        <v>3291.2000000000003</v>
      </c>
      <c r="T141" s="140">
        <f t="shared" ref="T141:T148" si="27">SUM(Q141:S141)</f>
        <v>852925.48333333328</v>
      </c>
      <c r="U141" s="349"/>
      <c r="V141" s="348">
        <f t="shared" ref="V141:V152" si="28">SUM(O141,T141)</f>
        <v>1215771.0333333332</v>
      </c>
      <c r="W141" s="140">
        <f t="shared" ref="W141:W152" si="29">SUM(E141,V141)</f>
        <v>1390910.3333333333</v>
      </c>
    </row>
    <row r="142" spans="1:23" s="145" customFormat="1" hidden="1">
      <c r="A142" s="113" t="s">
        <v>52</v>
      </c>
      <c r="B142" s="140">
        <v>122551.00000000006</v>
      </c>
      <c r="C142" s="140">
        <v>30084.300000000017</v>
      </c>
      <c r="D142" s="140">
        <v>-32.400000000000006</v>
      </c>
      <c r="E142" s="140">
        <f t="shared" si="16"/>
        <v>152602.90000000008</v>
      </c>
      <c r="F142" s="346">
        <v>72202.7</v>
      </c>
      <c r="G142" s="346">
        <v>140827.20000000001</v>
      </c>
      <c r="H142" s="346"/>
      <c r="I142" s="346">
        <v>53460.700000000004</v>
      </c>
      <c r="J142" s="346">
        <v>105891</v>
      </c>
      <c r="K142" s="346">
        <v>284644.40000000002</v>
      </c>
      <c r="L142" s="137">
        <f t="shared" si="17"/>
        <v>657026</v>
      </c>
      <c r="M142" s="346">
        <v>234965.2</v>
      </c>
      <c r="N142" s="140">
        <v>26721.800000000003</v>
      </c>
      <c r="O142" s="137">
        <f t="shared" si="26"/>
        <v>395339</v>
      </c>
      <c r="P142" s="133"/>
      <c r="Q142" s="362">
        <v>27562.966666666667</v>
      </c>
      <c r="R142" s="137">
        <v>812510.39999999991</v>
      </c>
      <c r="S142" s="136">
        <v>3220</v>
      </c>
      <c r="T142" s="140">
        <f t="shared" si="27"/>
        <v>843293.36666666658</v>
      </c>
      <c r="U142" s="349"/>
      <c r="V142" s="348">
        <f t="shared" si="28"/>
        <v>1238632.3666666667</v>
      </c>
      <c r="W142" s="140">
        <f t="shared" si="29"/>
        <v>1391235.2666666668</v>
      </c>
    </row>
    <row r="143" spans="1:23" s="145" customFormat="1" hidden="1">
      <c r="A143" s="113" t="s">
        <v>53</v>
      </c>
      <c r="B143" s="140">
        <v>115526.40000000002</v>
      </c>
      <c r="C143" s="140">
        <v>45364.599999999977</v>
      </c>
      <c r="D143" s="140">
        <v>-24.300000000000004</v>
      </c>
      <c r="E143" s="140">
        <f t="shared" si="16"/>
        <v>160866.70000000001</v>
      </c>
      <c r="F143" s="346">
        <v>23590.1</v>
      </c>
      <c r="G143" s="346">
        <v>156652.5</v>
      </c>
      <c r="H143" s="346"/>
      <c r="I143" s="346">
        <v>51794.399999999994</v>
      </c>
      <c r="J143" s="346">
        <v>104166</v>
      </c>
      <c r="K143" s="346">
        <v>284644.40000000002</v>
      </c>
      <c r="L143" s="137">
        <f t="shared" si="17"/>
        <v>620847.4</v>
      </c>
      <c r="M143" s="346">
        <v>247417.85000000003</v>
      </c>
      <c r="N143" s="140">
        <v>29000.600000000002</v>
      </c>
      <c r="O143" s="137">
        <f t="shared" si="26"/>
        <v>344428.95</v>
      </c>
      <c r="P143" s="133"/>
      <c r="Q143" s="362">
        <v>22882</v>
      </c>
      <c r="R143" s="137">
        <v>819545.25</v>
      </c>
      <c r="S143" s="136">
        <v>3910.9</v>
      </c>
      <c r="T143" s="140">
        <f t="shared" si="27"/>
        <v>846338.15</v>
      </c>
      <c r="U143" s="349"/>
      <c r="V143" s="348">
        <f t="shared" si="28"/>
        <v>1190767.1000000001</v>
      </c>
      <c r="W143" s="140">
        <f t="shared" si="29"/>
        <v>1351633.8</v>
      </c>
    </row>
    <row r="144" spans="1:23" s="145" customFormat="1" hidden="1">
      <c r="A144" s="113" t="s">
        <v>603</v>
      </c>
      <c r="B144" s="140">
        <v>93523.400000000081</v>
      </c>
      <c r="C144" s="140">
        <v>54537.899999999994</v>
      </c>
      <c r="D144" s="140">
        <v>-16.200000000000003</v>
      </c>
      <c r="E144" s="140">
        <f t="shared" si="16"/>
        <v>148045.10000000006</v>
      </c>
      <c r="F144" s="346">
        <v>54107.7</v>
      </c>
      <c r="G144" s="346">
        <v>152931.6</v>
      </c>
      <c r="H144" s="346"/>
      <c r="I144" s="346">
        <v>47698.899999999994</v>
      </c>
      <c r="J144" s="346">
        <v>102772.7</v>
      </c>
      <c r="K144" s="346">
        <v>284004.5</v>
      </c>
      <c r="L144" s="137">
        <f t="shared" si="17"/>
        <v>641515.39999999991</v>
      </c>
      <c r="M144" s="346">
        <v>234550.90000000002</v>
      </c>
      <c r="N144" s="140">
        <v>27853.399999999998</v>
      </c>
      <c r="O144" s="137">
        <f t="shared" si="26"/>
        <v>379111.09999999986</v>
      </c>
      <c r="P144" s="133"/>
      <c r="Q144" s="362">
        <v>20248.833333333332</v>
      </c>
      <c r="R144" s="137">
        <v>839791.5</v>
      </c>
      <c r="S144" s="136">
        <v>3961.2999999999997</v>
      </c>
      <c r="T144" s="140">
        <f t="shared" si="27"/>
        <v>864001.63333333342</v>
      </c>
      <c r="U144" s="349"/>
      <c r="V144" s="348">
        <f t="shared" si="28"/>
        <v>1243112.7333333334</v>
      </c>
      <c r="W144" s="140">
        <f t="shared" si="29"/>
        <v>1391157.8333333335</v>
      </c>
    </row>
    <row r="145" spans="1:23" s="145" customFormat="1" hidden="1">
      <c r="A145" s="113" t="s">
        <v>611</v>
      </c>
      <c r="B145" s="140">
        <v>96969.099999999977</v>
      </c>
      <c r="C145" s="140">
        <v>41533.800000000047</v>
      </c>
      <c r="D145" s="140">
        <v>-8.1000000000000014</v>
      </c>
      <c r="E145" s="140">
        <f t="shared" si="16"/>
        <v>138494.80000000002</v>
      </c>
      <c r="F145" s="346">
        <v>79625</v>
      </c>
      <c r="G145" s="346">
        <v>172465.8</v>
      </c>
      <c r="H145" s="346"/>
      <c r="I145" s="346">
        <v>51473.2</v>
      </c>
      <c r="J145" s="346">
        <v>101379.3</v>
      </c>
      <c r="K145" s="346">
        <v>283364.7</v>
      </c>
      <c r="L145" s="137">
        <f t="shared" si="17"/>
        <v>688308</v>
      </c>
      <c r="M145" s="346">
        <v>237907.74999999997</v>
      </c>
      <c r="N145" s="140">
        <v>28395.399999999998</v>
      </c>
      <c r="O145" s="137">
        <f t="shared" si="26"/>
        <v>422004.85</v>
      </c>
      <c r="P145" s="133"/>
      <c r="Q145" s="362">
        <v>16421.366666666665</v>
      </c>
      <c r="R145" s="137">
        <v>850867.45</v>
      </c>
      <c r="S145" s="136">
        <v>4189.7</v>
      </c>
      <c r="T145" s="140">
        <f t="shared" si="27"/>
        <v>871478.5166666666</v>
      </c>
      <c r="U145" s="349"/>
      <c r="V145" s="348">
        <f t="shared" si="28"/>
        <v>1293483.3666666667</v>
      </c>
      <c r="W145" s="140">
        <f t="shared" si="29"/>
        <v>1431978.1666666667</v>
      </c>
    </row>
    <row r="146" spans="1:23" s="145" customFormat="1" hidden="1">
      <c r="A146" s="113" t="s">
        <v>44</v>
      </c>
      <c r="B146" s="140">
        <v>11927.5</v>
      </c>
      <c r="C146" s="140">
        <v>53211.099999999977</v>
      </c>
      <c r="D146" s="140" t="s">
        <v>88</v>
      </c>
      <c r="E146" s="140">
        <f t="shared" si="16"/>
        <v>65138.599999999977</v>
      </c>
      <c r="F146" s="346">
        <v>121700.8</v>
      </c>
      <c r="G146" s="346">
        <v>166756.20000000001</v>
      </c>
      <c r="H146" s="346"/>
      <c r="I146" s="346">
        <v>48976.1</v>
      </c>
      <c r="J146" s="346">
        <v>100317.8</v>
      </c>
      <c r="K146" s="346">
        <v>282393.09999999998</v>
      </c>
      <c r="L146" s="137">
        <f t="shared" si="17"/>
        <v>720144</v>
      </c>
      <c r="M146" s="346">
        <v>229581.90000000002</v>
      </c>
      <c r="N146" s="140">
        <v>26258.899999999998</v>
      </c>
      <c r="O146" s="137">
        <f t="shared" si="26"/>
        <v>464303.19999999995</v>
      </c>
      <c r="P146" s="133"/>
      <c r="Q146" s="362">
        <v>9628.4</v>
      </c>
      <c r="R146" s="137">
        <v>856754.29999999981</v>
      </c>
      <c r="S146" s="136">
        <v>3822.2</v>
      </c>
      <c r="T146" s="140">
        <f t="shared" si="27"/>
        <v>870204.89999999979</v>
      </c>
      <c r="U146" s="349"/>
      <c r="V146" s="348">
        <f t="shared" si="28"/>
        <v>1334508.0999999996</v>
      </c>
      <c r="W146" s="140">
        <f t="shared" si="29"/>
        <v>1399646.6999999997</v>
      </c>
    </row>
    <row r="147" spans="1:23" s="145" customFormat="1" hidden="1">
      <c r="A147" s="113" t="s">
        <v>617</v>
      </c>
      <c r="B147" s="140">
        <v>-2305.5999999999185</v>
      </c>
      <c r="C147" s="140">
        <v>32200.400000000023</v>
      </c>
      <c r="D147" s="140" t="s">
        <v>88</v>
      </c>
      <c r="E147" s="140">
        <f t="shared" si="16"/>
        <v>29894.800000000105</v>
      </c>
      <c r="F147" s="346">
        <v>124466.2</v>
      </c>
      <c r="G147" s="346">
        <v>170582</v>
      </c>
      <c r="H147" s="346"/>
      <c r="I147" s="346">
        <v>48274.816666666666</v>
      </c>
      <c r="J147" s="346">
        <v>98924.5</v>
      </c>
      <c r="K147" s="346">
        <v>281753.2</v>
      </c>
      <c r="L147" s="137">
        <f t="shared" si="17"/>
        <v>724000.71666666667</v>
      </c>
      <c r="M147" s="346">
        <v>204000.28333333333</v>
      </c>
      <c r="N147" s="140">
        <v>26401.600000000002</v>
      </c>
      <c r="O147" s="137">
        <f t="shared" si="26"/>
        <v>493598.83333333337</v>
      </c>
      <c r="P147" s="133"/>
      <c r="Q147" s="362">
        <v>13310.2</v>
      </c>
      <c r="R147" s="137">
        <v>865872.11666666646</v>
      </c>
      <c r="S147" s="136">
        <v>3822.1</v>
      </c>
      <c r="T147" s="140">
        <f t="shared" si="27"/>
        <v>883004.4166666664</v>
      </c>
      <c r="U147" s="349"/>
      <c r="V147" s="348">
        <f t="shared" si="28"/>
        <v>1376603.2499999998</v>
      </c>
      <c r="W147" s="140">
        <f t="shared" si="29"/>
        <v>1406498.0499999998</v>
      </c>
    </row>
    <row r="148" spans="1:23" s="145" customFormat="1" hidden="1">
      <c r="A148" s="113" t="s">
        <v>623</v>
      </c>
      <c r="B148" s="140">
        <v>-43032.299999999872</v>
      </c>
      <c r="C148" s="140">
        <v>46238.700000000012</v>
      </c>
      <c r="D148" s="140" t="s">
        <v>88</v>
      </c>
      <c r="E148" s="140">
        <f t="shared" si="16"/>
        <v>3206.4000000001397</v>
      </c>
      <c r="F148" s="346">
        <v>162684.9</v>
      </c>
      <c r="G148" s="346">
        <v>170888.3</v>
      </c>
      <c r="H148" s="346"/>
      <c r="I148" s="346">
        <v>47924.261111111111</v>
      </c>
      <c r="J148" s="346">
        <v>97531.199999999997</v>
      </c>
      <c r="K148" s="346">
        <v>281113.30000000005</v>
      </c>
      <c r="L148" s="137">
        <f t="shared" si="17"/>
        <v>760141.9611111111</v>
      </c>
      <c r="M148" s="346">
        <v>192151.59444444446</v>
      </c>
      <c r="N148" s="140">
        <v>34152.399999999994</v>
      </c>
      <c r="O148" s="137">
        <f t="shared" si="26"/>
        <v>533837.96666666667</v>
      </c>
      <c r="P148" s="133"/>
      <c r="Q148" s="362">
        <v>13105</v>
      </c>
      <c r="R148" s="137">
        <v>867113.3666666667</v>
      </c>
      <c r="S148" s="136">
        <v>3846.9</v>
      </c>
      <c r="T148" s="140">
        <f t="shared" si="27"/>
        <v>884065.26666666672</v>
      </c>
      <c r="U148" s="349"/>
      <c r="V148" s="348">
        <f t="shared" si="28"/>
        <v>1417903.2333333334</v>
      </c>
      <c r="W148" s="140">
        <f t="shared" si="29"/>
        <v>1421109.6333333335</v>
      </c>
    </row>
    <row r="149" spans="1:23" s="145" customFormat="1" hidden="1">
      <c r="A149" s="113" t="s">
        <v>47</v>
      </c>
      <c r="B149" s="140">
        <v>-77050.099999999977</v>
      </c>
      <c r="C149" s="140">
        <v>43805.499999999942</v>
      </c>
      <c r="D149" s="140" t="s">
        <v>88</v>
      </c>
      <c r="E149" s="140">
        <f t="shared" si="16"/>
        <v>-33244.600000000035</v>
      </c>
      <c r="F149" s="346">
        <v>201450.1</v>
      </c>
      <c r="G149" s="346">
        <v>177101.60000000003</v>
      </c>
      <c r="H149" s="346"/>
      <c r="I149" s="346">
        <v>50077.969444444447</v>
      </c>
      <c r="J149" s="346">
        <v>96137.9</v>
      </c>
      <c r="K149" s="346">
        <v>280473.5</v>
      </c>
      <c r="L149" s="137">
        <f t="shared" si="17"/>
        <v>805241.0694444445</v>
      </c>
      <c r="M149" s="346">
        <v>208852.61944444446</v>
      </c>
      <c r="N149" s="140">
        <v>29497.3</v>
      </c>
      <c r="O149" s="137">
        <f t="shared" si="26"/>
        <v>566891.15</v>
      </c>
      <c r="P149" s="133"/>
      <c r="Q149" s="362">
        <v>14965.4</v>
      </c>
      <c r="R149" s="137">
        <v>865121.3833333333</v>
      </c>
      <c r="S149" s="136">
        <v>3755.9</v>
      </c>
      <c r="T149" s="140">
        <f>SUM(Q149:S149)</f>
        <v>883842.68333333335</v>
      </c>
      <c r="U149" s="349"/>
      <c r="V149" s="348">
        <f t="shared" si="28"/>
        <v>1450733.8333333335</v>
      </c>
      <c r="W149" s="140">
        <f t="shared" si="29"/>
        <v>1417489.2333333334</v>
      </c>
    </row>
    <row r="150" spans="1:23" s="145" customFormat="1" hidden="1">
      <c r="A150" s="113" t="s">
        <v>631</v>
      </c>
      <c r="B150" s="140">
        <v>-58413.900000000023</v>
      </c>
      <c r="C150" s="140">
        <v>34584.600000000035</v>
      </c>
      <c r="D150" s="140" t="s">
        <v>88</v>
      </c>
      <c r="E150" s="140">
        <f t="shared" si="16"/>
        <v>-23829.299999999988</v>
      </c>
      <c r="F150" s="346">
        <v>227827.20000000001</v>
      </c>
      <c r="G150" s="346">
        <v>194261.09999999998</v>
      </c>
      <c r="H150" s="346"/>
      <c r="I150" s="346">
        <v>54863.787037037036</v>
      </c>
      <c r="J150" s="346">
        <v>95660.7</v>
      </c>
      <c r="K150" s="346">
        <v>279193.7</v>
      </c>
      <c r="L150" s="137">
        <f t="shared" si="17"/>
        <v>851806.48703703703</v>
      </c>
      <c r="M150" s="346">
        <v>190286.82037037038</v>
      </c>
      <c r="N150" s="140">
        <v>33496</v>
      </c>
      <c r="O150" s="137">
        <f t="shared" si="26"/>
        <v>628023.66666666663</v>
      </c>
      <c r="P150" s="133"/>
      <c r="Q150" s="362">
        <v>10318.5</v>
      </c>
      <c r="R150" s="137">
        <v>861702.07777777768</v>
      </c>
      <c r="S150" s="136">
        <v>4663.1000000000004</v>
      </c>
      <c r="T150" s="140">
        <f t="shared" ref="T150:T152" si="30">SUM(Q150:S150)</f>
        <v>876683.67777777766</v>
      </c>
      <c r="U150" s="349"/>
      <c r="V150" s="348">
        <f t="shared" si="28"/>
        <v>1504707.3444444444</v>
      </c>
      <c r="W150" s="140">
        <f t="shared" si="29"/>
        <v>1480878.0444444444</v>
      </c>
    </row>
    <row r="151" spans="1:23" s="145" customFormat="1" hidden="1">
      <c r="A151" s="113" t="s">
        <v>654</v>
      </c>
      <c r="B151" s="140">
        <v>-112837.10000000003</v>
      </c>
      <c r="C151" s="140">
        <v>28433.800000000017</v>
      </c>
      <c r="D151" s="140" t="s">
        <v>88</v>
      </c>
      <c r="E151" s="140">
        <f t="shared" ref="E151:E167" si="31">+SUM(B151:D151)</f>
        <v>-84403.300000000017</v>
      </c>
      <c r="F151" s="346">
        <v>236897.9</v>
      </c>
      <c r="G151" s="346">
        <v>222734.2</v>
      </c>
      <c r="H151" s="346"/>
      <c r="I151" s="346">
        <v>56418.544135802491</v>
      </c>
      <c r="J151" s="346">
        <v>94267.4</v>
      </c>
      <c r="K151" s="346">
        <v>278553.90000000002</v>
      </c>
      <c r="L151" s="137">
        <f t="shared" si="17"/>
        <v>888871.94413580245</v>
      </c>
      <c r="M151" s="346">
        <v>197165.57191358026</v>
      </c>
      <c r="N151" s="140">
        <v>34078.9</v>
      </c>
      <c r="O151" s="137">
        <f t="shared" si="26"/>
        <v>657627.47222222213</v>
      </c>
      <c r="P151" s="133"/>
      <c r="Q151" s="362">
        <v>10127.1</v>
      </c>
      <c r="R151" s="137">
        <v>830260.12407407397</v>
      </c>
      <c r="S151" s="136">
        <v>8.3000000000000007</v>
      </c>
      <c r="T151" s="140">
        <f t="shared" si="30"/>
        <v>840395.524074074</v>
      </c>
      <c r="U151" s="349"/>
      <c r="V151" s="348">
        <f t="shared" si="28"/>
        <v>1498022.9962962961</v>
      </c>
      <c r="W151" s="140">
        <f t="shared" si="29"/>
        <v>1413619.6962962961</v>
      </c>
    </row>
    <row r="152" spans="1:23" s="145" customFormat="1" hidden="1">
      <c r="A152" s="113" t="s">
        <v>665</v>
      </c>
      <c r="B152" s="140">
        <v>-132985.60000000001</v>
      </c>
      <c r="C152" s="140">
        <v>57115.499999999971</v>
      </c>
      <c r="D152" s="140" t="s">
        <v>88</v>
      </c>
      <c r="E152" s="140">
        <f t="shared" si="31"/>
        <v>-75870.100000000035</v>
      </c>
      <c r="F152" s="346">
        <v>273246</v>
      </c>
      <c r="G152" s="346">
        <v>254809.2</v>
      </c>
      <c r="H152" s="346"/>
      <c r="I152" s="346">
        <v>50054.3</v>
      </c>
      <c r="J152" s="346">
        <v>90564.7</v>
      </c>
      <c r="K152" s="346">
        <v>277913.90000000002</v>
      </c>
      <c r="L152" s="137">
        <f t="shared" ref="L152:L186" si="32">+SUM(F152:K152)</f>
        <v>946588.1</v>
      </c>
      <c r="M152" s="346">
        <v>233455.5</v>
      </c>
      <c r="N152" s="140">
        <v>26275.999999999996</v>
      </c>
      <c r="O152" s="137">
        <f t="shared" si="26"/>
        <v>686856.6</v>
      </c>
      <c r="P152" s="133"/>
      <c r="Q152" s="362">
        <v>6532.0999999999995</v>
      </c>
      <c r="R152" s="137">
        <v>812972</v>
      </c>
      <c r="S152" s="136">
        <v>27.1</v>
      </c>
      <c r="T152" s="140">
        <f t="shared" si="30"/>
        <v>819531.2</v>
      </c>
      <c r="U152" s="349"/>
      <c r="V152" s="348">
        <f t="shared" si="28"/>
        <v>1506387.7999999998</v>
      </c>
      <c r="W152" s="140">
        <f t="shared" si="29"/>
        <v>1430517.6999999997</v>
      </c>
    </row>
    <row r="153" spans="1:23" s="145" customFormat="1" hidden="1">
      <c r="A153" s="839"/>
      <c r="B153" s="140"/>
      <c r="C153" s="140"/>
      <c r="D153" s="140"/>
      <c r="E153" s="140"/>
      <c r="F153" s="346"/>
      <c r="G153" s="346"/>
      <c r="H153" s="346"/>
      <c r="I153" s="346"/>
      <c r="J153" s="346"/>
      <c r="K153" s="346"/>
      <c r="L153" s="137"/>
      <c r="M153" s="346"/>
      <c r="N153" s="140"/>
      <c r="O153" s="137"/>
      <c r="P153" s="133"/>
      <c r="Q153" s="362"/>
      <c r="R153" s="137"/>
      <c r="S153" s="136"/>
      <c r="T153" s="140"/>
      <c r="U153" s="349"/>
      <c r="V153" s="348"/>
      <c r="W153" s="140"/>
    </row>
    <row r="154" spans="1:23" s="145" customFormat="1" hidden="1">
      <c r="A154" s="839" t="s">
        <v>39</v>
      </c>
      <c r="B154" s="140">
        <v>-135855.99999999997</v>
      </c>
      <c r="C154" s="140">
        <v>16621.999999999971</v>
      </c>
      <c r="D154" s="140" t="s">
        <v>88</v>
      </c>
      <c r="E154" s="140">
        <f t="shared" si="31"/>
        <v>-119234</v>
      </c>
      <c r="F154" s="346">
        <v>230233.5</v>
      </c>
      <c r="G154" s="346">
        <v>266534</v>
      </c>
      <c r="H154" s="346"/>
      <c r="I154" s="346">
        <v>49668.816666666666</v>
      </c>
      <c r="J154" s="346">
        <v>90564.7</v>
      </c>
      <c r="K154" s="346">
        <v>277913.90000000002</v>
      </c>
      <c r="L154" s="137">
        <f t="shared" si="32"/>
        <v>914914.91666666663</v>
      </c>
      <c r="M154" s="346">
        <v>194439.72500000003</v>
      </c>
      <c r="N154" s="140">
        <v>27271.8</v>
      </c>
      <c r="O154" s="137">
        <f t="shared" ref="O154:O165" si="33">+L154-M154-N154</f>
        <v>693203.3916666666</v>
      </c>
      <c r="P154" s="133"/>
      <c r="Q154" s="362">
        <v>2982.7</v>
      </c>
      <c r="R154" s="137">
        <v>829600.2666666666</v>
      </c>
      <c r="S154" s="136">
        <v>67.399999999999991</v>
      </c>
      <c r="T154" s="140">
        <f t="shared" ref="T154:T165" si="34">SUM(Q154:S154)</f>
        <v>832650.36666666658</v>
      </c>
      <c r="U154" s="349"/>
      <c r="V154" s="348">
        <f t="shared" ref="V154:V165" si="35">SUM(O154,T154)</f>
        <v>1525853.7583333333</v>
      </c>
      <c r="W154" s="140">
        <f t="shared" ref="W154:W165" si="36">SUM(E154,V154)</f>
        <v>1406619.7583333333</v>
      </c>
    </row>
    <row r="155" spans="1:23" s="145" customFormat="1" hidden="1">
      <c r="A155" s="839" t="s">
        <v>681</v>
      </c>
      <c r="B155" s="140">
        <v>-166598.10000000003</v>
      </c>
      <c r="C155" s="140">
        <v>33809.399999999965</v>
      </c>
      <c r="D155" s="140" t="s">
        <v>88</v>
      </c>
      <c r="E155" s="140">
        <f t="shared" si="31"/>
        <v>-132788.70000000007</v>
      </c>
      <c r="F155" s="346">
        <v>260394.9</v>
      </c>
      <c r="G155" s="346">
        <v>282730.90000000002</v>
      </c>
      <c r="H155" s="346"/>
      <c r="I155" s="346">
        <v>52982.73333333333</v>
      </c>
      <c r="J155" s="346">
        <v>89171.4</v>
      </c>
      <c r="K155" s="346">
        <v>277274.09999999998</v>
      </c>
      <c r="L155" s="137">
        <f t="shared" si="32"/>
        <v>962554.03333333333</v>
      </c>
      <c r="M155" s="346">
        <v>200431.34999999998</v>
      </c>
      <c r="N155" s="140">
        <v>27229.1</v>
      </c>
      <c r="O155" s="137">
        <f t="shared" si="33"/>
        <v>734893.58333333337</v>
      </c>
      <c r="P155" s="133"/>
      <c r="Q155" s="362">
        <v>3467.3</v>
      </c>
      <c r="R155" s="137">
        <v>831034.2333333334</v>
      </c>
      <c r="S155" s="136">
        <v>24.400000000000002</v>
      </c>
      <c r="T155" s="140">
        <f t="shared" si="34"/>
        <v>834525.93333333347</v>
      </c>
      <c r="U155" s="349"/>
      <c r="V155" s="348">
        <f t="shared" si="35"/>
        <v>1569419.5166666668</v>
      </c>
      <c r="W155" s="140">
        <f t="shared" si="36"/>
        <v>1436630.8166666669</v>
      </c>
    </row>
    <row r="156" spans="1:23" s="145" customFormat="1" hidden="1">
      <c r="A156" s="839" t="s">
        <v>65</v>
      </c>
      <c r="B156" s="140">
        <v>-194954.00000000006</v>
      </c>
      <c r="C156" s="140">
        <v>33930.199999999953</v>
      </c>
      <c r="D156" s="140" t="s">
        <v>88</v>
      </c>
      <c r="E156" s="140">
        <f t="shared" si="31"/>
        <v>-161023.8000000001</v>
      </c>
      <c r="F156" s="346">
        <v>273246</v>
      </c>
      <c r="G156" s="346">
        <v>296894.8</v>
      </c>
      <c r="H156" s="346"/>
      <c r="I156" s="346">
        <v>49389.950000000004</v>
      </c>
      <c r="J156" s="346">
        <v>86384.8</v>
      </c>
      <c r="K156" s="346">
        <v>275994.3</v>
      </c>
      <c r="L156" s="137">
        <f t="shared" si="32"/>
        <v>981909.85000000009</v>
      </c>
      <c r="M156" s="346">
        <v>231671.77500000002</v>
      </c>
      <c r="N156" s="140">
        <v>25784.100000000002</v>
      </c>
      <c r="O156" s="137">
        <f t="shared" si="33"/>
        <v>724453.97500000009</v>
      </c>
      <c r="P156" s="133"/>
      <c r="Q156" s="362">
        <v>2767.5</v>
      </c>
      <c r="R156" s="137">
        <v>832325.4</v>
      </c>
      <c r="S156" s="136">
        <v>22.2</v>
      </c>
      <c r="T156" s="140">
        <f t="shared" si="34"/>
        <v>835115.1</v>
      </c>
      <c r="U156" s="349"/>
      <c r="V156" s="348">
        <f t="shared" si="35"/>
        <v>1559569.0750000002</v>
      </c>
      <c r="W156" s="140">
        <f t="shared" si="36"/>
        <v>1398545.2750000001</v>
      </c>
    </row>
    <row r="157" spans="1:23" s="145" customFormat="1" hidden="1">
      <c r="A157" s="839" t="s">
        <v>692</v>
      </c>
      <c r="B157" s="140">
        <v>-175516.19999999998</v>
      </c>
      <c r="C157" s="140">
        <v>6223.3999999999942</v>
      </c>
      <c r="D157" s="140" t="s">
        <v>88</v>
      </c>
      <c r="E157" s="140">
        <f t="shared" si="31"/>
        <v>-169292.79999999999</v>
      </c>
      <c r="F157" s="346">
        <v>4780.0999999999767</v>
      </c>
      <c r="G157" s="346">
        <v>319584.7</v>
      </c>
      <c r="H157" s="346"/>
      <c r="I157" s="346">
        <v>54947.166666666672</v>
      </c>
      <c r="J157" s="346">
        <v>86384.8</v>
      </c>
      <c r="K157" s="346">
        <v>549240.30000000005</v>
      </c>
      <c r="L157" s="137">
        <f t="shared" si="32"/>
        <v>1014937.0666666667</v>
      </c>
      <c r="M157" s="346">
        <v>213918.30000000002</v>
      </c>
      <c r="N157" s="140">
        <v>31710.300000000003</v>
      </c>
      <c r="O157" s="137">
        <f t="shared" si="33"/>
        <v>769308.46666666656</v>
      </c>
      <c r="P157" s="133"/>
      <c r="Q157" s="362">
        <v>6585.9</v>
      </c>
      <c r="R157" s="137">
        <v>825005.7666666666</v>
      </c>
      <c r="S157" s="136">
        <v>46.2</v>
      </c>
      <c r="T157" s="140">
        <f t="shared" si="34"/>
        <v>831637.86666666658</v>
      </c>
      <c r="U157" s="349"/>
      <c r="V157" s="348">
        <f t="shared" si="35"/>
        <v>1600946.333333333</v>
      </c>
      <c r="W157" s="140">
        <f t="shared" si="36"/>
        <v>1431653.533333333</v>
      </c>
    </row>
    <row r="158" spans="1:23" s="145" customFormat="1" hidden="1">
      <c r="A158" s="839" t="s">
        <v>700</v>
      </c>
      <c r="B158" s="140">
        <v>-195743.39999999997</v>
      </c>
      <c r="C158" s="140">
        <v>454.5</v>
      </c>
      <c r="D158" s="140" t="s">
        <v>88</v>
      </c>
      <c r="E158" s="140">
        <f t="shared" si="31"/>
        <v>-195288.89999999997</v>
      </c>
      <c r="F158" s="346">
        <v>21652.299999999988</v>
      </c>
      <c r="G158" s="346">
        <v>322381.7</v>
      </c>
      <c r="H158" s="346"/>
      <c r="I158" s="346">
        <v>54341.78333333334</v>
      </c>
      <c r="J158" s="346">
        <v>84991.5</v>
      </c>
      <c r="K158" s="346">
        <v>548600.5</v>
      </c>
      <c r="L158" s="137">
        <f t="shared" si="32"/>
        <v>1031967.7833333333</v>
      </c>
      <c r="M158" s="346">
        <v>216270.52499999999</v>
      </c>
      <c r="N158" s="140">
        <v>33788.199999999997</v>
      </c>
      <c r="O158" s="137">
        <f t="shared" si="33"/>
        <v>781909.05833333335</v>
      </c>
      <c r="P158" s="133"/>
      <c r="Q158" s="362">
        <v>7303.9</v>
      </c>
      <c r="R158" s="137">
        <v>839250.23333333328</v>
      </c>
      <c r="S158" s="136">
        <v>56.4</v>
      </c>
      <c r="T158" s="140">
        <f t="shared" si="34"/>
        <v>846610.53333333333</v>
      </c>
      <c r="U158" s="349"/>
      <c r="V158" s="348">
        <f t="shared" si="35"/>
        <v>1628519.5916666668</v>
      </c>
      <c r="W158" s="140">
        <f t="shared" si="36"/>
        <v>1433230.6916666669</v>
      </c>
    </row>
    <row r="159" spans="1:23" s="145" customFormat="1" hidden="1">
      <c r="A159" s="839" t="s">
        <v>713</v>
      </c>
      <c r="B159" s="140">
        <v>-186003.4</v>
      </c>
      <c r="C159" s="140">
        <v>20116.699999999953</v>
      </c>
      <c r="D159" s="140" t="s">
        <v>88</v>
      </c>
      <c r="E159" s="140">
        <f t="shared" si="31"/>
        <v>-165886.70000000004</v>
      </c>
      <c r="F159" s="346">
        <v>19504.700000000012</v>
      </c>
      <c r="G159" s="346">
        <v>348742.9</v>
      </c>
      <c r="H159" s="346"/>
      <c r="I159" s="346">
        <v>53066.8</v>
      </c>
      <c r="J159" s="346">
        <v>83598.2</v>
      </c>
      <c r="K159" s="351">
        <v>547320.69999999995</v>
      </c>
      <c r="L159" s="137">
        <f t="shared" si="32"/>
        <v>1052233.3</v>
      </c>
      <c r="M159" s="352">
        <v>222571.65000000002</v>
      </c>
      <c r="N159" s="140">
        <v>41471.800000000003</v>
      </c>
      <c r="O159" s="137">
        <f t="shared" si="33"/>
        <v>788189.85</v>
      </c>
      <c r="P159" s="133"/>
      <c r="Q159" s="362">
        <v>6427</v>
      </c>
      <c r="R159" s="137">
        <v>857911.70000000007</v>
      </c>
      <c r="S159" s="136">
        <v>59.2</v>
      </c>
      <c r="T159" s="140">
        <f t="shared" si="34"/>
        <v>864397.9</v>
      </c>
      <c r="U159" s="349"/>
      <c r="V159" s="348">
        <f t="shared" si="35"/>
        <v>1652587.75</v>
      </c>
      <c r="W159" s="140">
        <f t="shared" si="36"/>
        <v>1486701.05</v>
      </c>
    </row>
    <row r="160" spans="1:23" s="145" customFormat="1">
      <c r="A160" s="839" t="s">
        <v>730</v>
      </c>
      <c r="B160" s="140">
        <v>-186226.3</v>
      </c>
      <c r="C160" s="140">
        <v>-2306.100000000064</v>
      </c>
      <c r="D160" s="140" t="s">
        <v>88</v>
      </c>
      <c r="E160" s="140">
        <f t="shared" si="31"/>
        <v>-188532.40000000005</v>
      </c>
      <c r="F160" s="346">
        <v>17403.200000000012</v>
      </c>
      <c r="G160" s="346">
        <v>365969.8</v>
      </c>
      <c r="H160" s="346"/>
      <c r="I160" s="346">
        <v>54167.7</v>
      </c>
      <c r="J160" s="346">
        <v>82204.899999999994</v>
      </c>
      <c r="K160" s="351">
        <v>546680.9</v>
      </c>
      <c r="L160" s="137">
        <f t="shared" si="32"/>
        <v>1066426.5</v>
      </c>
      <c r="M160" s="352">
        <v>219058.05833333335</v>
      </c>
      <c r="N160" s="140">
        <v>39586.400000000009</v>
      </c>
      <c r="O160" s="137">
        <f t="shared" si="33"/>
        <v>807782.04166666663</v>
      </c>
      <c r="P160" s="133"/>
      <c r="Q160" s="362">
        <v>11339</v>
      </c>
      <c r="R160" s="137">
        <v>851044.93333333335</v>
      </c>
      <c r="S160" s="136">
        <v>35.000000000000007</v>
      </c>
      <c r="T160" s="140">
        <f t="shared" si="34"/>
        <v>862418.93333333335</v>
      </c>
      <c r="U160" s="349"/>
      <c r="V160" s="348">
        <f t="shared" si="35"/>
        <v>1670200.9750000001</v>
      </c>
      <c r="W160" s="140">
        <f t="shared" si="36"/>
        <v>1481668.575</v>
      </c>
    </row>
    <row r="161" spans="1:27" s="145" customFormat="1">
      <c r="A161" s="839" t="s">
        <v>46</v>
      </c>
      <c r="B161" s="140">
        <v>-192550.6</v>
      </c>
      <c r="C161" s="140">
        <v>-9672.7000000000262</v>
      </c>
      <c r="D161" s="140" t="s">
        <v>88</v>
      </c>
      <c r="E161" s="140">
        <f t="shared" si="31"/>
        <v>-202223.30000000005</v>
      </c>
      <c r="F161" s="346">
        <v>10113</v>
      </c>
      <c r="G161" s="346">
        <v>370225.1</v>
      </c>
      <c r="H161" s="346"/>
      <c r="I161" s="346">
        <v>47786.5</v>
      </c>
      <c r="J161" s="346">
        <v>80811.600000000006</v>
      </c>
      <c r="K161" s="351">
        <v>546041</v>
      </c>
      <c r="L161" s="137">
        <f t="shared" si="32"/>
        <v>1054977.2</v>
      </c>
      <c r="M161" s="352">
        <v>211792.26666666669</v>
      </c>
      <c r="N161" s="140">
        <v>29870.1</v>
      </c>
      <c r="O161" s="137">
        <f t="shared" si="33"/>
        <v>813314.83333333326</v>
      </c>
      <c r="P161" s="133"/>
      <c r="Q161" s="362">
        <v>10303.200000000001</v>
      </c>
      <c r="R161" s="137">
        <v>877081.2666666666</v>
      </c>
      <c r="S161" s="136">
        <v>26.900000000000002</v>
      </c>
      <c r="T161" s="140">
        <f t="shared" si="34"/>
        <v>887411.36666666658</v>
      </c>
      <c r="U161" s="349"/>
      <c r="V161" s="348">
        <f t="shared" si="35"/>
        <v>1700726.1999999997</v>
      </c>
      <c r="W161" s="140">
        <f t="shared" si="36"/>
        <v>1498502.8999999997</v>
      </c>
    </row>
    <row r="162" spans="1:27" s="145" customFormat="1">
      <c r="A162" s="839" t="s">
        <v>47</v>
      </c>
      <c r="B162" s="140">
        <v>-181601</v>
      </c>
      <c r="C162" s="140">
        <v>-10844.799999999959</v>
      </c>
      <c r="D162" s="140" t="s">
        <v>88</v>
      </c>
      <c r="E162" s="140">
        <f t="shared" si="31"/>
        <v>-192445.79999999996</v>
      </c>
      <c r="F162" s="346">
        <v>18972.7</v>
      </c>
      <c r="G162" s="346">
        <v>390238.4</v>
      </c>
      <c r="H162" s="346"/>
      <c r="I162" s="346">
        <v>46843.899999999994</v>
      </c>
      <c r="J162" s="346">
        <v>79418.3</v>
      </c>
      <c r="K162" s="351">
        <v>546041</v>
      </c>
      <c r="L162" s="137">
        <f t="shared" si="32"/>
        <v>1081514.3</v>
      </c>
      <c r="M162" s="352">
        <v>220076.07500000001</v>
      </c>
      <c r="N162" s="140">
        <v>34600.5</v>
      </c>
      <c r="O162" s="137">
        <f t="shared" si="33"/>
        <v>826837.72500000009</v>
      </c>
      <c r="P162" s="133"/>
      <c r="Q162" s="362">
        <v>11245.4</v>
      </c>
      <c r="R162" s="137">
        <v>872234.79999999993</v>
      </c>
      <c r="S162" s="136">
        <v>15.5</v>
      </c>
      <c r="T162" s="140">
        <f t="shared" si="34"/>
        <v>883495.7</v>
      </c>
      <c r="U162" s="349"/>
      <c r="V162" s="133">
        <f t="shared" si="35"/>
        <v>1710333.425</v>
      </c>
      <c r="W162" s="140">
        <f t="shared" si="36"/>
        <v>1517887.625</v>
      </c>
    </row>
    <row r="163" spans="1:27" s="145" customFormat="1">
      <c r="A163" s="839" t="s">
        <v>48</v>
      </c>
      <c r="B163" s="140">
        <v>-181634.80000000002</v>
      </c>
      <c r="C163" s="140">
        <v>-14712.400000000023</v>
      </c>
      <c r="D163" s="140" t="s">
        <v>88</v>
      </c>
      <c r="E163" s="140">
        <f t="shared" si="31"/>
        <v>-196347.20000000004</v>
      </c>
      <c r="F163" s="346">
        <v>37280.9</v>
      </c>
      <c r="G163" s="346">
        <v>391147.4</v>
      </c>
      <c r="H163" s="346"/>
      <c r="I163" s="346">
        <v>51279.066666666666</v>
      </c>
      <c r="J163" s="346">
        <v>78024.899999999994</v>
      </c>
      <c r="K163" s="351">
        <v>545401.19999999995</v>
      </c>
      <c r="L163" s="137">
        <f t="shared" si="32"/>
        <v>1103133.4666666668</v>
      </c>
      <c r="M163" s="352">
        <v>223779.11666666664</v>
      </c>
      <c r="N163" s="140">
        <v>29570.199999999997</v>
      </c>
      <c r="O163" s="137">
        <f t="shared" si="33"/>
        <v>849784.15000000014</v>
      </c>
      <c r="P163" s="133"/>
      <c r="Q163" s="362">
        <v>9115.2999999999993</v>
      </c>
      <c r="R163" s="137">
        <v>870003.23333333316</v>
      </c>
      <c r="S163" s="136">
        <v>21</v>
      </c>
      <c r="T163" s="140">
        <f t="shared" si="34"/>
        <v>879139.53333333321</v>
      </c>
      <c r="U163" s="349"/>
      <c r="V163" s="133">
        <f t="shared" si="35"/>
        <v>1728923.6833333333</v>
      </c>
      <c r="W163" s="140">
        <f t="shared" si="36"/>
        <v>1532576.4833333334</v>
      </c>
    </row>
    <row r="164" spans="1:27" s="145" customFormat="1">
      <c r="A164" s="839" t="s">
        <v>49</v>
      </c>
      <c r="B164" s="140">
        <v>-174078</v>
      </c>
      <c r="C164" s="140">
        <v>-6939.5000000000291</v>
      </c>
      <c r="D164" s="140" t="s">
        <v>88</v>
      </c>
      <c r="E164" s="140">
        <f t="shared" si="31"/>
        <v>-181017.50000000003</v>
      </c>
      <c r="F164" s="346">
        <v>69788.2</v>
      </c>
      <c r="G164" s="346">
        <v>404323.99999999988</v>
      </c>
      <c r="H164" s="346"/>
      <c r="I164" s="346">
        <v>53115.833333333328</v>
      </c>
      <c r="J164" s="346">
        <v>75238.3</v>
      </c>
      <c r="K164" s="351">
        <v>544121.5</v>
      </c>
      <c r="L164" s="137">
        <f t="shared" si="32"/>
        <v>1146587.8333333333</v>
      </c>
      <c r="M164" s="352">
        <v>232963.04722222226</v>
      </c>
      <c r="N164" s="140">
        <v>29497.7</v>
      </c>
      <c r="O164" s="137">
        <f t="shared" si="33"/>
        <v>884127.0861111111</v>
      </c>
      <c r="P164" s="133"/>
      <c r="Q164" s="362">
        <v>6989.2999999999993</v>
      </c>
      <c r="R164" s="137">
        <v>863617.57777777768</v>
      </c>
      <c r="S164" s="136">
        <v>13.3</v>
      </c>
      <c r="T164" s="140">
        <f t="shared" si="34"/>
        <v>870620.17777777778</v>
      </c>
      <c r="U164" s="349"/>
      <c r="V164" s="133">
        <f t="shared" si="35"/>
        <v>1754747.263888889</v>
      </c>
      <c r="W164" s="140">
        <f t="shared" si="36"/>
        <v>1573729.763888889</v>
      </c>
    </row>
    <row r="165" spans="1:27" s="145" customFormat="1">
      <c r="A165" s="839" t="s">
        <v>50</v>
      </c>
      <c r="B165" s="140">
        <v>-162073.80000000002</v>
      </c>
      <c r="C165" s="140">
        <v>-14449.299999999974</v>
      </c>
      <c r="D165" s="140" t="s">
        <v>88</v>
      </c>
      <c r="E165" s="140">
        <f t="shared" si="31"/>
        <v>-176523.09999999998</v>
      </c>
      <c r="F165" s="346">
        <v>134973.1</v>
      </c>
      <c r="G165" s="346">
        <v>438079.6</v>
      </c>
      <c r="H165" s="346"/>
      <c r="I165" s="346">
        <v>37133.1</v>
      </c>
      <c r="J165" s="346">
        <v>73845.100000000006</v>
      </c>
      <c r="K165" s="351">
        <v>543481.59999999998</v>
      </c>
      <c r="L165" s="137">
        <f t="shared" si="32"/>
        <v>1227512.5</v>
      </c>
      <c r="M165" s="352">
        <v>291260.3</v>
      </c>
      <c r="N165" s="140">
        <v>30394.800000000003</v>
      </c>
      <c r="O165" s="137">
        <f t="shared" si="33"/>
        <v>905857.39999999991</v>
      </c>
      <c r="P165" s="133"/>
      <c r="Q165" s="362">
        <v>7173.4000000000005</v>
      </c>
      <c r="R165" s="137">
        <v>854034</v>
      </c>
      <c r="S165" s="136">
        <v>57.6</v>
      </c>
      <c r="T165" s="140">
        <f t="shared" si="34"/>
        <v>861265</v>
      </c>
      <c r="U165" s="349"/>
      <c r="V165" s="133">
        <f t="shared" si="35"/>
        <v>1767122.4</v>
      </c>
      <c r="W165" s="140">
        <f t="shared" si="36"/>
        <v>1590599.2999999998</v>
      </c>
    </row>
    <row r="166" spans="1:27" s="145" customFormat="1">
      <c r="A166" s="839"/>
      <c r="B166" s="140"/>
      <c r="C166" s="140"/>
      <c r="D166" s="140"/>
      <c r="E166" s="140"/>
      <c r="F166" s="346"/>
      <c r="G166" s="346"/>
      <c r="H166" s="346"/>
      <c r="I166" s="346"/>
      <c r="J166" s="346"/>
      <c r="K166" s="351"/>
      <c r="L166" s="137"/>
      <c r="M166" s="352"/>
      <c r="N166" s="140"/>
      <c r="O166" s="137"/>
      <c r="P166" s="133"/>
      <c r="Q166" s="362"/>
      <c r="R166" s="137"/>
      <c r="S166" s="136"/>
      <c r="T166" s="140"/>
      <c r="U166" s="349"/>
      <c r="V166" s="133"/>
      <c r="W166" s="140"/>
    </row>
    <row r="167" spans="1:27" s="145" customFormat="1">
      <c r="A167" s="839" t="s">
        <v>36</v>
      </c>
      <c r="B167" s="140">
        <v>-140840.69999999998</v>
      </c>
      <c r="C167" s="140">
        <v>-26017.300000000003</v>
      </c>
      <c r="D167" s="140" t="s">
        <v>88</v>
      </c>
      <c r="E167" s="140">
        <f t="shared" si="31"/>
        <v>-166858</v>
      </c>
      <c r="F167" s="346">
        <v>91642.3</v>
      </c>
      <c r="G167" s="346">
        <v>434826.99999999988</v>
      </c>
      <c r="H167" s="346"/>
      <c r="I167" s="346">
        <v>36989.983333333337</v>
      </c>
      <c r="J167" s="346">
        <v>73845</v>
      </c>
      <c r="K167" s="351">
        <v>543481.59999999998</v>
      </c>
      <c r="L167" s="137">
        <f t="shared" si="32"/>
        <v>1180785.8833333333</v>
      </c>
      <c r="M167" s="352">
        <v>229536.38333333333</v>
      </c>
      <c r="N167" s="140">
        <v>35154.5</v>
      </c>
      <c r="O167" s="137">
        <f>+L167-M167-N167</f>
        <v>916095</v>
      </c>
      <c r="P167" s="133"/>
      <c r="Q167" s="362">
        <v>5315</v>
      </c>
      <c r="R167" s="137">
        <v>851398.95</v>
      </c>
      <c r="S167" s="136">
        <v>38.9</v>
      </c>
      <c r="T167" s="140">
        <f t="shared" ref="T167" si="37">SUM(Q167:S167)</f>
        <v>856752.85</v>
      </c>
      <c r="U167" s="349"/>
      <c r="V167" s="133">
        <f t="shared" ref="V167:V176" si="38">SUM(O167,T167)</f>
        <v>1772847.85</v>
      </c>
      <c r="W167" s="140">
        <f t="shared" ref="W167:W186" si="39">SUM(E167,V167)</f>
        <v>1605989.85</v>
      </c>
    </row>
    <row r="168" spans="1:27" s="145" customFormat="1">
      <c r="A168" s="839" t="s">
        <v>263</v>
      </c>
      <c r="B168" s="140">
        <v>-116167</v>
      </c>
      <c r="C168" s="140">
        <v>-30275.099999999977</v>
      </c>
      <c r="D168" s="140" t="s">
        <v>88</v>
      </c>
      <c r="E168" s="140">
        <f>+SUM(B168:D168)</f>
        <v>-146442.09999999998</v>
      </c>
      <c r="F168" s="346">
        <v>107598.6</v>
      </c>
      <c r="G168" s="346">
        <v>463337.09999999992</v>
      </c>
      <c r="H168" s="346"/>
      <c r="I168" s="346">
        <v>38593.466666666667</v>
      </c>
      <c r="J168" s="346">
        <v>71058.399999999994</v>
      </c>
      <c r="K168" s="351">
        <v>542201.9</v>
      </c>
      <c r="L168" s="137">
        <f t="shared" si="32"/>
        <v>1222789.4666666668</v>
      </c>
      <c r="M168" s="352">
        <v>262216.96666666667</v>
      </c>
      <c r="N168" s="140">
        <v>31124.2</v>
      </c>
      <c r="O168" s="137">
        <f t="shared" ref="O168:O178" si="40">+L168-M168-N168</f>
        <v>929448.30000000016</v>
      </c>
      <c r="P168" s="133"/>
      <c r="Q168" s="362">
        <v>4372</v>
      </c>
      <c r="R168" s="137">
        <v>815244.10000000009</v>
      </c>
      <c r="S168" s="136">
        <v>63.3</v>
      </c>
      <c r="T168" s="140">
        <f t="shared" ref="T168:T169" si="41">SUM(Q168:S168)</f>
        <v>819679.40000000014</v>
      </c>
      <c r="U168" s="349"/>
      <c r="V168" s="133">
        <f t="shared" si="38"/>
        <v>1749127.7000000002</v>
      </c>
      <c r="W168" s="140">
        <f t="shared" si="39"/>
        <v>1602685.6</v>
      </c>
    </row>
    <row r="169" spans="1:27" s="145" customFormat="1">
      <c r="A169" s="839" t="s">
        <v>41</v>
      </c>
      <c r="B169" s="140">
        <v>-133135.90000000002</v>
      </c>
      <c r="C169" s="140">
        <v>-31494.300000000003</v>
      </c>
      <c r="D169" s="140" t="s">
        <v>88</v>
      </c>
      <c r="E169" s="140">
        <f>+SUM(B169:D169)</f>
        <v>-164630.20000000001</v>
      </c>
      <c r="F169" s="346">
        <v>130042.5</v>
      </c>
      <c r="G169" s="346">
        <v>474831.29999999993</v>
      </c>
      <c r="H169" s="346"/>
      <c r="I169" s="346">
        <v>48614.55</v>
      </c>
      <c r="J169" s="346">
        <v>69665.100000000006</v>
      </c>
      <c r="K169" s="351">
        <v>541562</v>
      </c>
      <c r="L169" s="137">
        <f t="shared" si="32"/>
        <v>1264715.45</v>
      </c>
      <c r="M169" s="352">
        <v>247676.35</v>
      </c>
      <c r="N169" s="140">
        <v>31886.899999999998</v>
      </c>
      <c r="O169" s="137">
        <f t="shared" si="40"/>
        <v>985152.2</v>
      </c>
      <c r="P169" s="133"/>
      <c r="Q169" s="362">
        <v>6812.0999999999995</v>
      </c>
      <c r="R169" s="137">
        <v>806759.35000000009</v>
      </c>
      <c r="S169" s="136">
        <v>58.6</v>
      </c>
      <c r="T169" s="140">
        <f t="shared" si="41"/>
        <v>813630.05</v>
      </c>
      <c r="U169" s="349"/>
      <c r="V169" s="133">
        <f t="shared" si="38"/>
        <v>1798782.25</v>
      </c>
      <c r="W169" s="140">
        <f t="shared" si="39"/>
        <v>1634152.05</v>
      </c>
    </row>
    <row r="170" spans="1:27" s="145" customFormat="1">
      <c r="A170" s="839" t="s">
        <v>42</v>
      </c>
      <c r="B170" s="140">
        <v>-140187.20000000004</v>
      </c>
      <c r="C170" s="140">
        <v>-22900.300000000017</v>
      </c>
      <c r="D170" s="140" t="s">
        <v>88</v>
      </c>
      <c r="E170" s="140">
        <f>+SUM(B170:D170)</f>
        <v>-163087.50000000006</v>
      </c>
      <c r="F170" s="346">
        <v>122074.2</v>
      </c>
      <c r="G170" s="346">
        <f>404380.6+88658.2</f>
        <v>493038.8</v>
      </c>
      <c r="H170" s="346"/>
      <c r="I170" s="346">
        <v>44744.53333333334</v>
      </c>
      <c r="J170" s="346">
        <v>69665.100000000006</v>
      </c>
      <c r="K170" s="351">
        <v>541562</v>
      </c>
      <c r="L170" s="137">
        <f t="shared" si="32"/>
        <v>1271084.6333333333</v>
      </c>
      <c r="M170" s="352">
        <v>233480.46666666667</v>
      </c>
      <c r="N170" s="140">
        <v>38837.9</v>
      </c>
      <c r="O170" s="137">
        <f t="shared" si="40"/>
        <v>998766.2666666666</v>
      </c>
      <c r="P170" s="133"/>
      <c r="Q170" s="362">
        <f>5549.9+129.8</f>
        <v>5679.7</v>
      </c>
      <c r="R170" s="137">
        <v>803471.96666666679</v>
      </c>
      <c r="S170" s="136">
        <v>45.9</v>
      </c>
      <c r="T170" s="140">
        <f t="shared" ref="T170:T176" si="42">SUM(Q170:S170)</f>
        <v>809197.56666666677</v>
      </c>
      <c r="U170" s="349"/>
      <c r="V170" s="133">
        <f t="shared" si="38"/>
        <v>1807963.8333333335</v>
      </c>
      <c r="W170" s="140">
        <f t="shared" si="39"/>
        <v>1644876.3333333335</v>
      </c>
    </row>
    <row r="171" spans="1:27" s="145" customFormat="1">
      <c r="A171" s="839" t="s">
        <v>43</v>
      </c>
      <c r="B171" s="140">
        <v>-104424.50000000006</v>
      </c>
      <c r="C171" s="140">
        <v>-8989.1999999999825</v>
      </c>
      <c r="D171" s="140" t="s">
        <v>88</v>
      </c>
      <c r="E171" s="140">
        <f>+SUM(B171:D171)</f>
        <v>-113413.70000000004</v>
      </c>
      <c r="F171" s="346">
        <v>139502.5</v>
      </c>
      <c r="G171" s="346">
        <f>413725.4+97970.4</f>
        <v>511695.80000000005</v>
      </c>
      <c r="H171" s="346"/>
      <c r="I171" s="346">
        <v>46120.016666666663</v>
      </c>
      <c r="J171" s="346">
        <v>68271.8</v>
      </c>
      <c r="K171" s="351">
        <v>540922.1</v>
      </c>
      <c r="L171" s="137">
        <f t="shared" si="32"/>
        <v>1306512.2166666668</v>
      </c>
      <c r="M171" s="352">
        <v>282236.28333333333</v>
      </c>
      <c r="N171" s="140">
        <v>46467.700000000004</v>
      </c>
      <c r="O171" s="137">
        <f t="shared" si="40"/>
        <v>977808.23333333351</v>
      </c>
      <c r="P171" s="133"/>
      <c r="Q171" s="362">
        <f>7460.5+129.8</f>
        <v>7590.3</v>
      </c>
      <c r="R171" s="137">
        <v>817242.78333333344</v>
      </c>
      <c r="S171" s="136">
        <v>19.5</v>
      </c>
      <c r="T171" s="140">
        <f t="shared" si="42"/>
        <v>824852.58333333349</v>
      </c>
      <c r="U171" s="349"/>
      <c r="V171" s="133">
        <f t="shared" si="38"/>
        <v>1802660.8166666669</v>
      </c>
      <c r="W171" s="140">
        <f t="shared" si="39"/>
        <v>1689247.1166666669</v>
      </c>
    </row>
    <row r="172" spans="1:27" s="145" customFormat="1">
      <c r="A172" s="839" t="s">
        <v>44</v>
      </c>
      <c r="B172" s="140">
        <v>-140476.99999999994</v>
      </c>
      <c r="C172" s="140">
        <v>-12640.399999999994</v>
      </c>
      <c r="D172" s="140" t="s">
        <v>88</v>
      </c>
      <c r="E172" s="140">
        <f t="shared" ref="E172:E176" si="43">+SUM(B172:D172)</f>
        <v>-153117.39999999994</v>
      </c>
      <c r="F172" s="346">
        <v>141652.79999999999</v>
      </c>
      <c r="G172" s="346">
        <f>399492.8+121468.7</f>
        <v>520961.5</v>
      </c>
      <c r="H172" s="346"/>
      <c r="I172" s="346">
        <v>41050</v>
      </c>
      <c r="J172" s="346">
        <v>66878.5</v>
      </c>
      <c r="K172" s="351">
        <v>540282.30000000005</v>
      </c>
      <c r="L172" s="137">
        <f t="shared" si="32"/>
        <v>1310825.1000000001</v>
      </c>
      <c r="M172" s="352">
        <v>246217.90000000002</v>
      </c>
      <c r="N172" s="140">
        <v>54196.200000000004</v>
      </c>
      <c r="O172" s="137">
        <f t="shared" si="40"/>
        <v>1010411.0000000002</v>
      </c>
      <c r="P172" s="133"/>
      <c r="Q172" s="362">
        <f>13450.9+129.8</f>
        <v>13580.699999999999</v>
      </c>
      <c r="R172" s="137">
        <v>857454.3</v>
      </c>
      <c r="S172" s="136">
        <v>33.299999999999997</v>
      </c>
      <c r="T172" s="140">
        <f t="shared" si="42"/>
        <v>871068.3</v>
      </c>
      <c r="U172" s="349"/>
      <c r="V172" s="133">
        <f t="shared" si="38"/>
        <v>1881479.3000000003</v>
      </c>
      <c r="W172" s="140">
        <f t="shared" si="39"/>
        <v>1728361.9000000004</v>
      </c>
    </row>
    <row r="173" spans="1:27" s="145" customFormat="1" ht="19.5">
      <c r="A173" s="839" t="s">
        <v>619</v>
      </c>
      <c r="B173" s="140">
        <v>-165541.40000000002</v>
      </c>
      <c r="C173" s="140">
        <v>10518.300000000017</v>
      </c>
      <c r="D173" s="140" t="s">
        <v>88</v>
      </c>
      <c r="E173" s="140">
        <f t="shared" si="43"/>
        <v>-155023.1</v>
      </c>
      <c r="F173" s="346">
        <v>126976.7</v>
      </c>
      <c r="G173" s="346">
        <f>376491.4+140609.7</f>
        <v>517101.10000000003</v>
      </c>
      <c r="H173" s="346"/>
      <c r="I173" s="346">
        <v>40961.25</v>
      </c>
      <c r="J173" s="346">
        <v>65485.2</v>
      </c>
      <c r="K173" s="351">
        <v>539642.4</v>
      </c>
      <c r="L173" s="137">
        <f t="shared" si="32"/>
        <v>1290166.6499999999</v>
      </c>
      <c r="M173" s="352">
        <v>248778.76666666669</v>
      </c>
      <c r="N173" s="140">
        <v>45772.9</v>
      </c>
      <c r="O173" s="137">
        <f t="shared" si="40"/>
        <v>995614.98333333316</v>
      </c>
      <c r="P173" s="133"/>
      <c r="Q173" s="362">
        <v>14083.899999999998</v>
      </c>
      <c r="R173" s="137">
        <v>878601.00000000012</v>
      </c>
      <c r="S173" s="136">
        <v>41.9</v>
      </c>
      <c r="T173" s="140">
        <f t="shared" si="42"/>
        <v>892726.80000000016</v>
      </c>
      <c r="U173" s="349"/>
      <c r="V173" s="133">
        <f t="shared" si="38"/>
        <v>1888341.7833333332</v>
      </c>
      <c r="W173" s="140">
        <f t="shared" si="39"/>
        <v>1733318.6833333331</v>
      </c>
      <c r="X173" s="923"/>
      <c r="AA173" s="922"/>
    </row>
    <row r="174" spans="1:27" s="145" customFormat="1">
      <c r="A174" s="839" t="s">
        <v>46</v>
      </c>
      <c r="B174" s="140">
        <v>-141377.29999999999</v>
      </c>
      <c r="C174" s="140">
        <v>-36521.700000000012</v>
      </c>
      <c r="D174" s="140" t="s">
        <v>88</v>
      </c>
      <c r="E174" s="140">
        <f t="shared" si="43"/>
        <v>-177899</v>
      </c>
      <c r="F174" s="346">
        <v>129280.9</v>
      </c>
      <c r="G174" s="346">
        <f>374084.6+160072.2</f>
        <v>534156.80000000005</v>
      </c>
      <c r="H174" s="346"/>
      <c r="I174" s="346">
        <v>44402.2</v>
      </c>
      <c r="J174" s="346">
        <v>62698.6</v>
      </c>
      <c r="K174" s="351">
        <v>538362.6</v>
      </c>
      <c r="L174" s="137">
        <f t="shared" si="32"/>
        <v>1308901.1000000001</v>
      </c>
      <c r="M174" s="352">
        <v>241182.73333333334</v>
      </c>
      <c r="N174" s="140">
        <v>36993.599999999999</v>
      </c>
      <c r="O174" s="137">
        <f t="shared" si="40"/>
        <v>1030724.7666666667</v>
      </c>
      <c r="P174" s="133"/>
      <c r="Q174" s="362">
        <v>19603.199999999997</v>
      </c>
      <c r="R174" s="137">
        <v>887335.6</v>
      </c>
      <c r="S174" s="136">
        <v>39.299999999999997</v>
      </c>
      <c r="T174" s="140">
        <f t="shared" si="42"/>
        <v>906978.1</v>
      </c>
      <c r="U174" s="349"/>
      <c r="V174" s="133">
        <f t="shared" si="38"/>
        <v>1937702.8666666667</v>
      </c>
      <c r="W174" s="140">
        <f t="shared" si="39"/>
        <v>1759803.8666666667</v>
      </c>
    </row>
    <row r="175" spans="1:27" s="145" customFormat="1">
      <c r="A175" s="839" t="s">
        <v>47</v>
      </c>
      <c r="B175" s="140">
        <v>-134023.79999999999</v>
      </c>
      <c r="C175" s="140">
        <v>-42355.7</v>
      </c>
      <c r="D175" s="140" t="s">
        <v>88</v>
      </c>
      <c r="E175" s="140">
        <f t="shared" si="43"/>
        <v>-176379.5</v>
      </c>
      <c r="F175" s="346">
        <v>112382.3</v>
      </c>
      <c r="G175" s="346">
        <f>369923.1+180815.7</f>
        <v>550738.80000000005</v>
      </c>
      <c r="H175" s="346"/>
      <c r="I175" s="346">
        <v>44013.45</v>
      </c>
      <c r="J175" s="346">
        <v>62698.6</v>
      </c>
      <c r="K175" s="351">
        <v>538362.6</v>
      </c>
      <c r="L175" s="137">
        <f t="shared" si="32"/>
        <v>1308195.75</v>
      </c>
      <c r="M175" s="352">
        <v>234692.7</v>
      </c>
      <c r="N175" s="140">
        <v>36826.199999999997</v>
      </c>
      <c r="O175" s="137">
        <f t="shared" si="40"/>
        <v>1036676.8500000001</v>
      </c>
      <c r="P175" s="133"/>
      <c r="Q175" s="362">
        <v>28033</v>
      </c>
      <c r="R175" s="137">
        <v>893468</v>
      </c>
      <c r="S175" s="136">
        <v>56.1</v>
      </c>
      <c r="T175" s="140">
        <f t="shared" si="42"/>
        <v>921557.1</v>
      </c>
      <c r="U175" s="349"/>
      <c r="V175" s="133">
        <f t="shared" si="38"/>
        <v>1958233.9500000002</v>
      </c>
      <c r="W175" s="140">
        <f t="shared" si="39"/>
        <v>1781854.4500000002</v>
      </c>
    </row>
    <row r="176" spans="1:27" s="145" customFormat="1">
      <c r="A176" s="839" t="s">
        <v>48</v>
      </c>
      <c r="B176" s="140">
        <f>212522.3-338942.9</f>
        <v>-126420.60000000003</v>
      </c>
      <c r="C176" s="140">
        <f>177748.7-165526.4</f>
        <v>12222.300000000017</v>
      </c>
      <c r="D176" s="140" t="s">
        <v>88</v>
      </c>
      <c r="E176" s="140">
        <f t="shared" si="43"/>
        <v>-114198.30000000002</v>
      </c>
      <c r="F176" s="346">
        <v>144881.70000000001</v>
      </c>
      <c r="G176" s="346">
        <f>387614.4+163077.1</f>
        <v>550691.5</v>
      </c>
      <c r="H176" s="346"/>
      <c r="I176" s="346">
        <v>39800.766666666663</v>
      </c>
      <c r="J176" s="346">
        <v>59912</v>
      </c>
      <c r="K176" s="351">
        <v>537082.9</v>
      </c>
      <c r="L176" s="137">
        <f t="shared" si="32"/>
        <v>1332368.8666666667</v>
      </c>
      <c r="M176" s="352">
        <v>300928.10000000003</v>
      </c>
      <c r="N176" s="140">
        <v>36557</v>
      </c>
      <c r="O176" s="137">
        <f t="shared" si="40"/>
        <v>994883.7666666666</v>
      </c>
      <c r="P176" s="133"/>
      <c r="Q176" s="362">
        <f>29662.7+129.8</f>
        <v>29792.5</v>
      </c>
      <c r="R176" s="137">
        <v>903481.13333333319</v>
      </c>
      <c r="S176" s="136">
        <v>47.7</v>
      </c>
      <c r="T176" s="140">
        <f t="shared" si="42"/>
        <v>933321.33333333314</v>
      </c>
      <c r="U176" s="349"/>
      <c r="V176" s="133">
        <f t="shared" si="38"/>
        <v>1928205.0999999996</v>
      </c>
      <c r="W176" s="140">
        <f t="shared" si="39"/>
        <v>1814006.7999999996</v>
      </c>
    </row>
    <row r="177" spans="1:27" s="145" customFormat="1">
      <c r="A177" s="839" t="s">
        <v>49</v>
      </c>
      <c r="B177" s="140">
        <f>191321.1-336478.4</f>
        <v>-145157.30000000002</v>
      </c>
      <c r="C177" s="140">
        <f>160268.7-159454.7</f>
        <v>814</v>
      </c>
      <c r="D177" s="140" t="s">
        <v>88</v>
      </c>
      <c r="E177" s="140">
        <f t="shared" ref="E177:E186" si="44">+SUM(B177:D177)</f>
        <v>-144343.30000000002</v>
      </c>
      <c r="F177" s="346">
        <v>150659</v>
      </c>
      <c r="G177" s="346">
        <f>393437.6+178743.5</f>
        <v>572181.1</v>
      </c>
      <c r="H177" s="346"/>
      <c r="I177" s="346">
        <v>32592.883333333335</v>
      </c>
      <c r="J177" s="346">
        <v>59912</v>
      </c>
      <c r="K177" s="351">
        <v>536443</v>
      </c>
      <c r="L177" s="137">
        <f t="shared" si="32"/>
        <v>1351787.9833333334</v>
      </c>
      <c r="M177" s="352">
        <v>268557.89999999997</v>
      </c>
      <c r="N177" s="140">
        <v>44760.4</v>
      </c>
      <c r="O177" s="137">
        <f t="shared" si="40"/>
        <v>1038469.6833333335</v>
      </c>
      <c r="P177" s="133"/>
      <c r="Q177" s="362">
        <f>33694+129.8</f>
        <v>33823.800000000003</v>
      </c>
      <c r="R177" s="137">
        <v>905361.26666666672</v>
      </c>
      <c r="S177" s="136">
        <v>4522.3</v>
      </c>
      <c r="T177" s="140">
        <f>SUM(Q177:S177)</f>
        <v>943707.36666666681</v>
      </c>
      <c r="U177" s="349"/>
      <c r="V177" s="133">
        <f>SUM(O177,T177)</f>
        <v>1982177.0500000003</v>
      </c>
      <c r="W177" s="140">
        <f t="shared" si="39"/>
        <v>1837833.7500000002</v>
      </c>
    </row>
    <row r="178" spans="1:27" s="145" customFormat="1">
      <c r="A178" s="839" t="s">
        <v>50</v>
      </c>
      <c r="B178" s="140">
        <v>-144480.39999999997</v>
      </c>
      <c r="C178" s="140">
        <f>146133-156052.6</f>
        <v>-9919.6000000000058</v>
      </c>
      <c r="D178" s="140" t="s">
        <v>88</v>
      </c>
      <c r="E178" s="140">
        <f t="shared" si="44"/>
        <v>-154399.99999999997</v>
      </c>
      <c r="F178" s="346">
        <v>194279.4</v>
      </c>
      <c r="G178" s="346">
        <f>459750.2+183740.4</f>
        <v>643490.6</v>
      </c>
      <c r="H178" s="346"/>
      <c r="I178" s="346">
        <v>30924.9</v>
      </c>
      <c r="J178" s="346">
        <v>57125.4</v>
      </c>
      <c r="K178" s="351">
        <v>535803.19999999995</v>
      </c>
      <c r="L178" s="137">
        <f t="shared" si="32"/>
        <v>1461623.5</v>
      </c>
      <c r="M178" s="352">
        <v>300060.10000000009</v>
      </c>
      <c r="N178" s="140">
        <v>49349</v>
      </c>
      <c r="O178" s="137">
        <f t="shared" si="40"/>
        <v>1112214.3999999999</v>
      </c>
      <c r="P178" s="133"/>
      <c r="Q178" s="362">
        <f>28633.1+129.8</f>
        <v>28762.899999999998</v>
      </c>
      <c r="R178" s="137">
        <v>859241.30000000016</v>
      </c>
      <c r="S178" s="136">
        <v>4937.3999999999996</v>
      </c>
      <c r="T178" s="140">
        <f>SUM(Q178:S178)</f>
        <v>892941.60000000021</v>
      </c>
      <c r="U178" s="349"/>
      <c r="V178" s="133">
        <f t="shared" ref="V178" si="45">SUM(O178,T178)</f>
        <v>2005156</v>
      </c>
      <c r="W178" s="140">
        <f t="shared" si="39"/>
        <v>1850756</v>
      </c>
    </row>
    <row r="179" spans="1:27" s="145" customFormat="1" ht="19.5">
      <c r="A179" s="839"/>
      <c r="B179" s="140"/>
      <c r="C179" s="140"/>
      <c r="D179" s="140"/>
      <c r="E179" s="140"/>
      <c r="F179" s="346"/>
      <c r="G179" s="346"/>
      <c r="H179" s="346"/>
      <c r="I179" s="346"/>
      <c r="J179" s="346"/>
      <c r="K179" s="351"/>
      <c r="L179" s="137"/>
      <c r="N179" s="140"/>
      <c r="O179" s="137"/>
      <c r="P179" s="133"/>
      <c r="Q179" s="362"/>
      <c r="R179" s="137"/>
      <c r="S179" s="136"/>
      <c r="T179" s="140"/>
      <c r="U179" s="349"/>
      <c r="V179" s="133"/>
      <c r="W179" s="140"/>
      <c r="X179" s="923"/>
      <c r="AA179" s="922"/>
    </row>
    <row r="180" spans="1:27" s="145" customFormat="1" ht="15.75">
      <c r="A180" s="839" t="s">
        <v>718</v>
      </c>
      <c r="B180" s="140">
        <v>-165010.79999999999</v>
      </c>
      <c r="C180" s="140">
        <v>-12497.699999999983</v>
      </c>
      <c r="D180" s="140" t="s">
        <v>88</v>
      </c>
      <c r="E180" s="140">
        <f t="shared" si="44"/>
        <v>-177508.49999999997</v>
      </c>
      <c r="F180" s="346">
        <v>154611.4</v>
      </c>
      <c r="G180" s="346">
        <v>662177.9</v>
      </c>
      <c r="H180" s="346"/>
      <c r="I180" s="346">
        <v>30922.7</v>
      </c>
      <c r="J180" s="346">
        <v>55732.1</v>
      </c>
      <c r="K180" s="351">
        <v>535163.30000000005</v>
      </c>
      <c r="L180" s="137">
        <f t="shared" si="32"/>
        <v>1438607.4</v>
      </c>
      <c r="M180" s="352">
        <v>273183.50000000006</v>
      </c>
      <c r="N180" s="140">
        <v>53988.5</v>
      </c>
      <c r="O180" s="137">
        <f t="shared" ref="O180:O186" si="46">+L180-M180-N180</f>
        <v>1111435.3999999999</v>
      </c>
      <c r="P180" s="133"/>
      <c r="Q180" s="362">
        <v>25425.200000000001</v>
      </c>
      <c r="R180" s="137">
        <v>861329.2</v>
      </c>
      <c r="S180" s="136">
        <v>4778.2</v>
      </c>
      <c r="T180" s="140">
        <f t="shared" ref="T180:T186" si="47">SUM(Q180:S180)</f>
        <v>891532.59999999986</v>
      </c>
      <c r="U180" s="349"/>
      <c r="V180" s="133">
        <f>SUM(O180,T180)</f>
        <v>2002967.9999999998</v>
      </c>
      <c r="W180" s="140">
        <f t="shared" si="39"/>
        <v>1825459.4999999998</v>
      </c>
    </row>
    <row r="181" spans="1:27" s="145" customFormat="1" ht="15.75">
      <c r="A181" s="839" t="s">
        <v>678</v>
      </c>
      <c r="B181" s="140">
        <v>-136269.40000000002</v>
      </c>
      <c r="C181" s="140">
        <v>7962.1999999999825</v>
      </c>
      <c r="D181" s="140" t="s">
        <v>88</v>
      </c>
      <c r="E181" s="140">
        <f t="shared" si="44"/>
        <v>-128307.20000000004</v>
      </c>
      <c r="F181" s="346">
        <v>156799.4</v>
      </c>
      <c r="G181" s="346">
        <v>689269.8</v>
      </c>
      <c r="H181" s="346"/>
      <c r="I181" s="346">
        <v>29447.3</v>
      </c>
      <c r="J181" s="346">
        <v>54338.8</v>
      </c>
      <c r="K181" s="351">
        <v>534523.4</v>
      </c>
      <c r="L181" s="137">
        <f t="shared" si="32"/>
        <v>1464378.7000000002</v>
      </c>
      <c r="M181" s="352">
        <v>274631.59999999998</v>
      </c>
      <c r="N181" s="140">
        <v>54895.000000000007</v>
      </c>
      <c r="O181" s="137">
        <f t="shared" si="46"/>
        <v>1134852.1000000001</v>
      </c>
      <c r="P181" s="133"/>
      <c r="Q181" s="362">
        <v>17299.899999999998</v>
      </c>
      <c r="R181" s="137">
        <v>893869.1</v>
      </c>
      <c r="S181" s="136">
        <v>4731.8</v>
      </c>
      <c r="T181" s="140">
        <f t="shared" si="47"/>
        <v>915900.8</v>
      </c>
      <c r="U181" s="349"/>
      <c r="V181" s="133">
        <f t="shared" ref="V181:V185" si="48">SUM(O181,T181)</f>
        <v>2050752.9000000001</v>
      </c>
      <c r="W181" s="140">
        <f t="shared" si="39"/>
        <v>1922445.7000000002</v>
      </c>
    </row>
    <row r="182" spans="1:27" s="145" customFormat="1" ht="15.75">
      <c r="A182" s="839" t="s">
        <v>685</v>
      </c>
      <c r="B182" s="140">
        <v>-180504.6</v>
      </c>
      <c r="C182" s="140">
        <v>10814.499999999913</v>
      </c>
      <c r="D182" s="140" t="s">
        <v>88</v>
      </c>
      <c r="E182" s="140">
        <f t="shared" si="44"/>
        <v>-169690.10000000009</v>
      </c>
      <c r="F182" s="346">
        <v>151279.20000000001</v>
      </c>
      <c r="G182" s="346">
        <v>716057.39999999991</v>
      </c>
      <c r="H182" s="346"/>
      <c r="I182" s="346">
        <v>29375</v>
      </c>
      <c r="J182" s="346">
        <v>52945.5</v>
      </c>
      <c r="K182" s="351">
        <v>533314.30000000005</v>
      </c>
      <c r="L182" s="137">
        <f t="shared" si="32"/>
        <v>1482971.4</v>
      </c>
      <c r="M182" s="352">
        <v>289721.30000000005</v>
      </c>
      <c r="N182" s="140">
        <v>56551.900000000009</v>
      </c>
      <c r="O182" s="137">
        <f t="shared" si="46"/>
        <v>1136698.2</v>
      </c>
      <c r="P182" s="133"/>
      <c r="Q182" s="362">
        <v>16032.599999999999</v>
      </c>
      <c r="R182" s="137">
        <v>887426.7</v>
      </c>
      <c r="S182" s="136">
        <v>5422.5</v>
      </c>
      <c r="T182" s="140">
        <f t="shared" si="47"/>
        <v>908881.79999999993</v>
      </c>
      <c r="U182" s="349"/>
      <c r="V182" s="133">
        <f t="shared" si="48"/>
        <v>2045580</v>
      </c>
      <c r="W182" s="140">
        <f t="shared" si="39"/>
        <v>1875889.9</v>
      </c>
    </row>
    <row r="183" spans="1:27" s="145" customFormat="1">
      <c r="A183" s="839" t="s">
        <v>695</v>
      </c>
      <c r="B183" s="140">
        <v>-152710.90000000002</v>
      </c>
      <c r="C183" s="140">
        <v>-4773.4999999999709</v>
      </c>
      <c r="D183" s="140" t="s">
        <v>88</v>
      </c>
      <c r="E183" s="140">
        <f t="shared" si="44"/>
        <v>-157484.4</v>
      </c>
      <c r="F183" s="346">
        <v>130576.4</v>
      </c>
      <c r="G183" s="346">
        <v>744753.10000000009</v>
      </c>
      <c r="H183" s="346"/>
      <c r="I183" s="346">
        <v>29973.800000000003</v>
      </c>
      <c r="J183" s="346">
        <v>52945.5</v>
      </c>
      <c r="K183" s="351">
        <v>532175.80000000005</v>
      </c>
      <c r="L183" s="137">
        <f t="shared" si="32"/>
        <v>1490424.6</v>
      </c>
      <c r="M183" s="352">
        <v>290273.2</v>
      </c>
      <c r="N183" s="140">
        <v>59990</v>
      </c>
      <c r="O183" s="137">
        <f t="shared" si="46"/>
        <v>1140161.4000000001</v>
      </c>
      <c r="P183" s="133"/>
      <c r="Q183" s="362">
        <v>14505.4</v>
      </c>
      <c r="R183" s="137">
        <v>891115.89999999991</v>
      </c>
      <c r="S183" s="136">
        <v>4964</v>
      </c>
      <c r="T183" s="140">
        <f t="shared" si="47"/>
        <v>910585.29999999993</v>
      </c>
      <c r="U183" s="349"/>
      <c r="V183" s="133">
        <f t="shared" si="48"/>
        <v>2050746.7000000002</v>
      </c>
      <c r="W183" s="140">
        <f t="shared" si="39"/>
        <v>1893262.3000000003</v>
      </c>
    </row>
    <row r="184" spans="1:27" s="145" customFormat="1">
      <c r="A184" s="839" t="s">
        <v>704</v>
      </c>
      <c r="B184" s="140">
        <v>-172751.40000000002</v>
      </c>
      <c r="C184" s="140">
        <v>-2357.6999999999825</v>
      </c>
      <c r="D184" s="140" t="s">
        <v>88</v>
      </c>
      <c r="E184" s="140">
        <f t="shared" si="44"/>
        <v>-175109.1</v>
      </c>
      <c r="F184" s="346">
        <v>134896.70000000001</v>
      </c>
      <c r="G184" s="346">
        <v>772226.09999999986</v>
      </c>
      <c r="H184" s="346"/>
      <c r="I184" s="346">
        <v>31280.6</v>
      </c>
      <c r="J184" s="346">
        <v>50158.9</v>
      </c>
      <c r="K184" s="351">
        <v>529757.5</v>
      </c>
      <c r="L184" s="137">
        <f t="shared" si="32"/>
        <v>1518319.7999999998</v>
      </c>
      <c r="M184" s="352">
        <v>293059.5</v>
      </c>
      <c r="N184" s="140">
        <v>59494.400000000001</v>
      </c>
      <c r="O184" s="137">
        <f t="shared" si="46"/>
        <v>1165765.8999999999</v>
      </c>
      <c r="P184" s="133"/>
      <c r="Q184" s="362">
        <v>14832.3</v>
      </c>
      <c r="R184" s="137">
        <v>882566.99999999988</v>
      </c>
      <c r="S184" s="136">
        <v>5359.7</v>
      </c>
      <c r="T184" s="140">
        <f t="shared" si="47"/>
        <v>902758.99999999988</v>
      </c>
      <c r="U184" s="349"/>
      <c r="V184" s="133">
        <f t="shared" si="48"/>
        <v>2068524.9</v>
      </c>
      <c r="W184" s="140">
        <f t="shared" si="39"/>
        <v>1893415.7999999998</v>
      </c>
    </row>
    <row r="185" spans="1:27" s="145" customFormat="1">
      <c r="A185" s="839" t="s">
        <v>716</v>
      </c>
      <c r="B185" s="140">
        <v>-175279.1</v>
      </c>
      <c r="C185" s="140">
        <v>-25976.599999999977</v>
      </c>
      <c r="D185" s="140" t="s">
        <v>88</v>
      </c>
      <c r="E185" s="140">
        <f t="shared" si="44"/>
        <v>-201255.69999999998</v>
      </c>
      <c r="F185" s="346">
        <v>201181.6</v>
      </c>
      <c r="G185" s="346">
        <v>799117.9</v>
      </c>
      <c r="H185" s="346"/>
      <c r="I185" s="346">
        <v>61961.200000000004</v>
      </c>
      <c r="J185" s="346">
        <v>50158.9</v>
      </c>
      <c r="K185" s="351">
        <v>529117.6</v>
      </c>
      <c r="L185" s="137">
        <f t="shared" si="32"/>
        <v>1641537.1999999997</v>
      </c>
      <c r="M185" s="352">
        <v>399287.60000000003</v>
      </c>
      <c r="N185" s="140">
        <v>53521.5</v>
      </c>
      <c r="O185" s="137">
        <f t="shared" si="46"/>
        <v>1188728.0999999996</v>
      </c>
      <c r="P185" s="133"/>
      <c r="Q185" s="362">
        <v>24405.8</v>
      </c>
      <c r="R185" s="137">
        <v>930561</v>
      </c>
      <c r="S185" s="136">
        <v>5533.2</v>
      </c>
      <c r="T185" s="140">
        <f t="shared" si="47"/>
        <v>960500</v>
      </c>
      <c r="U185" s="349"/>
      <c r="V185" s="133">
        <f t="shared" si="48"/>
        <v>2149228.0999999996</v>
      </c>
      <c r="W185" s="140">
        <f t="shared" si="39"/>
        <v>1947972.3999999997</v>
      </c>
    </row>
    <row r="186" spans="1:27" s="145" customFormat="1">
      <c r="A186" s="839" t="s">
        <v>736</v>
      </c>
      <c r="B186" s="140">
        <v>-174985.09999999998</v>
      </c>
      <c r="C186" s="140">
        <v>-24669.800000000017</v>
      </c>
      <c r="D186" s="140" t="s">
        <v>88</v>
      </c>
      <c r="E186" s="140">
        <f t="shared" si="44"/>
        <v>-199654.9</v>
      </c>
      <c r="F186" s="346">
        <v>162239</v>
      </c>
      <c r="G186" s="346">
        <v>802635.20000000007</v>
      </c>
      <c r="H186" s="346"/>
      <c r="I186" s="346">
        <v>62178.3</v>
      </c>
      <c r="J186" s="346">
        <v>48765.599999999999</v>
      </c>
      <c r="K186" s="351">
        <v>528548.4</v>
      </c>
      <c r="L186" s="137">
        <f t="shared" si="32"/>
        <v>1604366.5</v>
      </c>
      <c r="M186" s="352">
        <v>355865.2</v>
      </c>
      <c r="N186" s="140">
        <v>41627</v>
      </c>
      <c r="O186" s="137">
        <f t="shared" si="46"/>
        <v>1206874.3</v>
      </c>
      <c r="P186" s="133"/>
      <c r="Q186" s="362">
        <v>27074.999999999996</v>
      </c>
      <c r="R186" s="137">
        <v>960570.70000000007</v>
      </c>
      <c r="S186" s="136">
        <v>5486.6</v>
      </c>
      <c r="T186" s="140">
        <f t="shared" si="47"/>
        <v>993132.3</v>
      </c>
      <c r="U186" s="349"/>
      <c r="V186" s="133">
        <f>SUM(O186,T186)</f>
        <v>2200006.6</v>
      </c>
      <c r="W186" s="140">
        <f t="shared" si="39"/>
        <v>2000351.7000000002</v>
      </c>
    </row>
    <row r="187" spans="1:27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</row>
    <row r="188" spans="1:27">
      <c r="A188" s="324"/>
      <c r="B188" s="355"/>
      <c r="C188" s="355"/>
      <c r="D188" s="355"/>
      <c r="E188" s="355"/>
      <c r="F188" s="355"/>
      <c r="G188" s="355"/>
      <c r="H188" s="355"/>
      <c r="I188" s="356"/>
      <c r="J188" s="355"/>
      <c r="K188" s="355"/>
      <c r="L188" s="355"/>
      <c r="M188" s="355"/>
      <c r="N188" s="355"/>
      <c r="O188" s="355"/>
      <c r="P188" s="355"/>
      <c r="Q188" s="355"/>
      <c r="R188" s="355"/>
      <c r="S188" s="357"/>
      <c r="T188" s="355"/>
      <c r="U188" s="355"/>
      <c r="V188" s="355"/>
      <c r="W188" s="358"/>
    </row>
    <row r="189" spans="1:27" hidden="1">
      <c r="A189" s="270" t="s">
        <v>605</v>
      </c>
      <c r="B189" s="359"/>
      <c r="C189" s="359"/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60"/>
      <c r="T189" s="359"/>
      <c r="U189" s="359"/>
      <c r="V189" s="359"/>
      <c r="W189" s="361"/>
    </row>
    <row r="190" spans="1:27">
      <c r="A190" s="94" t="s">
        <v>660</v>
      </c>
      <c r="B190" s="350"/>
      <c r="C190" s="350"/>
      <c r="D190" s="350"/>
      <c r="E190" s="350"/>
      <c r="F190" s="350"/>
      <c r="G190" s="350"/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761"/>
      <c r="T190" s="350"/>
      <c r="U190" s="350"/>
      <c r="V190" s="350"/>
      <c r="W190" s="402"/>
    </row>
    <row r="191" spans="1:27">
      <c r="A191" s="94" t="s">
        <v>652</v>
      </c>
      <c r="B191" s="350"/>
      <c r="C191" s="350"/>
      <c r="D191" s="350"/>
      <c r="E191" s="350"/>
      <c r="F191" s="350"/>
      <c r="G191" s="350"/>
      <c r="H191" s="350"/>
      <c r="I191" s="350"/>
      <c r="J191" s="350"/>
      <c r="K191" s="350"/>
      <c r="L191" s="350"/>
      <c r="M191" s="350"/>
      <c r="N191" s="350"/>
      <c r="O191" s="350"/>
      <c r="P191" s="350"/>
      <c r="Q191" s="350"/>
      <c r="R191" s="350"/>
      <c r="S191" s="761"/>
      <c r="T191" s="350"/>
      <c r="U191" s="350"/>
      <c r="V191" s="350"/>
      <c r="W191" s="402"/>
    </row>
    <row r="192" spans="1:27">
      <c r="A192" s="270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762"/>
      <c r="T192" s="104"/>
      <c r="U192" s="104"/>
      <c r="V192" s="104"/>
      <c r="W192" s="122"/>
    </row>
  </sheetData>
  <mergeCells count="6">
    <mergeCell ref="B6:E6"/>
    <mergeCell ref="C2:V2"/>
    <mergeCell ref="C3:V3"/>
    <mergeCell ref="Q8:T8"/>
    <mergeCell ref="F8:P8"/>
    <mergeCell ref="F6:V6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0"/>
  <sheetViews>
    <sheetView showGridLines="0" view="pageBreakPreview" topLeftCell="A43" zoomScale="80" zoomScaleNormal="100" zoomScaleSheetLayoutView="80" workbookViewId="0">
      <selection activeCell="A51" sqref="A51"/>
    </sheetView>
  </sheetViews>
  <sheetFormatPr defaultColWidth="13.88671875" defaultRowHeight="12.75"/>
  <cols>
    <col min="1" max="1" width="27.5546875" style="69" customWidth="1"/>
    <col min="2" max="2" width="10.33203125" style="69" bestFit="1" customWidth="1"/>
    <col min="3" max="3" width="12.33203125" style="69" bestFit="1" customWidth="1"/>
    <col min="4" max="5" width="10.109375" style="69" bestFit="1" customWidth="1"/>
    <col min="6" max="6" width="11.77734375" style="69" bestFit="1" customWidth="1"/>
    <col min="7" max="7" width="10.33203125" style="88" bestFit="1" customWidth="1"/>
    <col min="8" max="8" width="11.77734375" style="69" bestFit="1" customWidth="1"/>
    <col min="9" max="9" width="9" style="69" bestFit="1" customWidth="1"/>
    <col min="10" max="10" width="10.77734375" style="69" bestFit="1" customWidth="1"/>
    <col min="11" max="11" width="11.21875" style="69" bestFit="1" customWidth="1"/>
    <col min="12" max="12" width="14" style="69" hidden="1" customWidth="1"/>
    <col min="13" max="13" width="10.6640625" style="139" bestFit="1" customWidth="1"/>
    <col min="14" max="14" width="10.109375" style="69" bestFit="1" customWidth="1"/>
    <col min="15" max="15" width="12.6640625" style="69" bestFit="1" customWidth="1"/>
    <col min="16" max="16384" width="13.88671875" style="69"/>
  </cols>
  <sheetData>
    <row r="1" spans="1:16">
      <c r="A1" s="95"/>
      <c r="B1" s="96"/>
      <c r="C1" s="96"/>
      <c r="D1" s="96"/>
      <c r="E1" s="96"/>
      <c r="F1" s="96"/>
      <c r="G1" s="338"/>
      <c r="H1" s="96"/>
      <c r="I1" s="96"/>
      <c r="J1" s="96"/>
      <c r="K1" s="96"/>
      <c r="L1" s="96"/>
      <c r="M1" s="364"/>
      <c r="N1" s="96"/>
      <c r="O1" s="365" t="s">
        <v>0</v>
      </c>
    </row>
    <row r="2" spans="1:16">
      <c r="A2" s="928" t="s">
        <v>140</v>
      </c>
      <c r="B2" s="328"/>
      <c r="C2" s="1210" t="s">
        <v>249</v>
      </c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330" t="s">
        <v>286</v>
      </c>
    </row>
    <row r="3" spans="1:16">
      <c r="A3" s="70"/>
      <c r="B3" s="86" t="s">
        <v>0</v>
      </c>
      <c r="C3" s="1210" t="s">
        <v>457</v>
      </c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330"/>
    </row>
    <row r="4" spans="1:16">
      <c r="A4" s="75"/>
      <c r="B4" s="76"/>
      <c r="C4" s="76"/>
      <c r="D4" s="76"/>
      <c r="E4" s="76"/>
      <c r="F4" s="76"/>
      <c r="G4" s="342"/>
      <c r="H4" s="76"/>
      <c r="I4" s="76"/>
      <c r="J4" s="76"/>
      <c r="K4" s="76"/>
      <c r="L4" s="76"/>
      <c r="M4" s="366"/>
      <c r="N4" s="76"/>
      <c r="O4" s="79"/>
      <c r="P4" s="251"/>
    </row>
    <row r="5" spans="1:16" ht="15.75" customHeight="1">
      <c r="A5" s="95"/>
      <c r="B5" s="367"/>
      <c r="C5" s="368"/>
      <c r="D5" s="368"/>
      <c r="E5" s="368"/>
      <c r="F5" s="368"/>
      <c r="G5" s="369"/>
      <c r="H5" s="370"/>
      <c r="I5" s="96"/>
      <c r="J5" s="96"/>
      <c r="K5" s="96"/>
      <c r="L5" s="96"/>
      <c r="M5" s="364"/>
      <c r="N5" s="98"/>
      <c r="O5" s="100"/>
    </row>
    <row r="6" spans="1:16">
      <c r="A6" s="84" t="s">
        <v>264</v>
      </c>
      <c r="B6" s="1226" t="s">
        <v>265</v>
      </c>
      <c r="C6" s="1227"/>
      <c r="D6" s="1227"/>
      <c r="E6" s="1227"/>
      <c r="F6" s="1227"/>
      <c r="G6" s="1227"/>
      <c r="H6" s="1228"/>
      <c r="I6" s="1190" t="s">
        <v>276</v>
      </c>
      <c r="J6" s="1191"/>
      <c r="K6" s="1191"/>
      <c r="L6" s="1191"/>
      <c r="M6" s="1191"/>
      <c r="N6" s="1192"/>
      <c r="O6" s="247" t="s">
        <v>74</v>
      </c>
    </row>
    <row r="7" spans="1:16">
      <c r="A7" s="94"/>
      <c r="B7" s="371"/>
      <c r="C7" s="372"/>
      <c r="D7" s="372"/>
      <c r="E7" s="372"/>
      <c r="F7" s="372"/>
      <c r="G7" s="373"/>
      <c r="H7" s="116"/>
      <c r="I7" s="107"/>
      <c r="J7" s="71"/>
      <c r="K7" s="107"/>
      <c r="L7" s="107"/>
      <c r="M7" s="374"/>
      <c r="N7" s="284"/>
      <c r="O7" s="247" t="s">
        <v>140</v>
      </c>
    </row>
    <row r="8" spans="1:16">
      <c r="A8" s="94"/>
      <c r="B8" s="1196" t="s">
        <v>266</v>
      </c>
      <c r="C8" s="1197"/>
      <c r="D8" s="1197"/>
      <c r="E8" s="1197"/>
      <c r="F8" s="1229"/>
      <c r="G8" s="375" t="s">
        <v>29</v>
      </c>
      <c r="H8" s="108" t="s">
        <v>9</v>
      </c>
      <c r="I8" s="107"/>
      <c r="J8" s="71"/>
      <c r="K8" s="107"/>
      <c r="L8" s="107"/>
      <c r="M8" s="376"/>
      <c r="N8" s="82"/>
      <c r="O8" s="80"/>
    </row>
    <row r="9" spans="1:16">
      <c r="A9" s="377"/>
      <c r="B9" s="378"/>
      <c r="C9" s="379"/>
      <c r="D9" s="379"/>
      <c r="E9" s="379"/>
      <c r="F9" s="380"/>
      <c r="G9" s="381" t="s">
        <v>188</v>
      </c>
      <c r="H9" s="112"/>
      <c r="I9" s="71"/>
      <c r="J9" s="104"/>
      <c r="K9" s="78"/>
      <c r="L9" s="382"/>
      <c r="M9" s="300"/>
      <c r="N9" s="122"/>
      <c r="O9" s="80"/>
    </row>
    <row r="10" spans="1:16" ht="15.75" customHeight="1">
      <c r="A10" s="377"/>
      <c r="B10" s="383"/>
      <c r="C10" s="384" t="s">
        <v>267</v>
      </c>
      <c r="D10" s="385"/>
      <c r="E10" s="386" t="s">
        <v>268</v>
      </c>
      <c r="F10" s="108" t="s">
        <v>223</v>
      </c>
      <c r="G10" s="387" t="s">
        <v>128</v>
      </c>
      <c r="H10" s="106"/>
      <c r="I10" s="388" t="s">
        <v>277</v>
      </c>
      <c r="J10" s="389" t="s">
        <v>278</v>
      </c>
      <c r="K10" s="385" t="s">
        <v>280</v>
      </c>
      <c r="L10" s="390" t="s">
        <v>224</v>
      </c>
      <c r="M10" s="391" t="s">
        <v>280</v>
      </c>
      <c r="N10" s="109" t="s">
        <v>9</v>
      </c>
      <c r="O10" s="80"/>
    </row>
    <row r="11" spans="1:16">
      <c r="A11" s="94"/>
      <c r="B11" s="118"/>
      <c r="C11" s="372"/>
      <c r="D11" s="392"/>
      <c r="E11" s="116" t="s">
        <v>269</v>
      </c>
      <c r="F11" s="112"/>
      <c r="G11" s="387" t="s">
        <v>189</v>
      </c>
      <c r="H11" s="106"/>
      <c r="I11" s="245" t="s">
        <v>193</v>
      </c>
      <c r="J11" s="393" t="s">
        <v>279</v>
      </c>
      <c r="K11" s="392" t="s">
        <v>284</v>
      </c>
      <c r="L11" s="284" t="s">
        <v>225</v>
      </c>
      <c r="M11" s="394" t="s">
        <v>281</v>
      </c>
      <c r="N11" s="115"/>
      <c r="O11" s="80"/>
    </row>
    <row r="12" spans="1:16">
      <c r="A12" s="377"/>
      <c r="B12" s="378"/>
      <c r="C12" s="379"/>
      <c r="D12" s="380"/>
      <c r="E12" s="380"/>
      <c r="F12" s="106"/>
      <c r="G12" s="387"/>
      <c r="H12" s="106"/>
      <c r="I12" s="115"/>
      <c r="J12" s="82"/>
      <c r="K12" s="392" t="s">
        <v>285</v>
      </c>
      <c r="L12" s="284" t="s">
        <v>226</v>
      </c>
      <c r="M12" s="395"/>
      <c r="N12" s="115"/>
      <c r="O12" s="80"/>
    </row>
    <row r="13" spans="1:16">
      <c r="A13" s="94" t="s">
        <v>34</v>
      </c>
      <c r="B13" s="108" t="s">
        <v>270</v>
      </c>
      <c r="C13" s="386" t="s">
        <v>271</v>
      </c>
      <c r="D13" s="386" t="s">
        <v>221</v>
      </c>
      <c r="E13" s="386" t="s">
        <v>272</v>
      </c>
      <c r="F13" s="112"/>
      <c r="G13" s="381"/>
      <c r="H13" s="112"/>
      <c r="I13" s="80"/>
      <c r="J13" s="82"/>
      <c r="K13" s="396" t="s">
        <v>283</v>
      </c>
      <c r="L13" s="284" t="s">
        <v>227</v>
      </c>
      <c r="M13" s="397"/>
      <c r="N13" s="80"/>
      <c r="O13" s="80"/>
    </row>
    <row r="14" spans="1:16">
      <c r="A14" s="94"/>
      <c r="B14" s="106" t="s">
        <v>273</v>
      </c>
      <c r="C14" s="116" t="s">
        <v>274</v>
      </c>
      <c r="D14" s="392"/>
      <c r="E14" s="116" t="s">
        <v>187</v>
      </c>
      <c r="F14" s="112"/>
      <c r="G14" s="381"/>
      <c r="H14" s="112"/>
      <c r="I14" s="80"/>
      <c r="J14" s="82"/>
      <c r="K14" s="392" t="s">
        <v>247</v>
      </c>
      <c r="L14" s="83" t="s">
        <v>228</v>
      </c>
      <c r="M14" s="397"/>
      <c r="N14" s="80"/>
      <c r="O14" s="80"/>
    </row>
    <row r="15" spans="1:16">
      <c r="A15" s="94"/>
      <c r="B15" s="106" t="s">
        <v>275</v>
      </c>
      <c r="C15" s="116"/>
      <c r="D15" s="392"/>
      <c r="E15" s="116" t="s">
        <v>128</v>
      </c>
      <c r="F15" s="112"/>
      <c r="G15" s="381"/>
      <c r="H15" s="112"/>
      <c r="I15" s="80"/>
      <c r="J15" s="82"/>
      <c r="K15" s="398"/>
      <c r="L15" s="83" t="s">
        <v>229</v>
      </c>
      <c r="M15" s="397"/>
      <c r="N15" s="80"/>
      <c r="O15" s="80"/>
    </row>
    <row r="16" spans="1:16">
      <c r="A16" s="94"/>
      <c r="B16" s="106" t="s">
        <v>236</v>
      </c>
      <c r="C16" s="116"/>
      <c r="D16" s="392"/>
      <c r="E16" s="116"/>
      <c r="F16" s="112"/>
      <c r="G16" s="381"/>
      <c r="H16" s="112"/>
      <c r="I16" s="80"/>
      <c r="J16" s="82"/>
      <c r="K16" s="82"/>
      <c r="L16" s="82"/>
      <c r="M16" s="397"/>
      <c r="N16" s="80"/>
      <c r="O16" s="80"/>
    </row>
    <row r="17" spans="1:15" ht="0.75" customHeight="1">
      <c r="A17" s="354"/>
      <c r="B17" s="253"/>
      <c r="C17" s="79"/>
      <c r="D17" s="79"/>
      <c r="E17" s="79"/>
      <c r="F17" s="253"/>
      <c r="G17" s="399"/>
      <c r="H17" s="253"/>
      <c r="I17" s="253"/>
      <c r="J17" s="79"/>
      <c r="K17" s="79"/>
      <c r="L17" s="79"/>
      <c r="M17" s="400"/>
      <c r="N17" s="253"/>
      <c r="O17" s="343"/>
    </row>
    <row r="18" spans="1:15" s="1174" customFormat="1">
      <c r="A18" s="1172"/>
      <c r="B18" s="1173"/>
      <c r="C18" s="1172"/>
      <c r="D18" s="1172"/>
      <c r="E18" s="1172"/>
      <c r="F18" s="1172"/>
      <c r="G18" s="1172"/>
      <c r="H18" s="1172"/>
      <c r="I18" s="1172"/>
      <c r="J18" s="1172"/>
      <c r="K18" s="1172"/>
      <c r="L18" s="1172"/>
      <c r="M18" s="1172"/>
      <c r="N18" s="1172"/>
      <c r="O18" s="1172"/>
    </row>
    <row r="19" spans="1:15" s="1174" customFormat="1" hidden="1">
      <c r="A19" s="1175" t="s">
        <v>119</v>
      </c>
      <c r="B19" s="948">
        <v>112623.7</v>
      </c>
      <c r="C19" s="948">
        <v>207061.90000000005</v>
      </c>
      <c r="D19" s="947">
        <f t="shared" ref="D19:D20" si="0">SUM(B19:C19)</f>
        <v>319685.60000000003</v>
      </c>
      <c r="E19" s="1100">
        <v>99838.999999999985</v>
      </c>
      <c r="F19" s="947">
        <f t="shared" ref="F19:F20" si="1">D19+E19</f>
        <v>419524.60000000003</v>
      </c>
      <c r="G19" s="945">
        <v>63073.699999999953</v>
      </c>
      <c r="H19" s="1100">
        <f t="shared" ref="H19:H20" si="2">F19+G19</f>
        <v>482598.3</v>
      </c>
      <c r="I19" s="948">
        <v>5225.7</v>
      </c>
      <c r="J19" s="1100">
        <v>142416.4</v>
      </c>
      <c r="K19" s="1101">
        <v>-1373.0999999999985</v>
      </c>
      <c r="L19" s="946" t="s">
        <v>88</v>
      </c>
      <c r="M19" s="1102">
        <v>11118.499999999993</v>
      </c>
      <c r="N19" s="1103">
        <f t="shared" ref="N19:N20" si="3">SUM(I19:M19)</f>
        <v>157387.5</v>
      </c>
      <c r="O19" s="947">
        <f t="shared" ref="O19:O20" si="4">H19+N19</f>
        <v>639985.80000000005</v>
      </c>
    </row>
    <row r="20" spans="1:15" s="1174" customFormat="1" hidden="1">
      <c r="A20" s="1176" t="s">
        <v>120</v>
      </c>
      <c r="B20" s="948">
        <v>120915.70000000001</v>
      </c>
      <c r="C20" s="948">
        <v>246210.90000000002</v>
      </c>
      <c r="D20" s="947">
        <f t="shared" si="0"/>
        <v>367126.60000000003</v>
      </c>
      <c r="E20" s="1100">
        <v>116937.90000000001</v>
      </c>
      <c r="F20" s="947">
        <f t="shared" si="1"/>
        <v>484064.50000000006</v>
      </c>
      <c r="G20" s="945">
        <v>81245.400000000009</v>
      </c>
      <c r="H20" s="1100">
        <f t="shared" si="2"/>
        <v>565309.9</v>
      </c>
      <c r="I20" s="948">
        <v>3627.5</v>
      </c>
      <c r="J20" s="1100">
        <v>167498.00000000003</v>
      </c>
      <c r="K20" s="1101">
        <v>1713.6999999999935</v>
      </c>
      <c r="L20" s="946" t="s">
        <v>88</v>
      </c>
      <c r="M20" s="1102">
        <v>34702.600000000006</v>
      </c>
      <c r="N20" s="1103">
        <f t="shared" si="3"/>
        <v>207541.80000000002</v>
      </c>
      <c r="O20" s="947">
        <f t="shared" si="4"/>
        <v>772851.70000000007</v>
      </c>
    </row>
    <row r="21" spans="1:15" s="1174" customFormat="1" hidden="1">
      <c r="A21" s="1177" t="s">
        <v>7</v>
      </c>
      <c r="B21" s="948">
        <v>138053.90000000002</v>
      </c>
      <c r="C21" s="948">
        <v>325647.41550299997</v>
      </c>
      <c r="D21" s="948">
        <v>463701.31550299999</v>
      </c>
      <c r="E21" s="948">
        <v>153042.70000000001</v>
      </c>
      <c r="F21" s="948">
        <v>616744.015503</v>
      </c>
      <c r="G21" s="948">
        <v>89619.9</v>
      </c>
      <c r="H21" s="948">
        <v>706363.91550300003</v>
      </c>
      <c r="I21" s="948">
        <v>10515.6</v>
      </c>
      <c r="J21" s="1104">
        <v>172514.8</v>
      </c>
      <c r="K21" s="948">
        <v>4306.184497000002</v>
      </c>
      <c r="L21" s="939" t="s">
        <v>88</v>
      </c>
      <c r="M21" s="1105">
        <v>40475.69999999999</v>
      </c>
      <c r="N21" s="1103">
        <v>227812.28449699999</v>
      </c>
      <c r="O21" s="947">
        <v>934176.2</v>
      </c>
    </row>
    <row r="22" spans="1:15" s="1174" customFormat="1" hidden="1">
      <c r="A22" s="1177" t="s">
        <v>8</v>
      </c>
      <c r="B22" s="948">
        <v>152063.9</v>
      </c>
      <c r="C22" s="948">
        <v>324233.86666666658</v>
      </c>
      <c r="D22" s="948">
        <v>476297.7666666666</v>
      </c>
      <c r="E22" s="948">
        <v>190372.39999999997</v>
      </c>
      <c r="F22" s="948">
        <v>666670.16666666651</v>
      </c>
      <c r="G22" s="948">
        <v>89131.400000000009</v>
      </c>
      <c r="H22" s="948">
        <v>755801.56666666653</v>
      </c>
      <c r="I22" s="948">
        <v>12302.2</v>
      </c>
      <c r="J22" s="1104">
        <v>216433.19999999998</v>
      </c>
      <c r="K22" s="948">
        <v>11012.400000000005</v>
      </c>
      <c r="L22" s="946" t="s">
        <v>88</v>
      </c>
      <c r="M22" s="1105">
        <v>58662.633333333324</v>
      </c>
      <c r="N22" s="1103">
        <v>298410.43333333329</v>
      </c>
      <c r="O22" s="947">
        <v>1054211.9999999998</v>
      </c>
    </row>
    <row r="23" spans="1:15" s="1174" customFormat="1" hidden="1">
      <c r="A23" s="1177" t="s">
        <v>10</v>
      </c>
      <c r="B23" s="948">
        <v>170995.69999999998</v>
      </c>
      <c r="C23" s="948">
        <v>351213.60000000003</v>
      </c>
      <c r="D23" s="948">
        <v>522209.30000000005</v>
      </c>
      <c r="E23" s="948">
        <v>221036.7</v>
      </c>
      <c r="F23" s="948">
        <v>743246</v>
      </c>
      <c r="G23" s="948">
        <v>134007.29999999999</v>
      </c>
      <c r="H23" s="948">
        <v>877253.3</v>
      </c>
      <c r="I23" s="948">
        <v>15658.2</v>
      </c>
      <c r="J23" s="1104">
        <v>271963.90000000002</v>
      </c>
      <c r="K23" s="948">
        <v>2397.2999999999884</v>
      </c>
      <c r="L23" s="946" t="s">
        <v>88</v>
      </c>
      <c r="M23" s="1105">
        <v>14404.000000000002</v>
      </c>
      <c r="N23" s="1103">
        <v>304423.40000000002</v>
      </c>
      <c r="O23" s="947">
        <v>1181676.7000000002</v>
      </c>
    </row>
    <row r="24" spans="1:15" s="1174" customFormat="1">
      <c r="A24" s="1177" t="s">
        <v>11</v>
      </c>
      <c r="B24" s="948">
        <v>184204.80000000002</v>
      </c>
      <c r="C24" s="948">
        <v>402424.5</v>
      </c>
      <c r="D24" s="948">
        <v>586629.30000000005</v>
      </c>
      <c r="E24" s="948">
        <v>264023.3</v>
      </c>
      <c r="F24" s="948">
        <v>850652.60000000009</v>
      </c>
      <c r="G24" s="948">
        <v>136096.19999999998</v>
      </c>
      <c r="H24" s="948">
        <v>986748.8</v>
      </c>
      <c r="I24" s="948">
        <v>7533</v>
      </c>
      <c r="J24" s="1104">
        <v>290526</v>
      </c>
      <c r="K24" s="948">
        <v>-4717.4000000000124</v>
      </c>
      <c r="L24" s="946"/>
      <c r="M24" s="1105">
        <v>4645.9000000000397</v>
      </c>
      <c r="N24" s="1103">
        <v>297987.5</v>
      </c>
      <c r="O24" s="947">
        <v>1284736.3</v>
      </c>
    </row>
    <row r="25" spans="1:15" s="1174" customFormat="1">
      <c r="A25" s="1177" t="s">
        <v>13</v>
      </c>
      <c r="B25" s="948">
        <v>195557.80000000002</v>
      </c>
      <c r="C25" s="948">
        <v>458310.60000000003</v>
      </c>
      <c r="D25" s="948">
        <v>653868.4</v>
      </c>
      <c r="E25" s="948">
        <v>288594.30000000005</v>
      </c>
      <c r="F25" s="948">
        <v>942462.70000000007</v>
      </c>
      <c r="G25" s="948">
        <v>164626.70000000004</v>
      </c>
      <c r="H25" s="948">
        <v>1107089.4000000001</v>
      </c>
      <c r="I25" s="948">
        <v>9222.6</v>
      </c>
      <c r="J25" s="1104">
        <v>357476.6</v>
      </c>
      <c r="K25" s="948">
        <v>-2478.5999999999822</v>
      </c>
      <c r="L25" s="946"/>
      <c r="M25" s="1105">
        <v>-48695.8</v>
      </c>
      <c r="N25" s="1103">
        <v>315524.8</v>
      </c>
      <c r="O25" s="947">
        <v>1422614.2000000002</v>
      </c>
    </row>
    <row r="26" spans="1:15" s="1174" customFormat="1">
      <c r="A26" s="1177" t="s">
        <v>14</v>
      </c>
      <c r="B26" s="948">
        <v>202888.4</v>
      </c>
      <c r="C26" s="948">
        <v>440851.1999999999</v>
      </c>
      <c r="D26" s="948">
        <v>643739.59999999986</v>
      </c>
      <c r="E26" s="948">
        <v>327388.60000000003</v>
      </c>
      <c r="F26" s="948">
        <v>971128.2</v>
      </c>
      <c r="G26" s="948">
        <v>135251.80000000002</v>
      </c>
      <c r="H26" s="948">
        <v>1106380</v>
      </c>
      <c r="I26" s="948">
        <v>5645.1</v>
      </c>
      <c r="J26" s="1104">
        <v>386204.69999999995</v>
      </c>
      <c r="K26" s="948">
        <v>-8712.7000000000025</v>
      </c>
      <c r="L26" s="946"/>
      <c r="M26" s="1105">
        <v>-58999.399999999972</v>
      </c>
      <c r="N26" s="1103">
        <v>324137.69999999995</v>
      </c>
      <c r="O26" s="947">
        <v>1430517.7</v>
      </c>
    </row>
    <row r="27" spans="1:15" s="1174" customFormat="1">
      <c r="A27" s="1178">
        <v>2016</v>
      </c>
      <c r="B27" s="948">
        <v>231253.8</v>
      </c>
      <c r="C27" s="948">
        <v>579093.39986500004</v>
      </c>
      <c r="D27" s="947">
        <v>810347.19986500009</v>
      </c>
      <c r="E27" s="948">
        <v>282784.59999999998</v>
      </c>
      <c r="F27" s="947">
        <v>1093131.7998649999</v>
      </c>
      <c r="G27" s="945">
        <v>93970.000135000024</v>
      </c>
      <c r="H27" s="1100">
        <v>1187101.8</v>
      </c>
      <c r="I27" s="948">
        <v>12385</v>
      </c>
      <c r="J27" s="1104">
        <v>412697.8</v>
      </c>
      <c r="K27" s="1101">
        <v>-4376.2000000000262</v>
      </c>
      <c r="L27" s="944"/>
      <c r="M27" s="1101">
        <v>-17209.100000000042</v>
      </c>
      <c r="N27" s="1103">
        <v>403497.49999999994</v>
      </c>
      <c r="O27" s="947">
        <v>1590599.3</v>
      </c>
    </row>
    <row r="28" spans="1:15" s="1174" customFormat="1">
      <c r="A28" s="1178">
        <v>2017</v>
      </c>
      <c r="B28" s="948">
        <v>263500.5</v>
      </c>
      <c r="C28" s="948">
        <v>732242.5</v>
      </c>
      <c r="D28" s="947">
        <f t="shared" ref="D28" si="5">SUM(B28:C28)</f>
        <v>995743</v>
      </c>
      <c r="E28" s="948">
        <v>345184</v>
      </c>
      <c r="F28" s="947">
        <f t="shared" ref="F28" si="6">D28+E28</f>
        <v>1340927</v>
      </c>
      <c r="G28" s="945">
        <v>158586.29999999999</v>
      </c>
      <c r="H28" s="1100">
        <f t="shared" ref="H28" si="7">F28+G28</f>
        <v>1499513.3</v>
      </c>
      <c r="I28" s="948">
        <v>17665.900000000001</v>
      </c>
      <c r="J28" s="1104">
        <v>419159.7</v>
      </c>
      <c r="K28" s="1101">
        <v>-3474.5</v>
      </c>
      <c r="L28" s="944"/>
      <c r="M28" s="1105">
        <v>-82108.399999999994</v>
      </c>
      <c r="N28" s="1103">
        <f t="shared" ref="N28" si="8">SUM(I28:M28)</f>
        <v>351242.70000000007</v>
      </c>
      <c r="O28" s="947">
        <f t="shared" ref="O28" si="9">H28+N28</f>
        <v>1850756</v>
      </c>
    </row>
    <row r="29" spans="1:15" s="1174" customFormat="1">
      <c r="A29" s="1178"/>
      <c r="B29" s="948"/>
      <c r="C29" s="948"/>
      <c r="D29" s="947"/>
      <c r="E29" s="1100"/>
      <c r="F29" s="947"/>
      <c r="G29" s="945"/>
      <c r="H29" s="1100"/>
      <c r="I29" s="948"/>
      <c r="J29" s="1100"/>
      <c r="K29" s="947"/>
      <c r="L29" s="946"/>
      <c r="M29" s="1102"/>
      <c r="N29" s="1103"/>
      <c r="O29" s="947"/>
    </row>
    <row r="30" spans="1:15" s="1174" customFormat="1" hidden="1">
      <c r="A30" s="1179" t="s">
        <v>61</v>
      </c>
      <c r="B30" s="948">
        <v>169547.19999999998</v>
      </c>
      <c r="C30" s="948">
        <v>383013.09999999992</v>
      </c>
      <c r="D30" s="948">
        <v>552560.29999999993</v>
      </c>
      <c r="E30" s="948">
        <v>285613.15000000002</v>
      </c>
      <c r="F30" s="948">
        <v>838173.45</v>
      </c>
      <c r="G30" s="948">
        <v>150060.39999999991</v>
      </c>
      <c r="H30" s="948">
        <v>988233.84999999986</v>
      </c>
      <c r="I30" s="948">
        <v>6602.2</v>
      </c>
      <c r="J30" s="1104">
        <v>289554.22499999998</v>
      </c>
      <c r="K30" s="948">
        <v>-9090.8500000000186</v>
      </c>
      <c r="L30" s="946"/>
      <c r="M30" s="1105">
        <v>339.02500000002533</v>
      </c>
      <c r="N30" s="1103">
        <v>287404.59999999998</v>
      </c>
      <c r="O30" s="947">
        <v>1275638.4499999997</v>
      </c>
    </row>
    <row r="31" spans="1:15" s="1174" customFormat="1" hidden="1">
      <c r="A31" s="1179" t="s">
        <v>62</v>
      </c>
      <c r="B31" s="948">
        <v>191954.09999999998</v>
      </c>
      <c r="C31" s="948">
        <v>422341.60000000003</v>
      </c>
      <c r="D31" s="948">
        <v>614295.69999999995</v>
      </c>
      <c r="E31" s="948">
        <v>290332</v>
      </c>
      <c r="F31" s="948">
        <v>904627.7</v>
      </c>
      <c r="G31" s="948">
        <v>145971.70000000001</v>
      </c>
      <c r="H31" s="948">
        <v>1050599.3999999999</v>
      </c>
      <c r="I31" s="948">
        <v>2743.8</v>
      </c>
      <c r="J31" s="1104">
        <v>326418.64999999997</v>
      </c>
      <c r="K31" s="948">
        <v>-1666.1999999999935</v>
      </c>
      <c r="L31" s="946"/>
      <c r="M31" s="1105">
        <v>-21981.850000000006</v>
      </c>
      <c r="N31" s="1103">
        <v>305514.39999999991</v>
      </c>
      <c r="O31" s="947">
        <v>1356113.7999999998</v>
      </c>
    </row>
    <row r="32" spans="1:15" s="1174" customFormat="1" hidden="1">
      <c r="A32" s="1179" t="s">
        <v>63</v>
      </c>
      <c r="B32" s="948">
        <v>186501.79166666666</v>
      </c>
      <c r="C32" s="948">
        <v>430359.05277777778</v>
      </c>
      <c r="D32" s="948">
        <v>616860.8444444444</v>
      </c>
      <c r="E32" s="948">
        <v>286361.9611111111</v>
      </c>
      <c r="F32" s="948">
        <v>903222.8055555555</v>
      </c>
      <c r="G32" s="948">
        <v>149361.39999999991</v>
      </c>
      <c r="H32" s="948">
        <v>1052584.2055555554</v>
      </c>
      <c r="I32" s="948">
        <v>8443.4</v>
      </c>
      <c r="J32" s="1104">
        <v>335103.93888888892</v>
      </c>
      <c r="K32" s="948">
        <v>-23162.602777777782</v>
      </c>
      <c r="L32" s="946"/>
      <c r="M32" s="1105">
        <v>-35086.952777777733</v>
      </c>
      <c r="N32" s="1103">
        <v>285297.78333333344</v>
      </c>
      <c r="O32" s="947">
        <v>1337881.9888888889</v>
      </c>
    </row>
    <row r="33" spans="1:15" s="1174" customFormat="1" hidden="1">
      <c r="A33" s="1179" t="s">
        <v>64</v>
      </c>
      <c r="B33" s="948">
        <v>195557.80000000002</v>
      </c>
      <c r="C33" s="948">
        <v>458310.60000000003</v>
      </c>
      <c r="D33" s="948">
        <v>653868.4</v>
      </c>
      <c r="E33" s="948">
        <v>288594.30000000005</v>
      </c>
      <c r="F33" s="948">
        <v>942462.70000000007</v>
      </c>
      <c r="G33" s="948">
        <v>164626.70000000004</v>
      </c>
      <c r="H33" s="948">
        <v>1107089.4000000001</v>
      </c>
      <c r="I33" s="948">
        <v>9222.6</v>
      </c>
      <c r="J33" s="1104">
        <v>357476.6</v>
      </c>
      <c r="K33" s="948">
        <v>-2478.5999999999822</v>
      </c>
      <c r="L33" s="946"/>
      <c r="M33" s="1105">
        <v>-48695.8</v>
      </c>
      <c r="N33" s="1103">
        <v>315524.8</v>
      </c>
      <c r="O33" s="947">
        <v>1422614.2000000002</v>
      </c>
    </row>
    <row r="34" spans="1:15" s="1174" customFormat="1" hidden="1">
      <c r="A34" s="1179"/>
      <c r="B34" s="948"/>
      <c r="C34" s="948"/>
      <c r="D34" s="947"/>
      <c r="E34" s="1100"/>
      <c r="F34" s="947"/>
      <c r="G34" s="945"/>
      <c r="H34" s="1100"/>
      <c r="I34" s="948"/>
      <c r="J34" s="1100"/>
      <c r="K34" s="947"/>
      <c r="L34" s="946"/>
      <c r="M34" s="1102"/>
      <c r="N34" s="1103"/>
      <c r="O34" s="947"/>
    </row>
    <row r="35" spans="1:15" s="1174" customFormat="1">
      <c r="A35" s="1179" t="s">
        <v>53</v>
      </c>
      <c r="B35" s="948">
        <v>190524.90000000002</v>
      </c>
      <c r="C35" s="948">
        <v>418133.04999999993</v>
      </c>
      <c r="D35" s="948">
        <v>608657.94999999995</v>
      </c>
      <c r="E35" s="948">
        <v>306019.20000000007</v>
      </c>
      <c r="F35" s="948">
        <v>914677.15</v>
      </c>
      <c r="G35" s="948">
        <v>149561.5</v>
      </c>
      <c r="H35" s="948">
        <v>1064238.6499999999</v>
      </c>
      <c r="I35" s="948">
        <v>10123.599999999999</v>
      </c>
      <c r="J35" s="1104">
        <v>359855.25</v>
      </c>
      <c r="K35" s="948">
        <v>-16283.000000000018</v>
      </c>
      <c r="L35" s="946"/>
      <c r="M35" s="1105">
        <v>-66300.700000000055</v>
      </c>
      <c r="N35" s="1103">
        <v>287395.14999999991</v>
      </c>
      <c r="O35" s="947">
        <v>1351633.7999999998</v>
      </c>
    </row>
    <row r="36" spans="1:15" s="1174" customFormat="1">
      <c r="A36" s="1179" t="s">
        <v>44</v>
      </c>
      <c r="B36" s="948">
        <v>221510.5</v>
      </c>
      <c r="C36" s="948">
        <v>431261.09999999986</v>
      </c>
      <c r="D36" s="948">
        <v>652771.59999999986</v>
      </c>
      <c r="E36" s="948">
        <v>315064.59999999986</v>
      </c>
      <c r="F36" s="948">
        <v>967836.19999999972</v>
      </c>
      <c r="G36" s="948">
        <v>136241.59999999995</v>
      </c>
      <c r="H36" s="948">
        <v>1104077.7999999996</v>
      </c>
      <c r="I36" s="948">
        <v>1293.3</v>
      </c>
      <c r="J36" s="1104">
        <v>365687.6</v>
      </c>
      <c r="K36" s="948">
        <v>-9549.3999999999942</v>
      </c>
      <c r="L36" s="946"/>
      <c r="M36" s="1105">
        <v>-61862.599999999926</v>
      </c>
      <c r="N36" s="1103">
        <v>295568.90000000008</v>
      </c>
      <c r="O36" s="947">
        <v>1399646.6999999997</v>
      </c>
    </row>
    <row r="37" spans="1:15" s="1174" customFormat="1">
      <c r="A37" s="1179" t="s">
        <v>47</v>
      </c>
      <c r="B37" s="948">
        <v>185946.70833333334</v>
      </c>
      <c r="C37" s="948">
        <v>458469.11111111112</v>
      </c>
      <c r="D37" s="948">
        <v>644415.8194444445</v>
      </c>
      <c r="E37" s="948">
        <v>322042.07499999995</v>
      </c>
      <c r="F37" s="948">
        <v>966457.89444444445</v>
      </c>
      <c r="G37" s="948">
        <v>140695.09999999992</v>
      </c>
      <c r="H37" s="948">
        <v>1107152.9944444443</v>
      </c>
      <c r="I37" s="948">
        <v>1252.3</v>
      </c>
      <c r="J37" s="1104">
        <v>373120.84166666667</v>
      </c>
      <c r="K37" s="948">
        <v>-12752.83055555556</v>
      </c>
      <c r="L37" s="946"/>
      <c r="M37" s="1105">
        <v>-51284.072222222181</v>
      </c>
      <c r="N37" s="1103">
        <v>310336.23888888891</v>
      </c>
      <c r="O37" s="947">
        <v>1417489.2333333332</v>
      </c>
    </row>
    <row r="38" spans="1:15" s="1174" customFormat="1">
      <c r="A38" s="1179" t="s">
        <v>50</v>
      </c>
      <c r="B38" s="948">
        <v>202888.4</v>
      </c>
      <c r="C38" s="948">
        <v>440851.1999999999</v>
      </c>
      <c r="D38" s="948">
        <v>643739.59999999986</v>
      </c>
      <c r="E38" s="948">
        <v>327388.60000000003</v>
      </c>
      <c r="F38" s="948">
        <v>971128.2</v>
      </c>
      <c r="G38" s="948">
        <v>135251.80000000002</v>
      </c>
      <c r="H38" s="948">
        <v>1106380</v>
      </c>
      <c r="I38" s="948">
        <v>5645.1</v>
      </c>
      <c r="J38" s="1104">
        <v>386204.69999999995</v>
      </c>
      <c r="K38" s="948">
        <v>-8712.7000000000025</v>
      </c>
      <c r="L38" s="946"/>
      <c r="M38" s="1105">
        <v>-58999.399999999972</v>
      </c>
      <c r="N38" s="1103">
        <v>324137.69999999995</v>
      </c>
      <c r="O38" s="947">
        <v>1430517.7</v>
      </c>
    </row>
    <row r="39" spans="1:15" s="1174" customFormat="1">
      <c r="A39" s="1179"/>
      <c r="B39" s="948"/>
      <c r="C39" s="948"/>
      <c r="D39" s="947"/>
      <c r="E39" s="1100"/>
      <c r="F39" s="947"/>
      <c r="G39" s="945"/>
      <c r="H39" s="1100"/>
      <c r="I39" s="948"/>
      <c r="J39" s="1100"/>
      <c r="K39" s="947"/>
      <c r="L39" s="946"/>
      <c r="M39" s="944"/>
      <c r="N39" s="1103"/>
      <c r="O39" s="947"/>
    </row>
    <row r="40" spans="1:15" s="1174" customFormat="1">
      <c r="A40" s="1179" t="s">
        <v>65</v>
      </c>
      <c r="B40" s="948">
        <v>188968.15</v>
      </c>
      <c r="C40" s="948">
        <v>463550.65</v>
      </c>
      <c r="D40" s="947">
        <v>652518.80000000005</v>
      </c>
      <c r="E40" s="948">
        <v>308660.29999999993</v>
      </c>
      <c r="F40" s="947">
        <v>961179.1</v>
      </c>
      <c r="G40" s="945">
        <v>118414.49999999997</v>
      </c>
      <c r="H40" s="1100">
        <v>1079593.5999999999</v>
      </c>
      <c r="I40" s="948">
        <v>5204</v>
      </c>
      <c r="J40" s="1104">
        <v>381137.07499999995</v>
      </c>
      <c r="K40" s="1101">
        <v>-18118.075000000012</v>
      </c>
      <c r="L40" s="946"/>
      <c r="M40" s="1101">
        <v>-49271.325000000004</v>
      </c>
      <c r="N40" s="1103">
        <v>318951.67499999993</v>
      </c>
      <c r="O40" s="947">
        <v>1398545.2749999999</v>
      </c>
    </row>
    <row r="41" spans="1:15" s="1174" customFormat="1">
      <c r="A41" s="1179" t="s">
        <v>44</v>
      </c>
      <c r="B41" s="948">
        <v>224427.69999999998</v>
      </c>
      <c r="C41" s="948">
        <v>493677.1</v>
      </c>
      <c r="D41" s="947">
        <v>718104.79999999993</v>
      </c>
      <c r="E41" s="948">
        <v>290293.49999999994</v>
      </c>
      <c r="F41" s="947">
        <v>1008398.2999999998</v>
      </c>
      <c r="G41" s="945">
        <v>113982</v>
      </c>
      <c r="H41" s="1100">
        <v>1122380.2999999998</v>
      </c>
      <c r="I41" s="948">
        <v>5535.4</v>
      </c>
      <c r="J41" s="1104">
        <v>394415.35</v>
      </c>
      <c r="K41" s="1101">
        <v>-8850.7500000000146</v>
      </c>
      <c r="L41" s="944"/>
      <c r="M41" s="1101">
        <v>-26779.250000000036</v>
      </c>
      <c r="N41" s="1103">
        <v>364320.74999999994</v>
      </c>
      <c r="O41" s="947">
        <v>1486701.0499999998</v>
      </c>
    </row>
    <row r="42" spans="1:15" s="1174" customFormat="1">
      <c r="A42" s="831" t="s">
        <v>47</v>
      </c>
      <c r="B42" s="948">
        <v>218884.8</v>
      </c>
      <c r="C42" s="948">
        <v>522711.89999999997</v>
      </c>
      <c r="D42" s="947">
        <v>741596.7</v>
      </c>
      <c r="E42" s="948">
        <v>288204.5</v>
      </c>
      <c r="F42" s="947">
        <v>1029801.2</v>
      </c>
      <c r="G42" s="945">
        <v>107052.3</v>
      </c>
      <c r="H42" s="1100">
        <v>1136853.5</v>
      </c>
      <c r="I42" s="948">
        <v>5791.3</v>
      </c>
      <c r="J42" s="1104">
        <v>397504.52499999997</v>
      </c>
      <c r="K42" s="1101">
        <v>-1588.8250000000116</v>
      </c>
      <c r="L42" s="944"/>
      <c r="M42" s="1101">
        <v>-20672.874999999964</v>
      </c>
      <c r="N42" s="1103">
        <v>381034.125</v>
      </c>
      <c r="O42" s="947">
        <v>1517887.625</v>
      </c>
    </row>
    <row r="43" spans="1:15" s="1174" customFormat="1">
      <c r="A43" s="831" t="s">
        <v>50</v>
      </c>
      <c r="B43" s="948">
        <v>231253.8</v>
      </c>
      <c r="C43" s="948">
        <v>579093.39986500004</v>
      </c>
      <c r="D43" s="947">
        <v>810347.19986500009</v>
      </c>
      <c r="E43" s="948">
        <v>282784.59999999998</v>
      </c>
      <c r="F43" s="947">
        <v>1093131.7998649999</v>
      </c>
      <c r="G43" s="945">
        <v>93970.000135000024</v>
      </c>
      <c r="H43" s="1100">
        <v>1187101.8</v>
      </c>
      <c r="I43" s="948">
        <v>12385</v>
      </c>
      <c r="J43" s="1104">
        <v>412697.8</v>
      </c>
      <c r="K43" s="1101">
        <v>-4376.2000000000262</v>
      </c>
      <c r="L43" s="944"/>
      <c r="M43" s="1101">
        <v>-17209.100000000042</v>
      </c>
      <c r="N43" s="1103">
        <v>403497.49999999994</v>
      </c>
      <c r="O43" s="947">
        <v>1590599.3</v>
      </c>
    </row>
    <row r="44" spans="1:15" s="1174" customFormat="1">
      <c r="A44" s="1179"/>
      <c r="B44" s="948"/>
      <c r="C44" s="948"/>
      <c r="D44" s="947"/>
      <c r="E44" s="1100"/>
      <c r="F44" s="947"/>
      <c r="G44" s="945"/>
      <c r="H44" s="1100"/>
      <c r="I44" s="948"/>
      <c r="J44" s="1100"/>
      <c r="K44" s="1101"/>
      <c r="L44" s="944"/>
      <c r="M44" s="944"/>
      <c r="N44" s="1103"/>
      <c r="O44" s="947"/>
    </row>
    <row r="45" spans="1:15" s="1174" customFormat="1">
      <c r="A45" s="831" t="s">
        <v>66</v>
      </c>
      <c r="B45" s="948">
        <v>229178.10000000003</v>
      </c>
      <c r="C45" s="948">
        <v>642469.65</v>
      </c>
      <c r="D45" s="947">
        <v>871647.75</v>
      </c>
      <c r="E45" s="948">
        <v>306584.55</v>
      </c>
      <c r="F45" s="947">
        <v>1178232.3</v>
      </c>
      <c r="G45" s="945">
        <v>121247.4</v>
      </c>
      <c r="H45" s="1100">
        <v>1299479.7</v>
      </c>
      <c r="I45" s="948">
        <v>24941.399999999998</v>
      </c>
      <c r="J45" s="1104">
        <v>412105.35</v>
      </c>
      <c r="K45" s="1101">
        <v>7031.8000000000757</v>
      </c>
      <c r="L45" s="944"/>
      <c r="M45" s="1101">
        <v>-109406.20000000004</v>
      </c>
      <c r="N45" s="1103">
        <v>334672.34999999998</v>
      </c>
      <c r="O45" s="947">
        <v>1634152.0499999998</v>
      </c>
    </row>
    <row r="46" spans="1:15" s="1174" customFormat="1">
      <c r="A46" s="831" t="s">
        <v>613</v>
      </c>
      <c r="B46" s="948">
        <v>261701.90000000002</v>
      </c>
      <c r="C46" s="948">
        <v>705438.70000000007</v>
      </c>
      <c r="D46" s="947">
        <v>967140.60000000009</v>
      </c>
      <c r="E46" s="948">
        <v>309096.69999999995</v>
      </c>
      <c r="F46" s="947">
        <v>1276237.3</v>
      </c>
      <c r="G46" s="945">
        <v>140815.79999999999</v>
      </c>
      <c r="H46" s="1100">
        <v>1417053.1</v>
      </c>
      <c r="I46" s="948">
        <v>28009</v>
      </c>
      <c r="J46" s="1104">
        <v>425103</v>
      </c>
      <c r="K46" s="1101">
        <v>-30492.099999999991</v>
      </c>
      <c r="L46" s="944"/>
      <c r="M46" s="1105">
        <v>-111311.1</v>
      </c>
      <c r="N46" s="1103">
        <v>311308.80000000005</v>
      </c>
      <c r="O46" s="947">
        <v>1728361.9000000001</v>
      </c>
    </row>
    <row r="47" spans="1:15" s="1174" customFormat="1">
      <c r="A47" s="831" t="s">
        <v>672</v>
      </c>
      <c r="B47" s="948">
        <v>250057.99999999997</v>
      </c>
      <c r="C47" s="948">
        <v>713705.45000000019</v>
      </c>
      <c r="D47" s="947">
        <v>963763.45000000019</v>
      </c>
      <c r="E47" s="948">
        <v>322085.59999999998</v>
      </c>
      <c r="F47" s="947">
        <v>1285849.0500000003</v>
      </c>
      <c r="G47" s="945">
        <v>142228.70000000001</v>
      </c>
      <c r="H47" s="1100">
        <v>1428077.7500000002</v>
      </c>
      <c r="I47" s="948">
        <v>32252.799999999999</v>
      </c>
      <c r="J47" s="1104">
        <v>440549.10000000003</v>
      </c>
      <c r="K47" s="1101">
        <v>5762.7999999999884</v>
      </c>
      <c r="L47" s="944"/>
      <c r="M47" s="1105">
        <v>-124787.99999999999</v>
      </c>
      <c r="N47" s="1103">
        <v>353776.7</v>
      </c>
      <c r="O47" s="947">
        <v>1781854.4500000002</v>
      </c>
    </row>
    <row r="48" spans="1:15" s="1174" customFormat="1">
      <c r="A48" s="831" t="s">
        <v>673</v>
      </c>
      <c r="B48" s="948">
        <v>263500.5</v>
      </c>
      <c r="C48" s="948">
        <v>732242.5</v>
      </c>
      <c r="D48" s="947">
        <f t="shared" ref="D48" si="10">SUM(B48:C48)</f>
        <v>995743</v>
      </c>
      <c r="E48" s="948">
        <v>345184</v>
      </c>
      <c r="F48" s="947">
        <f t="shared" ref="F48" si="11">D48+E48</f>
        <v>1340927</v>
      </c>
      <c r="G48" s="945">
        <v>158586.29999999999</v>
      </c>
      <c r="H48" s="1100">
        <f t="shared" ref="H48" si="12">F48+G48</f>
        <v>1499513.3</v>
      </c>
      <c r="I48" s="948">
        <v>17665.900000000001</v>
      </c>
      <c r="J48" s="1104">
        <v>419159.7</v>
      </c>
      <c r="K48" s="1101">
        <v>-3474.5</v>
      </c>
      <c r="L48" s="944"/>
      <c r="M48" s="1105">
        <v>-82108.399999999994</v>
      </c>
      <c r="N48" s="1103">
        <f t="shared" ref="N48" si="13">SUM(I48:M48)</f>
        <v>351242.70000000007</v>
      </c>
      <c r="O48" s="947">
        <f t="shared" ref="O48" si="14">H48+N48</f>
        <v>1850756</v>
      </c>
    </row>
    <row r="49" spans="1:15" s="1174" customFormat="1">
      <c r="A49" s="831"/>
      <c r="B49" s="948"/>
      <c r="C49" s="948"/>
      <c r="D49" s="947"/>
      <c r="E49" s="948"/>
      <c r="F49" s="947"/>
      <c r="G49" s="945"/>
      <c r="H49" s="1100"/>
      <c r="I49" s="948"/>
      <c r="J49" s="1104"/>
      <c r="K49" s="1101"/>
      <c r="L49" s="944"/>
      <c r="M49" s="1105"/>
      <c r="N49" s="1103"/>
      <c r="O49" s="947"/>
    </row>
    <row r="50" spans="1:15" s="1174" customFormat="1">
      <c r="A50" s="831" t="s">
        <v>684</v>
      </c>
      <c r="B50" s="948">
        <v>249515.69999999998</v>
      </c>
      <c r="C50" s="948">
        <v>778473.79999999993</v>
      </c>
      <c r="D50" s="947">
        <v>1027989.4999999999</v>
      </c>
      <c r="E50" s="948">
        <v>366927.89999999991</v>
      </c>
      <c r="F50" s="947">
        <v>1394917.4</v>
      </c>
      <c r="G50" s="945">
        <v>171240.60000000003</v>
      </c>
      <c r="H50" s="1100">
        <v>1566158</v>
      </c>
      <c r="I50" s="948">
        <v>25616.3</v>
      </c>
      <c r="J50" s="1104">
        <v>421763.8</v>
      </c>
      <c r="K50" s="1101">
        <v>-40601.500000000058</v>
      </c>
      <c r="L50" s="944"/>
      <c r="M50" s="1105">
        <v>-97046.700000000012</v>
      </c>
      <c r="N50" s="1103">
        <v>309731.89999999991</v>
      </c>
      <c r="O50" s="947">
        <v>1875889.9</v>
      </c>
    </row>
    <row r="51" spans="1:15" s="1174" customFormat="1">
      <c r="A51" s="831" t="s">
        <v>715</v>
      </c>
      <c r="B51" s="948">
        <v>282554.7</v>
      </c>
      <c r="C51" s="948">
        <v>810466.8</v>
      </c>
      <c r="D51" s="947">
        <v>1093021.5</v>
      </c>
      <c r="E51" s="948">
        <v>381790.4</v>
      </c>
      <c r="F51" s="947">
        <v>1474811.9</v>
      </c>
      <c r="G51" s="945">
        <v>157640.1</v>
      </c>
      <c r="H51" s="1100">
        <v>1632452</v>
      </c>
      <c r="I51" s="948">
        <v>18656.7</v>
      </c>
      <c r="J51" s="1104">
        <v>445588.8</v>
      </c>
      <c r="K51" s="1101">
        <v>-32331.199999999953</v>
      </c>
      <c r="L51" s="944"/>
      <c r="M51" s="1105">
        <v>-116393.90000000004</v>
      </c>
      <c r="N51" s="1103">
        <v>315520.40000000002</v>
      </c>
      <c r="O51" s="947">
        <v>1947972.4</v>
      </c>
    </row>
    <row r="52" spans="1:15" s="1174" customFormat="1">
      <c r="A52" s="1041"/>
      <c r="B52" s="948"/>
      <c r="C52" s="948"/>
      <c r="D52" s="948"/>
      <c r="E52" s="948"/>
      <c r="F52" s="948"/>
      <c r="G52" s="948"/>
      <c r="H52" s="948"/>
      <c r="I52" s="948"/>
      <c r="J52" s="1104"/>
      <c r="K52" s="948"/>
      <c r="L52" s="1106"/>
      <c r="M52" s="1105"/>
      <c r="N52" s="1103"/>
      <c r="O52" s="947"/>
    </row>
    <row r="53" spans="1:15" s="1174" customFormat="1" hidden="1">
      <c r="A53" s="1179" t="s">
        <v>60</v>
      </c>
      <c r="B53" s="948">
        <v>79693.100000000006</v>
      </c>
      <c r="C53" s="948">
        <v>156706</v>
      </c>
      <c r="D53" s="948">
        <f t="shared" ref="D53:D64" si="15">SUM(B53:C53)</f>
        <v>236399.1</v>
      </c>
      <c r="E53" s="948">
        <v>85963.499999999985</v>
      </c>
      <c r="F53" s="948">
        <f t="shared" ref="F53:F121" si="16">D53+E53</f>
        <v>322362.59999999998</v>
      </c>
      <c r="G53" s="948">
        <v>43197.2</v>
      </c>
      <c r="H53" s="948">
        <f>F53+G53</f>
        <v>365559.8</v>
      </c>
      <c r="I53" s="948">
        <v>2368.6</v>
      </c>
      <c r="J53" s="1104">
        <v>80679.899999999994</v>
      </c>
      <c r="K53" s="948">
        <v>-663.89999999999873</v>
      </c>
      <c r="L53" s="946" t="s">
        <v>88</v>
      </c>
      <c r="M53" s="1105">
        <v>37213.1</v>
      </c>
      <c r="N53" s="1103">
        <f>SUM(I53:M53)</f>
        <v>119597.70000000001</v>
      </c>
      <c r="O53" s="947">
        <f>H53+N53</f>
        <v>485157.5</v>
      </c>
    </row>
    <row r="54" spans="1:15" s="1174" customFormat="1" hidden="1">
      <c r="A54" s="1179" t="s">
        <v>40</v>
      </c>
      <c r="B54" s="948">
        <v>80787.5</v>
      </c>
      <c r="C54" s="948">
        <v>156964.79999999996</v>
      </c>
      <c r="D54" s="948">
        <f t="shared" si="15"/>
        <v>237752.29999999996</v>
      </c>
      <c r="E54" s="948">
        <v>89136.799999999988</v>
      </c>
      <c r="F54" s="948">
        <f t="shared" si="16"/>
        <v>326889.09999999998</v>
      </c>
      <c r="G54" s="948">
        <v>51858.599999999969</v>
      </c>
      <c r="H54" s="948">
        <f t="shared" ref="H54:H122" si="17">F54+G54</f>
        <v>378747.69999999995</v>
      </c>
      <c r="I54" s="948">
        <v>2117.1999999999998</v>
      </c>
      <c r="J54" s="1104">
        <v>84145.8</v>
      </c>
      <c r="K54" s="948">
        <v>113.40000000000236</v>
      </c>
      <c r="L54" s="946" t="s">
        <v>88</v>
      </c>
      <c r="M54" s="1105">
        <v>35668</v>
      </c>
      <c r="N54" s="1103">
        <f t="shared" ref="N54:N122" si="18">SUM(I54:M54)</f>
        <v>122044.40000000001</v>
      </c>
      <c r="O54" s="947">
        <f t="shared" ref="O54:O122" si="19">H54+N54</f>
        <v>500792.1</v>
      </c>
    </row>
    <row r="55" spans="1:15" s="1174" customFormat="1" hidden="1">
      <c r="A55" s="1179" t="s">
        <v>41</v>
      </c>
      <c r="B55" s="948">
        <v>80644.800000000003</v>
      </c>
      <c r="C55" s="948">
        <v>168932.30000000002</v>
      </c>
      <c r="D55" s="948">
        <f t="shared" si="15"/>
        <v>249577.10000000003</v>
      </c>
      <c r="E55" s="948">
        <v>89083.5</v>
      </c>
      <c r="F55" s="948">
        <f t="shared" si="16"/>
        <v>338660.60000000003</v>
      </c>
      <c r="G55" s="948">
        <v>59602.599999999991</v>
      </c>
      <c r="H55" s="948">
        <f t="shared" si="17"/>
        <v>398263.2</v>
      </c>
      <c r="I55" s="948">
        <v>2145.1999999999998</v>
      </c>
      <c r="J55" s="1104">
        <v>77281.8</v>
      </c>
      <c r="K55" s="948">
        <v>413.40000000000146</v>
      </c>
      <c r="L55" s="946" t="s">
        <v>88</v>
      </c>
      <c r="M55" s="1105">
        <v>34660.9</v>
      </c>
      <c r="N55" s="1103">
        <f t="shared" si="18"/>
        <v>114501.29999999999</v>
      </c>
      <c r="O55" s="947">
        <f t="shared" si="19"/>
        <v>512764.5</v>
      </c>
    </row>
    <row r="56" spans="1:15" s="1174" customFormat="1" hidden="1">
      <c r="A56" s="1179" t="s">
        <v>42</v>
      </c>
      <c r="B56" s="948">
        <v>89175.3</v>
      </c>
      <c r="C56" s="948">
        <v>164775.5</v>
      </c>
      <c r="D56" s="948">
        <f t="shared" si="15"/>
        <v>253950.8</v>
      </c>
      <c r="E56" s="948">
        <v>88413.100000000035</v>
      </c>
      <c r="F56" s="948">
        <f t="shared" si="16"/>
        <v>342363.9</v>
      </c>
      <c r="G56" s="948">
        <v>54473.499999999993</v>
      </c>
      <c r="H56" s="948">
        <f t="shared" si="17"/>
        <v>396837.4</v>
      </c>
      <c r="I56" s="948">
        <v>1906.4</v>
      </c>
      <c r="J56" s="1104">
        <v>72014.8</v>
      </c>
      <c r="K56" s="948">
        <v>1054.8000000000002</v>
      </c>
      <c r="L56" s="946" t="s">
        <v>88</v>
      </c>
      <c r="M56" s="1105">
        <v>41321.199999999997</v>
      </c>
      <c r="N56" s="1103">
        <f t="shared" si="18"/>
        <v>116297.2</v>
      </c>
      <c r="O56" s="947">
        <f t="shared" si="19"/>
        <v>513134.60000000003</v>
      </c>
    </row>
    <row r="57" spans="1:15" s="1174" customFormat="1" hidden="1">
      <c r="A57" s="1179" t="s">
        <v>43</v>
      </c>
      <c r="B57" s="948">
        <v>90132.3</v>
      </c>
      <c r="C57" s="948">
        <v>156462.79999999999</v>
      </c>
      <c r="D57" s="948">
        <f t="shared" si="15"/>
        <v>246595.09999999998</v>
      </c>
      <c r="E57" s="948">
        <v>89650.3</v>
      </c>
      <c r="F57" s="948">
        <f t="shared" si="16"/>
        <v>336245.39999999997</v>
      </c>
      <c r="G57" s="948">
        <v>51599.676999999981</v>
      </c>
      <c r="H57" s="948">
        <f t="shared" si="17"/>
        <v>387845.07699999993</v>
      </c>
      <c r="I57" s="948">
        <v>2593.4</v>
      </c>
      <c r="J57" s="1104">
        <v>78090.600000000006</v>
      </c>
      <c r="K57" s="948">
        <v>-255.60000000000218</v>
      </c>
      <c r="L57" s="946" t="s">
        <v>88</v>
      </c>
      <c r="M57" s="1105">
        <v>37826.300000000003</v>
      </c>
      <c r="N57" s="1103">
        <f t="shared" si="18"/>
        <v>118254.7</v>
      </c>
      <c r="O57" s="947">
        <f t="shared" si="19"/>
        <v>506099.77699999994</v>
      </c>
    </row>
    <row r="58" spans="1:15" s="1174" customFormat="1" hidden="1">
      <c r="A58" s="1179" t="s">
        <v>44</v>
      </c>
      <c r="B58" s="948">
        <v>99272.299999999988</v>
      </c>
      <c r="C58" s="948">
        <v>167031.90000000005</v>
      </c>
      <c r="D58" s="948">
        <f t="shared" si="15"/>
        <v>266304.20000000007</v>
      </c>
      <c r="E58" s="948">
        <v>86848.6</v>
      </c>
      <c r="F58" s="948">
        <f t="shared" si="16"/>
        <v>353152.80000000005</v>
      </c>
      <c r="G58" s="948">
        <v>53497.899999999987</v>
      </c>
      <c r="H58" s="948">
        <f t="shared" si="17"/>
        <v>406650.7</v>
      </c>
      <c r="I58" s="948">
        <v>2889.3</v>
      </c>
      <c r="J58" s="1104">
        <v>83148.5</v>
      </c>
      <c r="K58" s="948">
        <v>-1032.5000000000023</v>
      </c>
      <c r="L58" s="946" t="s">
        <v>88</v>
      </c>
      <c r="M58" s="1105">
        <v>40089.300000000003</v>
      </c>
      <c r="N58" s="1103">
        <f t="shared" si="18"/>
        <v>125094.6</v>
      </c>
      <c r="O58" s="947">
        <f t="shared" si="19"/>
        <v>531745.30000000005</v>
      </c>
    </row>
    <row r="59" spans="1:15" s="1174" customFormat="1" hidden="1">
      <c r="A59" s="1179" t="s">
        <v>45</v>
      </c>
      <c r="B59" s="948">
        <v>111390</v>
      </c>
      <c r="C59" s="948">
        <v>168605.40000000002</v>
      </c>
      <c r="D59" s="948">
        <f t="shared" si="15"/>
        <v>279995.40000000002</v>
      </c>
      <c r="E59" s="948">
        <v>91211.199999999997</v>
      </c>
      <c r="F59" s="948">
        <f t="shared" si="16"/>
        <v>371206.60000000003</v>
      </c>
      <c r="G59" s="948">
        <v>53458.899999999965</v>
      </c>
      <c r="H59" s="948">
        <f t="shared" si="17"/>
        <v>424665.5</v>
      </c>
      <c r="I59" s="948">
        <v>2612.9</v>
      </c>
      <c r="J59" s="1104">
        <v>87338.8</v>
      </c>
      <c r="K59" s="948">
        <v>-427.90000000000418</v>
      </c>
      <c r="L59" s="946" t="s">
        <v>88</v>
      </c>
      <c r="M59" s="1105">
        <v>33021.199999999997</v>
      </c>
      <c r="N59" s="1103">
        <f t="shared" si="18"/>
        <v>122544.99999999999</v>
      </c>
      <c r="O59" s="947">
        <f t="shared" si="19"/>
        <v>547210.5</v>
      </c>
    </row>
    <row r="60" spans="1:15" s="1174" customFormat="1" hidden="1">
      <c r="A60" s="1179" t="s">
        <v>46</v>
      </c>
      <c r="B60" s="948">
        <v>110194.59999999999</v>
      </c>
      <c r="C60" s="948">
        <v>177071.50000000003</v>
      </c>
      <c r="D60" s="948">
        <f t="shared" si="15"/>
        <v>287266.10000000003</v>
      </c>
      <c r="E60" s="948">
        <v>92805.89999999998</v>
      </c>
      <c r="F60" s="948">
        <f t="shared" si="16"/>
        <v>380072</v>
      </c>
      <c r="G60" s="948">
        <v>58804.200000000048</v>
      </c>
      <c r="H60" s="948">
        <f t="shared" si="17"/>
        <v>438876.20000000007</v>
      </c>
      <c r="I60" s="948">
        <v>3329</v>
      </c>
      <c r="J60" s="1104">
        <v>88049.7</v>
      </c>
      <c r="K60" s="948">
        <v>-1605.6999999999989</v>
      </c>
      <c r="L60" s="946" t="s">
        <v>88</v>
      </c>
      <c r="M60" s="1105">
        <v>30968.7</v>
      </c>
      <c r="N60" s="1103">
        <f t="shared" si="18"/>
        <v>120741.7</v>
      </c>
      <c r="O60" s="947">
        <f t="shared" si="19"/>
        <v>559617.9</v>
      </c>
    </row>
    <row r="61" spans="1:15" s="1174" customFormat="1" hidden="1">
      <c r="A61" s="1179" t="s">
        <v>47</v>
      </c>
      <c r="B61" s="948">
        <v>110356.3</v>
      </c>
      <c r="C61" s="948">
        <v>184837.59999999998</v>
      </c>
      <c r="D61" s="948">
        <f t="shared" si="15"/>
        <v>295193.89999999997</v>
      </c>
      <c r="E61" s="948">
        <v>94519.900000000009</v>
      </c>
      <c r="F61" s="948">
        <f t="shared" si="16"/>
        <v>389713.8</v>
      </c>
      <c r="G61" s="948">
        <v>63322.599999999984</v>
      </c>
      <c r="H61" s="948">
        <f t="shared" si="17"/>
        <v>453036.39999999997</v>
      </c>
      <c r="I61" s="948">
        <v>3473.3</v>
      </c>
      <c r="J61" s="1104">
        <v>88403</v>
      </c>
      <c r="K61" s="948">
        <v>-626.20000000000437</v>
      </c>
      <c r="L61" s="946" t="s">
        <v>88</v>
      </c>
      <c r="M61" s="1105">
        <v>33909.800000000003</v>
      </c>
      <c r="N61" s="1103">
        <f t="shared" si="18"/>
        <v>125159.90000000001</v>
      </c>
      <c r="O61" s="947">
        <f t="shared" si="19"/>
        <v>578196.29999999993</v>
      </c>
    </row>
    <row r="62" spans="1:15" s="1174" customFormat="1" hidden="1">
      <c r="A62" s="1179" t="s">
        <v>48</v>
      </c>
      <c r="B62" s="948">
        <v>108675.90000000001</v>
      </c>
      <c r="C62" s="948">
        <v>187490</v>
      </c>
      <c r="D62" s="948">
        <f t="shared" si="15"/>
        <v>296165.90000000002</v>
      </c>
      <c r="E62" s="948">
        <v>96513.4</v>
      </c>
      <c r="F62" s="948">
        <f t="shared" si="16"/>
        <v>392679.30000000005</v>
      </c>
      <c r="G62" s="948">
        <v>59725.2</v>
      </c>
      <c r="H62" s="948">
        <f t="shared" si="17"/>
        <v>452404.50000000006</v>
      </c>
      <c r="I62" s="948">
        <v>3310.6</v>
      </c>
      <c r="J62" s="1104">
        <v>89839.5</v>
      </c>
      <c r="K62" s="948">
        <v>691.00000000000182</v>
      </c>
      <c r="L62" s="946" t="s">
        <v>88</v>
      </c>
      <c r="M62" s="1105">
        <v>41588</v>
      </c>
      <c r="N62" s="1103">
        <f t="shared" si="18"/>
        <v>135429.1</v>
      </c>
      <c r="O62" s="947">
        <f t="shared" si="19"/>
        <v>587833.60000000009</v>
      </c>
    </row>
    <row r="63" spans="1:15" s="1174" customFormat="1" hidden="1">
      <c r="A63" s="1179" t="s">
        <v>49</v>
      </c>
      <c r="B63" s="948">
        <v>106026.90000000001</v>
      </c>
      <c r="C63" s="948">
        <v>186562.3</v>
      </c>
      <c r="D63" s="948">
        <f t="shared" si="15"/>
        <v>292589.2</v>
      </c>
      <c r="E63" s="948">
        <v>99180.900000000023</v>
      </c>
      <c r="F63" s="948">
        <f t="shared" si="16"/>
        <v>391770.10000000003</v>
      </c>
      <c r="G63" s="948">
        <v>63216.900000000009</v>
      </c>
      <c r="H63" s="948">
        <f t="shared" si="17"/>
        <v>454987.00000000006</v>
      </c>
      <c r="I63" s="948">
        <v>3369.6</v>
      </c>
      <c r="J63" s="1104">
        <v>95077.8</v>
      </c>
      <c r="K63" s="948">
        <v>256.69999999999891</v>
      </c>
      <c r="L63" s="946" t="s">
        <v>88</v>
      </c>
      <c r="M63" s="1105">
        <v>39167.9</v>
      </c>
      <c r="N63" s="1103">
        <f t="shared" si="18"/>
        <v>137872</v>
      </c>
      <c r="O63" s="947">
        <f t="shared" si="19"/>
        <v>592859</v>
      </c>
    </row>
    <row r="64" spans="1:15" s="1174" customFormat="1" hidden="1">
      <c r="A64" s="1179" t="s">
        <v>50</v>
      </c>
      <c r="B64" s="948">
        <v>112623.7</v>
      </c>
      <c r="C64" s="948">
        <v>207061.90000000005</v>
      </c>
      <c r="D64" s="948">
        <f t="shared" si="15"/>
        <v>319685.60000000003</v>
      </c>
      <c r="E64" s="948">
        <v>99838.999999999985</v>
      </c>
      <c r="F64" s="948">
        <f t="shared" si="16"/>
        <v>419524.60000000003</v>
      </c>
      <c r="G64" s="948">
        <v>63073.699999999953</v>
      </c>
      <c r="H64" s="948">
        <f t="shared" si="17"/>
        <v>482598.3</v>
      </c>
      <c r="I64" s="948">
        <v>5225.7</v>
      </c>
      <c r="J64" s="1104">
        <v>96829.8</v>
      </c>
      <c r="K64" s="948">
        <v>-1373.0999999999985</v>
      </c>
      <c r="L64" s="946" t="s">
        <v>88</v>
      </c>
      <c r="M64" s="1105">
        <v>56705.1</v>
      </c>
      <c r="N64" s="1103">
        <f t="shared" si="18"/>
        <v>157387.5</v>
      </c>
      <c r="O64" s="947">
        <f t="shared" si="19"/>
        <v>639985.80000000005</v>
      </c>
    </row>
    <row r="65" spans="1:15" s="1174" customFormat="1" hidden="1">
      <c r="A65" s="1180"/>
      <c r="B65" s="948"/>
      <c r="C65" s="948"/>
      <c r="D65" s="948"/>
      <c r="E65" s="948"/>
      <c r="F65" s="948"/>
      <c r="G65" s="948"/>
      <c r="H65" s="948"/>
      <c r="I65" s="948"/>
      <c r="J65" s="1104"/>
      <c r="K65" s="948"/>
      <c r="L65" s="946"/>
      <c r="M65" s="1105"/>
      <c r="N65" s="1103"/>
      <c r="O65" s="947"/>
    </row>
    <row r="66" spans="1:15" s="1174" customFormat="1" hidden="1">
      <c r="A66" s="1179" t="s">
        <v>59</v>
      </c>
      <c r="B66" s="948">
        <v>103461.7</v>
      </c>
      <c r="C66" s="948">
        <v>199773.80000000002</v>
      </c>
      <c r="D66" s="948">
        <f t="shared" ref="D66:D89" si="20">SUM(B66:C66)</f>
        <v>303235.5</v>
      </c>
      <c r="E66" s="948">
        <v>98524.999999999985</v>
      </c>
      <c r="F66" s="948">
        <f t="shared" si="16"/>
        <v>401760.5</v>
      </c>
      <c r="G66" s="948">
        <v>63221.099999999991</v>
      </c>
      <c r="H66" s="948">
        <f t="shared" si="17"/>
        <v>464981.6</v>
      </c>
      <c r="I66" s="948">
        <v>5513.8</v>
      </c>
      <c r="J66" s="1104">
        <v>89186.9</v>
      </c>
      <c r="K66" s="948">
        <v>-57.900000000003274</v>
      </c>
      <c r="L66" s="946" t="s">
        <v>88</v>
      </c>
      <c r="M66" s="1105">
        <v>44590.8</v>
      </c>
      <c r="N66" s="1103">
        <f t="shared" si="18"/>
        <v>139233.59999999998</v>
      </c>
      <c r="O66" s="947">
        <f t="shared" si="19"/>
        <v>604215.19999999995</v>
      </c>
    </row>
    <row r="67" spans="1:15" s="1174" customFormat="1" hidden="1">
      <c r="A67" s="1179" t="s">
        <v>40</v>
      </c>
      <c r="B67" s="948">
        <v>100998.9</v>
      </c>
      <c r="C67" s="948">
        <v>195147.6</v>
      </c>
      <c r="D67" s="948">
        <f t="shared" si="20"/>
        <v>296146.5</v>
      </c>
      <c r="E67" s="948">
        <v>100309.7</v>
      </c>
      <c r="F67" s="948">
        <f t="shared" si="16"/>
        <v>396456.2</v>
      </c>
      <c r="G67" s="948">
        <v>63836.368000000002</v>
      </c>
      <c r="H67" s="948">
        <f t="shared" si="17"/>
        <v>460292.56800000003</v>
      </c>
      <c r="I67" s="948">
        <v>6639.8</v>
      </c>
      <c r="J67" s="1104">
        <v>92905.5</v>
      </c>
      <c r="K67" s="948">
        <v>191</v>
      </c>
      <c r="L67" s="946" t="s">
        <v>88</v>
      </c>
      <c r="M67" s="1105">
        <v>42167.7</v>
      </c>
      <c r="N67" s="1103">
        <f t="shared" si="18"/>
        <v>141904</v>
      </c>
      <c r="O67" s="947">
        <f t="shared" si="19"/>
        <v>602196.56799999997</v>
      </c>
    </row>
    <row r="68" spans="1:15" s="1174" customFormat="1" hidden="1">
      <c r="A68" s="1179" t="s">
        <v>41</v>
      </c>
      <c r="B68" s="948">
        <v>99941.4</v>
      </c>
      <c r="C68" s="948">
        <v>203598.3</v>
      </c>
      <c r="D68" s="948">
        <f t="shared" si="20"/>
        <v>303539.69999999995</v>
      </c>
      <c r="E68" s="948">
        <v>99993.599999999991</v>
      </c>
      <c r="F68" s="948">
        <f t="shared" si="16"/>
        <v>403533.29999999993</v>
      </c>
      <c r="G68" s="948">
        <v>67860.600000000006</v>
      </c>
      <c r="H68" s="948">
        <f t="shared" si="17"/>
        <v>471393.89999999991</v>
      </c>
      <c r="I68" s="948">
        <v>5647.2</v>
      </c>
      <c r="J68" s="1104">
        <v>98172.4</v>
      </c>
      <c r="K68" s="948">
        <v>2100.699999999998</v>
      </c>
      <c r="L68" s="946" t="s">
        <v>88</v>
      </c>
      <c r="M68" s="1105">
        <v>24843.9</v>
      </c>
      <c r="N68" s="1103">
        <f t="shared" si="18"/>
        <v>130764.19999999998</v>
      </c>
      <c r="O68" s="947">
        <f t="shared" si="19"/>
        <v>602158.09999999986</v>
      </c>
    </row>
    <row r="69" spans="1:15" s="1174" customFormat="1" hidden="1">
      <c r="A69" s="1179" t="s">
        <v>42</v>
      </c>
      <c r="B69" s="948">
        <v>103584.9</v>
      </c>
      <c r="C69" s="948">
        <v>200820.90000000002</v>
      </c>
      <c r="D69" s="948">
        <f t="shared" si="20"/>
        <v>304405.80000000005</v>
      </c>
      <c r="E69" s="948">
        <v>102644.59999999999</v>
      </c>
      <c r="F69" s="948">
        <f t="shared" si="16"/>
        <v>407050.4</v>
      </c>
      <c r="G69" s="948">
        <v>69235.39999999998</v>
      </c>
      <c r="H69" s="948">
        <f t="shared" si="17"/>
        <v>476285.8</v>
      </c>
      <c r="I69" s="948">
        <v>5663.5</v>
      </c>
      <c r="J69" s="1104">
        <v>95100</v>
      </c>
      <c r="K69" s="948">
        <v>-2736.4999999999991</v>
      </c>
      <c r="L69" s="946" t="s">
        <v>88</v>
      </c>
      <c r="M69" s="1105">
        <v>27164.1</v>
      </c>
      <c r="N69" s="1103">
        <f t="shared" si="18"/>
        <v>125191.1</v>
      </c>
      <c r="O69" s="947">
        <f t="shared" si="19"/>
        <v>601476.9</v>
      </c>
    </row>
    <row r="70" spans="1:15" s="1174" customFormat="1" hidden="1">
      <c r="A70" s="1179" t="s">
        <v>43</v>
      </c>
      <c r="B70" s="948">
        <v>100328.1</v>
      </c>
      <c r="C70" s="948">
        <v>196045.00000000006</v>
      </c>
      <c r="D70" s="948">
        <f t="shared" si="20"/>
        <v>296373.10000000009</v>
      </c>
      <c r="E70" s="948">
        <v>105416.20000000001</v>
      </c>
      <c r="F70" s="948">
        <f t="shared" si="16"/>
        <v>401789.3000000001</v>
      </c>
      <c r="G70" s="948">
        <v>68900.700000000026</v>
      </c>
      <c r="H70" s="948">
        <f t="shared" si="17"/>
        <v>470690.00000000012</v>
      </c>
      <c r="I70" s="948">
        <v>4707.2</v>
      </c>
      <c r="J70" s="1104">
        <v>97059.3</v>
      </c>
      <c r="K70" s="948">
        <v>4276.5000000000045</v>
      </c>
      <c r="L70" s="946" t="s">
        <v>88</v>
      </c>
      <c r="M70" s="1105">
        <v>60647.199999999997</v>
      </c>
      <c r="N70" s="1103">
        <f t="shared" si="18"/>
        <v>166690.20000000001</v>
      </c>
      <c r="O70" s="947">
        <f t="shared" si="19"/>
        <v>637380.20000000019</v>
      </c>
    </row>
    <row r="71" spans="1:15" s="1174" customFormat="1" hidden="1">
      <c r="A71" s="1179" t="s">
        <v>44</v>
      </c>
      <c r="B71" s="948">
        <v>108019.4</v>
      </c>
      <c r="C71" s="948">
        <v>202721.79999999996</v>
      </c>
      <c r="D71" s="948">
        <f t="shared" si="20"/>
        <v>310741.19999999995</v>
      </c>
      <c r="E71" s="948">
        <v>106915.59999999998</v>
      </c>
      <c r="F71" s="948">
        <f t="shared" si="16"/>
        <v>417656.79999999993</v>
      </c>
      <c r="G71" s="948">
        <v>69104.300000000017</v>
      </c>
      <c r="H71" s="948">
        <f t="shared" si="17"/>
        <v>486761.1</v>
      </c>
      <c r="I71" s="948">
        <v>3207.8999999999996</v>
      </c>
      <c r="J71" s="1104">
        <v>109595.5</v>
      </c>
      <c r="K71" s="948">
        <v>2077.9000000000015</v>
      </c>
      <c r="L71" s="946" t="s">
        <v>88</v>
      </c>
      <c r="M71" s="1105">
        <v>56552.3</v>
      </c>
      <c r="N71" s="1103">
        <f t="shared" si="18"/>
        <v>171433.59999999998</v>
      </c>
      <c r="O71" s="947">
        <f t="shared" si="19"/>
        <v>658194.69999999995</v>
      </c>
    </row>
    <row r="72" spans="1:15" s="1174" customFormat="1" hidden="1">
      <c r="A72" s="1179" t="s">
        <v>45</v>
      </c>
      <c r="B72" s="948">
        <v>111946.4</v>
      </c>
      <c r="C72" s="948">
        <v>196651.40000000002</v>
      </c>
      <c r="D72" s="948">
        <f t="shared" si="20"/>
        <v>308597.80000000005</v>
      </c>
      <c r="E72" s="948">
        <v>107474.4</v>
      </c>
      <c r="F72" s="948">
        <f t="shared" si="16"/>
        <v>416072.20000000007</v>
      </c>
      <c r="G72" s="948">
        <v>70439.999999999985</v>
      </c>
      <c r="H72" s="948">
        <f t="shared" si="17"/>
        <v>486512.20000000007</v>
      </c>
      <c r="I72" s="948">
        <v>2971.7</v>
      </c>
      <c r="J72" s="1104">
        <v>110130.2</v>
      </c>
      <c r="K72" s="948">
        <v>774.30000000000291</v>
      </c>
      <c r="L72" s="946" t="s">
        <v>88</v>
      </c>
      <c r="M72" s="1105">
        <v>55303.7</v>
      </c>
      <c r="N72" s="1103">
        <f t="shared" si="18"/>
        <v>169179.9</v>
      </c>
      <c r="O72" s="947">
        <f t="shared" si="19"/>
        <v>655692.10000000009</v>
      </c>
    </row>
    <row r="73" spans="1:15" s="1174" customFormat="1" hidden="1">
      <c r="A73" s="1179" t="s">
        <v>46</v>
      </c>
      <c r="B73" s="948">
        <v>109260.5</v>
      </c>
      <c r="C73" s="948">
        <v>205794.40000000002</v>
      </c>
      <c r="D73" s="948">
        <f t="shared" si="20"/>
        <v>315054.90000000002</v>
      </c>
      <c r="E73" s="948">
        <v>105291.89999999998</v>
      </c>
      <c r="F73" s="948">
        <f t="shared" si="16"/>
        <v>420346.8</v>
      </c>
      <c r="G73" s="948">
        <v>71700.799999999988</v>
      </c>
      <c r="H73" s="948">
        <f t="shared" si="17"/>
        <v>492047.6</v>
      </c>
      <c r="I73" s="948">
        <v>2286.5</v>
      </c>
      <c r="J73" s="1104">
        <v>115266.9</v>
      </c>
      <c r="K73" s="948">
        <v>1779.5000000000009</v>
      </c>
      <c r="L73" s="946" t="s">
        <v>88</v>
      </c>
      <c r="M73" s="1105">
        <v>50602.400000000001</v>
      </c>
      <c r="N73" s="1103">
        <f t="shared" si="18"/>
        <v>169935.3</v>
      </c>
      <c r="O73" s="947">
        <f t="shared" si="19"/>
        <v>661982.89999999991</v>
      </c>
    </row>
    <row r="74" spans="1:15" s="1174" customFormat="1" hidden="1">
      <c r="A74" s="1179" t="s">
        <v>47</v>
      </c>
      <c r="B74" s="948">
        <v>104480.8</v>
      </c>
      <c r="C74" s="948">
        <v>228836.60000000006</v>
      </c>
      <c r="D74" s="948">
        <f t="shared" si="20"/>
        <v>333317.40000000008</v>
      </c>
      <c r="E74" s="948">
        <v>101524.9</v>
      </c>
      <c r="F74" s="948">
        <f t="shared" si="16"/>
        <v>434842.30000000005</v>
      </c>
      <c r="G74" s="948">
        <v>71084.000000000015</v>
      </c>
      <c r="H74" s="948">
        <f t="shared" si="17"/>
        <v>505926.30000000005</v>
      </c>
      <c r="I74" s="948">
        <v>2277.6999999999998</v>
      </c>
      <c r="J74" s="1104">
        <v>118465.1</v>
      </c>
      <c r="K74" s="948">
        <v>841.50000000000182</v>
      </c>
      <c r="L74" s="946" t="s">
        <v>88</v>
      </c>
      <c r="M74" s="1105">
        <v>50438.6</v>
      </c>
      <c r="N74" s="1103">
        <f t="shared" si="18"/>
        <v>172022.9</v>
      </c>
      <c r="O74" s="947">
        <f t="shared" si="19"/>
        <v>677949.20000000007</v>
      </c>
    </row>
    <row r="75" spans="1:15" s="1174" customFormat="1" hidden="1">
      <c r="A75" s="1179" t="s">
        <v>48</v>
      </c>
      <c r="B75" s="948">
        <v>106629.7</v>
      </c>
      <c r="C75" s="948">
        <v>218915.50000000003</v>
      </c>
      <c r="D75" s="948">
        <f t="shared" si="20"/>
        <v>325545.2</v>
      </c>
      <c r="E75" s="948">
        <v>110336.7</v>
      </c>
      <c r="F75" s="948">
        <f t="shared" si="16"/>
        <v>435881.9</v>
      </c>
      <c r="G75" s="948">
        <v>78231</v>
      </c>
      <c r="H75" s="948">
        <f t="shared" si="17"/>
        <v>514112.9</v>
      </c>
      <c r="I75" s="948">
        <v>1249.4000000000001</v>
      </c>
      <c r="J75" s="1104">
        <v>121928</v>
      </c>
      <c r="K75" s="948">
        <v>-956.29999999999745</v>
      </c>
      <c r="L75" s="946" t="s">
        <v>88</v>
      </c>
      <c r="M75" s="1105">
        <v>52113.8</v>
      </c>
      <c r="N75" s="1103">
        <f t="shared" si="18"/>
        <v>174334.9</v>
      </c>
      <c r="O75" s="947">
        <f t="shared" si="19"/>
        <v>688447.8</v>
      </c>
    </row>
    <row r="76" spans="1:15" s="1174" customFormat="1" hidden="1">
      <c r="A76" s="1179" t="s">
        <v>49</v>
      </c>
      <c r="B76" s="948">
        <v>104663.29999999999</v>
      </c>
      <c r="C76" s="948">
        <v>210340.20000000004</v>
      </c>
      <c r="D76" s="948">
        <f t="shared" si="20"/>
        <v>315003.5</v>
      </c>
      <c r="E76" s="948">
        <v>115747.1</v>
      </c>
      <c r="F76" s="948">
        <f t="shared" si="16"/>
        <v>430750.6</v>
      </c>
      <c r="G76" s="948">
        <v>78481.700000000012</v>
      </c>
      <c r="H76" s="948">
        <f t="shared" si="17"/>
        <v>509232.3</v>
      </c>
      <c r="I76" s="948">
        <v>2394.6999999999998</v>
      </c>
      <c r="J76" s="1104">
        <v>123054.9</v>
      </c>
      <c r="K76" s="948">
        <v>-972.80000000000837</v>
      </c>
      <c r="L76" s="946" t="s">
        <v>88</v>
      </c>
      <c r="M76" s="1105">
        <v>56337.9</v>
      </c>
      <c r="N76" s="1103">
        <f t="shared" si="18"/>
        <v>180814.69999999998</v>
      </c>
      <c r="O76" s="947">
        <f t="shared" si="19"/>
        <v>690047</v>
      </c>
    </row>
    <row r="77" spans="1:15" s="1174" customFormat="1" hidden="1">
      <c r="A77" s="1179" t="s">
        <v>50</v>
      </c>
      <c r="B77" s="948">
        <v>120915.70000000001</v>
      </c>
      <c r="C77" s="948">
        <v>246210.90000000002</v>
      </c>
      <c r="D77" s="948">
        <f t="shared" si="20"/>
        <v>367126.60000000003</v>
      </c>
      <c r="E77" s="948">
        <v>116937.90000000001</v>
      </c>
      <c r="F77" s="948">
        <f t="shared" si="16"/>
        <v>484064.50000000006</v>
      </c>
      <c r="G77" s="948">
        <v>81245.400000000009</v>
      </c>
      <c r="H77" s="948">
        <f t="shared" si="17"/>
        <v>565309.9</v>
      </c>
      <c r="I77" s="948">
        <v>3627.5</v>
      </c>
      <c r="J77" s="1104">
        <v>125656.8</v>
      </c>
      <c r="K77" s="948">
        <v>1713.6999999999935</v>
      </c>
      <c r="L77" s="946" t="s">
        <v>88</v>
      </c>
      <c r="M77" s="1105">
        <v>76543.8</v>
      </c>
      <c r="N77" s="1103">
        <f t="shared" si="18"/>
        <v>207541.8</v>
      </c>
      <c r="O77" s="947">
        <f t="shared" si="19"/>
        <v>772851.7</v>
      </c>
    </row>
    <row r="78" spans="1:15" s="1174" customFormat="1" hidden="1">
      <c r="A78" s="1179"/>
      <c r="B78" s="948"/>
      <c r="C78" s="948"/>
      <c r="D78" s="948"/>
      <c r="E78" s="948"/>
      <c r="F78" s="948"/>
      <c r="G78" s="948"/>
      <c r="H78" s="948"/>
      <c r="I78" s="948"/>
      <c r="J78" s="1104"/>
      <c r="K78" s="948"/>
      <c r="L78" s="946"/>
      <c r="M78" s="1105"/>
      <c r="N78" s="1103"/>
      <c r="O78" s="947"/>
    </row>
    <row r="79" spans="1:15" s="1174" customFormat="1" hidden="1">
      <c r="A79" s="1179" t="s">
        <v>58</v>
      </c>
      <c r="B79" s="948">
        <v>109410.50000000001</v>
      </c>
      <c r="C79" s="948">
        <v>241597.59999999998</v>
      </c>
      <c r="D79" s="948">
        <f t="shared" si="20"/>
        <v>351008.1</v>
      </c>
      <c r="E79" s="948">
        <v>115733.49999999997</v>
      </c>
      <c r="F79" s="948">
        <f t="shared" si="16"/>
        <v>466741.6</v>
      </c>
      <c r="G79" s="948">
        <v>83494.899999999994</v>
      </c>
      <c r="H79" s="948">
        <f t="shared" si="17"/>
        <v>550236.5</v>
      </c>
      <c r="I79" s="948">
        <v>3848</v>
      </c>
      <c r="J79" s="1104">
        <v>125636.1</v>
      </c>
      <c r="K79" s="948">
        <v>904.800000000002</v>
      </c>
      <c r="L79" s="946" t="s">
        <v>88</v>
      </c>
      <c r="M79" s="1105">
        <v>50069.1</v>
      </c>
      <c r="N79" s="1103">
        <f t="shared" si="18"/>
        <v>180458</v>
      </c>
      <c r="O79" s="947">
        <f t="shared" si="19"/>
        <v>730694.5</v>
      </c>
    </row>
    <row r="80" spans="1:15" s="1174" customFormat="1" hidden="1">
      <c r="A80" s="1179" t="s">
        <v>40</v>
      </c>
      <c r="B80" s="948">
        <v>110419.9</v>
      </c>
      <c r="C80" s="948">
        <v>244767.60000000003</v>
      </c>
      <c r="D80" s="948">
        <f t="shared" si="20"/>
        <v>355187.5</v>
      </c>
      <c r="E80" s="948">
        <v>117088.20000000003</v>
      </c>
      <c r="F80" s="948">
        <f t="shared" si="16"/>
        <v>472275.7</v>
      </c>
      <c r="G80" s="948">
        <v>83629.400000000023</v>
      </c>
      <c r="H80" s="948">
        <f t="shared" si="17"/>
        <v>555905.10000000009</v>
      </c>
      <c r="I80" s="948">
        <v>3891.9</v>
      </c>
      <c r="J80" s="1104">
        <v>124346.6</v>
      </c>
      <c r="K80" s="948">
        <v>1341.3000000000029</v>
      </c>
      <c r="L80" s="946" t="s">
        <v>88</v>
      </c>
      <c r="M80" s="1105">
        <v>54732.2</v>
      </c>
      <c r="N80" s="1103">
        <f t="shared" si="18"/>
        <v>184312</v>
      </c>
      <c r="O80" s="947">
        <f t="shared" si="19"/>
        <v>740217.10000000009</v>
      </c>
    </row>
    <row r="81" spans="1:17" s="1174" customFormat="1" hidden="1">
      <c r="A81" s="1179" t="s">
        <v>41</v>
      </c>
      <c r="B81" s="948">
        <v>109456.8</v>
      </c>
      <c r="C81" s="948">
        <v>257628.79999999996</v>
      </c>
      <c r="D81" s="948">
        <f t="shared" si="20"/>
        <v>367085.6</v>
      </c>
      <c r="E81" s="948">
        <v>121964.00000000003</v>
      </c>
      <c r="F81" s="948">
        <f t="shared" si="16"/>
        <v>489049.59999999998</v>
      </c>
      <c r="G81" s="948">
        <v>82957.999999999913</v>
      </c>
      <c r="H81" s="948">
        <f t="shared" si="17"/>
        <v>572007.59999999986</v>
      </c>
      <c r="I81" s="948">
        <v>4455.2</v>
      </c>
      <c r="J81" s="1104">
        <v>123737</v>
      </c>
      <c r="K81" s="948">
        <v>2342.7000000000025</v>
      </c>
      <c r="L81" s="946" t="s">
        <v>88</v>
      </c>
      <c r="M81" s="1105">
        <v>49269.1</v>
      </c>
      <c r="N81" s="1103">
        <f t="shared" si="18"/>
        <v>179804</v>
      </c>
      <c r="O81" s="947">
        <f t="shared" si="19"/>
        <v>751811.59999999986</v>
      </c>
    </row>
    <row r="82" spans="1:17" s="1174" customFormat="1" hidden="1">
      <c r="A82" s="1179" t="s">
        <v>42</v>
      </c>
      <c r="B82" s="948">
        <v>113374.90000000001</v>
      </c>
      <c r="C82" s="948">
        <v>249651.3</v>
      </c>
      <c r="D82" s="948">
        <f t="shared" si="20"/>
        <v>363026.2</v>
      </c>
      <c r="E82" s="948">
        <v>125612.40000000004</v>
      </c>
      <c r="F82" s="948">
        <f t="shared" si="16"/>
        <v>488638.60000000003</v>
      </c>
      <c r="G82" s="948">
        <v>83599.500000000015</v>
      </c>
      <c r="H82" s="948">
        <f t="shared" si="17"/>
        <v>572238.10000000009</v>
      </c>
      <c r="I82" s="948">
        <v>3924.4</v>
      </c>
      <c r="J82" s="1104">
        <v>123342.7</v>
      </c>
      <c r="K82" s="948">
        <v>1654.2000000000044</v>
      </c>
      <c r="L82" s="946" t="s">
        <v>88</v>
      </c>
      <c r="M82" s="1105">
        <v>45798.1</v>
      </c>
      <c r="N82" s="1103">
        <f t="shared" si="18"/>
        <v>174719.4</v>
      </c>
      <c r="O82" s="947">
        <f t="shared" si="19"/>
        <v>746957.50000000012</v>
      </c>
    </row>
    <row r="83" spans="1:17" s="1174" customFormat="1" hidden="1">
      <c r="A83" s="1179" t="s">
        <v>43</v>
      </c>
      <c r="B83" s="948">
        <v>113413.5</v>
      </c>
      <c r="C83" s="948">
        <v>238708.50000000006</v>
      </c>
      <c r="D83" s="948">
        <f t="shared" si="20"/>
        <v>352122.00000000006</v>
      </c>
      <c r="E83" s="948">
        <v>123066.30000000002</v>
      </c>
      <c r="F83" s="948">
        <f t="shared" si="16"/>
        <v>475188.30000000005</v>
      </c>
      <c r="G83" s="948">
        <v>84057.499999999956</v>
      </c>
      <c r="H83" s="948">
        <f t="shared" si="17"/>
        <v>559245.80000000005</v>
      </c>
      <c r="I83" s="948">
        <v>3999.5</v>
      </c>
      <c r="J83" s="1104">
        <v>126758.3</v>
      </c>
      <c r="K83" s="948">
        <v>-2245.5999999999985</v>
      </c>
      <c r="L83" s="946" t="s">
        <v>88</v>
      </c>
      <c r="M83" s="1105">
        <v>48338.5</v>
      </c>
      <c r="N83" s="1103">
        <f t="shared" si="18"/>
        <v>176850.7</v>
      </c>
      <c r="O83" s="947">
        <f t="shared" si="19"/>
        <v>736096.5</v>
      </c>
    </row>
    <row r="84" spans="1:17" s="1174" customFormat="1" hidden="1">
      <c r="A84" s="1179" t="s">
        <v>44</v>
      </c>
      <c r="B84" s="948">
        <v>131110.6</v>
      </c>
      <c r="C84" s="948">
        <v>253277.9</v>
      </c>
      <c r="D84" s="948">
        <f t="shared" si="20"/>
        <v>384388.5</v>
      </c>
      <c r="E84" s="948">
        <v>127077.79999999997</v>
      </c>
      <c r="F84" s="948">
        <f t="shared" si="16"/>
        <v>511466.3</v>
      </c>
      <c r="G84" s="948">
        <v>87855.799999999988</v>
      </c>
      <c r="H84" s="948">
        <f t="shared" si="17"/>
        <v>599322.1</v>
      </c>
      <c r="I84" s="948">
        <v>5313.2</v>
      </c>
      <c r="J84" s="1104">
        <v>133172.20000000001</v>
      </c>
      <c r="K84" s="948">
        <v>-2224.0000000000009</v>
      </c>
      <c r="L84" s="946" t="s">
        <v>88</v>
      </c>
      <c r="M84" s="1105">
        <v>29726.7</v>
      </c>
      <c r="N84" s="1103">
        <f t="shared" si="18"/>
        <v>165988.10000000003</v>
      </c>
      <c r="O84" s="947">
        <f t="shared" si="19"/>
        <v>765310.2</v>
      </c>
    </row>
    <row r="85" spans="1:17" s="1174" customFormat="1" hidden="1">
      <c r="A85" s="1179" t="s">
        <v>45</v>
      </c>
      <c r="B85" s="948">
        <v>146816.70000000001</v>
      </c>
      <c r="C85" s="948">
        <v>264083.20000000001</v>
      </c>
      <c r="D85" s="948">
        <f t="shared" si="20"/>
        <v>410899.9</v>
      </c>
      <c r="E85" s="948">
        <v>131415</v>
      </c>
      <c r="F85" s="948">
        <f t="shared" si="16"/>
        <v>542314.9</v>
      </c>
      <c r="G85" s="948">
        <v>86018.4</v>
      </c>
      <c r="H85" s="948">
        <f t="shared" si="17"/>
        <v>628333.30000000005</v>
      </c>
      <c r="I85" s="948">
        <v>6419.6</v>
      </c>
      <c r="J85" s="1104">
        <v>133080</v>
      </c>
      <c r="K85" s="948">
        <v>-754.70000000000255</v>
      </c>
      <c r="L85" s="946" t="s">
        <v>88</v>
      </c>
      <c r="M85" s="1105">
        <v>33138</v>
      </c>
      <c r="N85" s="1103">
        <f t="shared" si="18"/>
        <v>171882.9</v>
      </c>
      <c r="O85" s="947">
        <f t="shared" si="19"/>
        <v>800216.20000000007</v>
      </c>
    </row>
    <row r="86" spans="1:17" s="1174" customFormat="1" hidden="1">
      <c r="A86" s="1179" t="s">
        <v>46</v>
      </c>
      <c r="B86" s="948">
        <v>139581.70000000001</v>
      </c>
      <c r="C86" s="948">
        <v>277134.79999999993</v>
      </c>
      <c r="D86" s="948">
        <f t="shared" si="20"/>
        <v>416716.49999999994</v>
      </c>
      <c r="E86" s="948">
        <v>135215.90000000002</v>
      </c>
      <c r="F86" s="948">
        <f t="shared" si="16"/>
        <v>551932.39999999991</v>
      </c>
      <c r="G86" s="948">
        <v>84066.779999999984</v>
      </c>
      <c r="H86" s="948">
        <f t="shared" si="17"/>
        <v>635999.17999999993</v>
      </c>
      <c r="I86" s="948">
        <v>6302.1</v>
      </c>
      <c r="J86" s="1104">
        <v>136684.79999999999</v>
      </c>
      <c r="K86" s="948">
        <v>-333.10000000000366</v>
      </c>
      <c r="L86" s="946" t="s">
        <v>88</v>
      </c>
      <c r="M86" s="1105">
        <v>25849.8</v>
      </c>
      <c r="N86" s="1103">
        <f t="shared" si="18"/>
        <v>168503.59999999998</v>
      </c>
      <c r="O86" s="947">
        <f t="shared" si="19"/>
        <v>804502.77999999991</v>
      </c>
    </row>
    <row r="87" spans="1:17" s="1174" customFormat="1" hidden="1">
      <c r="A87" s="1179" t="s">
        <v>47</v>
      </c>
      <c r="B87" s="948">
        <v>132533.90000000002</v>
      </c>
      <c r="C87" s="948">
        <v>281440.7</v>
      </c>
      <c r="D87" s="948">
        <f t="shared" si="20"/>
        <v>413974.60000000003</v>
      </c>
      <c r="E87" s="948">
        <v>135496.70000000004</v>
      </c>
      <c r="F87" s="948">
        <f t="shared" si="16"/>
        <v>549471.30000000005</v>
      </c>
      <c r="G87" s="948">
        <v>87672.000000000015</v>
      </c>
      <c r="H87" s="948">
        <f t="shared" si="17"/>
        <v>637143.30000000005</v>
      </c>
      <c r="I87" s="948">
        <v>6642.8</v>
      </c>
      <c r="J87" s="1104">
        <v>137623.70000000001</v>
      </c>
      <c r="K87" s="948">
        <v>2085.0999999999985</v>
      </c>
      <c r="L87" s="946" t="s">
        <v>88</v>
      </c>
      <c r="M87" s="1105">
        <v>26001</v>
      </c>
      <c r="N87" s="1103">
        <f t="shared" si="18"/>
        <v>172352.6</v>
      </c>
      <c r="O87" s="947">
        <f t="shared" si="19"/>
        <v>809495.9</v>
      </c>
    </row>
    <row r="88" spans="1:17" s="1174" customFormat="1" hidden="1">
      <c r="A88" s="1179" t="s">
        <v>48</v>
      </c>
      <c r="B88" s="948">
        <v>128990.40000000001</v>
      </c>
      <c r="C88" s="948">
        <v>274175.3</v>
      </c>
      <c r="D88" s="948">
        <f t="shared" si="20"/>
        <v>403165.7</v>
      </c>
      <c r="E88" s="948">
        <v>139284.1</v>
      </c>
      <c r="F88" s="948">
        <f t="shared" si="16"/>
        <v>542449.80000000005</v>
      </c>
      <c r="G88" s="948">
        <v>85605.500000000044</v>
      </c>
      <c r="H88" s="948">
        <f t="shared" si="17"/>
        <v>628055.30000000005</v>
      </c>
      <c r="I88" s="948">
        <v>6102.1</v>
      </c>
      <c r="J88" s="1104">
        <v>140278.9</v>
      </c>
      <c r="K88" s="948">
        <v>689.800000000002</v>
      </c>
      <c r="L88" s="946" t="s">
        <v>88</v>
      </c>
      <c r="M88" s="1105">
        <v>32245.3</v>
      </c>
      <c r="N88" s="1103">
        <f t="shared" si="18"/>
        <v>179316.09999999998</v>
      </c>
      <c r="O88" s="947">
        <f t="shared" si="19"/>
        <v>807371.4</v>
      </c>
    </row>
    <row r="89" spans="1:17" s="1174" customFormat="1" hidden="1">
      <c r="A89" s="1179" t="s">
        <v>49</v>
      </c>
      <c r="B89" s="948">
        <v>126339.2</v>
      </c>
      <c r="C89" s="948">
        <v>288109.40899999999</v>
      </c>
      <c r="D89" s="948">
        <f t="shared" si="20"/>
        <v>414448.609</v>
      </c>
      <c r="E89" s="948">
        <v>137014.20000000001</v>
      </c>
      <c r="F89" s="948">
        <f t="shared" si="16"/>
        <v>551462.80900000001</v>
      </c>
      <c r="G89" s="948">
        <v>88872.999999999985</v>
      </c>
      <c r="H89" s="948">
        <f t="shared" si="17"/>
        <v>640335.80900000001</v>
      </c>
      <c r="I89" s="948">
        <v>6389.5</v>
      </c>
      <c r="J89" s="1104">
        <v>146099.5</v>
      </c>
      <c r="K89" s="948">
        <v>2465.0999999999967</v>
      </c>
      <c r="L89" s="946" t="s">
        <v>88</v>
      </c>
      <c r="M89" s="1105">
        <v>32300.2</v>
      </c>
      <c r="N89" s="1103">
        <f t="shared" si="18"/>
        <v>187254.30000000002</v>
      </c>
      <c r="O89" s="947">
        <f t="shared" si="19"/>
        <v>827590.10900000005</v>
      </c>
    </row>
    <row r="90" spans="1:17" s="1182" customFormat="1" hidden="1">
      <c r="A90" s="1181" t="s">
        <v>50</v>
      </c>
      <c r="B90" s="948">
        <v>138053.90000000002</v>
      </c>
      <c r="C90" s="948">
        <v>325647.41550299997</v>
      </c>
      <c r="D90" s="948">
        <f>SUM(B90:C90)</f>
        <v>463701.31550299999</v>
      </c>
      <c r="E90" s="948">
        <v>153042.70000000001</v>
      </c>
      <c r="F90" s="948">
        <f t="shared" si="16"/>
        <v>616744.015503</v>
      </c>
      <c r="G90" s="948">
        <v>89619.9</v>
      </c>
      <c r="H90" s="948">
        <f t="shared" si="17"/>
        <v>706363.91550300003</v>
      </c>
      <c r="I90" s="948">
        <v>10515.6</v>
      </c>
      <c r="J90" s="1104">
        <v>172514.8</v>
      </c>
      <c r="K90" s="948">
        <v>4306.184497000002</v>
      </c>
      <c r="L90" s="939" t="s">
        <v>88</v>
      </c>
      <c r="M90" s="1105">
        <v>40475.69999999999</v>
      </c>
      <c r="N90" s="1103">
        <f t="shared" si="18"/>
        <v>227812.28449699999</v>
      </c>
      <c r="O90" s="947">
        <f t="shared" si="19"/>
        <v>934176.2</v>
      </c>
      <c r="Q90" s="1174"/>
    </row>
    <row r="91" spans="1:17" s="1182" customFormat="1" hidden="1">
      <c r="A91" s="1181"/>
      <c r="B91" s="948"/>
      <c r="C91" s="948"/>
      <c r="D91" s="948"/>
      <c r="E91" s="948"/>
      <c r="F91" s="948"/>
      <c r="G91" s="948"/>
      <c r="H91" s="948"/>
      <c r="I91" s="948"/>
      <c r="J91" s="1104"/>
      <c r="K91" s="948"/>
      <c r="L91" s="939"/>
      <c r="M91" s="1105"/>
      <c r="N91" s="1103"/>
      <c r="O91" s="947"/>
      <c r="Q91" s="1174"/>
    </row>
    <row r="92" spans="1:17" s="1174" customFormat="1" hidden="1">
      <c r="A92" s="1179" t="s">
        <v>57</v>
      </c>
      <c r="B92" s="948">
        <v>125939.075</v>
      </c>
      <c r="C92" s="948">
        <v>322109.94823466666</v>
      </c>
      <c r="D92" s="948">
        <f t="shared" ref="D92:D142" si="21">SUM(B92:C92)</f>
        <v>448049.02323466667</v>
      </c>
      <c r="E92" s="948">
        <v>150168.05833333332</v>
      </c>
      <c r="F92" s="948">
        <f t="shared" si="16"/>
        <v>598217.08156800002</v>
      </c>
      <c r="G92" s="948">
        <v>72765.499999999985</v>
      </c>
      <c r="H92" s="948">
        <f t="shared" si="17"/>
        <v>670982.58156800002</v>
      </c>
      <c r="I92" s="948">
        <v>9347.1</v>
      </c>
      <c r="J92" s="1104">
        <v>173183.99999999997</v>
      </c>
      <c r="K92" s="948">
        <v>10843.310098666667</v>
      </c>
      <c r="L92" s="946" t="s">
        <v>88</v>
      </c>
      <c r="M92" s="1105">
        <v>28370.758333333331</v>
      </c>
      <c r="N92" s="1103">
        <f t="shared" si="18"/>
        <v>221745.16843199998</v>
      </c>
      <c r="O92" s="947">
        <f t="shared" si="19"/>
        <v>892727.75</v>
      </c>
    </row>
    <row r="93" spans="1:17" s="1174" customFormat="1" hidden="1">
      <c r="A93" s="1179" t="s">
        <v>40</v>
      </c>
      <c r="B93" s="948">
        <v>126913.54999999999</v>
      </c>
      <c r="C93" s="948">
        <v>318970.53333333333</v>
      </c>
      <c r="D93" s="948">
        <f t="shared" si="21"/>
        <v>445884.08333333331</v>
      </c>
      <c r="E93" s="948">
        <v>149917.31666666665</v>
      </c>
      <c r="F93" s="948">
        <f t="shared" si="16"/>
        <v>595801.39999999991</v>
      </c>
      <c r="G93" s="948">
        <v>76040.800000000003</v>
      </c>
      <c r="H93" s="948">
        <f t="shared" si="17"/>
        <v>671842.2</v>
      </c>
      <c r="I93" s="948">
        <v>9342.1</v>
      </c>
      <c r="J93" s="1104">
        <v>173305.7</v>
      </c>
      <c r="K93" s="948">
        <v>9728.6833333333361</v>
      </c>
      <c r="L93" s="946" t="s">
        <v>88</v>
      </c>
      <c r="M93" s="1105">
        <v>35069.216666666667</v>
      </c>
      <c r="N93" s="1103">
        <f t="shared" si="18"/>
        <v>227445.70000000004</v>
      </c>
      <c r="O93" s="947">
        <f t="shared" si="19"/>
        <v>899287.9</v>
      </c>
    </row>
    <row r="94" spans="1:17" s="1174" customFormat="1" hidden="1">
      <c r="A94" s="1179" t="s">
        <v>41</v>
      </c>
      <c r="B94" s="948">
        <v>131315.125</v>
      </c>
      <c r="C94" s="948">
        <v>332429.51628799998</v>
      </c>
      <c r="D94" s="948">
        <f t="shared" si="21"/>
        <v>463744.64128799998</v>
      </c>
      <c r="E94" s="948">
        <v>155211.87500000003</v>
      </c>
      <c r="F94" s="948">
        <f t="shared" si="16"/>
        <v>618956.51628800004</v>
      </c>
      <c r="G94" s="948">
        <v>73827.799999999945</v>
      </c>
      <c r="H94" s="948">
        <f t="shared" si="17"/>
        <v>692784.31628799997</v>
      </c>
      <c r="I94" s="948">
        <v>8476.4</v>
      </c>
      <c r="J94" s="1104">
        <v>185645</v>
      </c>
      <c r="K94" s="948">
        <v>12609.658712000015</v>
      </c>
      <c r="L94" s="946" t="s">
        <v>88</v>
      </c>
      <c r="M94" s="1105">
        <v>24337.974999999995</v>
      </c>
      <c r="N94" s="1103">
        <f t="shared" si="18"/>
        <v>231069.033712</v>
      </c>
      <c r="O94" s="947">
        <f t="shared" si="19"/>
        <v>923853.35</v>
      </c>
    </row>
    <row r="95" spans="1:17" s="1174" customFormat="1" hidden="1">
      <c r="A95" s="1179" t="s">
        <v>42</v>
      </c>
      <c r="B95" s="948">
        <v>136731.6</v>
      </c>
      <c r="C95" s="948">
        <v>334700.16666666669</v>
      </c>
      <c r="D95" s="948">
        <f t="shared" si="21"/>
        <v>471431.76666666672</v>
      </c>
      <c r="E95" s="948">
        <v>154394.43333333332</v>
      </c>
      <c r="F95" s="948">
        <f t="shared" si="16"/>
        <v>625826.20000000007</v>
      </c>
      <c r="G95" s="948">
        <v>73478.800000000017</v>
      </c>
      <c r="H95" s="948">
        <f t="shared" si="17"/>
        <v>699305.00000000012</v>
      </c>
      <c r="I95" s="948">
        <v>8770.6</v>
      </c>
      <c r="J95" s="1104">
        <v>187608.30000000002</v>
      </c>
      <c r="K95" s="948">
        <v>13540.466666666667</v>
      </c>
      <c r="L95" s="946" t="s">
        <v>88</v>
      </c>
      <c r="M95" s="1105">
        <v>19439.33333333335</v>
      </c>
      <c r="N95" s="1103">
        <f t="shared" si="18"/>
        <v>229358.70000000004</v>
      </c>
      <c r="O95" s="947">
        <f t="shared" si="19"/>
        <v>928663.70000000019</v>
      </c>
    </row>
    <row r="96" spans="1:17" s="1174" customFormat="1" hidden="1">
      <c r="A96" s="1179" t="s">
        <v>43</v>
      </c>
      <c r="B96" s="948">
        <v>141531.47499999998</v>
      </c>
      <c r="C96" s="948">
        <v>331647.8496213333</v>
      </c>
      <c r="D96" s="948">
        <f t="shared" si="21"/>
        <v>473179.32462133327</v>
      </c>
      <c r="E96" s="948">
        <v>159246.79166666666</v>
      </c>
      <c r="F96" s="948">
        <f t="shared" si="16"/>
        <v>632426.1162879999</v>
      </c>
      <c r="G96" s="948">
        <v>72494.000000000044</v>
      </c>
      <c r="H96" s="948">
        <f t="shared" si="17"/>
        <v>704920.1162879999</v>
      </c>
      <c r="I96" s="948">
        <v>7873.8</v>
      </c>
      <c r="J96" s="1104">
        <v>192356.2</v>
      </c>
      <c r="K96" s="948">
        <v>14165.042045333324</v>
      </c>
      <c r="L96" s="946" t="s">
        <v>88</v>
      </c>
      <c r="M96" s="1105">
        <v>21594.691666666662</v>
      </c>
      <c r="N96" s="1103">
        <f t="shared" si="18"/>
        <v>235989.73371199999</v>
      </c>
      <c r="O96" s="947">
        <f t="shared" si="19"/>
        <v>940909.84999999986</v>
      </c>
    </row>
    <row r="97" spans="1:15" s="1174" customFormat="1" hidden="1">
      <c r="A97" s="1179" t="s">
        <v>44</v>
      </c>
      <c r="B97" s="948">
        <v>153431.15000000002</v>
      </c>
      <c r="C97" s="948">
        <v>329456.90872500004</v>
      </c>
      <c r="D97" s="948">
        <f t="shared" si="21"/>
        <v>482888.05872500007</v>
      </c>
      <c r="E97" s="948">
        <v>168226.65</v>
      </c>
      <c r="F97" s="948">
        <f t="shared" si="16"/>
        <v>651114.70872500003</v>
      </c>
      <c r="G97" s="948">
        <v>77501.099999999991</v>
      </c>
      <c r="H97" s="948">
        <f t="shared" si="17"/>
        <v>728615.80872500001</v>
      </c>
      <c r="I97" s="948">
        <v>6058.6</v>
      </c>
      <c r="J97" s="1104">
        <v>196864.30000000002</v>
      </c>
      <c r="K97" s="948">
        <v>17742.241274999993</v>
      </c>
      <c r="L97" s="946" t="s">
        <v>88</v>
      </c>
      <c r="M97" s="1105">
        <v>19009.550000000017</v>
      </c>
      <c r="N97" s="1103">
        <f t="shared" si="18"/>
        <v>239674.69127500002</v>
      </c>
      <c r="O97" s="947">
        <f t="shared" si="19"/>
        <v>968290.5</v>
      </c>
    </row>
    <row r="98" spans="1:15" s="1174" customFormat="1" hidden="1">
      <c r="A98" s="1179" t="s">
        <v>45</v>
      </c>
      <c r="B98" s="948">
        <v>165447.39166666666</v>
      </c>
      <c r="C98" s="948">
        <v>332607.44175344444</v>
      </c>
      <c r="D98" s="948">
        <f t="shared" si="21"/>
        <v>498054.8334201111</v>
      </c>
      <c r="E98" s="948">
        <v>173919.77499999997</v>
      </c>
      <c r="F98" s="948">
        <f t="shared" si="16"/>
        <v>671974.60842011101</v>
      </c>
      <c r="G98" s="948">
        <v>91419.6</v>
      </c>
      <c r="H98" s="948">
        <f t="shared" si="17"/>
        <v>763394.20842011098</v>
      </c>
      <c r="I98" s="948">
        <v>5680.5</v>
      </c>
      <c r="J98" s="1104">
        <v>203438.19999999995</v>
      </c>
      <c r="K98" s="948">
        <v>13141.74435766667</v>
      </c>
      <c r="L98" s="946" t="s">
        <v>88</v>
      </c>
      <c r="M98" s="1105">
        <v>18191.713888888873</v>
      </c>
      <c r="N98" s="1103">
        <f t="shared" si="18"/>
        <v>240452.15824655548</v>
      </c>
      <c r="O98" s="947">
        <f t="shared" si="19"/>
        <v>1003846.3666666665</v>
      </c>
    </row>
    <row r="99" spans="1:15" s="1174" customFormat="1" hidden="1">
      <c r="A99" s="1179" t="s">
        <v>46</v>
      </c>
      <c r="B99" s="948">
        <v>159592.83333333334</v>
      </c>
      <c r="C99" s="948">
        <v>329932.20580788882</v>
      </c>
      <c r="D99" s="948">
        <f t="shared" si="21"/>
        <v>489525.03914122214</v>
      </c>
      <c r="E99" s="948">
        <v>181143.89999999997</v>
      </c>
      <c r="F99" s="948">
        <f t="shared" si="16"/>
        <v>670668.93914122204</v>
      </c>
      <c r="G99" s="948">
        <v>86927.2</v>
      </c>
      <c r="H99" s="948">
        <f t="shared" si="17"/>
        <v>757596.139141222</v>
      </c>
      <c r="I99" s="948">
        <v>5244.3</v>
      </c>
      <c r="J99" s="1104">
        <v>205630</v>
      </c>
      <c r="K99" s="948">
        <v>8137.4164143333292</v>
      </c>
      <c r="L99" s="946" t="s">
        <v>88</v>
      </c>
      <c r="M99" s="1105">
        <v>15059.377777777776</v>
      </c>
      <c r="N99" s="1103">
        <f t="shared" si="18"/>
        <v>234071.09419211111</v>
      </c>
      <c r="O99" s="947">
        <f t="shared" si="19"/>
        <v>991667.23333333316</v>
      </c>
    </row>
    <row r="100" spans="1:15" s="1174" customFormat="1" hidden="1">
      <c r="A100" s="1179" t="s">
        <v>47</v>
      </c>
      <c r="B100" s="948">
        <v>150169.17500000002</v>
      </c>
      <c r="C100" s="948">
        <v>309630.78333333338</v>
      </c>
      <c r="D100" s="948">
        <f t="shared" si="21"/>
        <v>459799.95833333337</v>
      </c>
      <c r="E100" s="948">
        <v>183595.02499999999</v>
      </c>
      <c r="F100" s="948">
        <f t="shared" si="16"/>
        <v>643394.9833333334</v>
      </c>
      <c r="G100" s="948">
        <v>83265.499999999985</v>
      </c>
      <c r="H100" s="948">
        <f t="shared" si="17"/>
        <v>726660.4833333334</v>
      </c>
      <c r="I100" s="948">
        <v>7790</v>
      </c>
      <c r="J100" s="1104">
        <v>210105.59999999998</v>
      </c>
      <c r="K100" s="948">
        <v>7123.7750000000087</v>
      </c>
      <c r="L100" s="946" t="s">
        <v>88</v>
      </c>
      <c r="M100" s="1105">
        <v>19506.641666666656</v>
      </c>
      <c r="N100" s="1103">
        <f t="shared" si="18"/>
        <v>244526.01666666666</v>
      </c>
      <c r="O100" s="947">
        <f t="shared" si="19"/>
        <v>971186.5</v>
      </c>
    </row>
    <row r="101" spans="1:15" s="1174" customFormat="1" hidden="1">
      <c r="A101" s="1179" t="s">
        <v>48</v>
      </c>
      <c r="B101" s="948">
        <v>144391.81666666668</v>
      </c>
      <c r="C101" s="948">
        <v>319835.45417577779</v>
      </c>
      <c r="D101" s="948">
        <f t="shared" si="21"/>
        <v>464227.2708424445</v>
      </c>
      <c r="E101" s="948">
        <v>183185.05</v>
      </c>
      <c r="F101" s="948">
        <f t="shared" si="16"/>
        <v>647412.32084244443</v>
      </c>
      <c r="G101" s="948">
        <v>83821.999999999985</v>
      </c>
      <c r="H101" s="948">
        <f t="shared" si="17"/>
        <v>731234.32084244443</v>
      </c>
      <c r="I101" s="948">
        <v>10104.9</v>
      </c>
      <c r="J101" s="1104">
        <v>214411.8</v>
      </c>
      <c r="K101" s="948">
        <v>6937.6402686666697</v>
      </c>
      <c r="L101" s="946" t="s">
        <v>88</v>
      </c>
      <c r="M101" s="1105">
        <v>19685.205555555571</v>
      </c>
      <c r="N101" s="1103">
        <f t="shared" si="18"/>
        <v>251139.54582422221</v>
      </c>
      <c r="O101" s="947">
        <f t="shared" si="19"/>
        <v>982373.8666666667</v>
      </c>
    </row>
    <row r="102" spans="1:15" s="1174" customFormat="1" hidden="1">
      <c r="A102" s="1179" t="s">
        <v>49</v>
      </c>
      <c r="B102" s="948">
        <v>139684.65833333335</v>
      </c>
      <c r="C102" s="948">
        <v>303237.2790062222</v>
      </c>
      <c r="D102" s="948">
        <f t="shared" si="21"/>
        <v>442921.93733955559</v>
      </c>
      <c r="E102" s="948">
        <v>187912.07500000004</v>
      </c>
      <c r="F102" s="948">
        <f t="shared" si="16"/>
        <v>630834.01233955566</v>
      </c>
      <c r="G102" s="948">
        <v>85913.599999999977</v>
      </c>
      <c r="H102" s="948">
        <f t="shared" si="17"/>
        <v>716747.61233955564</v>
      </c>
      <c r="I102" s="948">
        <v>12542.7</v>
      </c>
      <c r="J102" s="1104">
        <v>218394.59999999998</v>
      </c>
      <c r="K102" s="948">
        <v>5362.4515493333311</v>
      </c>
      <c r="L102" s="946" t="s">
        <v>88</v>
      </c>
      <c r="M102" s="1105">
        <v>16631.669444444455</v>
      </c>
      <c r="N102" s="1103">
        <f t="shared" si="18"/>
        <v>252931.42099377778</v>
      </c>
      <c r="O102" s="947">
        <f t="shared" si="19"/>
        <v>969679.03333333344</v>
      </c>
    </row>
    <row r="103" spans="1:15" s="1174" customFormat="1" hidden="1">
      <c r="A103" s="1179" t="s">
        <v>50</v>
      </c>
      <c r="B103" s="948">
        <v>152063.9</v>
      </c>
      <c r="C103" s="948">
        <v>324233.86666666658</v>
      </c>
      <c r="D103" s="948">
        <f t="shared" si="21"/>
        <v>476297.7666666666</v>
      </c>
      <c r="E103" s="948">
        <v>190372.39999999997</v>
      </c>
      <c r="F103" s="948">
        <f t="shared" si="16"/>
        <v>666670.16666666651</v>
      </c>
      <c r="G103" s="948">
        <v>89131.400000000009</v>
      </c>
      <c r="H103" s="948">
        <f t="shared" si="17"/>
        <v>755801.56666666653</v>
      </c>
      <c r="I103" s="948">
        <v>12302.2</v>
      </c>
      <c r="J103" s="1104">
        <v>216433.19999999998</v>
      </c>
      <c r="K103" s="948">
        <v>11012.400000000005</v>
      </c>
      <c r="L103" s="946" t="s">
        <v>88</v>
      </c>
      <c r="M103" s="1105">
        <v>58662.633333333324</v>
      </c>
      <c r="N103" s="1103">
        <f t="shared" si="18"/>
        <v>298410.43333333329</v>
      </c>
      <c r="O103" s="947">
        <f t="shared" si="19"/>
        <v>1054211.9999999998</v>
      </c>
    </row>
    <row r="104" spans="1:15" s="1174" customFormat="1" hidden="1">
      <c r="A104" s="1179"/>
      <c r="B104" s="948"/>
      <c r="C104" s="948"/>
      <c r="D104" s="948"/>
      <c r="E104" s="948"/>
      <c r="F104" s="948"/>
      <c r="G104" s="948"/>
      <c r="H104" s="948"/>
      <c r="I104" s="948"/>
      <c r="J104" s="1104"/>
      <c r="K104" s="948"/>
      <c r="L104" s="946"/>
      <c r="M104" s="1105"/>
      <c r="N104" s="1103"/>
      <c r="O104" s="947"/>
    </row>
    <row r="105" spans="1:15" s="1174" customFormat="1" hidden="1">
      <c r="A105" s="1179" t="s">
        <v>56</v>
      </c>
      <c r="B105" s="948">
        <v>143819.10833333334</v>
      </c>
      <c r="C105" s="948">
        <v>329055.63393677789</v>
      </c>
      <c r="D105" s="948">
        <f t="shared" si="21"/>
        <v>472874.74227011122</v>
      </c>
      <c r="E105" s="948">
        <v>181288.71666666667</v>
      </c>
      <c r="F105" s="948">
        <f t="shared" si="16"/>
        <v>654163.4589367779</v>
      </c>
      <c r="G105" s="948">
        <v>96951.400000000009</v>
      </c>
      <c r="H105" s="948">
        <f t="shared" si="17"/>
        <v>751114.85893677792</v>
      </c>
      <c r="I105" s="948">
        <v>12079.5</v>
      </c>
      <c r="J105" s="1104">
        <v>226178.40833333333</v>
      </c>
      <c r="K105" s="948">
        <v>3971.3438410000053</v>
      </c>
      <c r="L105" s="946" t="s">
        <v>88</v>
      </c>
      <c r="M105" s="1105">
        <v>22497.138888888883</v>
      </c>
      <c r="N105" s="1103">
        <f t="shared" si="18"/>
        <v>264726.3910632222</v>
      </c>
      <c r="O105" s="947">
        <f t="shared" si="19"/>
        <v>1015841.2500000001</v>
      </c>
    </row>
    <row r="106" spans="1:15" s="1174" customFormat="1" hidden="1">
      <c r="A106" s="1179" t="s">
        <v>40</v>
      </c>
      <c r="B106" s="948">
        <v>145339.01666666669</v>
      </c>
      <c r="C106" s="948">
        <v>325675.97686488897</v>
      </c>
      <c r="D106" s="948">
        <f t="shared" si="21"/>
        <v>471014.99353155564</v>
      </c>
      <c r="E106" s="948">
        <v>180391.83333333334</v>
      </c>
      <c r="F106" s="948">
        <f t="shared" si="16"/>
        <v>651406.82686488901</v>
      </c>
      <c r="G106" s="948">
        <v>100600.69999999998</v>
      </c>
      <c r="H106" s="948">
        <f t="shared" si="17"/>
        <v>752007.52686488896</v>
      </c>
      <c r="I106" s="948">
        <v>7387.8</v>
      </c>
      <c r="J106" s="1104">
        <v>227179.01666666666</v>
      </c>
      <c r="K106" s="948">
        <v>1201.9120240000047</v>
      </c>
      <c r="L106" s="946" t="s">
        <v>88</v>
      </c>
      <c r="M106" s="1105">
        <v>23513.644444444421</v>
      </c>
      <c r="N106" s="1103">
        <f t="shared" si="18"/>
        <v>259282.37313511109</v>
      </c>
      <c r="O106" s="947">
        <f t="shared" si="19"/>
        <v>1011289.9</v>
      </c>
    </row>
    <row r="107" spans="1:15" s="1174" customFormat="1" hidden="1">
      <c r="A107" s="1179" t="s">
        <v>41</v>
      </c>
      <c r="B107" s="948">
        <v>145877.12499999997</v>
      </c>
      <c r="C107" s="948">
        <v>316120.97500000003</v>
      </c>
      <c r="D107" s="948">
        <f t="shared" si="21"/>
        <v>461998.1</v>
      </c>
      <c r="E107" s="948">
        <v>187065.34999999998</v>
      </c>
      <c r="F107" s="948">
        <f t="shared" si="16"/>
        <v>649063.44999999995</v>
      </c>
      <c r="G107" s="948">
        <v>93410.300000000017</v>
      </c>
      <c r="H107" s="948">
        <f t="shared" si="17"/>
        <v>742473.75</v>
      </c>
      <c r="I107" s="948">
        <v>6964.2</v>
      </c>
      <c r="J107" s="1104">
        <v>220656.02499999999</v>
      </c>
      <c r="K107" s="948">
        <v>1323.625</v>
      </c>
      <c r="L107" s="946" t="s">
        <v>88</v>
      </c>
      <c r="M107" s="1105">
        <v>11271.950000000013</v>
      </c>
      <c r="N107" s="1103">
        <f t="shared" si="18"/>
        <v>240215.80000000002</v>
      </c>
      <c r="O107" s="947">
        <f t="shared" si="19"/>
        <v>982689.55</v>
      </c>
    </row>
    <row r="108" spans="1:15" s="1174" customFormat="1" hidden="1">
      <c r="A108" s="1179" t="s">
        <v>42</v>
      </c>
      <c r="B108" s="948">
        <v>150959.93333333332</v>
      </c>
      <c r="C108" s="948">
        <v>316856.22881211108</v>
      </c>
      <c r="D108" s="948">
        <f t="shared" si="21"/>
        <v>467816.16214544442</v>
      </c>
      <c r="E108" s="948">
        <v>189442.46666666665</v>
      </c>
      <c r="F108" s="948">
        <f t="shared" si="16"/>
        <v>657258.6288121111</v>
      </c>
      <c r="G108" s="948">
        <v>96942.5</v>
      </c>
      <c r="H108" s="948">
        <f t="shared" si="17"/>
        <v>754201.1288121111</v>
      </c>
      <c r="I108" s="948">
        <v>6330.1</v>
      </c>
      <c r="J108" s="1104">
        <v>224704.73333333334</v>
      </c>
      <c r="K108" s="948">
        <v>2550.7822990000132</v>
      </c>
      <c r="L108" s="946" t="s">
        <v>88</v>
      </c>
      <c r="M108" s="1105">
        <v>6049.4555555555526</v>
      </c>
      <c r="N108" s="1103">
        <f t="shared" si="18"/>
        <v>239635.07118788891</v>
      </c>
      <c r="O108" s="947">
        <f t="shared" si="19"/>
        <v>993836.2</v>
      </c>
    </row>
    <row r="109" spans="1:15" s="1174" customFormat="1" hidden="1">
      <c r="A109" s="1179" t="s">
        <v>43</v>
      </c>
      <c r="B109" s="948">
        <v>145597.84166666667</v>
      </c>
      <c r="C109" s="948">
        <v>317817.88191022223</v>
      </c>
      <c r="D109" s="948">
        <f t="shared" si="21"/>
        <v>463415.72357688891</v>
      </c>
      <c r="E109" s="948">
        <v>183271.18333333332</v>
      </c>
      <c r="F109" s="948">
        <f t="shared" si="16"/>
        <v>646686.90691022226</v>
      </c>
      <c r="G109" s="948">
        <v>97288.099999999919</v>
      </c>
      <c r="H109" s="948">
        <f t="shared" si="17"/>
        <v>743975.00691022212</v>
      </c>
      <c r="I109" s="948">
        <v>10020</v>
      </c>
      <c r="J109" s="1104">
        <v>224928.7416666667</v>
      </c>
      <c r="K109" s="948">
        <v>13344.440311999992</v>
      </c>
      <c r="L109" s="946" t="s">
        <v>88</v>
      </c>
      <c r="M109" s="1105">
        <v>10510.861111111117</v>
      </c>
      <c r="N109" s="1103">
        <f t="shared" si="18"/>
        <v>258804.04308977781</v>
      </c>
      <c r="O109" s="947">
        <f t="shared" si="19"/>
        <v>1002779.0499999999</v>
      </c>
    </row>
    <row r="110" spans="1:15" s="1174" customFormat="1" hidden="1">
      <c r="A110" s="1179" t="s">
        <v>44</v>
      </c>
      <c r="B110" s="948">
        <v>162900.85</v>
      </c>
      <c r="C110" s="948">
        <v>313118.61951733328</v>
      </c>
      <c r="D110" s="948">
        <f t="shared" si="21"/>
        <v>476019.46951733332</v>
      </c>
      <c r="E110" s="948">
        <v>188046.3</v>
      </c>
      <c r="F110" s="948">
        <f t="shared" si="16"/>
        <v>664065.76951733325</v>
      </c>
      <c r="G110" s="948">
        <v>101671.69999999997</v>
      </c>
      <c r="H110" s="948">
        <f t="shared" si="17"/>
        <v>765737.4695173332</v>
      </c>
      <c r="I110" s="948">
        <v>9147.7000000000007</v>
      </c>
      <c r="J110" s="1104">
        <v>234618.85000000003</v>
      </c>
      <c r="K110" s="948">
        <v>8876.013816000006</v>
      </c>
      <c r="L110" s="946" t="s">
        <v>88</v>
      </c>
      <c r="M110" s="1105">
        <v>12453.466666666649</v>
      </c>
      <c r="N110" s="1103">
        <f t="shared" si="18"/>
        <v>265096.03048266674</v>
      </c>
      <c r="O110" s="947">
        <f t="shared" si="19"/>
        <v>1030833.5</v>
      </c>
    </row>
    <row r="111" spans="1:15" s="1174" customFormat="1" hidden="1">
      <c r="A111" s="1179" t="s">
        <v>45</v>
      </c>
      <c r="B111" s="948">
        <v>168474.35833333334</v>
      </c>
      <c r="C111" s="948">
        <v>316818.25556711119</v>
      </c>
      <c r="D111" s="948">
        <f t="shared" si="21"/>
        <v>485292.61390044453</v>
      </c>
      <c r="E111" s="948">
        <v>189548.30000000002</v>
      </c>
      <c r="F111" s="948">
        <f t="shared" si="16"/>
        <v>674840.91390044452</v>
      </c>
      <c r="G111" s="948">
        <v>111616.51666666666</v>
      </c>
      <c r="H111" s="948">
        <f t="shared" si="17"/>
        <v>786457.43056711112</v>
      </c>
      <c r="I111" s="948">
        <v>8263.5</v>
      </c>
      <c r="J111" s="1104">
        <v>253187.19166666671</v>
      </c>
      <c r="K111" s="948">
        <v>3273.138877333331</v>
      </c>
      <c r="L111" s="946" t="s">
        <v>88</v>
      </c>
      <c r="M111" s="1105">
        <v>6076.6055555555586</v>
      </c>
      <c r="N111" s="1103">
        <f t="shared" si="18"/>
        <v>270800.43609955558</v>
      </c>
      <c r="O111" s="947">
        <f t="shared" si="19"/>
        <v>1057257.8666666667</v>
      </c>
    </row>
    <row r="112" spans="1:15" s="1174" customFormat="1" hidden="1">
      <c r="A112" s="1179" t="s">
        <v>46</v>
      </c>
      <c r="B112" s="948">
        <v>172925.16666666666</v>
      </c>
      <c r="C112" s="948">
        <v>326647.8353208889</v>
      </c>
      <c r="D112" s="948">
        <f t="shared" si="21"/>
        <v>499573.00198755553</v>
      </c>
      <c r="E112" s="948">
        <v>192805.49999999997</v>
      </c>
      <c r="F112" s="948">
        <f t="shared" si="16"/>
        <v>692378.50198755553</v>
      </c>
      <c r="G112" s="948">
        <v>125589.13333333326</v>
      </c>
      <c r="H112" s="948">
        <f t="shared" si="17"/>
        <v>817967.63532088883</v>
      </c>
      <c r="I112" s="948">
        <v>6689.5999999999995</v>
      </c>
      <c r="J112" s="1104">
        <v>254418.2333333334</v>
      </c>
      <c r="K112" s="948">
        <v>-3079.0797653333284</v>
      </c>
      <c r="L112" s="946" t="s">
        <v>88</v>
      </c>
      <c r="M112" s="1105">
        <v>5906.6444444444205</v>
      </c>
      <c r="N112" s="1103">
        <f t="shared" si="18"/>
        <v>263935.39801244449</v>
      </c>
      <c r="O112" s="947">
        <f t="shared" si="19"/>
        <v>1081903.0333333332</v>
      </c>
    </row>
    <row r="113" spans="1:15" s="1174" customFormat="1" hidden="1">
      <c r="A113" s="1179" t="s">
        <v>47</v>
      </c>
      <c r="B113" s="948">
        <v>160488.27499999997</v>
      </c>
      <c r="C113" s="948">
        <v>325976.74166666681</v>
      </c>
      <c r="D113" s="948">
        <f t="shared" si="21"/>
        <v>486465.01666666678</v>
      </c>
      <c r="E113" s="948">
        <v>192660.69999999998</v>
      </c>
      <c r="F113" s="948">
        <f t="shared" si="16"/>
        <v>679125.71666666679</v>
      </c>
      <c r="G113" s="948">
        <v>129937.04999999999</v>
      </c>
      <c r="H113" s="948">
        <f t="shared" si="17"/>
        <v>809062.76666666684</v>
      </c>
      <c r="I113" s="948">
        <v>8142</v>
      </c>
      <c r="J113" s="1104">
        <v>256688.17500000002</v>
      </c>
      <c r="K113" s="948">
        <v>-7545.9249999999993</v>
      </c>
      <c r="L113" s="946" t="s">
        <v>88</v>
      </c>
      <c r="M113" s="1105">
        <v>8607.0833333333485</v>
      </c>
      <c r="N113" s="1103">
        <f t="shared" si="18"/>
        <v>265891.33333333343</v>
      </c>
      <c r="O113" s="947">
        <f t="shared" si="19"/>
        <v>1074954.1000000003</v>
      </c>
    </row>
    <row r="114" spans="1:15" s="1174" customFormat="1" hidden="1">
      <c r="A114" s="1179" t="s">
        <v>48</v>
      </c>
      <c r="B114" s="948">
        <v>157565.78333333335</v>
      </c>
      <c r="C114" s="948">
        <v>329552.99444444443</v>
      </c>
      <c r="D114" s="948">
        <f t="shared" si="21"/>
        <v>487118.77777777775</v>
      </c>
      <c r="E114" s="948">
        <v>200122.9</v>
      </c>
      <c r="F114" s="948">
        <f t="shared" si="16"/>
        <v>687241.67777777778</v>
      </c>
      <c r="G114" s="948">
        <v>128862.66666666676</v>
      </c>
      <c r="H114" s="948">
        <f t="shared" si="17"/>
        <v>816104.34444444452</v>
      </c>
      <c r="I114" s="948">
        <v>8277.1</v>
      </c>
      <c r="J114" s="1104">
        <v>259018.81666666671</v>
      </c>
      <c r="K114" s="948">
        <v>-6856.0166666666719</v>
      </c>
      <c r="L114" s="946" t="s">
        <v>88</v>
      </c>
      <c r="M114" s="1105">
        <v>2002.3222222221873</v>
      </c>
      <c r="N114" s="1103">
        <f t="shared" si="18"/>
        <v>262442.22222222219</v>
      </c>
      <c r="O114" s="947">
        <f t="shared" si="19"/>
        <v>1078546.5666666667</v>
      </c>
    </row>
    <row r="115" spans="1:15" s="1174" customFormat="1" hidden="1">
      <c r="A115" s="1179" t="s">
        <v>49</v>
      </c>
      <c r="B115" s="948">
        <v>157683.69166666665</v>
      </c>
      <c r="C115" s="948">
        <v>333573.74722222221</v>
      </c>
      <c r="D115" s="948">
        <f t="shared" si="21"/>
        <v>491257.43888888886</v>
      </c>
      <c r="E115" s="948">
        <v>210908.7</v>
      </c>
      <c r="F115" s="948">
        <f t="shared" si="16"/>
        <v>702166.13888888888</v>
      </c>
      <c r="G115" s="948">
        <v>125255.48333333332</v>
      </c>
      <c r="H115" s="948">
        <f t="shared" si="17"/>
        <v>827421.62222222215</v>
      </c>
      <c r="I115" s="948">
        <v>11660.1</v>
      </c>
      <c r="J115" s="1104">
        <v>262433.25833333336</v>
      </c>
      <c r="K115" s="948">
        <v>-1353.7083333333358</v>
      </c>
      <c r="L115" s="946" t="s">
        <v>88</v>
      </c>
      <c r="M115" s="1105">
        <v>12776.161111111091</v>
      </c>
      <c r="N115" s="1103">
        <f t="shared" si="18"/>
        <v>285515.81111111114</v>
      </c>
      <c r="O115" s="947">
        <f t="shared" si="19"/>
        <v>1112937.4333333333</v>
      </c>
    </row>
    <row r="116" spans="1:15" s="1174" customFormat="1" hidden="1">
      <c r="A116" s="1179" t="s">
        <v>50</v>
      </c>
      <c r="B116" s="948">
        <v>170995.69999999998</v>
      </c>
      <c r="C116" s="948">
        <v>351213.60000000003</v>
      </c>
      <c r="D116" s="948">
        <f t="shared" si="21"/>
        <v>522209.30000000005</v>
      </c>
      <c r="E116" s="948">
        <v>221036.7</v>
      </c>
      <c r="F116" s="948">
        <f t="shared" si="16"/>
        <v>743246</v>
      </c>
      <c r="G116" s="948">
        <v>134007.29999999999</v>
      </c>
      <c r="H116" s="948">
        <f t="shared" si="17"/>
        <v>877253.3</v>
      </c>
      <c r="I116" s="948">
        <v>15658.2</v>
      </c>
      <c r="J116" s="1104">
        <v>271963.90000000002</v>
      </c>
      <c r="K116" s="948">
        <v>2397.2999999999884</v>
      </c>
      <c r="L116" s="946" t="s">
        <v>88</v>
      </c>
      <c r="M116" s="1105">
        <v>14404.000000000002</v>
      </c>
      <c r="N116" s="1103">
        <f t="shared" si="18"/>
        <v>304423.40000000002</v>
      </c>
      <c r="O116" s="947">
        <f t="shared" si="19"/>
        <v>1181676.7000000002</v>
      </c>
    </row>
    <row r="117" spans="1:15" s="1174" customFormat="1" hidden="1">
      <c r="A117" s="1179"/>
      <c r="B117" s="948"/>
      <c r="C117" s="948"/>
      <c r="D117" s="948"/>
      <c r="E117" s="948"/>
      <c r="F117" s="948"/>
      <c r="G117" s="948"/>
      <c r="H117" s="948"/>
      <c r="I117" s="948"/>
      <c r="J117" s="1104"/>
      <c r="K117" s="948"/>
      <c r="L117" s="946"/>
      <c r="M117" s="1105"/>
      <c r="N117" s="1103"/>
      <c r="O117" s="947"/>
    </row>
    <row r="118" spans="1:15" s="1174" customFormat="1" hidden="1">
      <c r="A118" s="1179" t="s">
        <v>55</v>
      </c>
      <c r="B118" s="948">
        <v>161392.15</v>
      </c>
      <c r="C118" s="948">
        <v>345791.61666666664</v>
      </c>
      <c r="D118" s="948">
        <f t="shared" si="21"/>
        <v>507183.7666666666</v>
      </c>
      <c r="E118" s="948">
        <v>224320.2416666667</v>
      </c>
      <c r="F118" s="948">
        <f t="shared" si="16"/>
        <v>731504.0083333333</v>
      </c>
      <c r="G118" s="948">
        <v>138829.68333333329</v>
      </c>
      <c r="H118" s="948">
        <f t="shared" si="17"/>
        <v>870333.69166666665</v>
      </c>
      <c r="I118" s="948">
        <v>12013.6</v>
      </c>
      <c r="J118" s="1104">
        <v>276876.43333333335</v>
      </c>
      <c r="K118" s="948">
        <v>-8094.9166666666642</v>
      </c>
      <c r="L118" s="946" t="s">
        <v>88</v>
      </c>
      <c r="M118" s="1105">
        <v>13190.441666666642</v>
      </c>
      <c r="N118" s="1103">
        <f t="shared" si="18"/>
        <v>293985.55833333329</v>
      </c>
      <c r="O118" s="947">
        <f t="shared" si="19"/>
        <v>1164319.25</v>
      </c>
    </row>
    <row r="119" spans="1:15" s="1174" customFormat="1" hidden="1">
      <c r="A119" s="1179" t="s">
        <v>40</v>
      </c>
      <c r="B119" s="948">
        <v>164280.5</v>
      </c>
      <c r="C119" s="948">
        <v>355151.73333333328</v>
      </c>
      <c r="D119" s="948">
        <f t="shared" si="21"/>
        <v>519432.23333333328</v>
      </c>
      <c r="E119" s="948">
        <v>223071.08333333331</v>
      </c>
      <c r="F119" s="948">
        <f t="shared" si="16"/>
        <v>742503.31666666665</v>
      </c>
      <c r="G119" s="948">
        <v>152444.16666666666</v>
      </c>
      <c r="H119" s="948">
        <f t="shared" si="17"/>
        <v>894947.48333333328</v>
      </c>
      <c r="I119" s="948">
        <v>9408</v>
      </c>
      <c r="J119" s="1104">
        <v>284248.06666666665</v>
      </c>
      <c r="K119" s="948">
        <v>3274.2666666666737</v>
      </c>
      <c r="L119" s="946" t="s">
        <v>88</v>
      </c>
      <c r="M119" s="1105">
        <v>11725.083333333338</v>
      </c>
      <c r="N119" s="1103">
        <f t="shared" si="18"/>
        <v>308655.41666666663</v>
      </c>
      <c r="O119" s="947">
        <f t="shared" si="19"/>
        <v>1203602.8999999999</v>
      </c>
    </row>
    <row r="120" spans="1:15" s="1174" customFormat="1" hidden="1">
      <c r="A120" s="1179" t="s">
        <v>41</v>
      </c>
      <c r="B120" s="948">
        <v>164162.25</v>
      </c>
      <c r="C120" s="948">
        <v>356362.55000000005</v>
      </c>
      <c r="D120" s="948">
        <f t="shared" si="21"/>
        <v>520524.80000000005</v>
      </c>
      <c r="E120" s="948">
        <v>231016.72499999998</v>
      </c>
      <c r="F120" s="948">
        <f t="shared" si="16"/>
        <v>751541.52500000002</v>
      </c>
      <c r="G120" s="948">
        <v>142356.44999999995</v>
      </c>
      <c r="H120" s="948">
        <f t="shared" si="17"/>
        <v>893897.97499999998</v>
      </c>
      <c r="I120" s="948">
        <v>8762.2000000000007</v>
      </c>
      <c r="J120" s="1104">
        <v>280819.80000000005</v>
      </c>
      <c r="K120" s="948">
        <v>2894.7500000000146</v>
      </c>
      <c r="L120" s="946" t="s">
        <v>88</v>
      </c>
      <c r="M120" s="1105">
        <v>1776.2250000000056</v>
      </c>
      <c r="N120" s="1103">
        <f t="shared" si="18"/>
        <v>294252.97500000003</v>
      </c>
      <c r="O120" s="947">
        <f t="shared" si="19"/>
        <v>1188150.95</v>
      </c>
    </row>
    <row r="121" spans="1:15" s="1174" customFormat="1" hidden="1">
      <c r="A121" s="1179" t="s">
        <v>42</v>
      </c>
      <c r="B121" s="948">
        <v>167767.09999999998</v>
      </c>
      <c r="C121" s="948">
        <v>365558.06666666665</v>
      </c>
      <c r="D121" s="948">
        <f t="shared" si="21"/>
        <v>533325.16666666663</v>
      </c>
      <c r="E121" s="948">
        <v>242554.36666666664</v>
      </c>
      <c r="F121" s="948">
        <f t="shared" si="16"/>
        <v>775879.53333333321</v>
      </c>
      <c r="G121" s="948">
        <v>147719.23333333334</v>
      </c>
      <c r="H121" s="948">
        <f t="shared" si="17"/>
        <v>923598.7666666666</v>
      </c>
      <c r="I121" s="948">
        <v>8634.1</v>
      </c>
      <c r="J121" s="1104">
        <v>282891.03333333338</v>
      </c>
      <c r="K121" s="948">
        <v>4554.5933333333305</v>
      </c>
      <c r="L121" s="946" t="s">
        <v>88</v>
      </c>
      <c r="M121" s="1105">
        <v>-1366.5333333333394</v>
      </c>
      <c r="N121" s="1103">
        <f t="shared" si="18"/>
        <v>294713.19333333336</v>
      </c>
      <c r="O121" s="947">
        <f t="shared" si="19"/>
        <v>1218311.96</v>
      </c>
    </row>
    <row r="122" spans="1:15" s="1174" customFormat="1" hidden="1">
      <c r="A122" s="1179" t="s">
        <v>43</v>
      </c>
      <c r="B122" s="948">
        <v>172200.44999999998</v>
      </c>
      <c r="C122" s="948">
        <v>372911.4833333334</v>
      </c>
      <c r="D122" s="948">
        <f t="shared" si="21"/>
        <v>545111.93333333335</v>
      </c>
      <c r="E122" s="948">
        <v>243067.40833333333</v>
      </c>
      <c r="F122" s="948">
        <f t="shared" ref="F122:F142" si="22">D122+E122</f>
        <v>788179.34166666667</v>
      </c>
      <c r="G122" s="948">
        <v>140115.01666666669</v>
      </c>
      <c r="H122" s="948">
        <f t="shared" si="17"/>
        <v>928294.3583333334</v>
      </c>
      <c r="I122" s="948">
        <v>5998.5</v>
      </c>
      <c r="J122" s="1104">
        <v>282108.56666666665</v>
      </c>
      <c r="K122" s="948">
        <v>-1329.0833333333412</v>
      </c>
      <c r="L122" s="946" t="s">
        <v>88</v>
      </c>
      <c r="M122" s="1105">
        <v>-6724.4916666666331</v>
      </c>
      <c r="N122" s="1103">
        <f t="shared" si="18"/>
        <v>280053.4916666667</v>
      </c>
      <c r="O122" s="947">
        <f t="shared" si="19"/>
        <v>1208347.8500000001</v>
      </c>
    </row>
    <row r="123" spans="1:15" s="1174" customFormat="1" hidden="1">
      <c r="A123" s="1179" t="s">
        <v>44</v>
      </c>
      <c r="B123" s="948">
        <v>177850.59999999998</v>
      </c>
      <c r="C123" s="948">
        <v>369692.89999999985</v>
      </c>
      <c r="D123" s="948">
        <f t="shared" si="21"/>
        <v>547543.49999999977</v>
      </c>
      <c r="E123" s="948">
        <v>244693.94999999995</v>
      </c>
      <c r="F123" s="948">
        <f t="shared" si="22"/>
        <v>792237.44999999972</v>
      </c>
      <c r="G123" s="948">
        <v>135685.39999999997</v>
      </c>
      <c r="H123" s="948">
        <f t="shared" ref="H123:H142" si="23">F123+G123</f>
        <v>927922.84999999963</v>
      </c>
      <c r="I123" s="948">
        <v>3846.6</v>
      </c>
      <c r="J123" s="1104">
        <v>280510.90000000002</v>
      </c>
      <c r="K123" s="948">
        <v>-1876.8999999999851</v>
      </c>
      <c r="L123" s="946" t="s">
        <v>88</v>
      </c>
      <c r="M123" s="1105">
        <v>-9670.9499999999862</v>
      </c>
      <c r="N123" s="1103">
        <f t="shared" ref="N123:N142" si="24">SUM(I123:M123)</f>
        <v>272809.65000000002</v>
      </c>
      <c r="O123" s="947">
        <f t="shared" ref="O123:O142" si="25">H123+N123</f>
        <v>1200732.4999999995</v>
      </c>
    </row>
    <row r="124" spans="1:15" s="1174" customFormat="1" hidden="1">
      <c r="A124" s="1179" t="s">
        <v>45</v>
      </c>
      <c r="B124" s="948">
        <v>179782.41666666666</v>
      </c>
      <c r="C124" s="948">
        <v>371119.61666666676</v>
      </c>
      <c r="D124" s="948">
        <f t="shared" si="21"/>
        <v>550902.03333333344</v>
      </c>
      <c r="E124" s="948">
        <v>242371.37500000006</v>
      </c>
      <c r="F124" s="948">
        <f t="shared" si="22"/>
        <v>793273.40833333344</v>
      </c>
      <c r="G124" s="948">
        <v>140233.5</v>
      </c>
      <c r="H124" s="948">
        <f t="shared" si="23"/>
        <v>933506.90833333344</v>
      </c>
      <c r="I124" s="948">
        <v>3846.6</v>
      </c>
      <c r="J124" s="1104">
        <v>280006.80000000005</v>
      </c>
      <c r="K124" s="948">
        <v>-6966.9500000000053</v>
      </c>
      <c r="L124" s="946" t="s">
        <v>88</v>
      </c>
      <c r="M124" s="1105">
        <v>7691.1583333333147</v>
      </c>
      <c r="N124" s="1103">
        <f t="shared" si="24"/>
        <v>284577.60833333334</v>
      </c>
      <c r="O124" s="947">
        <f t="shared" si="25"/>
        <v>1218084.5166666668</v>
      </c>
    </row>
    <row r="125" spans="1:15" s="1174" customFormat="1" hidden="1">
      <c r="A125" s="1179" t="s">
        <v>46</v>
      </c>
      <c r="B125" s="948">
        <v>179746.13333333333</v>
      </c>
      <c r="C125" s="948">
        <v>392803.63333333342</v>
      </c>
      <c r="D125" s="948">
        <f t="shared" si="21"/>
        <v>572549.76666666672</v>
      </c>
      <c r="E125" s="948">
        <v>249054.70000000004</v>
      </c>
      <c r="F125" s="948">
        <f t="shared" si="22"/>
        <v>821604.46666666679</v>
      </c>
      <c r="G125" s="948">
        <v>134871.90000000002</v>
      </c>
      <c r="H125" s="948">
        <f t="shared" si="23"/>
        <v>956476.36666666681</v>
      </c>
      <c r="I125" s="948">
        <v>4059.5</v>
      </c>
      <c r="J125" s="1104">
        <v>281009.90000000002</v>
      </c>
      <c r="K125" s="948">
        <v>-5081.9000000000051</v>
      </c>
      <c r="L125" s="946" t="s">
        <v>88</v>
      </c>
      <c r="M125" s="1105">
        <v>17756.466666666678</v>
      </c>
      <c r="N125" s="1103">
        <f t="shared" si="24"/>
        <v>297743.96666666667</v>
      </c>
      <c r="O125" s="947">
        <f t="shared" si="25"/>
        <v>1254220.3333333335</v>
      </c>
    </row>
    <row r="126" spans="1:15" s="1174" customFormat="1" hidden="1">
      <c r="A126" s="1179" t="s">
        <v>47</v>
      </c>
      <c r="B126" s="948">
        <v>172463.65</v>
      </c>
      <c r="C126" s="948">
        <v>393038.25</v>
      </c>
      <c r="D126" s="948">
        <f t="shared" si="21"/>
        <v>565501.9</v>
      </c>
      <c r="E126" s="948">
        <v>256838.42499999999</v>
      </c>
      <c r="F126" s="948">
        <f t="shared" si="22"/>
        <v>822340.32499999995</v>
      </c>
      <c r="G126" s="948">
        <v>134125.99999999997</v>
      </c>
      <c r="H126" s="948">
        <f t="shared" si="23"/>
        <v>956466.32499999995</v>
      </c>
      <c r="I126" s="948">
        <v>3616.6</v>
      </c>
      <c r="J126" s="1104">
        <v>282852.2</v>
      </c>
      <c r="K126" s="948">
        <v>-8421.3500000000076</v>
      </c>
      <c r="L126" s="946" t="s">
        <v>88</v>
      </c>
      <c r="M126" s="1105">
        <v>17850.075000000008</v>
      </c>
      <c r="N126" s="1103">
        <f t="shared" si="24"/>
        <v>295897.52499999997</v>
      </c>
      <c r="O126" s="947">
        <f t="shared" si="25"/>
        <v>1252363.8499999999</v>
      </c>
    </row>
    <row r="127" spans="1:15" s="1174" customFormat="1" hidden="1">
      <c r="A127" s="1179" t="s">
        <v>48</v>
      </c>
      <c r="B127" s="948">
        <v>174919.56666666668</v>
      </c>
      <c r="C127" s="948">
        <v>391396.26666666672</v>
      </c>
      <c r="D127" s="948">
        <f t="shared" si="21"/>
        <v>566315.83333333337</v>
      </c>
      <c r="E127" s="948">
        <v>257215.35</v>
      </c>
      <c r="F127" s="948">
        <f t="shared" si="22"/>
        <v>823531.18333333335</v>
      </c>
      <c r="G127" s="948">
        <v>137073.29999999987</v>
      </c>
      <c r="H127" s="948">
        <f t="shared" si="23"/>
        <v>960604.48333333316</v>
      </c>
      <c r="I127" s="948">
        <v>3527.8</v>
      </c>
      <c r="J127" s="1104">
        <v>283725.80000000005</v>
      </c>
      <c r="K127" s="948">
        <v>3572.6999999999898</v>
      </c>
      <c r="L127" s="946"/>
      <c r="M127" s="1105">
        <v>22103.583333333332</v>
      </c>
      <c r="N127" s="1103">
        <f t="shared" si="24"/>
        <v>312929.88333333336</v>
      </c>
      <c r="O127" s="947">
        <f t="shared" si="25"/>
        <v>1273534.3666666665</v>
      </c>
    </row>
    <row r="128" spans="1:15" s="1174" customFormat="1" hidden="1">
      <c r="A128" s="1179" t="s">
        <v>49</v>
      </c>
      <c r="B128" s="948">
        <v>176510.38333333333</v>
      </c>
      <c r="C128" s="948">
        <v>389402.18333333323</v>
      </c>
      <c r="D128" s="948">
        <f t="shared" si="21"/>
        <v>565912.56666666653</v>
      </c>
      <c r="E128" s="948">
        <v>263747.67500000005</v>
      </c>
      <c r="F128" s="948">
        <f t="shared" si="22"/>
        <v>829660.24166666658</v>
      </c>
      <c r="G128" s="948">
        <v>133771.29999999993</v>
      </c>
      <c r="H128" s="948">
        <f t="shared" si="23"/>
        <v>963431.54166666651</v>
      </c>
      <c r="I128" s="948">
        <v>6643.5</v>
      </c>
      <c r="J128" s="1104">
        <v>287734.8</v>
      </c>
      <c r="K128" s="948">
        <v>-5854.3500000000167</v>
      </c>
      <c r="L128" s="946"/>
      <c r="M128" s="1105">
        <v>17218.891666666652</v>
      </c>
      <c r="N128" s="1103">
        <f t="shared" si="24"/>
        <v>305742.84166666662</v>
      </c>
      <c r="O128" s="947">
        <f t="shared" si="25"/>
        <v>1269174.3833333331</v>
      </c>
    </row>
    <row r="129" spans="1:15" s="1174" customFormat="1" hidden="1">
      <c r="A129" s="1179" t="s">
        <v>50</v>
      </c>
      <c r="B129" s="948">
        <v>184204.80000000002</v>
      </c>
      <c r="C129" s="948">
        <v>402424.5</v>
      </c>
      <c r="D129" s="948">
        <f t="shared" si="21"/>
        <v>586629.30000000005</v>
      </c>
      <c r="E129" s="948">
        <v>264023.3</v>
      </c>
      <c r="F129" s="948">
        <f t="shared" si="22"/>
        <v>850652.60000000009</v>
      </c>
      <c r="G129" s="948">
        <v>136096.19999999998</v>
      </c>
      <c r="H129" s="948">
        <f t="shared" si="23"/>
        <v>986748.8</v>
      </c>
      <c r="I129" s="948">
        <v>7533</v>
      </c>
      <c r="J129" s="1104">
        <v>290526</v>
      </c>
      <c r="K129" s="948">
        <v>-4717.4000000000124</v>
      </c>
      <c r="L129" s="946"/>
      <c r="M129" s="1105">
        <v>4645.9000000000397</v>
      </c>
      <c r="N129" s="1103">
        <f t="shared" si="24"/>
        <v>297987.5</v>
      </c>
      <c r="O129" s="947">
        <f t="shared" si="25"/>
        <v>1284736.3</v>
      </c>
    </row>
    <row r="130" spans="1:15" s="1174" customFormat="1" hidden="1">
      <c r="A130" s="1180"/>
      <c r="B130" s="948"/>
      <c r="C130" s="948"/>
      <c r="D130" s="948"/>
      <c r="E130" s="948"/>
      <c r="F130" s="948"/>
      <c r="G130" s="948"/>
      <c r="H130" s="948"/>
      <c r="I130" s="948"/>
      <c r="J130" s="1104"/>
      <c r="K130" s="948"/>
      <c r="L130" s="946"/>
      <c r="M130" s="1105"/>
      <c r="N130" s="1103"/>
      <c r="O130" s="947"/>
    </row>
    <row r="131" spans="1:15" s="1174" customFormat="1" hidden="1">
      <c r="A131" s="1179" t="s">
        <v>54</v>
      </c>
      <c r="B131" s="948">
        <v>172252.53333333333</v>
      </c>
      <c r="C131" s="948">
        <v>386116.19999999995</v>
      </c>
      <c r="D131" s="948">
        <f t="shared" si="21"/>
        <v>558368.73333333328</v>
      </c>
      <c r="E131" s="948">
        <v>268695.15000000002</v>
      </c>
      <c r="F131" s="948">
        <f t="shared" si="22"/>
        <v>827063.8833333333</v>
      </c>
      <c r="G131" s="948">
        <v>138141.69999999998</v>
      </c>
      <c r="H131" s="948">
        <f t="shared" si="23"/>
        <v>965205.58333333326</v>
      </c>
      <c r="I131" s="948">
        <v>10044</v>
      </c>
      <c r="J131" s="1104">
        <v>291541.34166666667</v>
      </c>
      <c r="K131" s="948">
        <v>-7580.6500000000015</v>
      </c>
      <c r="L131" s="946"/>
      <c r="M131" s="1105">
        <v>7724.9750000000258</v>
      </c>
      <c r="N131" s="1103">
        <f t="shared" si="24"/>
        <v>301729.66666666669</v>
      </c>
      <c r="O131" s="947">
        <f t="shared" si="25"/>
        <v>1266935.25</v>
      </c>
    </row>
    <row r="132" spans="1:15" s="1174" customFormat="1" hidden="1">
      <c r="A132" s="1179" t="s">
        <v>40</v>
      </c>
      <c r="B132" s="948">
        <v>170266.76666666666</v>
      </c>
      <c r="C132" s="948">
        <v>373715.80000000016</v>
      </c>
      <c r="D132" s="948">
        <f t="shared" si="21"/>
        <v>543982.56666666688</v>
      </c>
      <c r="E132" s="948">
        <v>284420.69999999995</v>
      </c>
      <c r="F132" s="948">
        <f t="shared" si="22"/>
        <v>828403.26666666684</v>
      </c>
      <c r="G132" s="948">
        <v>148341.19999999995</v>
      </c>
      <c r="H132" s="948">
        <f t="shared" si="23"/>
        <v>976744.46666666679</v>
      </c>
      <c r="I132" s="948">
        <v>9270.6999999999989</v>
      </c>
      <c r="J132" s="1104">
        <v>293626.98333333334</v>
      </c>
      <c r="K132" s="948">
        <v>-4176.6000000000031</v>
      </c>
      <c r="L132" s="946"/>
      <c r="M132" s="1105">
        <v>9212.35</v>
      </c>
      <c r="N132" s="1103">
        <f t="shared" si="24"/>
        <v>307933.43333333335</v>
      </c>
      <c r="O132" s="947">
        <f t="shared" si="25"/>
        <v>1284677.9000000001</v>
      </c>
    </row>
    <row r="133" spans="1:15" s="1174" customFormat="1" hidden="1">
      <c r="A133" s="1179" t="s">
        <v>41</v>
      </c>
      <c r="B133" s="948">
        <v>169547.19999999998</v>
      </c>
      <c r="C133" s="948">
        <v>383013.09999999992</v>
      </c>
      <c r="D133" s="948">
        <f t="shared" si="21"/>
        <v>552560.29999999993</v>
      </c>
      <c r="E133" s="948">
        <v>285613.15000000002</v>
      </c>
      <c r="F133" s="948">
        <f t="shared" si="22"/>
        <v>838173.45</v>
      </c>
      <c r="G133" s="948">
        <v>150060.39999999991</v>
      </c>
      <c r="H133" s="948">
        <f t="shared" si="23"/>
        <v>988233.84999999986</v>
      </c>
      <c r="I133" s="948">
        <v>6602.2</v>
      </c>
      <c r="J133" s="1104">
        <v>289554.22499999998</v>
      </c>
      <c r="K133" s="948">
        <v>-9090.8500000000186</v>
      </c>
      <c r="L133" s="946"/>
      <c r="M133" s="1105">
        <v>339.02500000002533</v>
      </c>
      <c r="N133" s="1103">
        <f t="shared" si="24"/>
        <v>287404.59999999998</v>
      </c>
      <c r="O133" s="947">
        <f t="shared" si="25"/>
        <v>1275638.4499999997</v>
      </c>
    </row>
    <row r="134" spans="1:15" s="1174" customFormat="1" hidden="1">
      <c r="A134" s="1179" t="s">
        <v>42</v>
      </c>
      <c r="B134" s="948">
        <v>179352.63333333333</v>
      </c>
      <c r="C134" s="948">
        <v>401479.0999999998</v>
      </c>
      <c r="D134" s="948">
        <f t="shared" si="21"/>
        <v>580831.73333333316</v>
      </c>
      <c r="E134" s="948">
        <v>290666.89999999997</v>
      </c>
      <c r="F134" s="948">
        <f t="shared" si="22"/>
        <v>871498.63333333307</v>
      </c>
      <c r="G134" s="948">
        <v>162426.70000000001</v>
      </c>
      <c r="H134" s="948">
        <f t="shared" si="23"/>
        <v>1033925.333333333</v>
      </c>
      <c r="I134" s="948">
        <v>6404.9000000000005</v>
      </c>
      <c r="J134" s="1104">
        <v>320194.16666666663</v>
      </c>
      <c r="K134" s="948">
        <v>-953.29999999998108</v>
      </c>
      <c r="L134" s="946"/>
      <c r="M134" s="1105">
        <v>-27561.999999999985</v>
      </c>
      <c r="N134" s="1103">
        <f t="shared" si="24"/>
        <v>298083.76666666666</v>
      </c>
      <c r="O134" s="947">
        <f t="shared" si="25"/>
        <v>1332009.0999999996</v>
      </c>
    </row>
    <row r="135" spans="1:15" s="1174" customFormat="1" hidden="1">
      <c r="A135" s="1179" t="s">
        <v>43</v>
      </c>
      <c r="B135" s="948">
        <v>185294.06666666668</v>
      </c>
      <c r="C135" s="948">
        <v>397342.89999999991</v>
      </c>
      <c r="D135" s="948">
        <f t="shared" si="21"/>
        <v>582636.96666666656</v>
      </c>
      <c r="E135" s="948">
        <v>293128.25</v>
      </c>
      <c r="F135" s="948">
        <f t="shared" si="22"/>
        <v>875765.21666666656</v>
      </c>
      <c r="G135" s="948">
        <v>148292.10000000006</v>
      </c>
      <c r="H135" s="948">
        <f t="shared" si="23"/>
        <v>1024057.3166666667</v>
      </c>
      <c r="I135" s="948">
        <v>5114.3</v>
      </c>
      <c r="J135" s="1104">
        <v>324369.40833333327</v>
      </c>
      <c r="K135" s="948">
        <v>-7628.6499999999833</v>
      </c>
      <c r="L135" s="946"/>
      <c r="M135" s="1105">
        <v>-26127.924999999999</v>
      </c>
      <c r="N135" s="1103">
        <f t="shared" si="24"/>
        <v>295727.1333333333</v>
      </c>
      <c r="O135" s="947">
        <f t="shared" si="25"/>
        <v>1319784.45</v>
      </c>
    </row>
    <row r="136" spans="1:15" s="1174" customFormat="1" hidden="1">
      <c r="A136" s="1179" t="s">
        <v>44</v>
      </c>
      <c r="B136" s="948">
        <v>191954.09999999998</v>
      </c>
      <c r="C136" s="948">
        <v>422341.60000000003</v>
      </c>
      <c r="D136" s="948">
        <f t="shared" si="21"/>
        <v>614295.69999999995</v>
      </c>
      <c r="E136" s="948">
        <v>290332</v>
      </c>
      <c r="F136" s="948">
        <f t="shared" si="22"/>
        <v>904627.7</v>
      </c>
      <c r="G136" s="948">
        <v>145971.70000000001</v>
      </c>
      <c r="H136" s="948">
        <f t="shared" si="23"/>
        <v>1050599.3999999999</v>
      </c>
      <c r="I136" s="948">
        <v>2743.8</v>
      </c>
      <c r="J136" s="1104">
        <v>326418.64999999997</v>
      </c>
      <c r="K136" s="948">
        <v>-1666.1999999999935</v>
      </c>
      <c r="L136" s="946"/>
      <c r="M136" s="1105">
        <v>-21981.850000000006</v>
      </c>
      <c r="N136" s="1103">
        <f t="shared" si="24"/>
        <v>305514.39999999991</v>
      </c>
      <c r="O136" s="947">
        <f t="shared" si="25"/>
        <v>1356113.7999999998</v>
      </c>
    </row>
    <row r="137" spans="1:15" s="1174" customFormat="1" hidden="1">
      <c r="A137" s="1179" t="s">
        <v>45</v>
      </c>
      <c r="B137" s="948">
        <v>201728.40000000002</v>
      </c>
      <c r="C137" s="948">
        <v>432032.51666666649</v>
      </c>
      <c r="D137" s="948">
        <f t="shared" si="21"/>
        <v>633760.91666666651</v>
      </c>
      <c r="E137" s="948">
        <v>298699.95</v>
      </c>
      <c r="F137" s="948">
        <f t="shared" si="22"/>
        <v>932460.86666666646</v>
      </c>
      <c r="G137" s="948">
        <v>168220.39999999997</v>
      </c>
      <c r="H137" s="948">
        <f t="shared" si="23"/>
        <v>1100681.2666666664</v>
      </c>
      <c r="I137" s="948">
        <v>9700.7000000000007</v>
      </c>
      <c r="J137" s="1104">
        <v>328760.2583333333</v>
      </c>
      <c r="K137" s="948">
        <v>-5649.2833333333183</v>
      </c>
      <c r="L137" s="946"/>
      <c r="M137" s="1105">
        <v>-31062.425000000028</v>
      </c>
      <c r="N137" s="1103">
        <f t="shared" si="24"/>
        <v>301749.24999999994</v>
      </c>
      <c r="O137" s="947">
        <f t="shared" si="25"/>
        <v>1402430.5166666664</v>
      </c>
    </row>
    <row r="138" spans="1:15" s="1174" customFormat="1" hidden="1">
      <c r="A138" s="1179" t="s">
        <v>46</v>
      </c>
      <c r="B138" s="948">
        <v>197284.11666666667</v>
      </c>
      <c r="C138" s="948">
        <v>436816.6944444445</v>
      </c>
      <c r="D138" s="948">
        <f t="shared" si="21"/>
        <v>634100.81111111119</v>
      </c>
      <c r="E138" s="948">
        <v>299287.24444444443</v>
      </c>
      <c r="F138" s="948">
        <f t="shared" si="22"/>
        <v>933388.05555555562</v>
      </c>
      <c r="G138" s="948">
        <v>159633.69999999995</v>
      </c>
      <c r="H138" s="948">
        <f t="shared" si="23"/>
        <v>1093021.7555555557</v>
      </c>
      <c r="I138" s="948">
        <v>9573.7999999999993</v>
      </c>
      <c r="J138" s="1104">
        <v>333993.1722222222</v>
      </c>
      <c r="K138" s="948">
        <v>-9251.2277777777745</v>
      </c>
      <c r="L138" s="946"/>
      <c r="M138" s="1105">
        <v>-32910.211111111072</v>
      </c>
      <c r="N138" s="1103">
        <f t="shared" si="24"/>
        <v>301405.53333333333</v>
      </c>
      <c r="O138" s="947">
        <f t="shared" si="25"/>
        <v>1394427.2888888889</v>
      </c>
    </row>
    <row r="139" spans="1:15" s="1174" customFormat="1" hidden="1">
      <c r="A139" s="1179" t="s">
        <v>47</v>
      </c>
      <c r="B139" s="948">
        <v>186501.79166666666</v>
      </c>
      <c r="C139" s="948">
        <v>430359.05277777778</v>
      </c>
      <c r="D139" s="948">
        <f t="shared" si="21"/>
        <v>616860.8444444444</v>
      </c>
      <c r="E139" s="948">
        <v>286361.9611111111</v>
      </c>
      <c r="F139" s="948">
        <f t="shared" si="22"/>
        <v>903222.8055555555</v>
      </c>
      <c r="G139" s="948">
        <v>149361.39999999991</v>
      </c>
      <c r="H139" s="948">
        <f t="shared" si="23"/>
        <v>1052584.2055555554</v>
      </c>
      <c r="I139" s="948">
        <v>8443.4</v>
      </c>
      <c r="J139" s="1104">
        <v>335103.93888888892</v>
      </c>
      <c r="K139" s="948">
        <v>-23162.602777777782</v>
      </c>
      <c r="L139" s="946"/>
      <c r="M139" s="1105">
        <v>-35086.952777777733</v>
      </c>
      <c r="N139" s="1103">
        <f t="shared" si="24"/>
        <v>285297.78333333344</v>
      </c>
      <c r="O139" s="947">
        <f t="shared" si="25"/>
        <v>1337881.9888888889</v>
      </c>
    </row>
    <row r="140" spans="1:15" s="1174" customFormat="1" hidden="1">
      <c r="A140" s="1179" t="s">
        <v>48</v>
      </c>
      <c r="B140" s="948">
        <v>188137.03888888887</v>
      </c>
      <c r="C140" s="948">
        <v>459640.49814814818</v>
      </c>
      <c r="D140" s="948">
        <f t="shared" si="21"/>
        <v>647777.53703703708</v>
      </c>
      <c r="E140" s="948">
        <v>285775.12592592591</v>
      </c>
      <c r="F140" s="948">
        <f t="shared" si="22"/>
        <v>933552.66296296299</v>
      </c>
      <c r="G140" s="948">
        <v>155538.2999999999</v>
      </c>
      <c r="H140" s="948">
        <f t="shared" si="23"/>
        <v>1089090.9629629629</v>
      </c>
      <c r="I140" s="948">
        <v>9452.2000000000007</v>
      </c>
      <c r="J140" s="1104">
        <v>343110.67407407408</v>
      </c>
      <c r="K140" s="948">
        <v>-4158.3981481481333</v>
      </c>
      <c r="L140" s="946"/>
      <c r="M140" s="1105">
        <v>-36188.131481481469</v>
      </c>
      <c r="N140" s="1103">
        <f t="shared" si="24"/>
        <v>312216.34444444446</v>
      </c>
      <c r="O140" s="947">
        <f t="shared" si="25"/>
        <v>1401307.3074074073</v>
      </c>
    </row>
    <row r="141" spans="1:15" s="1174" customFormat="1" hidden="1">
      <c r="A141" s="1179" t="s">
        <v>49</v>
      </c>
      <c r="B141" s="948">
        <v>185008.96759259261</v>
      </c>
      <c r="C141" s="948">
        <v>440243.70154320978</v>
      </c>
      <c r="D141" s="948">
        <f t="shared" si="21"/>
        <v>625252.66913580243</v>
      </c>
      <c r="E141" s="948">
        <v>284658.78950617282</v>
      </c>
      <c r="F141" s="948">
        <f t="shared" si="22"/>
        <v>909911.45864197519</v>
      </c>
      <c r="G141" s="948">
        <v>146703.70000000001</v>
      </c>
      <c r="H141" s="948">
        <f t="shared" si="23"/>
        <v>1056615.1586419751</v>
      </c>
      <c r="I141" s="948">
        <v>9053</v>
      </c>
      <c r="J141" s="1104">
        <v>349228.7549382716</v>
      </c>
      <c r="K141" s="948">
        <v>-8240.207098765457</v>
      </c>
      <c r="L141" s="946"/>
      <c r="M141" s="1105">
        <v>-41308.934876543273</v>
      </c>
      <c r="N141" s="1103">
        <f t="shared" si="24"/>
        <v>308732.61296296283</v>
      </c>
      <c r="O141" s="947">
        <f t="shared" si="25"/>
        <v>1365347.771604938</v>
      </c>
    </row>
    <row r="142" spans="1:15" s="1174" customFormat="1" hidden="1">
      <c r="A142" s="1179" t="s">
        <v>50</v>
      </c>
      <c r="B142" s="948">
        <v>195557.80000000002</v>
      </c>
      <c r="C142" s="948">
        <v>458310.60000000003</v>
      </c>
      <c r="D142" s="948">
        <f t="shared" si="21"/>
        <v>653868.4</v>
      </c>
      <c r="E142" s="948">
        <v>288594.30000000005</v>
      </c>
      <c r="F142" s="948">
        <f t="shared" si="22"/>
        <v>942462.70000000007</v>
      </c>
      <c r="G142" s="948">
        <v>164626.70000000004</v>
      </c>
      <c r="H142" s="948">
        <f t="shared" si="23"/>
        <v>1107089.4000000001</v>
      </c>
      <c r="I142" s="948">
        <v>9222.6</v>
      </c>
      <c r="J142" s="1104">
        <v>357476.6</v>
      </c>
      <c r="K142" s="948">
        <v>-2478.5999999999822</v>
      </c>
      <c r="L142" s="946"/>
      <c r="M142" s="1105">
        <v>-48695.8</v>
      </c>
      <c r="N142" s="1103">
        <f t="shared" si="24"/>
        <v>315524.8</v>
      </c>
      <c r="O142" s="947">
        <f t="shared" si="25"/>
        <v>1422614.2000000002</v>
      </c>
    </row>
    <row r="143" spans="1:15" s="1174" customFormat="1" hidden="1">
      <c r="A143" s="1179"/>
      <c r="B143" s="948"/>
      <c r="C143" s="948"/>
      <c r="D143" s="948"/>
      <c r="E143" s="948"/>
      <c r="F143" s="948"/>
      <c r="G143" s="948"/>
      <c r="H143" s="948"/>
      <c r="I143" s="948"/>
      <c r="J143" s="1104"/>
      <c r="K143" s="948"/>
      <c r="L143" s="946"/>
      <c r="M143" s="1105"/>
      <c r="N143" s="1103"/>
      <c r="O143" s="947"/>
    </row>
    <row r="144" spans="1:15" s="1174" customFormat="1" hidden="1">
      <c r="A144" s="1179" t="s">
        <v>51</v>
      </c>
      <c r="B144" s="948">
        <v>186205.23333333334</v>
      </c>
      <c r="C144" s="948">
        <v>443030.28333333333</v>
      </c>
      <c r="D144" s="948">
        <f t="shared" ref="D144:D155" si="26">SUM(B144:C144)</f>
        <v>629235.5166666666</v>
      </c>
      <c r="E144" s="948">
        <v>290786.46666666667</v>
      </c>
      <c r="F144" s="948">
        <f t="shared" ref="F144:F155" si="27">D144+E144</f>
        <v>920021.98333333328</v>
      </c>
      <c r="G144" s="948">
        <v>159142.59999999998</v>
      </c>
      <c r="H144" s="948">
        <f t="shared" ref="H144:H155" si="28">F144+G144</f>
        <v>1079164.5833333333</v>
      </c>
      <c r="I144" s="948">
        <v>10502.800000000001</v>
      </c>
      <c r="J144" s="1104">
        <v>362878.18333333329</v>
      </c>
      <c r="K144" s="948">
        <v>-2608.76666666664</v>
      </c>
      <c r="L144" s="946"/>
      <c r="M144" s="1105">
        <v>-59026.466666666682</v>
      </c>
      <c r="N144" s="1103">
        <f t="shared" ref="N144:N155" si="29">SUM(I144:M144)</f>
        <v>311745.74999999994</v>
      </c>
      <c r="O144" s="947">
        <f t="shared" ref="O144:O155" si="30">H144+N144</f>
        <v>1390910.3333333333</v>
      </c>
    </row>
    <row r="145" spans="1:15" s="1174" customFormat="1" hidden="1">
      <c r="A145" s="1179" t="s">
        <v>52</v>
      </c>
      <c r="B145" s="948">
        <v>189680.56666666665</v>
      </c>
      <c r="C145" s="948">
        <v>446426.16666666657</v>
      </c>
      <c r="D145" s="948">
        <f t="shared" si="26"/>
        <v>636106.73333333316</v>
      </c>
      <c r="E145" s="948">
        <v>298579.03333333333</v>
      </c>
      <c r="F145" s="948">
        <f t="shared" si="27"/>
        <v>934685.76666666649</v>
      </c>
      <c r="G145" s="948">
        <v>155071.29999999996</v>
      </c>
      <c r="H145" s="948">
        <f t="shared" si="28"/>
        <v>1089757.0666666664</v>
      </c>
      <c r="I145" s="948">
        <v>10301.6</v>
      </c>
      <c r="J145" s="1104">
        <v>362251.96666666662</v>
      </c>
      <c r="K145" s="948">
        <v>-7270.1333333333241</v>
      </c>
      <c r="L145" s="946"/>
      <c r="M145" s="1105">
        <v>-63805.23333333333</v>
      </c>
      <c r="N145" s="1103">
        <f t="shared" si="29"/>
        <v>301478.19999999995</v>
      </c>
      <c r="O145" s="947">
        <f t="shared" si="30"/>
        <v>1391235.2666666664</v>
      </c>
    </row>
    <row r="146" spans="1:15" s="1174" customFormat="1" hidden="1">
      <c r="A146" s="1179" t="s">
        <v>53</v>
      </c>
      <c r="B146" s="948">
        <v>190524.90000000002</v>
      </c>
      <c r="C146" s="948">
        <v>418133.04999999993</v>
      </c>
      <c r="D146" s="948">
        <f t="shared" si="26"/>
        <v>608657.94999999995</v>
      </c>
      <c r="E146" s="948">
        <v>306019.20000000007</v>
      </c>
      <c r="F146" s="948">
        <f t="shared" si="27"/>
        <v>914677.15</v>
      </c>
      <c r="G146" s="948">
        <v>149561.5</v>
      </c>
      <c r="H146" s="948">
        <f t="shared" si="28"/>
        <v>1064238.6499999999</v>
      </c>
      <c r="I146" s="948">
        <v>10123.599999999999</v>
      </c>
      <c r="J146" s="1104">
        <v>359855.25</v>
      </c>
      <c r="K146" s="948">
        <v>-16283.000000000018</v>
      </c>
      <c r="L146" s="946"/>
      <c r="M146" s="1105">
        <v>-66300.700000000055</v>
      </c>
      <c r="N146" s="1103">
        <f t="shared" si="29"/>
        <v>287395.14999999991</v>
      </c>
      <c r="O146" s="947">
        <f t="shared" si="30"/>
        <v>1351633.7999999998</v>
      </c>
    </row>
    <row r="147" spans="1:15" s="1174" customFormat="1" hidden="1">
      <c r="A147" s="1179" t="s">
        <v>603</v>
      </c>
      <c r="B147" s="948">
        <v>209456.43333333332</v>
      </c>
      <c r="C147" s="948">
        <v>433614.53333333344</v>
      </c>
      <c r="D147" s="948">
        <f t="shared" si="26"/>
        <v>643070.96666666679</v>
      </c>
      <c r="E147" s="948">
        <v>308794.56666666665</v>
      </c>
      <c r="F147" s="948">
        <f t="shared" si="27"/>
        <v>951865.53333333344</v>
      </c>
      <c r="G147" s="948">
        <v>157049.1</v>
      </c>
      <c r="H147" s="948">
        <f t="shared" si="28"/>
        <v>1108914.6333333335</v>
      </c>
      <c r="I147" s="948">
        <v>9306.4</v>
      </c>
      <c r="J147" s="1104">
        <v>360072.03333333333</v>
      </c>
      <c r="K147" s="948">
        <v>-18404.166666666679</v>
      </c>
      <c r="L147" s="946"/>
      <c r="M147" s="1105">
        <v>-68731.066666666666</v>
      </c>
      <c r="N147" s="1103">
        <f t="shared" si="29"/>
        <v>282243.20000000001</v>
      </c>
      <c r="O147" s="947">
        <f t="shared" si="30"/>
        <v>1391157.8333333335</v>
      </c>
    </row>
    <row r="148" spans="1:15" s="1174" customFormat="1" hidden="1">
      <c r="A148" s="1179" t="s">
        <v>609</v>
      </c>
      <c r="B148" s="948">
        <v>217326.16666666666</v>
      </c>
      <c r="C148" s="948">
        <v>457264.91666666669</v>
      </c>
      <c r="D148" s="948">
        <f t="shared" si="26"/>
        <v>674591.08333333337</v>
      </c>
      <c r="E148" s="948">
        <v>310340.2333333334</v>
      </c>
      <c r="F148" s="948">
        <f t="shared" si="27"/>
        <v>984931.31666666677</v>
      </c>
      <c r="G148" s="948">
        <v>142910.29999999999</v>
      </c>
      <c r="H148" s="948">
        <f t="shared" si="28"/>
        <v>1127841.6166666667</v>
      </c>
      <c r="I148" s="948">
        <v>8857.5</v>
      </c>
      <c r="J148" s="1104">
        <v>363715.91666666663</v>
      </c>
      <c r="K148" s="948">
        <v>-5982.1333333333223</v>
      </c>
      <c r="L148" s="946"/>
      <c r="M148" s="1105">
        <v>-62454.733333333323</v>
      </c>
      <c r="N148" s="1103">
        <f t="shared" si="29"/>
        <v>304136.55</v>
      </c>
      <c r="O148" s="947">
        <f t="shared" si="30"/>
        <v>1431978.1666666667</v>
      </c>
    </row>
    <row r="149" spans="1:15" s="1174" customFormat="1" hidden="1">
      <c r="A149" s="1179" t="s">
        <v>44</v>
      </c>
      <c r="B149" s="948">
        <v>221510.5</v>
      </c>
      <c r="C149" s="948">
        <v>431261.09999999986</v>
      </c>
      <c r="D149" s="948">
        <f t="shared" si="26"/>
        <v>652771.59999999986</v>
      </c>
      <c r="E149" s="948">
        <v>315064.59999999986</v>
      </c>
      <c r="F149" s="948">
        <f t="shared" si="27"/>
        <v>967836.19999999972</v>
      </c>
      <c r="G149" s="948">
        <v>136241.59999999995</v>
      </c>
      <c r="H149" s="948">
        <f t="shared" si="28"/>
        <v>1104077.7999999996</v>
      </c>
      <c r="I149" s="948">
        <v>1293.3</v>
      </c>
      <c r="J149" s="1104">
        <v>365687.6</v>
      </c>
      <c r="K149" s="948">
        <v>-9549.3999999999942</v>
      </c>
      <c r="L149" s="946"/>
      <c r="M149" s="1105">
        <v>-61862.599999999926</v>
      </c>
      <c r="N149" s="1103">
        <f t="shared" si="29"/>
        <v>295568.90000000008</v>
      </c>
      <c r="O149" s="947">
        <f t="shared" si="30"/>
        <v>1399646.6999999997</v>
      </c>
    </row>
    <row r="150" spans="1:15" s="1174" customFormat="1" hidden="1">
      <c r="A150" s="1179" t="s">
        <v>618</v>
      </c>
      <c r="B150" s="948">
        <v>203783</v>
      </c>
      <c r="C150" s="948">
        <v>433938.75000000006</v>
      </c>
      <c r="D150" s="948">
        <f t="shared" si="26"/>
        <v>637721.75</v>
      </c>
      <c r="E150" s="948">
        <v>320969.44999999995</v>
      </c>
      <c r="F150" s="948">
        <f t="shared" si="27"/>
        <v>958691.2</v>
      </c>
      <c r="G150" s="948">
        <v>143632.79999999996</v>
      </c>
      <c r="H150" s="948">
        <f t="shared" si="28"/>
        <v>1102324</v>
      </c>
      <c r="I150" s="948">
        <v>1675.7</v>
      </c>
      <c r="J150" s="1104">
        <v>368422.18333333335</v>
      </c>
      <c r="K150" s="948">
        <v>-12773.449999999988</v>
      </c>
      <c r="L150" s="946"/>
      <c r="M150" s="1105">
        <v>-53150.383333333368</v>
      </c>
      <c r="N150" s="1103">
        <f t="shared" si="29"/>
        <v>304174.05</v>
      </c>
      <c r="O150" s="947">
        <f t="shared" si="30"/>
        <v>1406498.05</v>
      </c>
    </row>
    <row r="151" spans="1:15" s="1174" customFormat="1" hidden="1">
      <c r="A151" s="1179" t="s">
        <v>623</v>
      </c>
      <c r="B151" s="948">
        <v>197138.88333333336</v>
      </c>
      <c r="C151" s="948">
        <v>445771.64444444445</v>
      </c>
      <c r="D151" s="948">
        <f t="shared" si="26"/>
        <v>642910.52777777775</v>
      </c>
      <c r="E151" s="948">
        <v>318740.45000000007</v>
      </c>
      <c r="F151" s="948">
        <f t="shared" si="27"/>
        <v>961650.97777777782</v>
      </c>
      <c r="G151" s="948">
        <v>149115.59999999992</v>
      </c>
      <c r="H151" s="948">
        <f t="shared" si="28"/>
        <v>1110766.5777777778</v>
      </c>
      <c r="I151" s="948">
        <v>1816.6000000000001</v>
      </c>
      <c r="J151" s="1104">
        <v>369747.18333333335</v>
      </c>
      <c r="K151" s="948">
        <v>-8993.3722222222186</v>
      </c>
      <c r="L151" s="946"/>
      <c r="M151" s="1105">
        <v>-52227.355555555456</v>
      </c>
      <c r="N151" s="1103">
        <f t="shared" si="29"/>
        <v>310343.05555555568</v>
      </c>
      <c r="O151" s="947">
        <f t="shared" si="30"/>
        <v>1421109.6333333335</v>
      </c>
    </row>
    <row r="152" spans="1:15" s="1174" customFormat="1" hidden="1">
      <c r="A152" s="1179" t="s">
        <v>47</v>
      </c>
      <c r="B152" s="948">
        <v>185946.70833333334</v>
      </c>
      <c r="C152" s="948">
        <v>458469.11111111112</v>
      </c>
      <c r="D152" s="948">
        <f t="shared" si="26"/>
        <v>644415.8194444445</v>
      </c>
      <c r="E152" s="948">
        <v>322042.07499999995</v>
      </c>
      <c r="F152" s="948">
        <f t="shared" si="27"/>
        <v>966457.89444444445</v>
      </c>
      <c r="G152" s="948">
        <v>140695.09999999992</v>
      </c>
      <c r="H152" s="948">
        <f t="shared" si="28"/>
        <v>1107152.9944444443</v>
      </c>
      <c r="I152" s="948">
        <v>1252.3</v>
      </c>
      <c r="J152" s="1104">
        <v>373120.84166666667</v>
      </c>
      <c r="K152" s="948">
        <v>-12752.83055555556</v>
      </c>
      <c r="L152" s="946"/>
      <c r="M152" s="1105">
        <v>-51284.072222222181</v>
      </c>
      <c r="N152" s="1103">
        <f t="shared" si="29"/>
        <v>310336.23888888891</v>
      </c>
      <c r="O152" s="947">
        <f t="shared" si="30"/>
        <v>1417489.2333333332</v>
      </c>
    </row>
    <row r="153" spans="1:15" s="1174" customFormat="1" hidden="1">
      <c r="A153" s="1179" t="s">
        <v>631</v>
      </c>
      <c r="B153" s="948">
        <v>195443.06111111111</v>
      </c>
      <c r="C153" s="948">
        <v>487716.52592592593</v>
      </c>
      <c r="D153" s="948">
        <f t="shared" si="26"/>
        <v>683159.58703703701</v>
      </c>
      <c r="E153" s="948">
        <v>327870.18333333335</v>
      </c>
      <c r="F153" s="948">
        <f t="shared" si="27"/>
        <v>1011029.7703703704</v>
      </c>
      <c r="G153" s="948">
        <v>135132.39999999991</v>
      </c>
      <c r="H153" s="948">
        <f t="shared" si="28"/>
        <v>1146162.1703703701</v>
      </c>
      <c r="I153" s="948">
        <v>2211.8000000000002</v>
      </c>
      <c r="J153" s="1104">
        <v>384695.10555555555</v>
      </c>
      <c r="K153" s="948">
        <v>-8355.8462962963058</v>
      </c>
      <c r="L153" s="946"/>
      <c r="M153" s="1105">
        <v>-43835.185185185212</v>
      </c>
      <c r="N153" s="1103">
        <f t="shared" si="29"/>
        <v>334715.87407407403</v>
      </c>
      <c r="O153" s="947">
        <f t="shared" si="30"/>
        <v>1480878.0444444441</v>
      </c>
    </row>
    <row r="154" spans="1:15" s="1174" customFormat="1" hidden="1">
      <c r="A154" s="1179" t="s">
        <v>654</v>
      </c>
      <c r="B154" s="948">
        <v>190875.46574074074</v>
      </c>
      <c r="C154" s="948">
        <v>434608.03950617288</v>
      </c>
      <c r="D154" s="948">
        <f t="shared" si="26"/>
        <v>625483.50524691364</v>
      </c>
      <c r="E154" s="948">
        <v>320876.08055555559</v>
      </c>
      <c r="F154" s="948">
        <f t="shared" si="27"/>
        <v>946359.58580246917</v>
      </c>
      <c r="G154" s="948">
        <v>142135.9</v>
      </c>
      <c r="H154" s="948">
        <f t="shared" si="28"/>
        <v>1088495.4858024691</v>
      </c>
      <c r="I154" s="948">
        <v>3556.8</v>
      </c>
      <c r="J154" s="1104">
        <v>390308.60648148146</v>
      </c>
      <c r="K154" s="948">
        <v>-9963.3336419752759</v>
      </c>
      <c r="L154" s="946"/>
      <c r="M154" s="1105">
        <v>-58777.862345679016</v>
      </c>
      <c r="N154" s="1103">
        <f t="shared" si="29"/>
        <v>325124.21049382712</v>
      </c>
      <c r="O154" s="947">
        <f t="shared" si="30"/>
        <v>1413619.6962962961</v>
      </c>
    </row>
    <row r="155" spans="1:15" s="1174" customFormat="1" hidden="1">
      <c r="A155" s="1179" t="s">
        <v>665</v>
      </c>
      <c r="B155" s="948">
        <v>202888.4</v>
      </c>
      <c r="C155" s="948">
        <v>440851.1999999999</v>
      </c>
      <c r="D155" s="948">
        <f t="shared" si="26"/>
        <v>643739.59999999986</v>
      </c>
      <c r="E155" s="948">
        <v>327388.60000000003</v>
      </c>
      <c r="F155" s="948">
        <f t="shared" si="27"/>
        <v>971128.2</v>
      </c>
      <c r="G155" s="948">
        <v>135251.80000000002</v>
      </c>
      <c r="H155" s="948">
        <f t="shared" si="28"/>
        <v>1106380</v>
      </c>
      <c r="I155" s="948">
        <v>5645.1</v>
      </c>
      <c r="J155" s="1104">
        <v>386204.69999999995</v>
      </c>
      <c r="K155" s="948">
        <v>-8712.7000000000025</v>
      </c>
      <c r="L155" s="946"/>
      <c r="M155" s="1105">
        <v>-58999.399999999972</v>
      </c>
      <c r="N155" s="1103">
        <f t="shared" si="29"/>
        <v>324137.69999999995</v>
      </c>
      <c r="O155" s="947">
        <f t="shared" si="30"/>
        <v>1430517.7</v>
      </c>
    </row>
    <row r="156" spans="1:15" s="1174" customFormat="1" hidden="1">
      <c r="A156" s="831"/>
      <c r="B156" s="948"/>
      <c r="C156" s="948"/>
      <c r="D156" s="948"/>
      <c r="E156" s="948"/>
      <c r="F156" s="948"/>
      <c r="G156" s="948"/>
      <c r="H156" s="1100"/>
      <c r="I156" s="948"/>
      <c r="J156" s="1104"/>
      <c r="K156" s="948"/>
      <c r="L156" s="946"/>
      <c r="M156" s="1105"/>
      <c r="N156" s="1103"/>
      <c r="O156" s="947"/>
    </row>
    <row r="157" spans="1:15" s="1174" customFormat="1" hidden="1">
      <c r="A157" s="831" t="s">
        <v>39</v>
      </c>
      <c r="B157" s="948">
        <v>197132.05</v>
      </c>
      <c r="C157" s="948">
        <v>443310.1166666667</v>
      </c>
      <c r="D157" s="947">
        <f t="shared" ref="D157:D168" si="31">SUM(B157:C157)</f>
        <v>640442.16666666674</v>
      </c>
      <c r="E157" s="948">
        <v>316502.8</v>
      </c>
      <c r="F157" s="947">
        <f t="shared" ref="F157:F168" si="32">D157+E157</f>
        <v>956944.96666666679</v>
      </c>
      <c r="G157" s="945">
        <v>134869.09999999998</v>
      </c>
      <c r="H157" s="1100">
        <f t="shared" ref="H157:H168" si="33">F157+G157</f>
        <v>1091814.0666666669</v>
      </c>
      <c r="I157" s="948">
        <v>5990</v>
      </c>
      <c r="J157" s="1104">
        <v>387496.22499999998</v>
      </c>
      <c r="K157" s="1101">
        <v>-18124.724999999984</v>
      </c>
      <c r="L157" s="946"/>
      <c r="M157" s="1101">
        <v>-60555.808333333327</v>
      </c>
      <c r="N157" s="1103">
        <f t="shared" ref="N157:N168" si="34">SUM(I157:M157)</f>
        <v>314805.69166666665</v>
      </c>
      <c r="O157" s="947">
        <f t="shared" ref="O157:O168" si="35">H157+N157</f>
        <v>1406619.7583333335</v>
      </c>
    </row>
    <row r="158" spans="1:15" s="1174" customFormat="1" hidden="1">
      <c r="A158" s="831" t="s">
        <v>681</v>
      </c>
      <c r="B158" s="948">
        <v>194882.6</v>
      </c>
      <c r="C158" s="948">
        <v>475008.03333333327</v>
      </c>
      <c r="D158" s="947">
        <f t="shared" si="31"/>
        <v>669890.6333333333</v>
      </c>
      <c r="E158" s="948">
        <v>302678.29999999993</v>
      </c>
      <c r="F158" s="947">
        <f t="shared" si="32"/>
        <v>972568.93333333323</v>
      </c>
      <c r="G158" s="945">
        <v>135795.70000000001</v>
      </c>
      <c r="H158" s="1100">
        <f t="shared" si="33"/>
        <v>1108364.6333333333</v>
      </c>
      <c r="I158" s="948">
        <v>6827.0999999999995</v>
      </c>
      <c r="J158" s="1104">
        <v>387837.95</v>
      </c>
      <c r="K158" s="1101">
        <v>-10672.950000000004</v>
      </c>
      <c r="L158" s="946"/>
      <c r="M158" s="1101">
        <v>-55725.916666666701</v>
      </c>
      <c r="N158" s="1103">
        <f t="shared" si="34"/>
        <v>328266.18333333329</v>
      </c>
      <c r="O158" s="947">
        <f t="shared" si="35"/>
        <v>1436630.8166666667</v>
      </c>
    </row>
    <row r="159" spans="1:15" s="1174" customFormat="1" hidden="1">
      <c r="A159" s="831" t="s">
        <v>41</v>
      </c>
      <c r="B159" s="948">
        <v>188968.15</v>
      </c>
      <c r="C159" s="948">
        <v>463550.65</v>
      </c>
      <c r="D159" s="947">
        <f t="shared" si="31"/>
        <v>652518.80000000005</v>
      </c>
      <c r="E159" s="948">
        <v>308660.29999999993</v>
      </c>
      <c r="F159" s="947">
        <f t="shared" si="32"/>
        <v>961179.1</v>
      </c>
      <c r="G159" s="945">
        <v>118414.49999999997</v>
      </c>
      <c r="H159" s="1100">
        <f t="shared" si="33"/>
        <v>1079593.5999999999</v>
      </c>
      <c r="I159" s="948">
        <v>5204</v>
      </c>
      <c r="J159" s="1104">
        <v>381137.07499999995</v>
      </c>
      <c r="K159" s="1101">
        <v>-18118.075000000012</v>
      </c>
      <c r="L159" s="946"/>
      <c r="M159" s="1101">
        <v>-49271.325000000004</v>
      </c>
      <c r="N159" s="1103">
        <f t="shared" si="34"/>
        <v>318951.67499999993</v>
      </c>
      <c r="O159" s="947">
        <f t="shared" si="35"/>
        <v>1398545.2749999999</v>
      </c>
    </row>
    <row r="160" spans="1:15" s="1174" customFormat="1" hidden="1">
      <c r="A160" s="831" t="s">
        <v>692</v>
      </c>
      <c r="B160" s="948">
        <v>198909.9</v>
      </c>
      <c r="C160" s="948">
        <v>480530.36666666652</v>
      </c>
      <c r="D160" s="947">
        <f t="shared" si="31"/>
        <v>679440.26666666649</v>
      </c>
      <c r="E160" s="948">
        <v>302618.10000000003</v>
      </c>
      <c r="F160" s="947">
        <f t="shared" si="32"/>
        <v>982058.36666666646</v>
      </c>
      <c r="G160" s="945">
        <v>123085.9</v>
      </c>
      <c r="H160" s="1100">
        <f t="shared" si="33"/>
        <v>1105144.2666666664</v>
      </c>
      <c r="I160" s="948">
        <v>5204</v>
      </c>
      <c r="J160" s="1104">
        <v>378214.9</v>
      </c>
      <c r="K160" s="1101">
        <v>-13248.400000000016</v>
      </c>
      <c r="L160" s="946"/>
      <c r="M160" s="1101">
        <v>-43661.233333333344</v>
      </c>
      <c r="N160" s="1103">
        <f t="shared" si="34"/>
        <v>326509.26666666666</v>
      </c>
      <c r="O160" s="947">
        <f t="shared" si="35"/>
        <v>1431653.533333333</v>
      </c>
    </row>
    <row r="161" spans="1:15" s="1174" customFormat="1" hidden="1">
      <c r="A161" s="831" t="s">
        <v>700</v>
      </c>
      <c r="B161" s="948">
        <v>198076.74999999997</v>
      </c>
      <c r="C161" s="948">
        <v>490710.08333333337</v>
      </c>
      <c r="D161" s="947">
        <f t="shared" si="31"/>
        <v>688786.83333333337</v>
      </c>
      <c r="E161" s="948">
        <v>303996.30000000005</v>
      </c>
      <c r="F161" s="947">
        <f t="shared" si="32"/>
        <v>992783.13333333342</v>
      </c>
      <c r="G161" s="945">
        <v>111803.4</v>
      </c>
      <c r="H161" s="1100">
        <f t="shared" si="33"/>
        <v>1104586.5333333334</v>
      </c>
      <c r="I161" s="948">
        <v>6494.3</v>
      </c>
      <c r="J161" s="1104">
        <v>384324.625</v>
      </c>
      <c r="K161" s="1101">
        <v>-19016.424999999988</v>
      </c>
      <c r="L161" s="946"/>
      <c r="M161" s="1101">
        <v>-43158.34166666666</v>
      </c>
      <c r="N161" s="1103">
        <f t="shared" si="34"/>
        <v>328644.15833333333</v>
      </c>
      <c r="O161" s="947">
        <f t="shared" si="35"/>
        <v>1433230.6916666669</v>
      </c>
    </row>
    <row r="162" spans="1:15" s="1174" customFormat="1" hidden="1">
      <c r="A162" s="831" t="s">
        <v>711</v>
      </c>
      <c r="B162" s="948">
        <v>224427.69999999998</v>
      </c>
      <c r="C162" s="948">
        <v>493677.1</v>
      </c>
      <c r="D162" s="947">
        <f t="shared" si="31"/>
        <v>718104.79999999993</v>
      </c>
      <c r="E162" s="948">
        <v>290293.49999999994</v>
      </c>
      <c r="F162" s="947">
        <f t="shared" si="32"/>
        <v>1008398.2999999998</v>
      </c>
      <c r="G162" s="945">
        <v>113982</v>
      </c>
      <c r="H162" s="1100">
        <f t="shared" si="33"/>
        <v>1122380.2999999998</v>
      </c>
      <c r="I162" s="948">
        <v>5535.4</v>
      </c>
      <c r="J162" s="1104">
        <v>394415.35</v>
      </c>
      <c r="K162" s="1101">
        <v>-8850.7500000000146</v>
      </c>
      <c r="L162" s="944"/>
      <c r="M162" s="1101">
        <v>-26779.250000000036</v>
      </c>
      <c r="N162" s="1103">
        <f t="shared" si="34"/>
        <v>364320.74999999994</v>
      </c>
      <c r="O162" s="947">
        <f t="shared" si="35"/>
        <v>1486701.0499999998</v>
      </c>
    </row>
    <row r="163" spans="1:15" s="1174" customFormat="1">
      <c r="A163" s="831" t="s">
        <v>730</v>
      </c>
      <c r="B163" s="948">
        <v>231213.5333333333</v>
      </c>
      <c r="C163" s="948">
        <v>502178.63333333336</v>
      </c>
      <c r="D163" s="947">
        <f t="shared" si="31"/>
        <v>733392.16666666663</v>
      </c>
      <c r="E163" s="948">
        <v>282694.53333333344</v>
      </c>
      <c r="F163" s="947">
        <f t="shared" si="32"/>
        <v>1016086.7000000001</v>
      </c>
      <c r="G163" s="945">
        <v>108234.3</v>
      </c>
      <c r="H163" s="1100">
        <f t="shared" si="33"/>
        <v>1124321</v>
      </c>
      <c r="I163" s="948">
        <v>4201.3999999999996</v>
      </c>
      <c r="J163" s="1104">
        <v>399749.77500000002</v>
      </c>
      <c r="K163" s="1101">
        <v>-18838.974999999977</v>
      </c>
      <c r="L163" s="944"/>
      <c r="M163" s="1101">
        <v>-27764.625000000015</v>
      </c>
      <c r="N163" s="1103">
        <f t="shared" si="34"/>
        <v>357347.57500000007</v>
      </c>
      <c r="O163" s="947">
        <f t="shared" si="35"/>
        <v>1481668.5750000002</v>
      </c>
    </row>
    <row r="164" spans="1:15" s="1174" customFormat="1">
      <c r="A164" s="831" t="s">
        <v>46</v>
      </c>
      <c r="B164" s="948">
        <v>225200.26666666666</v>
      </c>
      <c r="C164" s="948">
        <v>526210.16653366666</v>
      </c>
      <c r="D164" s="947">
        <f t="shared" si="31"/>
        <v>751410.43320033327</v>
      </c>
      <c r="E164" s="948">
        <v>280354.3666666667</v>
      </c>
      <c r="F164" s="947">
        <f t="shared" si="32"/>
        <v>1031764.799867</v>
      </c>
      <c r="G164" s="945">
        <v>102164.00013299998</v>
      </c>
      <c r="H164" s="1100">
        <f t="shared" si="33"/>
        <v>1133928.8</v>
      </c>
      <c r="I164" s="948">
        <v>4932.5</v>
      </c>
      <c r="J164" s="1104">
        <v>402112.69999999995</v>
      </c>
      <c r="K164" s="1107">
        <v>-16644.199999999997</v>
      </c>
      <c r="L164" s="944"/>
      <c r="M164" s="1101">
        <v>-25826.89999999998</v>
      </c>
      <c r="N164" s="1103">
        <f t="shared" si="34"/>
        <v>364574.1</v>
      </c>
      <c r="O164" s="947">
        <f t="shared" si="35"/>
        <v>1498502.9</v>
      </c>
    </row>
    <row r="165" spans="1:15" s="1174" customFormat="1">
      <c r="A165" s="831" t="s">
        <v>47</v>
      </c>
      <c r="B165" s="948">
        <v>218884.8</v>
      </c>
      <c r="C165" s="948">
        <v>522711.89999999997</v>
      </c>
      <c r="D165" s="947">
        <f t="shared" si="31"/>
        <v>741596.7</v>
      </c>
      <c r="E165" s="948">
        <v>288204.5</v>
      </c>
      <c r="F165" s="947">
        <f t="shared" si="32"/>
        <v>1029801.2</v>
      </c>
      <c r="G165" s="945">
        <v>107052.3</v>
      </c>
      <c r="H165" s="1100">
        <f t="shared" si="33"/>
        <v>1136853.5</v>
      </c>
      <c r="I165" s="948">
        <v>5791.3</v>
      </c>
      <c r="J165" s="1104">
        <v>397504.52499999997</v>
      </c>
      <c r="K165" s="1101">
        <v>-1588.8250000000116</v>
      </c>
      <c r="L165" s="944"/>
      <c r="M165" s="1101">
        <v>-20672.874999999964</v>
      </c>
      <c r="N165" s="1103">
        <f t="shared" si="34"/>
        <v>381034.125</v>
      </c>
      <c r="O165" s="947">
        <f t="shared" si="35"/>
        <v>1517887.625</v>
      </c>
    </row>
    <row r="166" spans="1:15" s="1174" customFormat="1">
      <c r="A166" s="831" t="s">
        <v>48</v>
      </c>
      <c r="B166" s="948">
        <v>218148.06666666665</v>
      </c>
      <c r="C166" s="948">
        <v>528955.53333333333</v>
      </c>
      <c r="D166" s="947">
        <f t="shared" si="31"/>
        <v>747103.6</v>
      </c>
      <c r="E166" s="948">
        <v>292835.8666666667</v>
      </c>
      <c r="F166" s="947">
        <f t="shared" si="32"/>
        <v>1039939.4666666667</v>
      </c>
      <c r="G166" s="945">
        <v>102534.99999999999</v>
      </c>
      <c r="H166" s="1100">
        <f t="shared" si="33"/>
        <v>1142474.4666666666</v>
      </c>
      <c r="I166" s="948">
        <v>7752</v>
      </c>
      <c r="J166" s="1104">
        <v>405395.81666666671</v>
      </c>
      <c r="K166" s="1101">
        <v>-3946.550000000032</v>
      </c>
      <c r="L166" s="944"/>
      <c r="M166" s="1101">
        <v>-19099.249999999945</v>
      </c>
      <c r="N166" s="1103">
        <f t="shared" si="34"/>
        <v>390102.01666666672</v>
      </c>
      <c r="O166" s="947">
        <f t="shared" si="35"/>
        <v>1532576.4833333334</v>
      </c>
    </row>
    <row r="167" spans="1:15" s="1174" customFormat="1">
      <c r="A167" s="831" t="s">
        <v>49</v>
      </c>
      <c r="B167" s="948">
        <v>214564.13333333333</v>
      </c>
      <c r="C167" s="948">
        <v>559425.29999999993</v>
      </c>
      <c r="D167" s="947">
        <f t="shared" si="31"/>
        <v>773989.43333333323</v>
      </c>
      <c r="E167" s="948">
        <v>287258.6555555556</v>
      </c>
      <c r="F167" s="947">
        <f t="shared" si="32"/>
        <v>1061248.0888888887</v>
      </c>
      <c r="G167" s="945">
        <v>101467.69999999998</v>
      </c>
      <c r="H167" s="1100">
        <f t="shared" si="33"/>
        <v>1162715.7888888887</v>
      </c>
      <c r="I167" s="948">
        <v>10573.9</v>
      </c>
      <c r="J167" s="1104">
        <v>415807.86388888891</v>
      </c>
      <c r="K167" s="1101">
        <v>628.24722222219862</v>
      </c>
      <c r="L167" s="944"/>
      <c r="M167" s="1101">
        <v>-15996.036111111094</v>
      </c>
      <c r="N167" s="1103">
        <f t="shared" si="34"/>
        <v>411013.97500000003</v>
      </c>
      <c r="O167" s="947">
        <f t="shared" si="35"/>
        <v>1573729.7638888888</v>
      </c>
    </row>
    <row r="168" spans="1:15" s="1174" customFormat="1">
      <c r="A168" s="831" t="s">
        <v>50</v>
      </c>
      <c r="B168" s="948">
        <v>231253.8</v>
      </c>
      <c r="C168" s="948">
        <v>579093.39986500004</v>
      </c>
      <c r="D168" s="947">
        <f t="shared" si="31"/>
        <v>810347.19986500009</v>
      </c>
      <c r="E168" s="948">
        <v>282784.59999999998</v>
      </c>
      <c r="F168" s="947">
        <f t="shared" si="32"/>
        <v>1093131.7998649999</v>
      </c>
      <c r="G168" s="945">
        <v>93970.000135000024</v>
      </c>
      <c r="H168" s="1100">
        <f t="shared" si="33"/>
        <v>1187101.8</v>
      </c>
      <c r="I168" s="948">
        <v>12385</v>
      </c>
      <c r="J168" s="1104">
        <v>412697.8</v>
      </c>
      <c r="K168" s="1101">
        <v>-4376.2000000000262</v>
      </c>
      <c r="L168" s="944"/>
      <c r="M168" s="1101">
        <v>-17209.100000000042</v>
      </c>
      <c r="N168" s="1103">
        <f t="shared" si="34"/>
        <v>403497.49999999994</v>
      </c>
      <c r="O168" s="947">
        <f t="shared" si="35"/>
        <v>1590599.3</v>
      </c>
    </row>
    <row r="169" spans="1:15" s="1174" customFormat="1">
      <c r="A169" s="831"/>
      <c r="B169" s="948"/>
      <c r="C169" s="948"/>
      <c r="D169" s="947"/>
      <c r="E169" s="948"/>
      <c r="F169" s="947"/>
      <c r="G169" s="945"/>
      <c r="H169" s="1100"/>
      <c r="I169" s="948"/>
      <c r="J169" s="1104"/>
      <c r="K169" s="1101"/>
      <c r="L169" s="944"/>
      <c r="M169" s="1101"/>
      <c r="N169" s="1103"/>
      <c r="O169" s="947"/>
    </row>
    <row r="170" spans="1:15" s="1174" customFormat="1">
      <c r="A170" s="831" t="s">
        <v>36</v>
      </c>
      <c r="B170" s="948">
        <v>220309.13333333333</v>
      </c>
      <c r="C170" s="948">
        <v>589742.61666666658</v>
      </c>
      <c r="D170" s="947">
        <f>SUM(B170:C170)</f>
        <v>810051.74999999988</v>
      </c>
      <c r="E170" s="948">
        <v>299463.21666666662</v>
      </c>
      <c r="F170" s="947">
        <f t="shared" ref="F170:F181" si="36">D170+E170</f>
        <v>1109514.9666666666</v>
      </c>
      <c r="G170" s="945">
        <v>116668.1</v>
      </c>
      <c r="H170" s="1100">
        <f t="shared" ref="H170:H189" si="37">F170+G170</f>
        <v>1226183.0666666667</v>
      </c>
      <c r="I170" s="948">
        <v>22328.5</v>
      </c>
      <c r="J170" s="1104">
        <v>407507.78333333333</v>
      </c>
      <c r="K170" s="1101">
        <v>-21882.733333333308</v>
      </c>
      <c r="L170" s="944"/>
      <c r="M170" s="1101">
        <v>-28146.766666666674</v>
      </c>
      <c r="N170" s="1103">
        <f t="shared" ref="N170:N181" si="38">SUM(I170:M170)</f>
        <v>379806.78333333338</v>
      </c>
      <c r="O170" s="947">
        <f t="shared" ref="O170:O175" si="39">H170+N170</f>
        <v>1605989.85</v>
      </c>
    </row>
    <row r="171" spans="1:15" s="1174" customFormat="1">
      <c r="A171" s="831" t="s">
        <v>263</v>
      </c>
      <c r="B171" s="948">
        <v>218811.16666666666</v>
      </c>
      <c r="C171" s="948">
        <v>622589.73333333316</v>
      </c>
      <c r="D171" s="947">
        <f t="shared" ref="D171:D189" si="40">SUM(B171:C171)</f>
        <v>841400.89999999979</v>
      </c>
      <c r="E171" s="948">
        <v>293998.7333333334</v>
      </c>
      <c r="F171" s="947">
        <f t="shared" si="36"/>
        <v>1135399.6333333333</v>
      </c>
      <c r="G171" s="945">
        <v>118137.20000000001</v>
      </c>
      <c r="H171" s="1100">
        <f t="shared" si="37"/>
        <v>1253536.8333333333</v>
      </c>
      <c r="I171" s="948">
        <v>23253.300000000003</v>
      </c>
      <c r="J171" s="1104">
        <v>418848.16666666663</v>
      </c>
      <c r="K171" s="1101">
        <v>277.9333333333052</v>
      </c>
      <c r="L171" s="944"/>
      <c r="M171" s="1101">
        <v>-93230.633333333433</v>
      </c>
      <c r="N171" s="1103">
        <f t="shared" si="38"/>
        <v>349148.76666666649</v>
      </c>
      <c r="O171" s="947">
        <f t="shared" si="39"/>
        <v>1602685.5999999996</v>
      </c>
    </row>
    <row r="172" spans="1:15" s="1174" customFormat="1">
      <c r="A172" s="831" t="s">
        <v>41</v>
      </c>
      <c r="B172" s="948">
        <v>229178.10000000003</v>
      </c>
      <c r="C172" s="948">
        <v>642469.65</v>
      </c>
      <c r="D172" s="947">
        <f t="shared" si="40"/>
        <v>871647.75</v>
      </c>
      <c r="E172" s="948">
        <v>306584.55</v>
      </c>
      <c r="F172" s="947">
        <f t="shared" si="36"/>
        <v>1178232.3</v>
      </c>
      <c r="G172" s="945">
        <v>121247.4</v>
      </c>
      <c r="H172" s="1100">
        <f t="shared" si="37"/>
        <v>1299479.7</v>
      </c>
      <c r="I172" s="948">
        <v>24941.399999999998</v>
      </c>
      <c r="J172" s="1104">
        <v>412105.35</v>
      </c>
      <c r="K172" s="1101">
        <v>7031.8000000000757</v>
      </c>
      <c r="L172" s="944"/>
      <c r="M172" s="1101">
        <v>-109406.20000000004</v>
      </c>
      <c r="N172" s="1103">
        <f t="shared" si="38"/>
        <v>334672.34999999998</v>
      </c>
      <c r="O172" s="947">
        <f t="shared" si="39"/>
        <v>1634152.0499999998</v>
      </c>
    </row>
    <row r="173" spans="1:15" s="1174" customFormat="1">
      <c r="A173" s="831" t="s">
        <v>42</v>
      </c>
      <c r="B173" s="948">
        <v>231314.96666666667</v>
      </c>
      <c r="C173" s="948">
        <v>678124.2</v>
      </c>
      <c r="D173" s="947">
        <f t="shared" si="40"/>
        <v>909439.16666666663</v>
      </c>
      <c r="E173" s="948">
        <v>298083.83333333331</v>
      </c>
      <c r="F173" s="947">
        <f t="shared" si="36"/>
        <v>1207523</v>
      </c>
      <c r="G173" s="945">
        <v>126976.79999999999</v>
      </c>
      <c r="H173" s="1100">
        <f t="shared" si="37"/>
        <v>1334499.8</v>
      </c>
      <c r="I173" s="948">
        <v>30930.7</v>
      </c>
      <c r="J173" s="1104">
        <v>410153.16666666669</v>
      </c>
      <c r="K173" s="1101">
        <v>-31083.333333333387</v>
      </c>
      <c r="L173" s="944"/>
      <c r="M173" s="1101">
        <v>-99623.999999999971</v>
      </c>
      <c r="N173" s="1103">
        <f t="shared" si="38"/>
        <v>310376.53333333333</v>
      </c>
      <c r="O173" s="947">
        <f t="shared" si="39"/>
        <v>1644876.3333333335</v>
      </c>
    </row>
    <row r="174" spans="1:15" s="1174" customFormat="1">
      <c r="A174" s="831" t="s">
        <v>43</v>
      </c>
      <c r="B174" s="948">
        <v>237203.6333333333</v>
      </c>
      <c r="C174" s="948">
        <v>697172.04999999993</v>
      </c>
      <c r="D174" s="947">
        <f t="shared" si="40"/>
        <v>934375.68333333323</v>
      </c>
      <c r="E174" s="948">
        <v>299602.61666666664</v>
      </c>
      <c r="F174" s="947">
        <f t="shared" si="36"/>
        <v>1233978.2999999998</v>
      </c>
      <c r="G174" s="945">
        <v>138755.20000000001</v>
      </c>
      <c r="H174" s="1100">
        <f t="shared" si="37"/>
        <v>1372733.4999999998</v>
      </c>
      <c r="I174" s="948">
        <v>25659</v>
      </c>
      <c r="J174" s="1104">
        <v>412854.88333333336</v>
      </c>
      <c r="K174" s="1101">
        <v>3294.5333333333547</v>
      </c>
      <c r="L174" s="944"/>
      <c r="M174" s="1105">
        <v>-125294.8</v>
      </c>
      <c r="N174" s="1103">
        <f t="shared" si="38"/>
        <v>316513.61666666676</v>
      </c>
      <c r="O174" s="947">
        <f t="shared" si="39"/>
        <v>1689247.1166666665</v>
      </c>
    </row>
    <row r="175" spans="1:15" s="1174" customFormat="1">
      <c r="A175" s="831" t="s">
        <v>44</v>
      </c>
      <c r="B175" s="948">
        <v>261701.90000000002</v>
      </c>
      <c r="C175" s="948">
        <v>705438.70000000007</v>
      </c>
      <c r="D175" s="947">
        <f t="shared" si="40"/>
        <v>967140.60000000009</v>
      </c>
      <c r="E175" s="948">
        <v>309096.69999999995</v>
      </c>
      <c r="F175" s="947">
        <f t="shared" si="36"/>
        <v>1276237.3</v>
      </c>
      <c r="G175" s="945">
        <v>140815.79999999999</v>
      </c>
      <c r="H175" s="1100">
        <f t="shared" si="37"/>
        <v>1417053.1</v>
      </c>
      <c r="I175" s="948">
        <v>28009</v>
      </c>
      <c r="J175" s="1104">
        <v>425103</v>
      </c>
      <c r="K175" s="1101">
        <v>-30492.099999999991</v>
      </c>
      <c r="L175" s="944"/>
      <c r="M175" s="1105">
        <v>-111311.1</v>
      </c>
      <c r="N175" s="1103">
        <f t="shared" si="38"/>
        <v>311308.80000000005</v>
      </c>
      <c r="O175" s="947">
        <f t="shared" si="39"/>
        <v>1728361.9000000001</v>
      </c>
    </row>
    <row r="176" spans="1:15" s="1174" customFormat="1">
      <c r="A176" s="831" t="s">
        <v>619</v>
      </c>
      <c r="B176" s="948">
        <v>258214.13333333333</v>
      </c>
      <c r="C176" s="948">
        <v>692307.05</v>
      </c>
      <c r="D176" s="947">
        <f t="shared" si="40"/>
        <v>950521.18333333335</v>
      </c>
      <c r="E176" s="948">
        <v>321596.1333333333</v>
      </c>
      <c r="F176" s="947">
        <f t="shared" si="36"/>
        <v>1272117.3166666667</v>
      </c>
      <c r="G176" s="945">
        <v>148294.1</v>
      </c>
      <c r="H176" s="1100">
        <f t="shared" si="37"/>
        <v>1420411.4166666667</v>
      </c>
      <c r="I176" s="948">
        <v>30132.1</v>
      </c>
      <c r="J176" s="1104">
        <v>429903.03333333333</v>
      </c>
      <c r="K176" s="1101">
        <v>-32117.266666666663</v>
      </c>
      <c r="L176" s="944"/>
      <c r="M176" s="1105">
        <v>-115010.59999999995</v>
      </c>
      <c r="N176" s="1103">
        <f t="shared" si="38"/>
        <v>312907.26666666672</v>
      </c>
      <c r="O176" s="947">
        <f>H176+N176</f>
        <v>1733318.6833333336</v>
      </c>
    </row>
    <row r="177" spans="1:15" s="1174" customFormat="1">
      <c r="A177" s="831" t="s">
        <v>46</v>
      </c>
      <c r="B177" s="948">
        <v>265956.36666666664</v>
      </c>
      <c r="C177" s="948">
        <v>703803.8</v>
      </c>
      <c r="D177" s="947">
        <f t="shared" si="40"/>
        <v>969760.16666666674</v>
      </c>
      <c r="E177" s="948">
        <v>320970.7666666666</v>
      </c>
      <c r="F177" s="947">
        <f t="shared" si="36"/>
        <v>1290730.9333333333</v>
      </c>
      <c r="G177" s="945">
        <v>145778.09999999998</v>
      </c>
      <c r="H177" s="1100">
        <f t="shared" si="37"/>
        <v>1436509.0333333332</v>
      </c>
      <c r="I177" s="948">
        <v>31170.5</v>
      </c>
      <c r="J177" s="1104">
        <v>435102.46666666667</v>
      </c>
      <c r="K177" s="1101">
        <v>-28989.733333333337</v>
      </c>
      <c r="L177" s="944"/>
      <c r="M177" s="1105">
        <v>-113988.39999999997</v>
      </c>
      <c r="N177" s="1103">
        <f t="shared" si="38"/>
        <v>323294.83333333337</v>
      </c>
      <c r="O177" s="947">
        <f t="shared" ref="O177:O189" si="41">H177+N177</f>
        <v>1759803.8666666667</v>
      </c>
    </row>
    <row r="178" spans="1:15" s="1174" customFormat="1">
      <c r="A178" s="831" t="s">
        <v>47</v>
      </c>
      <c r="B178" s="948">
        <v>250057.99999999997</v>
      </c>
      <c r="C178" s="948">
        <v>713705.45000000019</v>
      </c>
      <c r="D178" s="947">
        <f t="shared" si="40"/>
        <v>963763.45000000019</v>
      </c>
      <c r="E178" s="948">
        <v>322085.59999999998</v>
      </c>
      <c r="F178" s="947">
        <f t="shared" si="36"/>
        <v>1285849.0500000003</v>
      </c>
      <c r="G178" s="945">
        <v>142228.70000000001</v>
      </c>
      <c r="H178" s="1100">
        <f t="shared" si="37"/>
        <v>1428077.7500000002</v>
      </c>
      <c r="I178" s="948">
        <v>32252.799999999999</v>
      </c>
      <c r="J178" s="1104">
        <v>440549.10000000003</v>
      </c>
      <c r="K178" s="1101">
        <v>5762.7999999999884</v>
      </c>
      <c r="L178" s="944"/>
      <c r="M178" s="1105">
        <v>-124787.99999999999</v>
      </c>
      <c r="N178" s="1103">
        <f t="shared" si="38"/>
        <v>353776.7</v>
      </c>
      <c r="O178" s="947">
        <f t="shared" si="41"/>
        <v>1781854.4500000002</v>
      </c>
    </row>
    <row r="179" spans="1:15" s="1174" customFormat="1">
      <c r="A179" s="831" t="s">
        <v>48</v>
      </c>
      <c r="B179" s="948">
        <v>245607.40000000002</v>
      </c>
      <c r="C179" s="948">
        <v>702687.43333333323</v>
      </c>
      <c r="D179" s="947">
        <f t="shared" si="40"/>
        <v>948294.83333333326</v>
      </c>
      <c r="E179" s="948">
        <v>341517.8</v>
      </c>
      <c r="F179" s="947">
        <f t="shared" si="36"/>
        <v>1289812.6333333333</v>
      </c>
      <c r="G179" s="945">
        <v>159175.19999999998</v>
      </c>
      <c r="H179" s="1100">
        <f t="shared" si="37"/>
        <v>1448987.8333333333</v>
      </c>
      <c r="I179" s="948">
        <v>16128.2</v>
      </c>
      <c r="J179" s="1104">
        <v>448742.33333333337</v>
      </c>
      <c r="K179" s="1101">
        <v>-11585.200000000041</v>
      </c>
      <c r="L179" s="944"/>
      <c r="M179" s="1105">
        <v>-88266.333333333285</v>
      </c>
      <c r="N179" s="1103">
        <f t="shared" si="38"/>
        <v>365019.00000000012</v>
      </c>
      <c r="O179" s="947">
        <f t="shared" si="41"/>
        <v>1814006.8333333335</v>
      </c>
    </row>
    <row r="180" spans="1:15" s="1174" customFormat="1">
      <c r="A180" s="831" t="s">
        <v>49</v>
      </c>
      <c r="B180" s="948">
        <v>243989.3</v>
      </c>
      <c r="C180" s="948">
        <v>705910.4</v>
      </c>
      <c r="D180" s="947">
        <f t="shared" si="40"/>
        <v>949899.7</v>
      </c>
      <c r="E180" s="948">
        <v>348418.9</v>
      </c>
      <c r="F180" s="947">
        <f t="shared" si="36"/>
        <v>1298318.6000000001</v>
      </c>
      <c r="G180" s="945">
        <v>167242.79999999999</v>
      </c>
      <c r="H180" s="1100">
        <f t="shared" si="37"/>
        <v>1465561.4000000001</v>
      </c>
      <c r="I180" s="948">
        <v>15512</v>
      </c>
      <c r="J180" s="1104">
        <v>451346.6</v>
      </c>
      <c r="K180" s="1101">
        <v>8265.2999999999993</v>
      </c>
      <c r="L180" s="944"/>
      <c r="M180" s="1105">
        <v>-102851.6</v>
      </c>
      <c r="N180" s="1103">
        <f t="shared" si="38"/>
        <v>372272.29999999993</v>
      </c>
      <c r="O180" s="947">
        <f t="shared" si="41"/>
        <v>1837833.7000000002</v>
      </c>
    </row>
    <row r="181" spans="1:15" s="1174" customFormat="1">
      <c r="A181" s="831" t="s">
        <v>50</v>
      </c>
      <c r="B181" s="948">
        <v>263500.5</v>
      </c>
      <c r="C181" s="948">
        <v>732242.5</v>
      </c>
      <c r="D181" s="947">
        <f t="shared" si="40"/>
        <v>995743</v>
      </c>
      <c r="E181" s="948">
        <v>345184</v>
      </c>
      <c r="F181" s="947">
        <f t="shared" si="36"/>
        <v>1340927</v>
      </c>
      <c r="G181" s="945">
        <v>158586.29999999999</v>
      </c>
      <c r="H181" s="1100">
        <f t="shared" si="37"/>
        <v>1499513.3</v>
      </c>
      <c r="I181" s="948">
        <v>17665.900000000001</v>
      </c>
      <c r="J181" s="1104">
        <v>419159.7</v>
      </c>
      <c r="K181" s="1101">
        <v>-3474.5</v>
      </c>
      <c r="L181" s="944"/>
      <c r="M181" s="1105">
        <v>-82108.399999999994</v>
      </c>
      <c r="N181" s="1103">
        <f t="shared" si="38"/>
        <v>351242.70000000007</v>
      </c>
      <c r="O181" s="947">
        <f t="shared" si="41"/>
        <v>1850756</v>
      </c>
    </row>
    <row r="182" spans="1:15" s="1174" customFormat="1">
      <c r="A182" s="831"/>
      <c r="B182" s="948"/>
      <c r="C182" s="948"/>
      <c r="D182" s="947"/>
      <c r="E182" s="948"/>
      <c r="F182" s="947"/>
      <c r="G182" s="945"/>
      <c r="H182" s="1100"/>
      <c r="I182" s="948"/>
      <c r="J182" s="1104"/>
      <c r="K182" s="1101"/>
      <c r="L182" s="944"/>
      <c r="M182" s="1105"/>
      <c r="N182" s="1103"/>
      <c r="O182" s="947"/>
    </row>
    <row r="183" spans="1:15" s="1174" customFormat="1" ht="15.75">
      <c r="A183" s="831" t="s">
        <v>718</v>
      </c>
      <c r="B183" s="948">
        <v>241264.5</v>
      </c>
      <c r="C183" s="948">
        <v>764430.5</v>
      </c>
      <c r="D183" s="947">
        <f t="shared" si="40"/>
        <v>1005695</v>
      </c>
      <c r="E183" s="948">
        <v>355783.2</v>
      </c>
      <c r="F183" s="947">
        <f t="shared" ref="F183:F189" si="42">D183+E183</f>
        <v>1361478.2</v>
      </c>
      <c r="G183" s="945">
        <v>157979.9</v>
      </c>
      <c r="H183" s="1100">
        <f t="shared" si="37"/>
        <v>1519458.0999999999</v>
      </c>
      <c r="I183" s="948">
        <v>25105.7</v>
      </c>
      <c r="J183" s="1104">
        <v>422924.79999999999</v>
      </c>
      <c r="K183" s="1101">
        <v>-24521.599999999999</v>
      </c>
      <c r="L183" s="944"/>
      <c r="M183" s="1105">
        <v>-117507.6</v>
      </c>
      <c r="N183" s="1103">
        <f t="shared" ref="N183:N189" si="43">SUM(I183:M183)</f>
        <v>306001.30000000005</v>
      </c>
      <c r="O183" s="947">
        <f t="shared" si="41"/>
        <v>1825459.4</v>
      </c>
    </row>
    <row r="184" spans="1:15" s="1174" customFormat="1" ht="15.75">
      <c r="A184" s="831" t="s">
        <v>680</v>
      </c>
      <c r="B184" s="948">
        <v>241071.6</v>
      </c>
      <c r="C184" s="948">
        <v>773951.6</v>
      </c>
      <c r="D184" s="947">
        <f t="shared" si="40"/>
        <v>1015023.2</v>
      </c>
      <c r="E184" s="948">
        <v>365905.6</v>
      </c>
      <c r="F184" s="947">
        <f t="shared" si="42"/>
        <v>1380928.7999999998</v>
      </c>
      <c r="G184" s="945">
        <v>166017</v>
      </c>
      <c r="H184" s="1100">
        <f t="shared" si="37"/>
        <v>1546945.7999999998</v>
      </c>
      <c r="I184" s="948">
        <v>28298.5</v>
      </c>
      <c r="J184" s="1104">
        <v>426652.8</v>
      </c>
      <c r="K184" s="1101">
        <v>-336.1</v>
      </c>
      <c r="L184" s="944"/>
      <c r="M184" s="1105">
        <v>-79115.3</v>
      </c>
      <c r="N184" s="1103">
        <f t="shared" si="43"/>
        <v>375499.9</v>
      </c>
      <c r="O184" s="947">
        <f t="shared" si="41"/>
        <v>1922445.6999999997</v>
      </c>
    </row>
    <row r="185" spans="1:15" s="1174" customFormat="1" ht="15.75">
      <c r="A185" s="831" t="s">
        <v>689</v>
      </c>
      <c r="B185" s="948">
        <v>249515.69999999998</v>
      </c>
      <c r="C185" s="948">
        <v>778473.79999999993</v>
      </c>
      <c r="D185" s="947">
        <f t="shared" si="40"/>
        <v>1027989.4999999999</v>
      </c>
      <c r="E185" s="948">
        <v>366927.89999999991</v>
      </c>
      <c r="F185" s="947">
        <f t="shared" si="42"/>
        <v>1394917.4</v>
      </c>
      <c r="G185" s="945">
        <v>171240.60000000003</v>
      </c>
      <c r="H185" s="1100">
        <f t="shared" si="37"/>
        <v>1566158</v>
      </c>
      <c r="I185" s="948">
        <v>25616.3</v>
      </c>
      <c r="J185" s="1104">
        <v>421763.8</v>
      </c>
      <c r="K185" s="1101">
        <v>-40601.500000000058</v>
      </c>
      <c r="L185" s="944"/>
      <c r="M185" s="1105">
        <v>-97046.700000000012</v>
      </c>
      <c r="N185" s="1103">
        <f t="shared" si="43"/>
        <v>309731.89999999991</v>
      </c>
      <c r="O185" s="947">
        <f t="shared" si="41"/>
        <v>1875889.9</v>
      </c>
    </row>
    <row r="186" spans="1:15" s="1174" customFormat="1" ht="15.75">
      <c r="A186" s="831" t="s">
        <v>699</v>
      </c>
      <c r="B186" s="948">
        <v>246982.59999999998</v>
      </c>
      <c r="C186" s="948">
        <v>794051.4</v>
      </c>
      <c r="D186" s="947">
        <f t="shared" si="40"/>
        <v>1041034</v>
      </c>
      <c r="E186" s="948">
        <v>365158.19999999995</v>
      </c>
      <c r="F186" s="947">
        <f t="shared" si="42"/>
        <v>1406192.2</v>
      </c>
      <c r="G186" s="945">
        <v>169605.7</v>
      </c>
      <c r="H186" s="1100">
        <f t="shared" si="37"/>
        <v>1575797.9</v>
      </c>
      <c r="I186" s="948">
        <v>26193</v>
      </c>
      <c r="J186" s="1104">
        <v>424112.7</v>
      </c>
      <c r="K186" s="1101">
        <v>-25233.400000000023</v>
      </c>
      <c r="L186" s="944"/>
      <c r="M186" s="1105">
        <v>-107607.89999999998</v>
      </c>
      <c r="N186" s="1103">
        <f t="shared" si="43"/>
        <v>317464.40000000002</v>
      </c>
      <c r="O186" s="947">
        <f t="shared" si="41"/>
        <v>1893262.2999999998</v>
      </c>
    </row>
    <row r="187" spans="1:15" s="1174" customFormat="1" ht="15.75">
      <c r="A187" s="831" t="s">
        <v>709</v>
      </c>
      <c r="B187" s="948">
        <v>253275.30000000002</v>
      </c>
      <c r="C187" s="948">
        <v>800243.10000000021</v>
      </c>
      <c r="D187" s="947">
        <f t="shared" si="40"/>
        <v>1053518.4000000001</v>
      </c>
      <c r="E187" s="948">
        <v>382846.5</v>
      </c>
      <c r="F187" s="947">
        <f t="shared" si="42"/>
        <v>1436364.9000000001</v>
      </c>
      <c r="G187" s="945">
        <v>158470.30000000002</v>
      </c>
      <c r="H187" s="1100">
        <f t="shared" si="37"/>
        <v>1594835.2000000002</v>
      </c>
      <c r="I187" s="948">
        <v>22830.3</v>
      </c>
      <c r="J187" s="1104">
        <v>441008.69999999995</v>
      </c>
      <c r="K187" s="1101">
        <v>-45953.100000000006</v>
      </c>
      <c r="L187" s="944"/>
      <c r="M187" s="1105">
        <v>-119305.29999999994</v>
      </c>
      <c r="N187" s="1103">
        <f t="shared" si="43"/>
        <v>298580.59999999998</v>
      </c>
      <c r="O187" s="947">
        <f t="shared" si="41"/>
        <v>1893415.8000000003</v>
      </c>
    </row>
    <row r="188" spans="1:15" s="1174" customFormat="1" ht="15.75">
      <c r="A188" s="831" t="s">
        <v>724</v>
      </c>
      <c r="B188" s="948">
        <v>282554.7</v>
      </c>
      <c r="C188" s="948">
        <v>810466.8</v>
      </c>
      <c r="D188" s="947">
        <f t="shared" si="40"/>
        <v>1093021.5</v>
      </c>
      <c r="E188" s="948">
        <v>381790.4</v>
      </c>
      <c r="F188" s="947">
        <f t="shared" si="42"/>
        <v>1474811.9</v>
      </c>
      <c r="G188" s="945">
        <v>157640.1</v>
      </c>
      <c r="H188" s="1100">
        <f t="shared" si="37"/>
        <v>1632452</v>
      </c>
      <c r="I188" s="948">
        <v>18656.7</v>
      </c>
      <c r="J188" s="1104">
        <v>445588.8</v>
      </c>
      <c r="K188" s="1101">
        <v>-32331.199999999953</v>
      </c>
      <c r="L188" s="944"/>
      <c r="M188" s="1105">
        <v>-116393.90000000004</v>
      </c>
      <c r="N188" s="1103">
        <f t="shared" si="43"/>
        <v>315520.40000000002</v>
      </c>
      <c r="O188" s="947">
        <f t="shared" si="41"/>
        <v>1947972.4</v>
      </c>
    </row>
    <row r="189" spans="1:15" s="1174" customFormat="1" ht="15.75">
      <c r="A189" s="831" t="s">
        <v>731</v>
      </c>
      <c r="B189" s="948">
        <v>276954.09999999998</v>
      </c>
      <c r="C189" s="948">
        <v>821190.19999999984</v>
      </c>
      <c r="D189" s="947">
        <f t="shared" si="40"/>
        <v>1098144.2999999998</v>
      </c>
      <c r="E189" s="948">
        <v>391919.6</v>
      </c>
      <c r="F189" s="947">
        <f t="shared" si="42"/>
        <v>1490063.9</v>
      </c>
      <c r="G189" s="945">
        <v>175661.30000000002</v>
      </c>
      <c r="H189" s="1100">
        <f t="shared" si="37"/>
        <v>1665725.2</v>
      </c>
      <c r="I189" s="948">
        <v>19369.3</v>
      </c>
      <c r="J189" s="1104">
        <v>451023.79999999993</v>
      </c>
      <c r="K189" s="1101">
        <v>-15195.599999999977</v>
      </c>
      <c r="L189" s="944"/>
      <c r="M189" s="1105">
        <v>-120571.00000000001</v>
      </c>
      <c r="N189" s="1103">
        <f t="shared" si="43"/>
        <v>334626.49999999994</v>
      </c>
      <c r="O189" s="947">
        <f t="shared" si="41"/>
        <v>2000351.7</v>
      </c>
    </row>
    <row r="190" spans="1:15" s="1174" customFormat="1">
      <c r="A190" s="1161"/>
      <c r="B190" s="1183"/>
      <c r="C190" s="948"/>
      <c r="D190" s="947"/>
      <c r="E190" s="948"/>
      <c r="F190" s="947"/>
      <c r="G190" s="945"/>
      <c r="H190" s="1100"/>
      <c r="I190" s="948"/>
      <c r="J190" s="948"/>
      <c r="K190" s="1101"/>
      <c r="L190" s="944"/>
      <c r="M190" s="1105"/>
      <c r="N190" s="1103"/>
      <c r="O190" s="947"/>
    </row>
    <row r="191" spans="1:15" s="96" customFormat="1" ht="15" customHeight="1">
      <c r="A191" s="763"/>
      <c r="B191" s="407"/>
      <c r="C191" s="407"/>
      <c r="D191" s="407"/>
      <c r="E191" s="407"/>
      <c r="F191" s="407"/>
      <c r="G191" s="407"/>
      <c r="H191" s="407"/>
      <c r="I191" s="407"/>
      <c r="J191" s="407"/>
      <c r="K191" s="407"/>
      <c r="L191" s="407"/>
      <c r="M191" s="407"/>
      <c r="N191" s="407"/>
      <c r="O191" s="408"/>
    </row>
    <row r="192" spans="1:15" hidden="1">
      <c r="A192" s="270" t="s">
        <v>605</v>
      </c>
      <c r="B192" s="359"/>
      <c r="C192" s="359"/>
      <c r="D192" s="359"/>
      <c r="E192" s="104"/>
      <c r="F192" s="104"/>
      <c r="G192" s="360"/>
      <c r="H192" s="359"/>
      <c r="I192" s="104"/>
      <c r="J192" s="359"/>
      <c r="K192" s="104"/>
      <c r="L192" s="359"/>
      <c r="M192" s="409"/>
      <c r="N192" s="359"/>
      <c r="O192" s="122"/>
    </row>
    <row r="193" spans="1:15">
      <c r="A193" s="94" t="s">
        <v>660</v>
      </c>
      <c r="B193" s="350"/>
      <c r="C193" s="350"/>
      <c r="D193" s="350"/>
      <c r="E193" s="71"/>
      <c r="F193" s="71"/>
      <c r="G193" s="761"/>
      <c r="H193" s="350"/>
      <c r="I193" s="71"/>
      <c r="J193" s="350"/>
      <c r="K193" s="71"/>
      <c r="L193" s="350"/>
      <c r="M193" s="764"/>
      <c r="N193" s="350"/>
      <c r="O193" s="82"/>
    </row>
    <row r="194" spans="1:15">
      <c r="A194" s="94" t="s">
        <v>652</v>
      </c>
      <c r="B194" s="350"/>
      <c r="C194" s="350"/>
      <c r="D194" s="350"/>
      <c r="E194" s="71"/>
      <c r="F194" s="71"/>
      <c r="G194" s="761"/>
      <c r="H194" s="350"/>
      <c r="I194" s="71"/>
      <c r="J194" s="350"/>
      <c r="K194" s="71"/>
      <c r="L194" s="350"/>
      <c r="M194" s="764"/>
      <c r="N194" s="350"/>
      <c r="O194" s="82"/>
    </row>
    <row r="195" spans="1:15">
      <c r="A195" s="102"/>
      <c r="B195" s="359"/>
      <c r="C195" s="359"/>
      <c r="D195" s="359"/>
      <c r="E195" s="104"/>
      <c r="F195" s="104"/>
      <c r="G195" s="360"/>
      <c r="H195" s="359"/>
      <c r="I195" s="104"/>
      <c r="J195" s="501" t="s">
        <v>0</v>
      </c>
      <c r="K195" s="104"/>
      <c r="L195" s="359"/>
      <c r="M195" s="409"/>
      <c r="N195" s="359"/>
      <c r="O195" s="122"/>
    </row>
    <row r="196" spans="1:15">
      <c r="B196" s="362"/>
      <c r="C196" s="362"/>
      <c r="D196" s="362"/>
      <c r="G196" s="363"/>
      <c r="H196" s="362"/>
      <c r="J196" s="362"/>
      <c r="L196" s="362"/>
      <c r="M196" s="410"/>
      <c r="N196" s="362"/>
    </row>
    <row r="197" spans="1:15">
      <c r="B197" s="362"/>
      <c r="C197" s="362"/>
      <c r="D197" s="362"/>
      <c r="G197" s="363"/>
      <c r="H197" s="362"/>
      <c r="J197" s="362"/>
      <c r="L197" s="362"/>
      <c r="M197" s="410"/>
      <c r="N197" s="362"/>
    </row>
    <row r="198" spans="1:15">
      <c r="B198" s="362"/>
      <c r="C198" s="362"/>
      <c r="D198" s="362"/>
      <c r="G198" s="363"/>
      <c r="H198" s="362"/>
      <c r="J198" s="362"/>
      <c r="L198" s="362"/>
      <c r="M198" s="410"/>
      <c r="N198" s="362"/>
    </row>
    <row r="199" spans="1:15">
      <c r="B199" s="362"/>
      <c r="C199" s="362"/>
      <c r="D199" s="362"/>
      <c r="G199" s="363"/>
      <c r="H199" s="362"/>
      <c r="J199" s="362"/>
      <c r="L199" s="362"/>
      <c r="M199" s="410"/>
      <c r="N199" s="362"/>
    </row>
    <row r="200" spans="1:15">
      <c r="B200" s="362"/>
      <c r="C200" s="362"/>
      <c r="D200" s="362"/>
      <c r="G200" s="363"/>
      <c r="H200" s="362"/>
      <c r="J200" s="362"/>
      <c r="L200" s="362"/>
      <c r="M200" s="410"/>
      <c r="N200" s="362"/>
    </row>
    <row r="201" spans="1:15">
      <c r="B201" s="362"/>
      <c r="C201" s="362"/>
      <c r="D201" s="362"/>
      <c r="G201" s="363"/>
      <c r="H201" s="362"/>
      <c r="J201" s="362"/>
      <c r="L201" s="362"/>
      <c r="M201" s="410"/>
      <c r="N201" s="362"/>
    </row>
    <row r="202" spans="1:15">
      <c r="B202" s="362"/>
      <c r="C202" s="362"/>
      <c r="D202" s="362"/>
      <c r="G202" s="363"/>
      <c r="H202" s="362"/>
      <c r="J202" s="362"/>
      <c r="L202" s="362"/>
      <c r="M202" s="410"/>
      <c r="N202" s="362"/>
    </row>
    <row r="203" spans="1:15">
      <c r="B203" s="362"/>
      <c r="C203" s="362"/>
      <c r="D203" s="362"/>
      <c r="G203" s="363"/>
      <c r="H203" s="362"/>
      <c r="J203" s="362"/>
      <c r="L203" s="362"/>
      <c r="M203" s="410"/>
      <c r="N203" s="362"/>
    </row>
    <row r="204" spans="1:15">
      <c r="B204" s="362"/>
      <c r="C204" s="362"/>
      <c r="D204" s="362"/>
      <c r="G204" s="363"/>
      <c r="H204" s="362"/>
      <c r="J204" s="362"/>
      <c r="L204" s="362"/>
      <c r="M204" s="410"/>
      <c r="N204" s="362"/>
    </row>
    <row r="205" spans="1:15">
      <c r="B205" s="362"/>
      <c r="C205" s="362"/>
      <c r="D205" s="362"/>
      <c r="G205" s="363"/>
      <c r="H205" s="362"/>
      <c r="J205" s="362"/>
      <c r="L205" s="362"/>
      <c r="M205" s="410"/>
      <c r="N205" s="362"/>
    </row>
    <row r="206" spans="1:15">
      <c r="B206" s="362"/>
      <c r="C206" s="362"/>
      <c r="D206" s="362"/>
      <c r="G206" s="363"/>
      <c r="H206" s="362"/>
      <c r="J206" s="362"/>
      <c r="L206" s="362"/>
      <c r="M206" s="410"/>
      <c r="N206" s="362"/>
    </row>
    <row r="207" spans="1:15">
      <c r="B207" s="362"/>
      <c r="C207" s="362"/>
      <c r="D207" s="362"/>
      <c r="G207" s="363"/>
      <c r="H207" s="362"/>
      <c r="J207" s="362"/>
      <c r="L207" s="362"/>
      <c r="M207" s="410"/>
      <c r="N207" s="362"/>
    </row>
    <row r="1549" spans="7:7">
      <c r="G1549" s="411"/>
    </row>
    <row r="1550" spans="7:7">
      <c r="G1550" s="88" t="s">
        <v>0</v>
      </c>
    </row>
    <row r="2179" spans="11:11">
      <c r="K2179" s="251"/>
    </row>
    <row r="2180" spans="11:11">
      <c r="K2180" s="69" t="s">
        <v>0</v>
      </c>
    </row>
  </sheetData>
  <mergeCells count="5">
    <mergeCell ref="C2:N2"/>
    <mergeCell ref="C3:N3"/>
    <mergeCell ref="B6:H6"/>
    <mergeCell ref="I6:N6"/>
    <mergeCell ref="B8:F8"/>
  </mergeCells>
  <pageMargins left="1.6929133858267718" right="0.70866141732283472" top="0.74803149606299213" bottom="0.74803149606299213" header="0.31496062992125984" footer="0.31496062992125984"/>
  <pageSetup paperSize="9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24</vt:i4>
      </vt:variant>
    </vt:vector>
  </HeadingPairs>
  <TitlesOfParts>
    <vt:vector size="50" baseType="lpstr">
      <vt:lpstr>II_1 Net foreign assets</vt:lpstr>
      <vt:lpstr>II_2_1 Assets_BRB</vt:lpstr>
      <vt:lpstr>II_2_2 Liabilities BRB</vt:lpstr>
      <vt:lpstr>II_3_1 Assets Banks</vt:lpstr>
      <vt:lpstr>II_3_2 Liabilities banks</vt:lpstr>
      <vt:lpstr>II_4_1 Assets Microfinance</vt:lpstr>
      <vt:lpstr>II_4_2 Liabilities Microfinance</vt:lpstr>
      <vt:lpstr>II_5_1 Assets MS</vt:lpstr>
      <vt:lpstr>II_5_2 Liabilities MS</vt:lpstr>
      <vt:lpstr>II_6 Monetary base</vt:lpstr>
      <vt:lpstr>II_7_1 Assets Fcial intermediar</vt:lpstr>
      <vt:lpstr>II_7_2 Liabilities Fcial interm</vt:lpstr>
      <vt:lpstr>II_8_1 Assets Financial system</vt:lpstr>
      <vt:lpstr>II_8_2 Liabilities Fcial system</vt:lpstr>
      <vt:lpstr>II_9 Banking liquidity</vt:lpstr>
      <vt:lpstr>II_10_1 Domestic currency depos</vt:lpstr>
      <vt:lpstr>II_10_2 Foreign currency deposi</vt:lpstr>
      <vt:lpstr>II_11 Deposits &amp; other time dep</vt:lpstr>
      <vt:lpstr>II_12 Banking system risk</vt:lpstr>
      <vt:lpstr>II_13 Loans by activity sector</vt:lpstr>
      <vt:lpstr>II_14 Loans per term</vt:lpstr>
      <vt:lpstr>II_15 Lending rates</vt:lpstr>
      <vt:lpstr>II_16 Deposit rates</vt:lpstr>
      <vt:lpstr>II_17 Cleaning house activity</vt:lpstr>
      <vt:lpstr>II_18 Gov Securities rates</vt:lpstr>
      <vt:lpstr>II_19 Refincing operation rates</vt:lpstr>
      <vt:lpstr>'II_1 Net foreign assets'!Print_Area</vt:lpstr>
      <vt:lpstr>'II_10_2 Foreign currency deposi'!Print_Area</vt:lpstr>
      <vt:lpstr>'II_11 Deposits &amp; other time dep'!Print_Area</vt:lpstr>
      <vt:lpstr>'II_12 Banking system risk'!Print_Area</vt:lpstr>
      <vt:lpstr>'II_13 Loans by activity sector'!Print_Area</vt:lpstr>
      <vt:lpstr>'II_14 Loans per term'!Print_Area</vt:lpstr>
      <vt:lpstr>'II_15 Lending rates'!Print_Area</vt:lpstr>
      <vt:lpstr>'II_16 Deposit rates'!Print_Area</vt:lpstr>
      <vt:lpstr>'II_17 Cleaning house activity'!Print_Area</vt:lpstr>
      <vt:lpstr>'II_19 Refincing operation rates'!Print_Area</vt:lpstr>
      <vt:lpstr>'II_2_1 Assets_BRB'!Print_Area</vt:lpstr>
      <vt:lpstr>'II_2_2 Liabilities BRB'!Print_Area</vt:lpstr>
      <vt:lpstr>'II_3_1 Assets Banks'!Print_Area</vt:lpstr>
      <vt:lpstr>'II_3_2 Liabilities banks'!Print_Area</vt:lpstr>
      <vt:lpstr>'II_4_2 Liabilities Microfinance'!Print_Area</vt:lpstr>
      <vt:lpstr>'II_5_1 Assets MS'!Print_Area</vt:lpstr>
      <vt:lpstr>'II_5_2 Liabilities MS'!Print_Area</vt:lpstr>
      <vt:lpstr>'II_6 Monetary base'!Print_Area</vt:lpstr>
      <vt:lpstr>'II_7_1 Assets Fcial intermediar'!Print_Area</vt:lpstr>
      <vt:lpstr>'II_7_2 Liabilities Fcial interm'!Print_Area</vt:lpstr>
      <vt:lpstr>'II_8_1 Assets Financial system'!Print_Area</vt:lpstr>
      <vt:lpstr>'II_8_2 Liabilities Fcial system'!Print_Area</vt:lpstr>
      <vt:lpstr>'II_9 Banking liquidity'!Print_Area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Eliane NKENGURUTSE</cp:lastModifiedBy>
  <cp:lastPrinted>2018-10-03T09:57:24Z</cp:lastPrinted>
  <dcterms:created xsi:type="dcterms:W3CDTF">2000-07-13T07:49:13Z</dcterms:created>
  <dcterms:modified xsi:type="dcterms:W3CDTF">2018-10-24T06:47:14Z</dcterms:modified>
</cp:coreProperties>
</file>