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<sst xmlns="http://schemas.openxmlformats.org/spreadsheetml/2006/main" count="123" uniqueCount="57">
  <si>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</si>
  <si>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</si>
  <si>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</si>
  <si>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</si>
  <si>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</si>
  <si>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</si>
  <si>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</si>
  <si>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</si>
  <si>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</si>
  <si>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</si>
  <si>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</si>
  <si>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</si>
  <si>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</si>
  <si>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</si>
  <si>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</si>
  <si>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</si>
  <si>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</si>
  <si>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</si>
  <si>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</si>
  <si>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</si>
  <si>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</si>
  <si>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</si>
  <si>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</si>
  <si>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</si>
  <si>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</si>
  <si>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</si>
  <si>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</si>
  <si>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</si>
  <si>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</si>
  <si>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</si>
  <si>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</si>
  <si>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</si>
  <si>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</si>
  <si>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</si>
  <si>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</si>
  <si>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</si>
  <si>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</si>
  <si>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</si>
  <si>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</si>
  <si>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</si>
  <si>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</si>
  <si>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</si>
  <si>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</si>
  <si>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</si>
  <si>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</si>
  <si>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</si>
  <si>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</si>
  <si>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 xml:space="preserve">   ETABLISSEMENTS DE MICROFINANCE</t>
  </si>
  <si>
    <t>2020</t>
  </si>
  <si>
    <r>
      <t>Octobre-20</t>
    </r>
    <r>
      <rPr>
        <vertAlign val="superscript"/>
        <sz val="12"/>
        <rFont val="Calibri"/>
        <family val="2"/>
      </rPr>
      <t>(p)</t>
    </r>
  </si>
  <si>
    <r>
      <t>Novembre-20</t>
    </r>
    <r>
      <rPr>
        <vertAlign val="superscript"/>
        <sz val="12"/>
        <rFont val="Calibri"/>
        <family val="2"/>
      </rPr>
      <t>(p)</t>
    </r>
  </si>
  <si>
    <r>
      <t>Décembre-20</t>
    </r>
    <r>
      <rPr>
        <vertAlign val="superscript"/>
        <sz val="12"/>
        <rFont val="Calibri"/>
        <family val="2"/>
      </rPr>
      <t>(p)</t>
    </r>
  </si>
  <si>
    <r>
      <t>2020</t>
    </r>
    <r>
      <rPr>
        <vertAlign val="superscript"/>
        <sz val="12"/>
        <rFont val="Calibri"/>
        <family val="2"/>
      </rPr>
      <t>(p)</t>
    </r>
  </si>
  <si>
    <t>Q1-2021</t>
  </si>
  <si>
    <r>
      <t>Janvier-21</t>
    </r>
    <r>
      <rPr>
        <vertAlign val="superscript"/>
        <sz val="12"/>
        <rFont val="Calibri"/>
        <family val="2"/>
      </rPr>
      <t>(p)</t>
    </r>
  </si>
  <si>
    <r>
      <t>Février-21</t>
    </r>
    <r>
      <rPr>
        <vertAlign val="superscript"/>
        <sz val="12"/>
        <rFont val="Calibri"/>
        <family val="2"/>
      </rPr>
      <t>(p)</t>
    </r>
  </si>
  <si>
    <r>
      <t>Mars-21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</si>
</sst>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FBu&quot;#,##0;\-&quot;FBu&quot;#,##0"/>
    <numFmt numFmtId="175" formatCode="&quot;FBu&quot;#,##0;[Red]\-&quot;FBu&quot;#,##0"/>
    <numFmt numFmtId="176" formatCode="&quot;FBu&quot;#,##0.00;\-&quot;FBu&quot;#,##0.00"/>
    <numFmt numFmtId="177" formatCode="&quot;FBu&quot;#,##0.00;[Red]\-&quot;FBu&quot;#,##0.00"/>
    <numFmt numFmtId="178" formatCode="_-&quot;FBu&quot;* #,##0_-;\-&quot;FBu&quot;* #,##0_-;_-&quot;FBu&quot;* &quot;-&quot;_-;_-@_-"/>
    <numFmt numFmtId="179" formatCode="_-&quot;FBu&quot;* #,##0.00_-;\-&quot;FBu&quot;* #,##0.00_-;_-&quot;FBu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</numFmts>
  <fonts count="5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4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11" xfId="0" applyNumberFormat="1" applyFont="1" applyBorder="1" applyAlignment="1" applyProtection="1">
      <alignment horizontal="fill"/>
      <protection/>
    </xf>
    <xf numFmtId="202" fontId="7" fillId="0" borderId="11" xfId="0" applyNumberFormat="1" applyFont="1" applyFill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0" xfId="0" applyFont="1" applyFill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7" fillId="33" borderId="0" xfId="0" applyFont="1" applyFill="1" applyAlignment="1">
      <alignment/>
    </xf>
    <xf numFmtId="202" fontId="29" fillId="0" borderId="11" xfId="0" applyNumberFormat="1" applyFont="1" applyBorder="1" applyAlignment="1" applyProtection="1">
      <alignment horizontal="fill"/>
      <protection/>
    </xf>
    <xf numFmtId="202" fontId="29" fillId="0" borderId="11" xfId="0" applyNumberFormat="1" applyFont="1" applyFill="1" applyBorder="1" applyAlignment="1" applyProtection="1">
      <alignment horizontal="fill"/>
      <protection/>
    </xf>
    <xf numFmtId="202" fontId="29" fillId="0" borderId="11" xfId="0" applyNumberFormat="1" applyFont="1" applyBorder="1" applyAlignment="1" applyProtection="1">
      <alignment horizontal="center"/>
      <protection/>
    </xf>
    <xf numFmtId="209" fontId="29" fillId="0" borderId="13" xfId="0" applyNumberFormat="1" applyFont="1" applyBorder="1" applyAlignment="1" applyProtection="1">
      <alignment horizontal="right"/>
      <protection/>
    </xf>
    <xf numFmtId="209" fontId="29" fillId="0" borderId="13" xfId="0" applyNumberFormat="1" applyFont="1" applyBorder="1" applyAlignment="1">
      <alignment/>
    </xf>
    <xf numFmtId="202" fontId="29" fillId="33" borderId="13" xfId="0" applyNumberFormat="1" applyFont="1" applyFill="1" applyBorder="1" applyAlignment="1" applyProtection="1">
      <alignment horizontal="right"/>
      <protection/>
    </xf>
    <xf numFmtId="209" fontId="29" fillId="0" borderId="13" xfId="47" applyNumberFormat="1" applyFont="1" applyBorder="1" applyAlignment="1" applyProtection="1">
      <alignment horizontal="right"/>
      <protection/>
    </xf>
    <xf numFmtId="211" fontId="29" fillId="0" borderId="13" xfId="0" applyNumberFormat="1" applyFont="1" applyFill="1" applyBorder="1" applyAlignment="1" applyProtection="1" quotePrefix="1">
      <alignment horizontal="left"/>
      <protection/>
    </xf>
    <xf numFmtId="209" fontId="29" fillId="0" borderId="13" xfId="0" applyNumberFormat="1" applyFont="1" applyFill="1" applyBorder="1" applyAlignment="1" applyProtection="1">
      <alignment horizontal="right"/>
      <protection/>
    </xf>
    <xf numFmtId="209" fontId="29" fillId="33" borderId="13" xfId="0" applyNumberFormat="1" applyFont="1" applyFill="1" applyBorder="1" applyAlignment="1" applyProtection="1">
      <alignment horizontal="right"/>
      <protection/>
    </xf>
    <xf numFmtId="202" fontId="53" fillId="0" borderId="0" xfId="0" applyFont="1" applyAlignment="1">
      <alignment/>
    </xf>
    <xf numFmtId="202" fontId="54" fillId="34" borderId="14" xfId="0" applyFont="1" applyFill="1" applyBorder="1" applyAlignment="1">
      <alignment/>
    </xf>
    <xf numFmtId="202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13" fontId="53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202" fontId="5" fillId="0" borderId="0" xfId="45" applyNumberFormat="1" applyAlignment="1" applyProtection="1">
      <alignment/>
      <protection/>
    </xf>
    <xf numFmtId="202" fontId="5" fillId="0" borderId="13" xfId="45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02" fontId="11" fillId="0" borderId="0" xfId="0" applyFont="1" applyAlignment="1">
      <alignment horizontal="justify" vertical="center"/>
    </xf>
    <xf numFmtId="202" fontId="29" fillId="35" borderId="13" xfId="0" applyFont="1" applyFill="1" applyBorder="1" applyAlignment="1">
      <alignment/>
    </xf>
    <xf numFmtId="202" fontId="7" fillId="0" borderId="0" xfId="0" applyFont="1" applyBorder="1" applyAlignment="1">
      <alignment horizontal="center"/>
    </xf>
    <xf numFmtId="202" fontId="29" fillId="35" borderId="13" xfId="0" applyNumberFormat="1" applyFont="1" applyFill="1" applyBorder="1" applyAlignment="1" applyProtection="1">
      <alignment horizontal="left" wrapText="1"/>
      <protection/>
    </xf>
    <xf numFmtId="202" fontId="7" fillId="33" borderId="0" xfId="0" applyFont="1" applyFill="1" applyBorder="1" applyAlignment="1">
      <alignment/>
    </xf>
    <xf numFmtId="202" fontId="29" fillId="0" borderId="15" xfId="0" applyNumberFormat="1" applyFont="1" applyBorder="1" applyAlignment="1" applyProtection="1">
      <alignment horizontal="fill"/>
      <protection/>
    </xf>
    <xf numFmtId="202" fontId="29" fillId="0" borderId="0" xfId="0" applyNumberFormat="1" applyFont="1" applyBorder="1" applyAlignment="1" applyProtection="1">
      <alignment horizontal="fill"/>
      <protection/>
    </xf>
    <xf numFmtId="1" fontId="29" fillId="0" borderId="13" xfId="0" applyNumberFormat="1" applyFont="1" applyFill="1" applyBorder="1" applyAlignment="1" applyProtection="1" quotePrefix="1">
      <alignment horizontal="left"/>
      <protection/>
    </xf>
    <xf numFmtId="215" fontId="53" fillId="6" borderId="0" xfId="0" applyNumberFormat="1" applyFont="1" applyFill="1" applyAlignment="1">
      <alignment horizontal="right"/>
    </xf>
    <xf numFmtId="202" fontId="29" fillId="0" borderId="16" xfId="0" applyNumberFormat="1" applyFont="1" applyBorder="1" applyAlignment="1" applyProtection="1">
      <alignment horizontal="fill"/>
      <protection/>
    </xf>
    <xf numFmtId="202" fontId="29" fillId="0" borderId="0" xfId="0" applyNumberFormat="1" applyFont="1" applyFill="1" applyBorder="1" applyAlignment="1" applyProtection="1">
      <alignment horizontal="fill"/>
      <protection/>
    </xf>
    <xf numFmtId="209" fontId="29" fillId="0" borderId="17" xfId="0" applyNumberFormat="1" applyFont="1" applyBorder="1" applyAlignment="1" applyProtection="1">
      <alignment horizontal="right"/>
      <protection/>
    </xf>
    <xf numFmtId="209" fontId="29" fillId="0" borderId="17" xfId="0" applyNumberFormat="1" applyFont="1" applyFill="1" applyBorder="1" applyAlignment="1" applyProtection="1">
      <alignment horizontal="right"/>
      <protection/>
    </xf>
    <xf numFmtId="211" fontId="29" fillId="0" borderId="18" xfId="0" applyNumberFormat="1" applyFont="1" applyFill="1" applyBorder="1" applyAlignment="1" applyProtection="1" quotePrefix="1">
      <alignment horizontal="left"/>
      <protection/>
    </xf>
    <xf numFmtId="209" fontId="29" fillId="0" borderId="10" xfId="0" applyNumberFormat="1" applyFont="1" applyBorder="1" applyAlignment="1" applyProtection="1">
      <alignment horizontal="right"/>
      <protection/>
    </xf>
    <xf numFmtId="209" fontId="29" fillId="0" borderId="10" xfId="0" applyNumberFormat="1" applyFont="1" applyFill="1" applyBorder="1" applyAlignment="1" applyProtection="1">
      <alignment horizontal="right"/>
      <protection/>
    </xf>
    <xf numFmtId="209" fontId="29" fillId="0" borderId="10" xfId="47" applyNumberFormat="1" applyFont="1" applyBorder="1" applyAlignment="1" applyProtection="1">
      <alignment horizontal="right"/>
      <protection/>
    </xf>
    <xf numFmtId="202" fontId="8" fillId="0" borderId="16" xfId="0" applyFont="1" applyBorder="1" applyAlignment="1">
      <alignment horizontal="left"/>
    </xf>
    <xf numFmtId="209" fontId="29" fillId="0" borderId="19" xfId="0" applyNumberFormat="1" applyFont="1" applyBorder="1" applyAlignment="1" applyProtection="1">
      <alignment horizontal="right"/>
      <protection/>
    </xf>
    <xf numFmtId="211" fontId="29" fillId="0" borderId="17" xfId="0" applyNumberFormat="1" applyFont="1" applyFill="1" applyBorder="1" applyAlignment="1" applyProtection="1" quotePrefix="1">
      <alignment horizontal="left"/>
      <protection/>
    </xf>
    <xf numFmtId="202" fontId="55" fillId="0" borderId="0" xfId="0" applyFont="1" applyAlignment="1">
      <alignment wrapText="1"/>
    </xf>
    <xf numFmtId="202" fontId="56" fillId="0" borderId="13" xfId="0" applyFont="1" applyBorder="1" applyAlignment="1">
      <alignment horizontal="center"/>
    </xf>
    <xf numFmtId="202" fontId="57" fillId="0" borderId="13" xfId="0" applyFont="1" applyBorder="1" applyAlignment="1">
      <alignment horizontal="center"/>
    </xf>
    <xf numFmtId="202" fontId="35" fillId="35" borderId="17" xfId="0" applyFont="1" applyFill="1" applyBorder="1" applyAlignment="1">
      <alignment horizontal="center" vertical="center"/>
    </xf>
    <xf numFmtId="202" fontId="35" fillId="35" borderId="20" xfId="0" applyFont="1" applyFill="1" applyBorder="1" applyAlignment="1">
      <alignment horizontal="center" vertical="center"/>
    </xf>
    <xf numFmtId="202" fontId="35" fillId="35" borderId="21" xfId="0" applyFont="1" applyFill="1" applyBorder="1" applyAlignment="1">
      <alignment horizontal="center" vertical="center"/>
    </xf>
    <xf numFmtId="202" fontId="35" fillId="35" borderId="17" xfId="0" applyFont="1" applyFill="1" applyBorder="1" applyAlignment="1">
      <alignment horizontal="center" vertical="center" wrapText="1"/>
    </xf>
    <xf numFmtId="202" fontId="35" fillId="35" borderId="20" xfId="0" applyFont="1" applyFill="1" applyBorder="1" applyAlignment="1">
      <alignment horizontal="center" vertical="center" wrapText="1"/>
    </xf>
    <xf numFmtId="202" fontId="35" fillId="35" borderId="21" xfId="0" applyFont="1" applyFill="1" applyBorder="1" applyAlignment="1">
      <alignment horizontal="center" vertical="center" wrapText="1"/>
    </xf>
    <xf numFmtId="202" fontId="35" fillId="0" borderId="15" xfId="0" applyFont="1" applyBorder="1" applyAlignment="1">
      <alignment horizontal="center"/>
    </xf>
    <xf numFmtId="202" fontId="35" fillId="0" borderId="0" xfId="0" applyFont="1" applyBorder="1" applyAlignment="1">
      <alignment horizontal="center"/>
    </xf>
    <xf numFmtId="202" fontId="35" fillId="35" borderId="13" xfId="0" applyNumberFormat="1" applyFont="1" applyFill="1" applyBorder="1" applyAlignment="1" applyProtection="1">
      <alignment horizontal="center"/>
      <protection/>
    </xf>
    <xf numFmtId="202" fontId="29" fillId="35" borderId="13" xfId="0" applyNumberFormat="1" applyFont="1" applyFill="1" applyBorder="1" applyAlignment="1" applyProtection="1">
      <alignment horizontal="center"/>
      <protection/>
    </xf>
    <xf numFmtId="202" fontId="35" fillId="35" borderId="13" xfId="0" applyFont="1" applyFill="1" applyBorder="1" applyAlignment="1">
      <alignment horizontal="center"/>
    </xf>
    <xf numFmtId="202" fontId="8" fillId="35" borderId="22" xfId="0" applyFont="1" applyFill="1" applyBorder="1" applyAlignment="1">
      <alignment horizontal="center" vertical="center"/>
    </xf>
    <xf numFmtId="202" fontId="8" fillId="35" borderId="23" xfId="0" applyFont="1" applyFill="1" applyBorder="1" applyAlignment="1">
      <alignment horizontal="center" vertical="center"/>
    </xf>
    <xf numFmtId="202" fontId="8" fillId="35" borderId="24" xfId="0" applyFont="1" applyFill="1" applyBorder="1" applyAlignment="1">
      <alignment horizontal="center" vertical="center"/>
    </xf>
    <xf numFmtId="202" fontId="29" fillId="35" borderId="17" xfId="0" applyFont="1" applyFill="1" applyBorder="1" applyAlignment="1">
      <alignment horizontal="center" vertical="center"/>
    </xf>
    <xf numFmtId="202" fontId="29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D1">
      <selection activeCell="E15" sqref="E15"/>
    </sheetView>
  </sheetViews>
  <sheetFormatPr defaultColWidth="11.5546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11.5546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43">
        <v>44286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53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48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55" t="s">
        <v>44</v>
      </c>
    </row>
    <row r="22" ht="15.75">
      <c r="B22" s="56" t="s">
        <v>8</v>
      </c>
    </row>
    <row r="23" ht="15.75">
      <c r="B23" s="57" t="s">
        <v>45</v>
      </c>
    </row>
    <row r="24" ht="15.75">
      <c r="B24" s="57" t="s">
        <v>46</v>
      </c>
    </row>
    <row r="25" ht="15.75">
      <c r="B25" s="56" t="s">
        <v>12</v>
      </c>
    </row>
    <row r="26" ht="15.75">
      <c r="B26" s="56" t="s">
        <v>13</v>
      </c>
    </row>
    <row r="27" ht="15.75">
      <c r="B27" s="56" t="s">
        <v>8</v>
      </c>
    </row>
    <row r="28" ht="15.75">
      <c r="B28" s="56" t="s">
        <v>12</v>
      </c>
    </row>
    <row r="29" ht="15.75">
      <c r="B29" s="56" t="s">
        <v>13</v>
      </c>
    </row>
    <row r="30" ht="15.75">
      <c r="B30" s="56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67"/>
  <sheetViews>
    <sheetView zoomScalePageLayoutView="0" workbookViewId="0" topLeftCell="A1">
      <pane xSplit="1" ySplit="7" topLeftCell="P15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58" sqref="A158:IV166"/>
    </sheetView>
  </sheetViews>
  <sheetFormatPr defaultColWidth="11.5546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5.5546875" style="4" customWidth="1"/>
    <col min="15" max="15" width="19.99609375" style="4" customWidth="1"/>
    <col min="16" max="16" width="18.10546875" style="12" bestFit="1" customWidth="1"/>
    <col min="17" max="17" width="18.5546875" style="4" customWidth="1"/>
    <col min="18" max="16384" width="11.5546875" style="4" customWidth="1"/>
  </cols>
  <sheetData>
    <row r="1" ht="15.75">
      <c r="A1" s="32" t="s">
        <v>32</v>
      </c>
    </row>
    <row r="2" spans="1:17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17" ht="12.75">
      <c r="C3" s="5"/>
      <c r="D3" s="5"/>
      <c r="E3" s="5"/>
      <c r="F3" s="5"/>
      <c r="G3" s="5"/>
      <c r="H3" s="5"/>
      <c r="I3" s="10"/>
      <c r="J3" s="5"/>
      <c r="K3" s="5"/>
      <c r="L3" s="5"/>
      <c r="M3" s="37"/>
      <c r="N3" s="5"/>
      <c r="O3" s="5"/>
      <c r="P3" s="37"/>
      <c r="Q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17">
        <v>0</v>
      </c>
      <c r="O8" s="17">
        <v>0</v>
      </c>
      <c r="P8" s="20">
        <f>+N8-O8</f>
        <v>0</v>
      </c>
      <c r="Q8" s="20">
        <f>SUM(J8+P8+M8)</f>
        <v>143524.89999999997</v>
      </c>
    </row>
    <row r="9" spans="1:17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3" ref="M9:M72">K9-L9</f>
        <v>81461.90000000001</v>
      </c>
      <c r="N9" s="17">
        <v>0</v>
      </c>
      <c r="O9" s="17">
        <v>0</v>
      </c>
      <c r="P9" s="20">
        <f aca="true" t="shared" si="4" ref="P9:P72">+N9-O9</f>
        <v>0</v>
      </c>
      <c r="Q9" s="20">
        <f aca="true" t="shared" si="5" ref="Q9:Q72">SUM(J9+P9+M9)</f>
        <v>144274.2</v>
      </c>
    </row>
    <row r="10" spans="1:17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3"/>
        <v>88180.9</v>
      </c>
      <c r="N10" s="17">
        <v>0</v>
      </c>
      <c r="O10" s="17">
        <v>0</v>
      </c>
      <c r="P10" s="20">
        <f t="shared" si="4"/>
        <v>0</v>
      </c>
      <c r="Q10" s="20">
        <f t="shared" si="5"/>
        <v>148584.4</v>
      </c>
    </row>
    <row r="11" spans="1:17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3"/>
        <v>84707.59999999998</v>
      </c>
      <c r="N11" s="17">
        <v>0</v>
      </c>
      <c r="O11" s="17">
        <v>0</v>
      </c>
      <c r="P11" s="20">
        <f t="shared" si="4"/>
        <v>0</v>
      </c>
      <c r="Q11" s="20">
        <f t="shared" si="5"/>
        <v>150336.99999999994</v>
      </c>
    </row>
    <row r="12" spans="1:17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3"/>
        <v>79298.49999999999</v>
      </c>
      <c r="N12" s="17">
        <v>0</v>
      </c>
      <c r="O12" s="17">
        <v>0</v>
      </c>
      <c r="P12" s="20">
        <f t="shared" si="4"/>
        <v>0</v>
      </c>
      <c r="Q12" s="20">
        <f t="shared" si="5"/>
        <v>140786.5</v>
      </c>
    </row>
    <row r="13" spans="1:17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3"/>
        <v>82636.4</v>
      </c>
      <c r="N13" s="17">
        <v>0</v>
      </c>
      <c r="O13" s="17">
        <v>0</v>
      </c>
      <c r="P13" s="20">
        <f t="shared" si="4"/>
        <v>0</v>
      </c>
      <c r="Q13" s="20">
        <f t="shared" si="5"/>
        <v>138945.9</v>
      </c>
    </row>
    <row r="14" spans="1:17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3"/>
        <v>74558.79999999999</v>
      </c>
      <c r="N14" s="17">
        <v>0</v>
      </c>
      <c r="O14" s="17">
        <v>0</v>
      </c>
      <c r="P14" s="20">
        <f t="shared" si="4"/>
        <v>0</v>
      </c>
      <c r="Q14" s="20">
        <f t="shared" si="5"/>
        <v>144702.99999999997</v>
      </c>
    </row>
    <row r="15" spans="1:17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17">
        <v>0</v>
      </c>
      <c r="O15" s="17">
        <v>0</v>
      </c>
      <c r="P15" s="20">
        <f t="shared" si="4"/>
        <v>0</v>
      </c>
      <c r="Q15" s="20">
        <f t="shared" si="5"/>
        <v>165716.90000000002</v>
      </c>
    </row>
    <row r="16" spans="1:17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3"/>
        <v>106593.50000000003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182426.80000000002</v>
      </c>
    </row>
    <row r="17" spans="1:17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17">
        <v>0</v>
      </c>
      <c r="O17" s="17">
        <v>0</v>
      </c>
      <c r="P17" s="20">
        <f t="shared" si="4"/>
        <v>0</v>
      </c>
      <c r="Q17" s="20">
        <f t="shared" si="5"/>
        <v>191803.4</v>
      </c>
    </row>
    <row r="18" spans="1:17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3"/>
        <v>99747.40000000002</v>
      </c>
      <c r="N18" s="17">
        <v>0</v>
      </c>
      <c r="O18" s="17">
        <v>0</v>
      </c>
      <c r="P18" s="20">
        <f t="shared" si="4"/>
        <v>0</v>
      </c>
      <c r="Q18" s="20">
        <f t="shared" si="5"/>
        <v>207083.80000000002</v>
      </c>
    </row>
    <row r="19" spans="1:17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3"/>
        <v>95759.5</v>
      </c>
      <c r="N19" s="17">
        <v>0</v>
      </c>
      <c r="O19" s="17">
        <v>0</v>
      </c>
      <c r="P19" s="20">
        <f t="shared" si="4"/>
        <v>0</v>
      </c>
      <c r="Q19" s="20">
        <f t="shared" si="5"/>
        <v>254851.69999999995</v>
      </c>
    </row>
    <row r="20" spans="1:17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3"/>
        <v>88477.79999999999</v>
      </c>
      <c r="N20" s="17">
        <v>0</v>
      </c>
      <c r="O20" s="17">
        <v>0</v>
      </c>
      <c r="P20" s="20">
        <f t="shared" si="4"/>
        <v>0</v>
      </c>
      <c r="Q20" s="20">
        <f t="shared" si="5"/>
        <v>229847.69999999998</v>
      </c>
    </row>
    <row r="21" spans="1:17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3"/>
        <v>89948.09999999998</v>
      </c>
      <c r="N21" s="17">
        <v>0</v>
      </c>
      <c r="O21" s="17">
        <v>0</v>
      </c>
      <c r="P21" s="20">
        <f t="shared" si="4"/>
        <v>0</v>
      </c>
      <c r="Q21" s="20">
        <f t="shared" si="5"/>
        <v>215214</v>
      </c>
    </row>
    <row r="22" spans="1:17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3"/>
        <v>92328.9</v>
      </c>
      <c r="N22" s="17">
        <v>0</v>
      </c>
      <c r="O22" s="17">
        <v>0</v>
      </c>
      <c r="P22" s="20">
        <f t="shared" si="4"/>
        <v>0</v>
      </c>
      <c r="Q22" s="20">
        <f t="shared" si="5"/>
        <v>198113.40000000002</v>
      </c>
    </row>
    <row r="23" spans="1:17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3"/>
        <v>89777.40000000002</v>
      </c>
      <c r="N23" s="17">
        <v>0</v>
      </c>
      <c r="O23" s="17">
        <v>0</v>
      </c>
      <c r="P23" s="20">
        <f t="shared" si="4"/>
        <v>0</v>
      </c>
      <c r="Q23" s="20">
        <f t="shared" si="5"/>
        <v>180654.9</v>
      </c>
    </row>
    <row r="24" spans="1:17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3"/>
        <v>89065.29999999999</v>
      </c>
      <c r="N24" s="17">
        <v>0</v>
      </c>
      <c r="O24" s="17">
        <v>0</v>
      </c>
      <c r="P24" s="20">
        <f t="shared" si="4"/>
        <v>0</v>
      </c>
      <c r="Q24" s="20">
        <f t="shared" si="5"/>
        <v>243401.7</v>
      </c>
    </row>
    <row r="25" spans="1:17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3"/>
        <v>88724.5</v>
      </c>
      <c r="N25" s="17">
        <v>0</v>
      </c>
      <c r="O25" s="17">
        <v>0</v>
      </c>
      <c r="P25" s="20">
        <f t="shared" si="4"/>
        <v>0</v>
      </c>
      <c r="Q25" s="20">
        <f t="shared" si="5"/>
        <v>236966.39999999997</v>
      </c>
    </row>
    <row r="26" spans="1:17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3"/>
        <v>87512.49999999999</v>
      </c>
      <c r="N26" s="17">
        <v>0</v>
      </c>
      <c r="O26" s="17">
        <v>0</v>
      </c>
      <c r="P26" s="20">
        <f t="shared" si="4"/>
        <v>0</v>
      </c>
      <c r="Q26" s="20">
        <f t="shared" si="5"/>
        <v>219665.10000000003</v>
      </c>
    </row>
    <row r="27" spans="1:17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3"/>
        <v>92033.19999999998</v>
      </c>
      <c r="N27" s="17">
        <v>0</v>
      </c>
      <c r="O27" s="17">
        <v>0</v>
      </c>
      <c r="P27" s="20">
        <f t="shared" si="4"/>
        <v>0</v>
      </c>
      <c r="Q27" s="20">
        <f t="shared" si="5"/>
        <v>207783.19999999995</v>
      </c>
    </row>
    <row r="28" spans="1:17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3"/>
        <v>88222.40000000001</v>
      </c>
      <c r="N28" s="17">
        <v>0</v>
      </c>
      <c r="O28" s="17">
        <v>0</v>
      </c>
      <c r="P28" s="20">
        <f t="shared" si="4"/>
        <v>0</v>
      </c>
      <c r="Q28" s="20">
        <f t="shared" si="5"/>
        <v>222166.09999999998</v>
      </c>
    </row>
    <row r="29" spans="1:17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3"/>
        <v>87002.4</v>
      </c>
      <c r="N29" s="17">
        <v>0</v>
      </c>
      <c r="O29" s="17">
        <v>0</v>
      </c>
      <c r="P29" s="20">
        <f t="shared" si="4"/>
        <v>0</v>
      </c>
      <c r="Q29" s="20">
        <f t="shared" si="5"/>
        <v>216017.00000000003</v>
      </c>
    </row>
    <row r="30" spans="1:17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3"/>
        <v>92642.1</v>
      </c>
      <c r="N30" s="17">
        <v>0</v>
      </c>
      <c r="O30" s="17">
        <v>0</v>
      </c>
      <c r="P30" s="20">
        <f t="shared" si="4"/>
        <v>0</v>
      </c>
      <c r="Q30" s="20">
        <f t="shared" si="5"/>
        <v>213000.79999999996</v>
      </c>
    </row>
    <row r="31" spans="1:17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3"/>
        <v>119531.40000000002</v>
      </c>
      <c r="N31" s="17">
        <v>0</v>
      </c>
      <c r="O31" s="17">
        <v>0</v>
      </c>
      <c r="P31" s="20">
        <f t="shared" si="4"/>
        <v>0</v>
      </c>
      <c r="Q31" s="20">
        <f t="shared" si="5"/>
        <v>264497.60000000003</v>
      </c>
    </row>
    <row r="32" spans="1:17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3"/>
        <v>117804.09999999999</v>
      </c>
      <c r="N32" s="17">
        <v>0</v>
      </c>
      <c r="O32" s="17">
        <v>0</v>
      </c>
      <c r="P32" s="20">
        <f t="shared" si="4"/>
        <v>0</v>
      </c>
      <c r="Q32" s="20">
        <f t="shared" si="5"/>
        <v>270846.60000000003</v>
      </c>
    </row>
    <row r="33" spans="1:17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3"/>
        <v>122034.5</v>
      </c>
      <c r="N33" s="17">
        <v>0</v>
      </c>
      <c r="O33" s="17">
        <v>0</v>
      </c>
      <c r="P33" s="20">
        <f t="shared" si="4"/>
        <v>0</v>
      </c>
      <c r="Q33" s="20">
        <f t="shared" si="5"/>
        <v>272262</v>
      </c>
    </row>
    <row r="34" spans="1:17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3"/>
        <v>122176.10000000003</v>
      </c>
      <c r="N34" s="17">
        <v>0</v>
      </c>
      <c r="O34" s="17">
        <v>0</v>
      </c>
      <c r="P34" s="20">
        <f t="shared" si="4"/>
        <v>0</v>
      </c>
      <c r="Q34" s="20">
        <f t="shared" si="5"/>
        <v>258389.80000000002</v>
      </c>
    </row>
    <row r="35" spans="1:17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3"/>
        <v>108840.40000000002</v>
      </c>
      <c r="N35" s="17">
        <v>0</v>
      </c>
      <c r="O35" s="17">
        <v>0</v>
      </c>
      <c r="P35" s="20">
        <f t="shared" si="4"/>
        <v>0</v>
      </c>
      <c r="Q35" s="20">
        <f t="shared" si="5"/>
        <v>233780.60000000003</v>
      </c>
    </row>
    <row r="36" spans="1:17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3"/>
        <v>100611.79999999999</v>
      </c>
      <c r="N36" s="17">
        <v>0</v>
      </c>
      <c r="O36" s="17">
        <v>0</v>
      </c>
      <c r="P36" s="20">
        <f t="shared" si="4"/>
        <v>0</v>
      </c>
      <c r="Q36" s="20">
        <f t="shared" si="5"/>
        <v>211149.8</v>
      </c>
    </row>
    <row r="37" spans="1:17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3"/>
        <v>102210.99999999997</v>
      </c>
      <c r="N37" s="17">
        <v>0</v>
      </c>
      <c r="O37" s="17">
        <v>0</v>
      </c>
      <c r="P37" s="20">
        <f t="shared" si="4"/>
        <v>0</v>
      </c>
      <c r="Q37" s="20">
        <f t="shared" si="5"/>
        <v>196348.99999999994</v>
      </c>
    </row>
    <row r="38" spans="1:17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3"/>
        <v>109495.9</v>
      </c>
      <c r="N38" s="17">
        <v>0</v>
      </c>
      <c r="O38" s="17">
        <v>0</v>
      </c>
      <c r="P38" s="20">
        <f t="shared" si="4"/>
        <v>0</v>
      </c>
      <c r="Q38" s="20">
        <f t="shared" si="5"/>
        <v>201235.79999999996</v>
      </c>
    </row>
    <row r="39" spans="1:17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3"/>
        <v>101473.7</v>
      </c>
      <c r="N39" s="17">
        <v>0</v>
      </c>
      <c r="O39" s="17">
        <v>0</v>
      </c>
      <c r="P39" s="20">
        <f t="shared" si="4"/>
        <v>0</v>
      </c>
      <c r="Q39" s="20">
        <f t="shared" si="5"/>
        <v>185126.7</v>
      </c>
    </row>
    <row r="40" spans="1:17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3"/>
        <v>98149.29999999999</v>
      </c>
      <c r="N40" s="17">
        <v>0</v>
      </c>
      <c r="O40" s="17">
        <v>0</v>
      </c>
      <c r="P40" s="20">
        <f t="shared" si="4"/>
        <v>0</v>
      </c>
      <c r="Q40" s="20">
        <f t="shared" si="5"/>
        <v>167696.39999999997</v>
      </c>
    </row>
    <row r="41" spans="1:17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3"/>
        <v>108069.90000000001</v>
      </c>
      <c r="N41" s="17">
        <v>0</v>
      </c>
      <c r="O41" s="17">
        <v>0</v>
      </c>
      <c r="P41" s="20">
        <f t="shared" si="4"/>
        <v>0</v>
      </c>
      <c r="Q41" s="20">
        <f t="shared" si="5"/>
        <v>174553.70000000007</v>
      </c>
    </row>
    <row r="42" spans="1:17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3"/>
        <v>103346.49999999997</v>
      </c>
      <c r="N42" s="17">
        <v>0</v>
      </c>
      <c r="O42" s="17">
        <v>0</v>
      </c>
      <c r="P42" s="20">
        <f t="shared" si="4"/>
        <v>0</v>
      </c>
      <c r="Q42" s="20">
        <f t="shared" si="5"/>
        <v>177996.80000000002</v>
      </c>
    </row>
    <row r="43" spans="1:17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3"/>
        <v>112437.40000000001</v>
      </c>
      <c r="N43" s="17">
        <v>0</v>
      </c>
      <c r="O43" s="17">
        <v>0</v>
      </c>
      <c r="P43" s="20">
        <f t="shared" si="4"/>
        <v>0</v>
      </c>
      <c r="Q43" s="20">
        <f t="shared" si="5"/>
        <v>254051.00000000006</v>
      </c>
    </row>
    <row r="44" spans="1:17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3"/>
        <v>108031.50000000003</v>
      </c>
      <c r="N44" s="17">
        <v>0</v>
      </c>
      <c r="O44" s="17">
        <v>0</v>
      </c>
      <c r="P44" s="20">
        <f t="shared" si="4"/>
        <v>0</v>
      </c>
      <c r="Q44" s="20">
        <f t="shared" si="5"/>
        <v>239478.40000000005</v>
      </c>
    </row>
    <row r="45" spans="1:17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3"/>
        <v>100573.60000000003</v>
      </c>
      <c r="N45" s="17">
        <v>0</v>
      </c>
      <c r="O45" s="17">
        <v>0</v>
      </c>
      <c r="P45" s="20">
        <f t="shared" si="4"/>
        <v>0</v>
      </c>
      <c r="Q45" s="20">
        <f t="shared" si="5"/>
        <v>256838.00000000006</v>
      </c>
    </row>
    <row r="46" spans="1:17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3"/>
        <v>104483.19999999995</v>
      </c>
      <c r="N46" s="17">
        <v>0</v>
      </c>
      <c r="O46" s="17">
        <v>0</v>
      </c>
      <c r="P46" s="20">
        <f t="shared" si="4"/>
        <v>0</v>
      </c>
      <c r="Q46" s="20">
        <f t="shared" si="5"/>
        <v>247822.3</v>
      </c>
    </row>
    <row r="47" spans="1:17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3"/>
        <v>98502.4</v>
      </c>
      <c r="N47" s="17">
        <v>0</v>
      </c>
      <c r="O47" s="17">
        <v>0</v>
      </c>
      <c r="P47" s="20">
        <f t="shared" si="4"/>
        <v>0</v>
      </c>
      <c r="Q47" s="20">
        <f t="shared" si="5"/>
        <v>250083.9999999999</v>
      </c>
    </row>
    <row r="48" spans="1:17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3"/>
        <v>94834.90000000004</v>
      </c>
      <c r="N48" s="17">
        <v>0</v>
      </c>
      <c r="O48" s="17">
        <v>0</v>
      </c>
      <c r="P48" s="20">
        <f t="shared" si="4"/>
        <v>0</v>
      </c>
      <c r="Q48" s="20">
        <f t="shared" si="5"/>
        <v>240270.40000000008</v>
      </c>
    </row>
    <row r="49" spans="1:17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3"/>
        <v>90655.79999999999</v>
      </c>
      <c r="N49" s="17">
        <v>0</v>
      </c>
      <c r="O49" s="17">
        <v>0</v>
      </c>
      <c r="P49" s="20">
        <f t="shared" si="4"/>
        <v>0</v>
      </c>
      <c r="Q49" s="20">
        <f t="shared" si="5"/>
        <v>224038.89999999997</v>
      </c>
    </row>
    <row r="50" spans="1:17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3"/>
        <v>94244.90000000002</v>
      </c>
      <c r="N50" s="17">
        <v>0</v>
      </c>
      <c r="O50" s="17">
        <v>0</v>
      </c>
      <c r="P50" s="20">
        <f t="shared" si="4"/>
        <v>0</v>
      </c>
      <c r="Q50" s="20">
        <f t="shared" si="5"/>
        <v>214240</v>
      </c>
    </row>
    <row r="51" spans="1:17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3"/>
        <v>95644.10000000003</v>
      </c>
      <c r="N51" s="17">
        <v>0</v>
      </c>
      <c r="O51" s="17">
        <v>0</v>
      </c>
      <c r="P51" s="20">
        <f t="shared" si="4"/>
        <v>0</v>
      </c>
      <c r="Q51" s="20">
        <f t="shared" si="5"/>
        <v>196737.00000000006</v>
      </c>
    </row>
    <row r="52" spans="1:17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3"/>
        <v>88234.40000000002</v>
      </c>
      <c r="N52" s="17">
        <v>0</v>
      </c>
      <c r="O52" s="17">
        <v>0</v>
      </c>
      <c r="P52" s="20">
        <f t="shared" si="4"/>
        <v>0</v>
      </c>
      <c r="Q52" s="20">
        <f t="shared" si="5"/>
        <v>169475.8</v>
      </c>
    </row>
    <row r="53" spans="1:17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3"/>
        <v>91985.2</v>
      </c>
      <c r="N53" s="17">
        <v>0</v>
      </c>
      <c r="O53" s="17">
        <v>0</v>
      </c>
      <c r="P53" s="20">
        <f t="shared" si="4"/>
        <v>0</v>
      </c>
      <c r="Q53" s="20">
        <f t="shared" si="5"/>
        <v>153590.2</v>
      </c>
    </row>
    <row r="54" spans="1:17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3"/>
        <v>101477.99999999999</v>
      </c>
      <c r="N54" s="17">
        <v>0</v>
      </c>
      <c r="O54" s="17">
        <v>0</v>
      </c>
      <c r="P54" s="20">
        <f t="shared" si="4"/>
        <v>0</v>
      </c>
      <c r="Q54" s="20">
        <f t="shared" si="5"/>
        <v>161188.3</v>
      </c>
    </row>
    <row r="55" spans="1:17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3"/>
        <v>123231.6</v>
      </c>
      <c r="N55" s="17">
        <v>0</v>
      </c>
      <c r="O55" s="17">
        <v>0</v>
      </c>
      <c r="P55" s="20">
        <f t="shared" si="4"/>
        <v>0</v>
      </c>
      <c r="Q55" s="20">
        <f t="shared" si="5"/>
        <v>205525.6</v>
      </c>
    </row>
    <row r="56" spans="1:17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3"/>
        <v>125509.49999999997</v>
      </c>
      <c r="N56" s="17">
        <v>0</v>
      </c>
      <c r="O56" s="17">
        <v>0</v>
      </c>
      <c r="P56" s="20">
        <f t="shared" si="4"/>
        <v>0</v>
      </c>
      <c r="Q56" s="20">
        <f t="shared" si="5"/>
        <v>238400.30000000008</v>
      </c>
    </row>
    <row r="57" spans="1:17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3"/>
        <v>123068.90000000004</v>
      </c>
      <c r="N57" s="17">
        <v>0</v>
      </c>
      <c r="O57" s="17">
        <v>0</v>
      </c>
      <c r="P57" s="20">
        <f t="shared" si="4"/>
        <v>0</v>
      </c>
      <c r="Q57" s="20">
        <f t="shared" si="5"/>
        <v>221492.80000000005</v>
      </c>
    </row>
    <row r="58" spans="1:17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3"/>
        <v>118491.8</v>
      </c>
      <c r="N58" s="17">
        <v>0</v>
      </c>
      <c r="O58" s="17">
        <v>0</v>
      </c>
      <c r="P58" s="20">
        <f t="shared" si="4"/>
        <v>0</v>
      </c>
      <c r="Q58" s="20">
        <f t="shared" si="5"/>
        <v>186220.90000000002</v>
      </c>
    </row>
    <row r="59" spans="1:17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3"/>
        <v>106035.70000000001</v>
      </c>
      <c r="N59" s="17">
        <v>0</v>
      </c>
      <c r="O59" s="17">
        <v>0</v>
      </c>
      <c r="P59" s="20">
        <f t="shared" si="4"/>
        <v>0</v>
      </c>
      <c r="Q59" s="20">
        <f t="shared" si="5"/>
        <v>163891.49999999994</v>
      </c>
    </row>
    <row r="60" spans="1:17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3"/>
        <v>83366.00000000001</v>
      </c>
      <c r="N60" s="17">
        <v>0</v>
      </c>
      <c r="O60" s="17">
        <v>0</v>
      </c>
      <c r="P60" s="20">
        <f t="shared" si="4"/>
        <v>0</v>
      </c>
      <c r="Q60" s="20">
        <f t="shared" si="5"/>
        <v>143901.39999999997</v>
      </c>
    </row>
    <row r="61" spans="1:17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3"/>
        <v>78556.90000000002</v>
      </c>
      <c r="N61" s="17">
        <v>0</v>
      </c>
      <c r="O61" s="17">
        <v>0</v>
      </c>
      <c r="P61" s="20">
        <f t="shared" si="4"/>
        <v>0</v>
      </c>
      <c r="Q61" s="20">
        <f t="shared" si="5"/>
        <v>127864.90000000002</v>
      </c>
    </row>
    <row r="62" spans="1:17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3"/>
        <v>98136.90000000002</v>
      </c>
      <c r="N62" s="17">
        <v>0</v>
      </c>
      <c r="O62" s="17">
        <v>0</v>
      </c>
      <c r="P62" s="20">
        <f t="shared" si="4"/>
        <v>0</v>
      </c>
      <c r="Q62" s="20">
        <f t="shared" si="5"/>
        <v>145009.7</v>
      </c>
    </row>
    <row r="63" spans="1:17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3"/>
        <v>102097.4</v>
      </c>
      <c r="N63" s="17">
        <v>0</v>
      </c>
      <c r="O63" s="17">
        <v>0</v>
      </c>
      <c r="P63" s="20">
        <f t="shared" si="4"/>
        <v>0</v>
      </c>
      <c r="Q63" s="20">
        <f t="shared" si="5"/>
        <v>141677.6</v>
      </c>
    </row>
    <row r="64" spans="1:17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3"/>
        <v>105595.8</v>
      </c>
      <c r="N64" s="17">
        <v>0</v>
      </c>
      <c r="O64" s="17">
        <v>0</v>
      </c>
      <c r="P64" s="20">
        <f t="shared" si="4"/>
        <v>0</v>
      </c>
      <c r="Q64" s="20">
        <f t="shared" si="5"/>
        <v>161010.29999999993</v>
      </c>
    </row>
    <row r="65" spans="1:17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3"/>
        <v>99522.69999999997</v>
      </c>
      <c r="N65" s="17">
        <v>0</v>
      </c>
      <c r="O65" s="17">
        <v>0</v>
      </c>
      <c r="P65" s="20">
        <f t="shared" si="4"/>
        <v>0</v>
      </c>
      <c r="Q65" s="20">
        <f t="shared" si="5"/>
        <v>150256</v>
      </c>
    </row>
    <row r="66" spans="1:17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3"/>
        <v>107039.20000000001</v>
      </c>
      <c r="N66" s="17">
        <v>0</v>
      </c>
      <c r="O66" s="17">
        <v>0</v>
      </c>
      <c r="P66" s="20">
        <f t="shared" si="4"/>
        <v>0</v>
      </c>
      <c r="Q66" s="20">
        <f t="shared" si="5"/>
        <v>157434.19999999995</v>
      </c>
    </row>
    <row r="67" spans="1:17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3"/>
        <v>129708.8</v>
      </c>
      <c r="N67" s="17">
        <v>0</v>
      </c>
      <c r="O67" s="17">
        <v>0</v>
      </c>
      <c r="P67" s="20">
        <f t="shared" si="4"/>
        <v>0</v>
      </c>
      <c r="Q67" s="20">
        <f t="shared" si="5"/>
        <v>196637.7</v>
      </c>
    </row>
    <row r="68" spans="1:17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6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3"/>
        <v>140475.4</v>
      </c>
      <c r="N68" s="17">
        <v>0</v>
      </c>
      <c r="O68" s="17">
        <v>8.1</v>
      </c>
      <c r="P68" s="20">
        <f t="shared" si="4"/>
        <v>-8.1</v>
      </c>
      <c r="Q68" s="20">
        <f t="shared" si="5"/>
        <v>196250.00000000006</v>
      </c>
    </row>
    <row r="69" spans="1:17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6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3"/>
        <v>158351.6</v>
      </c>
      <c r="N69" s="17">
        <v>0</v>
      </c>
      <c r="O69" s="17">
        <v>16.2</v>
      </c>
      <c r="P69" s="20">
        <f t="shared" si="4"/>
        <v>-16.2</v>
      </c>
      <c r="Q69" s="20">
        <f t="shared" si="5"/>
        <v>255754.90000000002</v>
      </c>
    </row>
    <row r="70" spans="1:17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6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3"/>
        <v>149107</v>
      </c>
      <c r="N70" s="17">
        <v>0</v>
      </c>
      <c r="O70" s="17">
        <v>24.3</v>
      </c>
      <c r="P70" s="20">
        <f t="shared" si="4"/>
        <v>-24.3</v>
      </c>
      <c r="Q70" s="20">
        <f t="shared" si="5"/>
        <v>197829.60000000003</v>
      </c>
    </row>
    <row r="71" spans="1:17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6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3"/>
        <v>151956.90000000002</v>
      </c>
      <c r="N71" s="17">
        <v>0</v>
      </c>
      <c r="O71" s="17">
        <v>32.4</v>
      </c>
      <c r="P71" s="20">
        <f t="shared" si="4"/>
        <v>-32.4</v>
      </c>
      <c r="Q71" s="20">
        <f t="shared" si="5"/>
        <v>196618.10000000006</v>
      </c>
    </row>
    <row r="72" spans="1:17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6"/>
        <v>459519.4999999999</v>
      </c>
      <c r="G72" s="17">
        <v>4255.8</v>
      </c>
      <c r="H72" s="17">
        <f aca="true" t="shared" si="7" ref="H72:H141">SUM(F72:G72)</f>
        <v>463775.2999999999</v>
      </c>
      <c r="I72" s="22">
        <v>399562.69999999995</v>
      </c>
      <c r="J72" s="19">
        <f aca="true" t="shared" si="8" ref="J72:J136">+H72-I72</f>
        <v>64212.59999999992</v>
      </c>
      <c r="K72" s="17">
        <v>185038.30000000002</v>
      </c>
      <c r="L72" s="17">
        <v>62889.8</v>
      </c>
      <c r="M72" s="20">
        <f t="shared" si="3"/>
        <v>122148.50000000001</v>
      </c>
      <c r="N72" s="17">
        <v>0</v>
      </c>
      <c r="O72" s="17">
        <v>40.5</v>
      </c>
      <c r="P72" s="20">
        <f t="shared" si="4"/>
        <v>-40.5</v>
      </c>
      <c r="Q72" s="20">
        <f t="shared" si="5"/>
        <v>186320.59999999992</v>
      </c>
    </row>
    <row r="73" spans="1:17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6"/>
        <v>424881.7</v>
      </c>
      <c r="G73" s="17">
        <v>2913.4</v>
      </c>
      <c r="H73" s="17">
        <f t="shared" si="7"/>
        <v>427795.10000000003</v>
      </c>
      <c r="I73" s="22">
        <v>370829.69999999995</v>
      </c>
      <c r="J73" s="19">
        <f t="shared" si="8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17">
        <v>0</v>
      </c>
      <c r="O73" s="17">
        <v>48.6</v>
      </c>
      <c r="P73" s="20">
        <f aca="true" t="shared" si="10" ref="P73:P136">+N73-O73</f>
        <v>-48.6</v>
      </c>
      <c r="Q73" s="20">
        <f aca="true" t="shared" si="11" ref="Q73:Q136">SUM(J73+P73+M73)</f>
        <v>158845.2000000001</v>
      </c>
    </row>
    <row r="74" spans="1:17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6"/>
        <v>456649.2</v>
      </c>
      <c r="G74" s="17">
        <v>2842.7</v>
      </c>
      <c r="H74" s="17">
        <f t="shared" si="7"/>
        <v>459491.9</v>
      </c>
      <c r="I74" s="22">
        <v>371231.19999999995</v>
      </c>
      <c r="J74" s="19">
        <f t="shared" si="8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17">
        <v>0</v>
      </c>
      <c r="O74" s="17">
        <v>56.7</v>
      </c>
      <c r="P74" s="20">
        <f t="shared" si="10"/>
        <v>-56.7</v>
      </c>
      <c r="Q74" s="20">
        <f t="shared" si="11"/>
        <v>185733.60000000003</v>
      </c>
    </row>
    <row r="75" spans="1:17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6"/>
        <v>442543</v>
      </c>
      <c r="G75" s="17">
        <v>3073.2</v>
      </c>
      <c r="H75" s="17">
        <f t="shared" si="7"/>
        <v>445616.2</v>
      </c>
      <c r="I75" s="22">
        <v>366147.9</v>
      </c>
      <c r="J75" s="19">
        <f t="shared" si="8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17">
        <v>0</v>
      </c>
      <c r="O75" s="17">
        <v>64.8</v>
      </c>
      <c r="P75" s="20">
        <f t="shared" si="10"/>
        <v>-64.8</v>
      </c>
      <c r="Q75" s="20">
        <f t="shared" si="11"/>
        <v>167940.7</v>
      </c>
    </row>
    <row r="76" spans="1:17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6"/>
        <v>456222.1</v>
      </c>
      <c r="G76" s="17">
        <v>3132.1000000000004</v>
      </c>
      <c r="H76" s="17">
        <f t="shared" si="7"/>
        <v>459354.19999999995</v>
      </c>
      <c r="I76" s="22">
        <v>380943.4</v>
      </c>
      <c r="J76" s="19">
        <f t="shared" si="8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17">
        <v>0</v>
      </c>
      <c r="O76" s="17">
        <v>72.9</v>
      </c>
      <c r="P76" s="20">
        <f t="shared" si="10"/>
        <v>-72.9</v>
      </c>
      <c r="Q76" s="20">
        <f t="shared" si="11"/>
        <v>164713.39999999997</v>
      </c>
    </row>
    <row r="77" spans="1:17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6"/>
        <v>477943.1</v>
      </c>
      <c r="G77" s="17">
        <v>2878.5</v>
      </c>
      <c r="H77" s="17">
        <f t="shared" si="7"/>
        <v>480821.6</v>
      </c>
      <c r="I77" s="22">
        <v>382194.3</v>
      </c>
      <c r="J77" s="19">
        <f t="shared" si="8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17">
        <v>0</v>
      </c>
      <c r="O77" s="17">
        <v>81</v>
      </c>
      <c r="P77" s="20">
        <f t="shared" si="10"/>
        <v>-81</v>
      </c>
      <c r="Q77" s="20">
        <f t="shared" si="11"/>
        <v>188680.30000000005</v>
      </c>
    </row>
    <row r="78" spans="1:17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6"/>
        <v>456344.2</v>
      </c>
      <c r="G78" s="17">
        <v>5133.1</v>
      </c>
      <c r="H78" s="17">
        <f t="shared" si="7"/>
        <v>461477.3</v>
      </c>
      <c r="I78" s="22">
        <v>380221.19999999995</v>
      </c>
      <c r="J78" s="19">
        <f t="shared" si="8"/>
        <v>81256.10000000003</v>
      </c>
      <c r="K78" s="17">
        <v>190482.5</v>
      </c>
      <c r="L78" s="17">
        <v>94747.3</v>
      </c>
      <c r="M78" s="20">
        <f t="shared" si="9"/>
        <v>95735.2</v>
      </c>
      <c r="N78" s="17">
        <v>0</v>
      </c>
      <c r="O78" s="17">
        <v>89.1</v>
      </c>
      <c r="P78" s="20">
        <f t="shared" si="10"/>
        <v>-89.1</v>
      </c>
      <c r="Q78" s="20">
        <f t="shared" si="11"/>
        <v>176902.2</v>
      </c>
    </row>
    <row r="79" spans="1:17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6"/>
        <v>495356.5999999999</v>
      </c>
      <c r="G79" s="17">
        <v>5966.9</v>
      </c>
      <c r="H79" s="17">
        <f t="shared" si="7"/>
        <v>501323.49999999994</v>
      </c>
      <c r="I79" s="22">
        <v>383189.69999999995</v>
      </c>
      <c r="J79" s="19">
        <f t="shared" si="8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17">
        <v>0</v>
      </c>
      <c r="O79" s="17">
        <v>97.2</v>
      </c>
      <c r="P79" s="20">
        <f t="shared" si="10"/>
        <v>-97.2</v>
      </c>
      <c r="Q79" s="20">
        <f t="shared" si="11"/>
        <v>229658.89999999997</v>
      </c>
    </row>
    <row r="80" spans="1:17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6"/>
        <v>470202.20000000007</v>
      </c>
      <c r="G80" s="17">
        <v>6218.6</v>
      </c>
      <c r="H80" s="17">
        <f t="shared" si="7"/>
        <v>476420.80000000005</v>
      </c>
      <c r="I80" s="22">
        <v>374224.5</v>
      </c>
      <c r="J80" s="19">
        <f t="shared" si="8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17">
        <v>0</v>
      </c>
      <c r="O80" s="17">
        <v>97.2</v>
      </c>
      <c r="P80" s="20">
        <f t="shared" si="10"/>
        <v>-97.2</v>
      </c>
      <c r="Q80" s="20">
        <f t="shared" si="11"/>
        <v>214812.80000000005</v>
      </c>
    </row>
    <row r="81" spans="1:17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6"/>
        <v>470402.80000000005</v>
      </c>
      <c r="G81" s="17">
        <v>6543.299999999999</v>
      </c>
      <c r="H81" s="17">
        <f t="shared" si="7"/>
        <v>476946.10000000003</v>
      </c>
      <c r="I81" s="22">
        <v>385806.2</v>
      </c>
      <c r="J81" s="19">
        <f t="shared" si="8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17">
        <v>0</v>
      </c>
      <c r="O81" s="17">
        <v>97.2</v>
      </c>
      <c r="P81" s="20">
        <f t="shared" si="10"/>
        <v>-97.2</v>
      </c>
      <c r="Q81" s="20">
        <f t="shared" si="11"/>
        <v>229783.60000000003</v>
      </c>
    </row>
    <row r="82" spans="1:17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6"/>
        <v>486663.19999999995</v>
      </c>
      <c r="G82" s="17">
        <v>4899.700000000001</v>
      </c>
      <c r="H82" s="17">
        <f t="shared" si="7"/>
        <v>491562.89999999997</v>
      </c>
      <c r="I82" s="22">
        <v>396544.3</v>
      </c>
      <c r="J82" s="19">
        <f t="shared" si="8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17">
        <v>0</v>
      </c>
      <c r="O82" s="17">
        <v>97.2</v>
      </c>
      <c r="P82" s="20">
        <f t="shared" si="10"/>
        <v>-97.2</v>
      </c>
      <c r="Q82" s="20">
        <f t="shared" si="11"/>
        <v>210850.9</v>
      </c>
    </row>
    <row r="83" spans="1:17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6"/>
        <v>487873.5</v>
      </c>
      <c r="G83" s="17">
        <v>5756</v>
      </c>
      <c r="H83" s="17">
        <f t="shared" si="7"/>
        <v>493629.5</v>
      </c>
      <c r="I83" s="22">
        <v>398474</v>
      </c>
      <c r="J83" s="19">
        <f t="shared" si="8"/>
        <v>95155.5</v>
      </c>
      <c r="K83" s="17">
        <v>226514.2</v>
      </c>
      <c r="L83" s="17">
        <v>107327.7</v>
      </c>
      <c r="M83" s="20">
        <f t="shared" si="9"/>
        <v>119186.50000000001</v>
      </c>
      <c r="N83" s="17">
        <v>0</v>
      </c>
      <c r="O83" s="17">
        <v>97.1</v>
      </c>
      <c r="P83" s="20">
        <f t="shared" si="10"/>
        <v>-97.1</v>
      </c>
      <c r="Q83" s="20">
        <f t="shared" si="11"/>
        <v>214244.90000000002</v>
      </c>
    </row>
    <row r="84" spans="1:17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6"/>
        <v>477621.5</v>
      </c>
      <c r="G84" s="17">
        <v>4818.5</v>
      </c>
      <c r="H84" s="17">
        <f t="shared" si="7"/>
        <v>482440</v>
      </c>
      <c r="I84" s="22">
        <v>396516</v>
      </c>
      <c r="J84" s="19">
        <f t="shared" si="8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17">
        <v>0</v>
      </c>
      <c r="O84" s="17">
        <v>97.1</v>
      </c>
      <c r="P84" s="20">
        <f t="shared" si="10"/>
        <v>-97.1</v>
      </c>
      <c r="Q84" s="20">
        <f t="shared" si="11"/>
        <v>183688.5</v>
      </c>
    </row>
    <row r="85" spans="1:17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6"/>
        <v>484074.30000000005</v>
      </c>
      <c r="G85" s="17">
        <v>2530</v>
      </c>
      <c r="H85" s="17">
        <f t="shared" si="7"/>
        <v>486604.30000000005</v>
      </c>
      <c r="I85" s="22">
        <v>397532.8</v>
      </c>
      <c r="J85" s="19">
        <f t="shared" si="8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17">
        <v>0</v>
      </c>
      <c r="O85" s="17">
        <v>97.1</v>
      </c>
      <c r="P85" s="20">
        <f t="shared" si="10"/>
        <v>-97.1</v>
      </c>
      <c r="Q85" s="20">
        <f t="shared" si="11"/>
        <v>184675.70000000004</v>
      </c>
    </row>
    <row r="86" spans="1:17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6"/>
        <v>454084.89999999997</v>
      </c>
      <c r="G86" s="17">
        <v>2512.3</v>
      </c>
      <c r="H86" s="17">
        <f t="shared" si="7"/>
        <v>456597.19999999995</v>
      </c>
      <c r="I86" s="22">
        <v>385996.8</v>
      </c>
      <c r="J86" s="19">
        <f t="shared" si="8"/>
        <v>70600.39999999997</v>
      </c>
      <c r="K86" s="17">
        <v>230561</v>
      </c>
      <c r="L86" s="17">
        <v>108565.8</v>
      </c>
      <c r="M86" s="20">
        <f t="shared" si="9"/>
        <v>121995.2</v>
      </c>
      <c r="N86" s="17">
        <v>0</v>
      </c>
      <c r="O86" s="17">
        <v>89</v>
      </c>
      <c r="P86" s="20">
        <f t="shared" si="10"/>
        <v>-89</v>
      </c>
      <c r="Q86" s="20">
        <f t="shared" si="11"/>
        <v>192506.59999999998</v>
      </c>
    </row>
    <row r="87" spans="1:17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6"/>
        <v>452564.1</v>
      </c>
      <c r="G87" s="17">
        <v>9245.5</v>
      </c>
      <c r="H87" s="17">
        <f t="shared" si="7"/>
        <v>461809.6</v>
      </c>
      <c r="I87" s="22">
        <v>379199.7</v>
      </c>
      <c r="J87" s="19">
        <f t="shared" si="8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17">
        <v>0</v>
      </c>
      <c r="O87" s="17">
        <v>80.9</v>
      </c>
      <c r="P87" s="20">
        <f t="shared" si="10"/>
        <v>-80.9</v>
      </c>
      <c r="Q87" s="20">
        <f t="shared" si="11"/>
        <v>150976.79999999996</v>
      </c>
    </row>
    <row r="88" spans="1:17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6"/>
        <v>516716.2</v>
      </c>
      <c r="G88" s="17">
        <v>8188.6</v>
      </c>
      <c r="H88" s="17">
        <f t="shared" si="7"/>
        <v>524904.8</v>
      </c>
      <c r="I88" s="22">
        <v>382067.5</v>
      </c>
      <c r="J88" s="19">
        <f t="shared" si="8"/>
        <v>142837.30000000005</v>
      </c>
      <c r="K88" s="17">
        <v>193925</v>
      </c>
      <c r="L88" s="17">
        <v>123903.5</v>
      </c>
      <c r="M88" s="20">
        <f t="shared" si="9"/>
        <v>70021.5</v>
      </c>
      <c r="N88" s="17">
        <v>0</v>
      </c>
      <c r="O88" s="17">
        <v>72.9</v>
      </c>
      <c r="P88" s="20">
        <f t="shared" si="10"/>
        <v>-72.9</v>
      </c>
      <c r="Q88" s="20">
        <f t="shared" si="11"/>
        <v>212785.90000000005</v>
      </c>
    </row>
    <row r="89" spans="1:17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6"/>
        <v>509996.80000000005</v>
      </c>
      <c r="G89" s="17">
        <v>9134.3</v>
      </c>
      <c r="H89" s="17">
        <f t="shared" si="7"/>
        <v>519131.10000000003</v>
      </c>
      <c r="I89" s="22">
        <v>380171.5</v>
      </c>
      <c r="J89" s="19">
        <f t="shared" si="8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17">
        <v>0</v>
      </c>
      <c r="O89" s="17">
        <v>64.8</v>
      </c>
      <c r="P89" s="20">
        <f t="shared" si="10"/>
        <v>-64.8</v>
      </c>
      <c r="Q89" s="20">
        <f t="shared" si="11"/>
        <v>203110.60000000003</v>
      </c>
    </row>
    <row r="90" spans="1:17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6"/>
        <v>501568</v>
      </c>
      <c r="G90" s="17">
        <v>8664.8</v>
      </c>
      <c r="H90" s="17">
        <f t="shared" si="7"/>
        <v>510232.8</v>
      </c>
      <c r="I90" s="22">
        <v>376171.7</v>
      </c>
      <c r="J90" s="19">
        <f t="shared" si="8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17">
        <v>0</v>
      </c>
      <c r="O90" s="17">
        <v>56.7</v>
      </c>
      <c r="P90" s="20">
        <f t="shared" si="10"/>
        <v>-56.7</v>
      </c>
      <c r="Q90" s="20">
        <f t="shared" si="11"/>
        <v>191827.19999999995</v>
      </c>
    </row>
    <row r="91" spans="1:17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6"/>
        <v>492731.19999999995</v>
      </c>
      <c r="G91" s="17">
        <v>8483.5</v>
      </c>
      <c r="H91" s="17">
        <f t="shared" si="7"/>
        <v>501214.69999999995</v>
      </c>
      <c r="I91" s="22">
        <v>372538.8</v>
      </c>
      <c r="J91" s="19">
        <f t="shared" si="8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17">
        <v>0</v>
      </c>
      <c r="O91" s="17">
        <v>48.6</v>
      </c>
      <c r="P91" s="20">
        <f t="shared" si="10"/>
        <v>-48.6</v>
      </c>
      <c r="Q91" s="20">
        <f t="shared" si="11"/>
        <v>180476.69999999998</v>
      </c>
    </row>
    <row r="92" spans="1:17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6"/>
        <v>475752.4</v>
      </c>
      <c r="G92" s="17">
        <v>8645.5</v>
      </c>
      <c r="H92" s="17">
        <f t="shared" si="7"/>
        <v>484397.9</v>
      </c>
      <c r="I92" s="22">
        <v>357331.8</v>
      </c>
      <c r="J92" s="19">
        <f t="shared" si="8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17">
        <v>0</v>
      </c>
      <c r="O92" s="17">
        <v>40.5</v>
      </c>
      <c r="P92" s="20">
        <f t="shared" si="10"/>
        <v>-40.5</v>
      </c>
      <c r="Q92" s="20">
        <f t="shared" si="11"/>
        <v>175139.30000000002</v>
      </c>
    </row>
    <row r="93" spans="1:17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6"/>
        <v>467347.5</v>
      </c>
      <c r="G93" s="17">
        <v>9224.2</v>
      </c>
      <c r="H93" s="17">
        <f t="shared" si="7"/>
        <v>476571.7</v>
      </c>
      <c r="I93" s="22">
        <v>354020.7</v>
      </c>
      <c r="J93" s="19">
        <f t="shared" si="8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17">
        <v>0</v>
      </c>
      <c r="O93" s="17">
        <v>32.4</v>
      </c>
      <c r="P93" s="20">
        <f t="shared" si="10"/>
        <v>-32.4</v>
      </c>
      <c r="Q93" s="20">
        <f t="shared" si="11"/>
        <v>152602.90000000002</v>
      </c>
    </row>
    <row r="94" spans="1:17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6"/>
        <v>469403.29999999993</v>
      </c>
      <c r="G94" s="17">
        <v>3107.7</v>
      </c>
      <c r="H94" s="17">
        <f t="shared" si="7"/>
        <v>472510.99999999994</v>
      </c>
      <c r="I94" s="22">
        <v>356984.6</v>
      </c>
      <c r="J94" s="19">
        <f t="shared" si="8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17">
        <v>0</v>
      </c>
      <c r="O94" s="17">
        <v>24.3</v>
      </c>
      <c r="P94" s="20">
        <f t="shared" si="10"/>
        <v>-24.3</v>
      </c>
      <c r="Q94" s="20">
        <f t="shared" si="11"/>
        <v>160866.69999999995</v>
      </c>
    </row>
    <row r="95" spans="1:17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6"/>
        <v>445032.6</v>
      </c>
      <c r="G95" s="17">
        <v>8575.3</v>
      </c>
      <c r="H95" s="17">
        <f t="shared" si="7"/>
        <v>453607.89999999997</v>
      </c>
      <c r="I95" s="22">
        <v>360084.5</v>
      </c>
      <c r="J95" s="19">
        <f t="shared" si="8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17">
        <v>0</v>
      </c>
      <c r="O95" s="17">
        <v>16.2</v>
      </c>
      <c r="P95" s="20">
        <f t="shared" si="10"/>
        <v>-16.2</v>
      </c>
      <c r="Q95" s="20">
        <f t="shared" si="11"/>
        <v>148045.09999999992</v>
      </c>
    </row>
    <row r="96" spans="1:17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6"/>
        <v>445523.5</v>
      </c>
      <c r="G96" s="17">
        <v>7667.9</v>
      </c>
      <c r="H96" s="17">
        <f t="shared" si="7"/>
        <v>453191.4</v>
      </c>
      <c r="I96" s="22">
        <v>356222.3</v>
      </c>
      <c r="J96" s="19">
        <f t="shared" si="8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17">
        <v>0</v>
      </c>
      <c r="O96" s="17">
        <v>8.1</v>
      </c>
      <c r="P96" s="20">
        <f t="shared" si="10"/>
        <v>-8.1</v>
      </c>
      <c r="Q96" s="20">
        <f t="shared" si="11"/>
        <v>138494.80000000002</v>
      </c>
    </row>
    <row r="97" spans="1:17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6"/>
        <v>371202.4</v>
      </c>
      <c r="G97" s="17">
        <v>2014.8000000000002</v>
      </c>
      <c r="H97" s="17">
        <f t="shared" si="7"/>
        <v>373217.2</v>
      </c>
      <c r="I97" s="22">
        <v>361289.7</v>
      </c>
      <c r="J97" s="19">
        <f t="shared" si="8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17">
        <v>0</v>
      </c>
      <c r="O97" s="17">
        <v>0</v>
      </c>
      <c r="P97" s="20">
        <f t="shared" si="10"/>
        <v>0</v>
      </c>
      <c r="Q97" s="20">
        <f t="shared" si="11"/>
        <v>65138.59999999998</v>
      </c>
    </row>
    <row r="98" spans="1:17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6"/>
        <v>352035</v>
      </c>
      <c r="G98" s="17">
        <v>1908.7</v>
      </c>
      <c r="H98" s="17">
        <f t="shared" si="7"/>
        <v>353943.7</v>
      </c>
      <c r="I98" s="22">
        <v>356249.3</v>
      </c>
      <c r="J98" s="51">
        <f t="shared" si="8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17">
        <v>0</v>
      </c>
      <c r="O98" s="17">
        <v>0</v>
      </c>
      <c r="P98" s="20">
        <f t="shared" si="10"/>
        <v>0</v>
      </c>
      <c r="Q98" s="20">
        <f t="shared" si="11"/>
        <v>29894.800000000017</v>
      </c>
    </row>
    <row r="99" spans="1:17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6"/>
        <v>310599.60000000003</v>
      </c>
      <c r="G99" s="17">
        <v>1924.3</v>
      </c>
      <c r="H99" s="17">
        <f t="shared" si="7"/>
        <v>312523.9</v>
      </c>
      <c r="I99" s="22">
        <v>355556.2</v>
      </c>
      <c r="J99" s="51">
        <f t="shared" si="8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17">
        <v>0</v>
      </c>
      <c r="O99" s="17">
        <v>0</v>
      </c>
      <c r="P99" s="20">
        <f t="shared" si="10"/>
        <v>0</v>
      </c>
      <c r="Q99" s="20">
        <f t="shared" si="11"/>
        <v>3206.4000000000233</v>
      </c>
    </row>
    <row r="100" spans="1:17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6"/>
        <v>272718.7</v>
      </c>
      <c r="G100" s="17">
        <v>1536</v>
      </c>
      <c r="H100" s="17">
        <f t="shared" si="7"/>
        <v>274254.7</v>
      </c>
      <c r="I100" s="22">
        <v>351304.8</v>
      </c>
      <c r="J100" s="51">
        <f t="shared" si="8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17">
        <v>0</v>
      </c>
      <c r="O100" s="17">
        <v>0</v>
      </c>
      <c r="P100" s="20">
        <f t="shared" si="10"/>
        <v>0</v>
      </c>
      <c r="Q100" s="20">
        <f t="shared" si="11"/>
        <v>-33244.59999999998</v>
      </c>
    </row>
    <row r="101" spans="1:17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6"/>
        <v>289093.1</v>
      </c>
      <c r="G101" s="17">
        <v>1534.3000000000002</v>
      </c>
      <c r="H101" s="17">
        <f t="shared" si="7"/>
        <v>290627.39999999997</v>
      </c>
      <c r="I101" s="22">
        <v>349041.3</v>
      </c>
      <c r="J101" s="51">
        <f t="shared" si="8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17">
        <v>0</v>
      </c>
      <c r="O101" s="17">
        <v>0</v>
      </c>
      <c r="P101" s="20">
        <f t="shared" si="10"/>
        <v>0</v>
      </c>
      <c r="Q101" s="20">
        <f t="shared" si="11"/>
        <v>-23829.300000000047</v>
      </c>
    </row>
    <row r="102" spans="1:17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6"/>
        <v>235860.19999999995</v>
      </c>
      <c r="G102" s="17">
        <v>1636.9</v>
      </c>
      <c r="H102" s="17">
        <f t="shared" si="7"/>
        <v>237497.09999999995</v>
      </c>
      <c r="I102" s="22">
        <v>350334.2</v>
      </c>
      <c r="J102" s="51">
        <f t="shared" si="8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17">
        <v>0</v>
      </c>
      <c r="O102" s="17">
        <v>0</v>
      </c>
      <c r="P102" s="20">
        <f t="shared" si="10"/>
        <v>0</v>
      </c>
      <c r="Q102" s="20">
        <f t="shared" si="11"/>
        <v>-84403.30000000008</v>
      </c>
    </row>
    <row r="103" spans="1:17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6"/>
        <v>220530</v>
      </c>
      <c r="G103" s="17">
        <v>1299.6000000000001</v>
      </c>
      <c r="H103" s="17">
        <f t="shared" si="7"/>
        <v>221829.6</v>
      </c>
      <c r="I103" s="22">
        <v>354815.2</v>
      </c>
      <c r="J103" s="51">
        <f t="shared" si="8"/>
        <v>-132985.6</v>
      </c>
      <c r="K103" s="17">
        <v>206869.5</v>
      </c>
      <c r="L103" s="17">
        <v>150034</v>
      </c>
      <c r="M103" s="20">
        <f t="shared" si="9"/>
        <v>56835.5</v>
      </c>
      <c r="N103" s="17">
        <v>0</v>
      </c>
      <c r="O103" s="17">
        <v>0</v>
      </c>
      <c r="P103" s="20">
        <f t="shared" si="10"/>
        <v>0</v>
      </c>
      <c r="Q103" s="20">
        <f t="shared" si="11"/>
        <v>-76150.1</v>
      </c>
    </row>
    <row r="104" spans="1:17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6"/>
        <v>213529.1</v>
      </c>
      <c r="G104" s="17">
        <v>1744</v>
      </c>
      <c r="H104" s="17">
        <f t="shared" si="7"/>
        <v>215273.1</v>
      </c>
      <c r="I104" s="22">
        <v>351129.1</v>
      </c>
      <c r="J104" s="51">
        <f t="shared" si="8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17">
        <v>0</v>
      </c>
      <c r="O104" s="17">
        <v>0</v>
      </c>
      <c r="P104" s="20">
        <f t="shared" si="10"/>
        <v>0</v>
      </c>
      <c r="Q104" s="20">
        <f t="shared" si="11"/>
        <v>-119234</v>
      </c>
    </row>
    <row r="105" spans="1:17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6"/>
        <v>175650.19999999998</v>
      </c>
      <c r="G105" s="17">
        <v>2495.4</v>
      </c>
      <c r="H105" s="17">
        <f t="shared" si="7"/>
        <v>178145.59999999998</v>
      </c>
      <c r="I105" s="22">
        <v>344743.7</v>
      </c>
      <c r="J105" s="51">
        <f t="shared" si="8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17">
        <v>0</v>
      </c>
      <c r="O105" s="17">
        <v>0</v>
      </c>
      <c r="P105" s="20">
        <f t="shared" si="10"/>
        <v>0</v>
      </c>
      <c r="Q105" s="20">
        <f t="shared" si="11"/>
        <v>-132788.70000000004</v>
      </c>
    </row>
    <row r="106" spans="1:17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6"/>
        <v>152790.6</v>
      </c>
      <c r="G106" s="17">
        <v>2429.2</v>
      </c>
      <c r="H106" s="17">
        <f t="shared" si="7"/>
        <v>155219.80000000002</v>
      </c>
      <c r="I106" s="22">
        <v>350173.8</v>
      </c>
      <c r="J106" s="51">
        <f t="shared" si="8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17">
        <v>0</v>
      </c>
      <c r="O106" s="17">
        <v>0</v>
      </c>
      <c r="P106" s="20">
        <f t="shared" si="10"/>
        <v>0</v>
      </c>
      <c r="Q106" s="20">
        <f t="shared" si="11"/>
        <v>-161023.8</v>
      </c>
    </row>
    <row r="107" spans="1:17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6"/>
        <v>176990.5</v>
      </c>
      <c r="G107" s="17">
        <v>2542.9</v>
      </c>
      <c r="H107" s="17">
        <f t="shared" si="7"/>
        <v>179533.4</v>
      </c>
      <c r="I107" s="22">
        <v>355049.6</v>
      </c>
      <c r="J107" s="51">
        <f t="shared" si="8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17">
        <v>0</v>
      </c>
      <c r="O107" s="17">
        <v>0</v>
      </c>
      <c r="P107" s="20">
        <f t="shared" si="10"/>
        <v>0</v>
      </c>
      <c r="Q107" s="20">
        <f t="shared" si="11"/>
        <v>-169292.80000000002</v>
      </c>
    </row>
    <row r="108" spans="1:17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6"/>
        <v>154386.8</v>
      </c>
      <c r="G108" s="17">
        <v>2326.1000000000004</v>
      </c>
      <c r="H108" s="17">
        <f t="shared" si="7"/>
        <v>156712.9</v>
      </c>
      <c r="I108" s="22">
        <v>352456.3</v>
      </c>
      <c r="J108" s="51">
        <f t="shared" si="8"/>
        <v>-195743.4</v>
      </c>
      <c r="K108" s="17">
        <v>155604.4</v>
      </c>
      <c r="L108" s="17">
        <v>155149.9</v>
      </c>
      <c r="M108" s="20">
        <f t="shared" si="9"/>
        <v>454.5</v>
      </c>
      <c r="N108" s="17">
        <v>0</v>
      </c>
      <c r="O108" s="17">
        <v>0</v>
      </c>
      <c r="P108" s="20">
        <f t="shared" si="10"/>
        <v>0</v>
      </c>
      <c r="Q108" s="20">
        <f t="shared" si="11"/>
        <v>-195288.9</v>
      </c>
    </row>
    <row r="109" spans="1:17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6"/>
        <v>163508.6</v>
      </c>
      <c r="G109" s="17">
        <v>2326.8</v>
      </c>
      <c r="H109" s="17">
        <f t="shared" si="7"/>
        <v>165835.4</v>
      </c>
      <c r="I109" s="22">
        <v>351838.8</v>
      </c>
      <c r="J109" s="51">
        <f t="shared" si="8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17">
        <v>0</v>
      </c>
      <c r="O109" s="17">
        <v>0</v>
      </c>
      <c r="P109" s="20">
        <f t="shared" si="10"/>
        <v>0</v>
      </c>
      <c r="Q109" s="20">
        <f t="shared" si="11"/>
        <v>-165886.7</v>
      </c>
    </row>
    <row r="110" spans="1:17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6"/>
        <v>157368.09999999998</v>
      </c>
      <c r="G110" s="17">
        <v>3193.2</v>
      </c>
      <c r="H110" s="17">
        <f t="shared" si="7"/>
        <v>160561.3</v>
      </c>
      <c r="I110" s="22">
        <v>346787.6</v>
      </c>
      <c r="J110" s="51">
        <f t="shared" si="8"/>
        <v>-186226.3</v>
      </c>
      <c r="K110" s="17">
        <v>141680.69999999998</v>
      </c>
      <c r="L110" s="17">
        <v>143986.8</v>
      </c>
      <c r="M110" s="20">
        <f aca="true" t="shared" si="12" ref="M110:M166">K110-L110</f>
        <v>-2306.100000000006</v>
      </c>
      <c r="N110" s="17">
        <v>0</v>
      </c>
      <c r="O110" s="17">
        <v>0</v>
      </c>
      <c r="P110" s="20">
        <f t="shared" si="10"/>
        <v>0</v>
      </c>
      <c r="Q110" s="20">
        <f t="shared" si="11"/>
        <v>-188532.4</v>
      </c>
    </row>
    <row r="111" spans="1:17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6"/>
        <v>145403.59999999998</v>
      </c>
      <c r="G111" s="17">
        <v>2398.1000000000004</v>
      </c>
      <c r="H111" s="17">
        <f t="shared" si="7"/>
        <v>147801.69999999998</v>
      </c>
      <c r="I111" s="22">
        <v>340352.3</v>
      </c>
      <c r="J111" s="51">
        <f t="shared" si="8"/>
        <v>-192550.6</v>
      </c>
      <c r="K111" s="17">
        <v>127492.8</v>
      </c>
      <c r="L111" s="17">
        <v>137165.5</v>
      </c>
      <c r="M111" s="20">
        <f t="shared" si="12"/>
        <v>-9672.699999999997</v>
      </c>
      <c r="N111" s="17">
        <v>0</v>
      </c>
      <c r="O111" s="17">
        <v>0</v>
      </c>
      <c r="P111" s="20">
        <f t="shared" si="10"/>
        <v>0</v>
      </c>
      <c r="Q111" s="20">
        <f t="shared" si="11"/>
        <v>-202223.3</v>
      </c>
    </row>
    <row r="112" spans="1:17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6"/>
        <v>152829.4</v>
      </c>
      <c r="G112" s="17">
        <v>4564.1</v>
      </c>
      <c r="H112" s="17">
        <f t="shared" si="7"/>
        <v>157393.5</v>
      </c>
      <c r="I112" s="22">
        <v>338994.5</v>
      </c>
      <c r="J112" s="51">
        <f t="shared" si="8"/>
        <v>-181601</v>
      </c>
      <c r="K112" s="17">
        <v>129120.3</v>
      </c>
      <c r="L112" s="17">
        <v>139965.1</v>
      </c>
      <c r="M112" s="20">
        <f t="shared" si="12"/>
        <v>-10844.800000000003</v>
      </c>
      <c r="N112" s="17">
        <v>0</v>
      </c>
      <c r="O112" s="17">
        <v>0</v>
      </c>
      <c r="P112" s="20">
        <f t="shared" si="10"/>
        <v>0</v>
      </c>
      <c r="Q112" s="20">
        <f t="shared" si="11"/>
        <v>-192445.8</v>
      </c>
    </row>
    <row r="113" spans="1:17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6"/>
        <v>148785.49999999997</v>
      </c>
      <c r="G113" s="17">
        <v>5686.200000000001</v>
      </c>
      <c r="H113" s="17">
        <f t="shared" si="7"/>
        <v>154471.69999999998</v>
      </c>
      <c r="I113" s="22">
        <v>336106.5</v>
      </c>
      <c r="J113" s="51">
        <f t="shared" si="8"/>
        <v>-181634.80000000002</v>
      </c>
      <c r="K113" s="17">
        <v>127832.1</v>
      </c>
      <c r="L113" s="17">
        <v>142544.6</v>
      </c>
      <c r="M113" s="20">
        <f t="shared" si="12"/>
        <v>-14712.5</v>
      </c>
      <c r="N113" s="17">
        <v>0</v>
      </c>
      <c r="O113" s="17">
        <v>0</v>
      </c>
      <c r="P113" s="20">
        <f t="shared" si="10"/>
        <v>0</v>
      </c>
      <c r="Q113" s="20">
        <f t="shared" si="11"/>
        <v>-196347.30000000002</v>
      </c>
    </row>
    <row r="114" spans="1:17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6"/>
        <v>151030</v>
      </c>
      <c r="G114" s="17">
        <v>5437.799999999999</v>
      </c>
      <c r="H114" s="17">
        <f t="shared" si="7"/>
        <v>156467.8</v>
      </c>
      <c r="I114" s="22">
        <v>330545.8</v>
      </c>
      <c r="J114" s="51">
        <f t="shared" si="8"/>
        <v>-174078</v>
      </c>
      <c r="K114" s="17">
        <v>143745.9</v>
      </c>
      <c r="L114" s="17">
        <v>150685.4</v>
      </c>
      <c r="M114" s="20">
        <f t="shared" si="12"/>
        <v>-6939.5</v>
      </c>
      <c r="N114" s="17">
        <v>0</v>
      </c>
      <c r="O114" s="17">
        <v>0</v>
      </c>
      <c r="P114" s="20">
        <f t="shared" si="10"/>
        <v>0</v>
      </c>
      <c r="Q114" s="20">
        <f t="shared" si="11"/>
        <v>-181017.5</v>
      </c>
    </row>
    <row r="115" spans="1:17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6"/>
        <v>161011</v>
      </c>
      <c r="G115" s="17">
        <v>5423.700000000001</v>
      </c>
      <c r="H115" s="17">
        <f t="shared" si="7"/>
        <v>166434.7</v>
      </c>
      <c r="I115" s="22">
        <v>328508.5</v>
      </c>
      <c r="J115" s="51">
        <f t="shared" si="8"/>
        <v>-162073.8</v>
      </c>
      <c r="K115" s="17">
        <v>125486.1</v>
      </c>
      <c r="L115" s="17">
        <v>139935.4</v>
      </c>
      <c r="M115" s="20">
        <f t="shared" si="12"/>
        <v>-14449.299999999988</v>
      </c>
      <c r="N115" s="17">
        <v>0</v>
      </c>
      <c r="O115" s="17">
        <v>0</v>
      </c>
      <c r="P115" s="20">
        <f t="shared" si="10"/>
        <v>0</v>
      </c>
      <c r="Q115" s="20">
        <f t="shared" si="11"/>
        <v>-176523.09999999998</v>
      </c>
    </row>
    <row r="116" spans="1:17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6"/>
        <v>174176.3</v>
      </c>
      <c r="G116" s="17">
        <v>16878</v>
      </c>
      <c r="H116" s="17">
        <f t="shared" si="7"/>
        <v>191054.3</v>
      </c>
      <c r="I116" s="22">
        <v>331895</v>
      </c>
      <c r="J116" s="51">
        <f t="shared" si="8"/>
        <v>-140840.7</v>
      </c>
      <c r="K116" s="17">
        <v>119719.5</v>
      </c>
      <c r="L116" s="17">
        <v>145736.8</v>
      </c>
      <c r="M116" s="20">
        <f>K116-L116</f>
        <v>-26017.29999999999</v>
      </c>
      <c r="N116" s="17">
        <v>0</v>
      </c>
      <c r="O116" s="17">
        <v>0</v>
      </c>
      <c r="P116" s="20">
        <f t="shared" si="10"/>
        <v>0</v>
      </c>
      <c r="Q116" s="20">
        <f t="shared" si="11"/>
        <v>-166858</v>
      </c>
    </row>
    <row r="117" spans="1:17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6"/>
        <v>194747.30000000002</v>
      </c>
      <c r="G117" s="17">
        <v>20548.300000000003</v>
      </c>
      <c r="H117" s="17">
        <f t="shared" si="7"/>
        <v>215295.60000000003</v>
      </c>
      <c r="I117" s="22">
        <v>331462.6</v>
      </c>
      <c r="J117" s="51">
        <f t="shared" si="8"/>
        <v>-116166.99999999994</v>
      </c>
      <c r="K117" s="17">
        <v>121679.2</v>
      </c>
      <c r="L117" s="17">
        <v>151954.3</v>
      </c>
      <c r="M117" s="20">
        <f t="shared" si="12"/>
        <v>-30275.09999999999</v>
      </c>
      <c r="N117" s="17">
        <v>0</v>
      </c>
      <c r="O117" s="17">
        <v>0</v>
      </c>
      <c r="P117" s="20">
        <f t="shared" si="10"/>
        <v>0</v>
      </c>
      <c r="Q117" s="20">
        <f t="shared" si="11"/>
        <v>-146442.09999999992</v>
      </c>
    </row>
    <row r="118" spans="1:17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6"/>
        <v>174718.59999999998</v>
      </c>
      <c r="G118" s="17">
        <v>20073.7</v>
      </c>
      <c r="H118" s="17">
        <f t="shared" si="7"/>
        <v>194792.3</v>
      </c>
      <c r="I118" s="22">
        <v>327928.2</v>
      </c>
      <c r="J118" s="51">
        <f t="shared" si="8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17">
        <v>0</v>
      </c>
      <c r="O118" s="17">
        <v>0</v>
      </c>
      <c r="P118" s="20">
        <f t="shared" si="10"/>
        <v>0</v>
      </c>
      <c r="Q118" s="20">
        <f t="shared" si="11"/>
        <v>-164630.20000000004</v>
      </c>
    </row>
    <row r="119" spans="1:17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6"/>
        <v>169713.5</v>
      </c>
      <c r="G119" s="17">
        <v>20400.2</v>
      </c>
      <c r="H119" s="17">
        <f t="shared" si="7"/>
        <v>190113.7</v>
      </c>
      <c r="I119" s="22">
        <v>330300.9</v>
      </c>
      <c r="J119" s="51">
        <f t="shared" si="8"/>
        <v>-140187.2</v>
      </c>
      <c r="K119" s="17">
        <v>129511.5</v>
      </c>
      <c r="L119" s="17">
        <v>152411.8</v>
      </c>
      <c r="M119" s="20">
        <f t="shared" si="12"/>
        <v>-22900.29999999999</v>
      </c>
      <c r="N119" s="17">
        <v>0</v>
      </c>
      <c r="O119" s="17">
        <v>0</v>
      </c>
      <c r="P119" s="20">
        <f t="shared" si="10"/>
        <v>0</v>
      </c>
      <c r="Q119" s="20">
        <f t="shared" si="11"/>
        <v>-163087.5</v>
      </c>
    </row>
    <row r="120" spans="1:17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6"/>
        <v>213212.39999999997</v>
      </c>
      <c r="G120" s="17">
        <v>20909</v>
      </c>
      <c r="H120" s="17">
        <f t="shared" si="7"/>
        <v>234121.39999999997</v>
      </c>
      <c r="I120" s="22">
        <v>338545.9</v>
      </c>
      <c r="J120" s="51">
        <f t="shared" si="8"/>
        <v>-104424.50000000006</v>
      </c>
      <c r="K120" s="17">
        <v>151431</v>
      </c>
      <c r="L120" s="17">
        <v>160420.2</v>
      </c>
      <c r="M120" s="20">
        <f t="shared" si="12"/>
        <v>-8989.200000000012</v>
      </c>
      <c r="N120" s="17">
        <v>0</v>
      </c>
      <c r="O120" s="17">
        <v>0</v>
      </c>
      <c r="P120" s="20">
        <f t="shared" si="10"/>
        <v>0</v>
      </c>
      <c r="Q120" s="20">
        <f t="shared" si="11"/>
        <v>-113413.70000000007</v>
      </c>
    </row>
    <row r="121" spans="1:17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6"/>
        <v>179458.59999999998</v>
      </c>
      <c r="G121" s="17">
        <v>21369</v>
      </c>
      <c r="H121" s="17">
        <f t="shared" si="7"/>
        <v>200827.59999999998</v>
      </c>
      <c r="I121" s="22">
        <v>341304.6</v>
      </c>
      <c r="J121" s="51">
        <f t="shared" si="8"/>
        <v>-140477</v>
      </c>
      <c r="K121" s="17">
        <v>153908.6</v>
      </c>
      <c r="L121" s="17">
        <v>166549</v>
      </c>
      <c r="M121" s="20">
        <f t="shared" si="12"/>
        <v>-12640.399999999994</v>
      </c>
      <c r="N121" s="17">
        <v>0</v>
      </c>
      <c r="O121" s="17">
        <v>0</v>
      </c>
      <c r="P121" s="20">
        <f t="shared" si="10"/>
        <v>0</v>
      </c>
      <c r="Q121" s="20">
        <f t="shared" si="11"/>
        <v>-153117.4</v>
      </c>
    </row>
    <row r="122" spans="1:17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6"/>
        <v>154013.90000000002</v>
      </c>
      <c r="G122" s="17">
        <v>24254.600000000002</v>
      </c>
      <c r="H122" s="17">
        <f t="shared" si="7"/>
        <v>178268.50000000003</v>
      </c>
      <c r="I122" s="22">
        <v>343809.9</v>
      </c>
      <c r="J122" s="51">
        <f t="shared" si="8"/>
        <v>-165541.4</v>
      </c>
      <c r="K122" s="17">
        <v>174635.9</v>
      </c>
      <c r="L122" s="17">
        <v>164117.6</v>
      </c>
      <c r="M122" s="20">
        <f t="shared" si="12"/>
        <v>10518.299999999988</v>
      </c>
      <c r="N122" s="17">
        <v>0</v>
      </c>
      <c r="O122" s="17">
        <v>0</v>
      </c>
      <c r="P122" s="20">
        <f t="shared" si="10"/>
        <v>0</v>
      </c>
      <c r="Q122" s="20">
        <f t="shared" si="11"/>
        <v>-155023.1</v>
      </c>
    </row>
    <row r="123" spans="1:17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6"/>
        <v>177821.4</v>
      </c>
      <c r="G123" s="17">
        <v>24050.4</v>
      </c>
      <c r="H123" s="17">
        <f t="shared" si="7"/>
        <v>201871.8</v>
      </c>
      <c r="I123" s="22">
        <v>343249.1</v>
      </c>
      <c r="J123" s="51">
        <f t="shared" si="8"/>
        <v>-141377.3</v>
      </c>
      <c r="K123" s="17">
        <v>138260</v>
      </c>
      <c r="L123" s="17">
        <v>174781.7</v>
      </c>
      <c r="M123" s="20">
        <f t="shared" si="12"/>
        <v>-36521.70000000001</v>
      </c>
      <c r="N123" s="17">
        <v>0</v>
      </c>
      <c r="O123" s="17">
        <v>0</v>
      </c>
      <c r="P123" s="20">
        <f t="shared" si="10"/>
        <v>0</v>
      </c>
      <c r="Q123" s="20">
        <f t="shared" si="11"/>
        <v>-177899</v>
      </c>
    </row>
    <row r="124" spans="1:17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6"/>
        <v>174725.3</v>
      </c>
      <c r="G124" s="17">
        <v>24003.100000000002</v>
      </c>
      <c r="H124" s="17">
        <f t="shared" si="7"/>
        <v>198728.4</v>
      </c>
      <c r="I124" s="22">
        <v>332752.2</v>
      </c>
      <c r="J124" s="51">
        <f t="shared" si="8"/>
        <v>-134023.80000000002</v>
      </c>
      <c r="K124" s="17">
        <v>141770</v>
      </c>
      <c r="L124" s="17">
        <v>184125.7</v>
      </c>
      <c r="M124" s="20">
        <f t="shared" si="12"/>
        <v>-42355.70000000001</v>
      </c>
      <c r="N124" s="17">
        <v>0</v>
      </c>
      <c r="O124" s="17">
        <v>0</v>
      </c>
      <c r="P124" s="20">
        <f t="shared" si="10"/>
        <v>0</v>
      </c>
      <c r="Q124" s="20">
        <f t="shared" si="11"/>
        <v>-176379.50000000003</v>
      </c>
    </row>
    <row r="125" spans="1:17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6"/>
        <v>200363.2</v>
      </c>
      <c r="G125" s="17">
        <v>12159.1</v>
      </c>
      <c r="H125" s="17">
        <f t="shared" si="7"/>
        <v>212522.30000000002</v>
      </c>
      <c r="I125" s="22">
        <v>338942.8</v>
      </c>
      <c r="J125" s="51">
        <f t="shared" si="8"/>
        <v>-126420.49999999997</v>
      </c>
      <c r="K125" s="17">
        <v>177748.69999999998</v>
      </c>
      <c r="L125" s="17">
        <v>165526.4</v>
      </c>
      <c r="M125" s="20">
        <f t="shared" si="12"/>
        <v>12222.299999999988</v>
      </c>
      <c r="N125" s="17">
        <v>0</v>
      </c>
      <c r="O125" s="17">
        <v>0</v>
      </c>
      <c r="P125" s="20">
        <f t="shared" si="10"/>
        <v>0</v>
      </c>
      <c r="Q125" s="20">
        <f t="shared" si="11"/>
        <v>-114198.19999999998</v>
      </c>
    </row>
    <row r="126" spans="1:17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6"/>
        <v>179532.3</v>
      </c>
      <c r="G126" s="17">
        <v>11788.8</v>
      </c>
      <c r="H126" s="17">
        <f t="shared" si="7"/>
        <v>191321.09999999998</v>
      </c>
      <c r="I126" s="22">
        <v>336478.4</v>
      </c>
      <c r="J126" s="51">
        <f t="shared" si="8"/>
        <v>-145157.30000000005</v>
      </c>
      <c r="K126" s="17">
        <v>160268.69999999998</v>
      </c>
      <c r="L126" s="17">
        <v>159454.7</v>
      </c>
      <c r="M126" s="20">
        <f t="shared" si="12"/>
        <v>813.9999999999709</v>
      </c>
      <c r="N126" s="17">
        <v>0</v>
      </c>
      <c r="O126" s="17">
        <v>0</v>
      </c>
      <c r="P126" s="20">
        <f t="shared" si="10"/>
        <v>0</v>
      </c>
      <c r="Q126" s="20">
        <f t="shared" si="11"/>
        <v>-144343.30000000008</v>
      </c>
    </row>
    <row r="127" spans="1:17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6"/>
        <v>180587.6</v>
      </c>
      <c r="G127" s="17">
        <v>13412.6</v>
      </c>
      <c r="H127" s="17">
        <f t="shared" si="7"/>
        <v>194000.2</v>
      </c>
      <c r="I127" s="22">
        <v>338480.6</v>
      </c>
      <c r="J127" s="51">
        <f t="shared" si="8"/>
        <v>-144480.39999999997</v>
      </c>
      <c r="K127" s="17">
        <v>146133</v>
      </c>
      <c r="L127" s="17">
        <v>156052.6</v>
      </c>
      <c r="M127" s="20">
        <f t="shared" si="12"/>
        <v>-9919.600000000006</v>
      </c>
      <c r="N127" s="17">
        <v>0</v>
      </c>
      <c r="O127" s="17">
        <v>0</v>
      </c>
      <c r="P127" s="20">
        <f t="shared" si="10"/>
        <v>0</v>
      </c>
      <c r="Q127" s="20">
        <f t="shared" si="11"/>
        <v>-154399.99999999997</v>
      </c>
    </row>
    <row r="128" spans="1:17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6"/>
        <v>161469.3</v>
      </c>
      <c r="G128" s="17">
        <v>14077.9</v>
      </c>
      <c r="H128" s="17">
        <f t="shared" si="7"/>
        <v>175547.19999999998</v>
      </c>
      <c r="I128" s="22">
        <v>340558</v>
      </c>
      <c r="J128" s="51">
        <f t="shared" si="8"/>
        <v>-165010.80000000002</v>
      </c>
      <c r="K128" s="17">
        <v>141128.9</v>
      </c>
      <c r="L128" s="17">
        <v>153626.6</v>
      </c>
      <c r="M128" s="20">
        <f t="shared" si="12"/>
        <v>-12497.700000000012</v>
      </c>
      <c r="N128" s="17">
        <v>0</v>
      </c>
      <c r="O128" s="17">
        <v>0</v>
      </c>
      <c r="P128" s="20">
        <f t="shared" si="10"/>
        <v>0</v>
      </c>
      <c r="Q128" s="20">
        <f t="shared" si="11"/>
        <v>-177508.50000000003</v>
      </c>
    </row>
    <row r="129" spans="1:17" ht="15.75">
      <c r="A129" s="54">
        <v>43132</v>
      </c>
      <c r="B129" s="46">
        <v>2256.8</v>
      </c>
      <c r="C129" s="46">
        <v>7205.2</v>
      </c>
      <c r="D129" s="46">
        <v>51170.6</v>
      </c>
      <c r="E129" s="46">
        <v>122297.59999999999</v>
      </c>
      <c r="F129" s="46">
        <f t="shared" si="6"/>
        <v>182930.19999999998</v>
      </c>
      <c r="G129" s="46">
        <v>19799.9</v>
      </c>
      <c r="H129" s="46">
        <f t="shared" si="7"/>
        <v>202730.09999999998</v>
      </c>
      <c r="I129" s="47">
        <v>338961.7</v>
      </c>
      <c r="J129" s="51">
        <f t="shared" si="8"/>
        <v>-136231.60000000003</v>
      </c>
      <c r="K129" s="46">
        <v>163882</v>
      </c>
      <c r="L129" s="46">
        <v>155919.8</v>
      </c>
      <c r="M129" s="20">
        <f t="shared" si="12"/>
        <v>7962.200000000012</v>
      </c>
      <c r="N129" s="17">
        <v>0</v>
      </c>
      <c r="O129" s="46">
        <v>0</v>
      </c>
      <c r="P129" s="20">
        <f t="shared" si="10"/>
        <v>0</v>
      </c>
      <c r="Q129" s="20">
        <f t="shared" si="11"/>
        <v>-128269.40000000002</v>
      </c>
    </row>
    <row r="130" spans="1:17" ht="15.75">
      <c r="A130" s="48">
        <v>43160</v>
      </c>
      <c r="B130" s="17">
        <v>2273.1</v>
      </c>
      <c r="C130" s="17">
        <v>2190.5</v>
      </c>
      <c r="D130" s="17">
        <v>51595.2</v>
      </c>
      <c r="E130" s="17">
        <v>72076.2</v>
      </c>
      <c r="F130" s="17">
        <f t="shared" si="6"/>
        <v>128135</v>
      </c>
      <c r="G130" s="49">
        <v>25145.4</v>
      </c>
      <c r="H130" s="46">
        <f t="shared" si="7"/>
        <v>153280.4</v>
      </c>
      <c r="I130" s="50">
        <v>333390.39999999997</v>
      </c>
      <c r="J130" s="51">
        <f t="shared" si="8"/>
        <v>-180109.99999999997</v>
      </c>
      <c r="K130" s="49">
        <v>169526.8</v>
      </c>
      <c r="L130" s="49">
        <v>158712.3</v>
      </c>
      <c r="M130" s="20">
        <f t="shared" si="12"/>
        <v>10814.5</v>
      </c>
      <c r="N130" s="17">
        <v>0</v>
      </c>
      <c r="O130" s="49">
        <v>0</v>
      </c>
      <c r="P130" s="20">
        <f t="shared" si="10"/>
        <v>0</v>
      </c>
      <c r="Q130" s="20">
        <f t="shared" si="11"/>
        <v>-169295.49999999997</v>
      </c>
    </row>
    <row r="131" spans="1:17" ht="15.75">
      <c r="A131" s="48">
        <v>43220</v>
      </c>
      <c r="B131" s="17">
        <v>2623.3</v>
      </c>
      <c r="C131" s="17">
        <v>2165.4</v>
      </c>
      <c r="D131" s="17">
        <v>51206.1</v>
      </c>
      <c r="E131" s="17">
        <v>98268.8</v>
      </c>
      <c r="F131" s="46">
        <f t="shared" si="6"/>
        <v>154263.6</v>
      </c>
      <c r="G131" s="17">
        <v>24213.600000000002</v>
      </c>
      <c r="H131" s="46">
        <f t="shared" si="7"/>
        <v>178477.2</v>
      </c>
      <c r="I131" s="22">
        <v>330829</v>
      </c>
      <c r="J131" s="51">
        <f t="shared" si="8"/>
        <v>-152351.8</v>
      </c>
      <c r="K131" s="17">
        <v>156930.4</v>
      </c>
      <c r="L131" s="17">
        <v>161703.89999999997</v>
      </c>
      <c r="M131" s="20">
        <f t="shared" si="12"/>
        <v>-4773.499999999971</v>
      </c>
      <c r="N131" s="17">
        <v>0</v>
      </c>
      <c r="O131" s="17">
        <v>0</v>
      </c>
      <c r="P131" s="20">
        <f t="shared" si="10"/>
        <v>0</v>
      </c>
      <c r="Q131" s="20">
        <f t="shared" si="11"/>
        <v>-157125.29999999996</v>
      </c>
    </row>
    <row r="132" spans="1:17" ht="15.75">
      <c r="A132" s="4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46">
        <f aca="true" t="shared" si="13" ref="F132:F144">SUM(B132:E132)</f>
        <v>131310.9</v>
      </c>
      <c r="G132" s="17">
        <v>21726.9</v>
      </c>
      <c r="H132" s="46">
        <f t="shared" si="7"/>
        <v>153037.8</v>
      </c>
      <c r="I132" s="22">
        <v>324862.2</v>
      </c>
      <c r="J132" s="51">
        <f t="shared" si="8"/>
        <v>-171824.40000000002</v>
      </c>
      <c r="K132" s="17">
        <v>154515.69999999998</v>
      </c>
      <c r="L132" s="17">
        <v>156873.4</v>
      </c>
      <c r="M132" s="20">
        <f t="shared" si="12"/>
        <v>-2357.7000000000116</v>
      </c>
      <c r="N132" s="17">
        <v>0</v>
      </c>
      <c r="O132" s="17">
        <v>0</v>
      </c>
      <c r="P132" s="20">
        <f t="shared" si="10"/>
        <v>0</v>
      </c>
      <c r="Q132" s="20">
        <f t="shared" si="11"/>
        <v>-174182.10000000003</v>
      </c>
    </row>
    <row r="133" spans="1:17" ht="15.75">
      <c r="A133" s="48">
        <v>43281</v>
      </c>
      <c r="B133" s="17">
        <v>2150.9</v>
      </c>
      <c r="C133" s="17">
        <v>6825.3</v>
      </c>
      <c r="D133" s="17">
        <v>50216.8</v>
      </c>
      <c r="E133" s="17">
        <v>71726.6</v>
      </c>
      <c r="F133" s="46">
        <f t="shared" si="13"/>
        <v>130919.6</v>
      </c>
      <c r="G133" s="17">
        <v>18030.300000000003</v>
      </c>
      <c r="H133" s="46">
        <f t="shared" si="7"/>
        <v>148949.90000000002</v>
      </c>
      <c r="I133" s="22">
        <v>324229</v>
      </c>
      <c r="J133" s="51">
        <f t="shared" si="8"/>
        <v>-175279.09999999998</v>
      </c>
      <c r="K133" s="17">
        <v>172314.9</v>
      </c>
      <c r="L133" s="17">
        <v>198291.5</v>
      </c>
      <c r="M133" s="20">
        <f t="shared" si="12"/>
        <v>-25976.600000000006</v>
      </c>
      <c r="N133" s="17">
        <v>0</v>
      </c>
      <c r="O133" s="17">
        <v>0</v>
      </c>
      <c r="P133" s="20">
        <f t="shared" si="10"/>
        <v>0</v>
      </c>
      <c r="Q133" s="20">
        <f t="shared" si="11"/>
        <v>-201255.69999999998</v>
      </c>
    </row>
    <row r="134" spans="1:17" ht="15.75">
      <c r="A134" s="4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46">
        <f t="shared" si="13"/>
        <v>126978</v>
      </c>
      <c r="G134" s="17">
        <v>15796.199999999999</v>
      </c>
      <c r="H134" s="46">
        <f t="shared" si="7"/>
        <v>142774.2</v>
      </c>
      <c r="I134" s="22">
        <v>317759.3</v>
      </c>
      <c r="J134" s="51">
        <f t="shared" si="8"/>
        <v>-174985.09999999998</v>
      </c>
      <c r="K134" s="17">
        <v>158357.9</v>
      </c>
      <c r="L134" s="17">
        <v>183027.7</v>
      </c>
      <c r="M134" s="20">
        <f t="shared" si="12"/>
        <v>-24669.800000000017</v>
      </c>
      <c r="N134" s="17">
        <v>0</v>
      </c>
      <c r="O134" s="17">
        <v>97.2000000000116</v>
      </c>
      <c r="P134" s="20">
        <f t="shared" si="10"/>
        <v>-97.2000000000116</v>
      </c>
      <c r="Q134" s="20">
        <f t="shared" si="11"/>
        <v>-199752.1</v>
      </c>
    </row>
    <row r="135" spans="1:17" ht="15.75">
      <c r="A135" s="4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46">
        <f t="shared" si="13"/>
        <v>121559</v>
      </c>
      <c r="G135" s="17">
        <v>17603.4</v>
      </c>
      <c r="H135" s="46">
        <f t="shared" si="7"/>
        <v>139162.4</v>
      </c>
      <c r="I135" s="22">
        <v>310988.8</v>
      </c>
      <c r="J135" s="51">
        <f t="shared" si="8"/>
        <v>-171826.4</v>
      </c>
      <c r="K135" s="17">
        <v>149466.4</v>
      </c>
      <c r="L135" s="17">
        <v>186203.5</v>
      </c>
      <c r="M135" s="20">
        <f t="shared" si="12"/>
        <v>-36737.100000000006</v>
      </c>
      <c r="N135" s="17">
        <v>0</v>
      </c>
      <c r="O135" s="17">
        <v>194.400000000023</v>
      </c>
      <c r="P135" s="20">
        <f t="shared" si="10"/>
        <v>-194.400000000023</v>
      </c>
      <c r="Q135" s="20">
        <f t="shared" si="11"/>
        <v>-208757.90000000002</v>
      </c>
    </row>
    <row r="136" spans="1:17" ht="15.75">
      <c r="A136" s="4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46">
        <f t="shared" si="13"/>
        <v>105233</v>
      </c>
      <c r="G136" s="17">
        <v>19294.5</v>
      </c>
      <c r="H136" s="46">
        <f t="shared" si="7"/>
        <v>124527.5</v>
      </c>
      <c r="I136" s="22">
        <v>309614.2</v>
      </c>
      <c r="J136" s="51">
        <f t="shared" si="8"/>
        <v>-185086.7</v>
      </c>
      <c r="K136" s="17">
        <v>144618</v>
      </c>
      <c r="L136" s="17">
        <v>176524.4</v>
      </c>
      <c r="M136" s="20">
        <f t="shared" si="12"/>
        <v>-31906.399999999994</v>
      </c>
      <c r="N136" s="17">
        <v>0</v>
      </c>
      <c r="O136" s="17">
        <v>291.60000000006403</v>
      </c>
      <c r="P136" s="20">
        <f t="shared" si="10"/>
        <v>-291.60000000006403</v>
      </c>
      <c r="Q136" s="20">
        <f t="shared" si="11"/>
        <v>-217284.70000000007</v>
      </c>
    </row>
    <row r="137" spans="1:17" ht="15.75">
      <c r="A137" s="48">
        <v>43375</v>
      </c>
      <c r="B137" s="17">
        <v>2114.1</v>
      </c>
      <c r="C137" s="17">
        <v>3566</v>
      </c>
      <c r="D137" s="17">
        <v>49924</v>
      </c>
      <c r="E137" s="17">
        <v>65590.59999999999</v>
      </c>
      <c r="F137" s="46">
        <f t="shared" si="13"/>
        <v>121194.69999999998</v>
      </c>
      <c r="G137" s="17">
        <v>19309</v>
      </c>
      <c r="H137" s="46">
        <f t="shared" si="7"/>
        <v>140503.69999999998</v>
      </c>
      <c r="I137" s="22">
        <v>307615.9</v>
      </c>
      <c r="J137" s="51">
        <f aca="true" t="shared" si="14" ref="J137:J166">+H137-I137</f>
        <v>-167112.20000000004</v>
      </c>
      <c r="K137" s="17">
        <v>133683.3</v>
      </c>
      <c r="L137" s="17">
        <v>177795.4</v>
      </c>
      <c r="M137" s="20">
        <f t="shared" si="12"/>
        <v>-44112.100000000006</v>
      </c>
      <c r="N137" s="17">
        <v>0</v>
      </c>
      <c r="O137" s="17">
        <v>194.400000000023</v>
      </c>
      <c r="P137" s="20">
        <f aca="true" t="shared" si="15" ref="P137:P144">+N137-O137</f>
        <v>-194.400000000023</v>
      </c>
      <c r="Q137" s="20">
        <f aca="true" t="shared" si="16" ref="Q137:Q144">SUM(J137+P137+M137)</f>
        <v>-211418.70000000007</v>
      </c>
    </row>
    <row r="138" spans="1:17" ht="15.75">
      <c r="A138" s="48">
        <v>43406</v>
      </c>
      <c r="B138" s="17">
        <v>2133</v>
      </c>
      <c r="C138" s="17">
        <v>12206</v>
      </c>
      <c r="D138" s="17">
        <v>50121.1</v>
      </c>
      <c r="E138" s="17">
        <v>69311.4</v>
      </c>
      <c r="F138" s="46">
        <f t="shared" si="13"/>
        <v>133771.5</v>
      </c>
      <c r="G138" s="17">
        <v>17708.300000000003</v>
      </c>
      <c r="H138" s="46">
        <f t="shared" si="7"/>
        <v>151479.8</v>
      </c>
      <c r="I138" s="22">
        <v>307943.4</v>
      </c>
      <c r="J138" s="51">
        <f t="shared" si="14"/>
        <v>-156463.60000000003</v>
      </c>
      <c r="K138" s="17">
        <v>142845.00000000003</v>
      </c>
      <c r="L138" s="17">
        <v>180998.6</v>
      </c>
      <c r="M138" s="20">
        <f t="shared" si="12"/>
        <v>-38153.59999999998</v>
      </c>
      <c r="N138" s="17">
        <v>0</v>
      </c>
      <c r="O138" s="17">
        <v>97.2000000000116</v>
      </c>
      <c r="P138" s="20">
        <f t="shared" si="15"/>
        <v>-97.2000000000116</v>
      </c>
      <c r="Q138" s="20">
        <f t="shared" si="16"/>
        <v>-194714.40000000002</v>
      </c>
    </row>
    <row r="139" spans="1:17" ht="15.75">
      <c r="A139" s="48">
        <v>43438</v>
      </c>
      <c r="B139" s="17">
        <v>2234.6</v>
      </c>
      <c r="C139" s="17">
        <v>12311.3</v>
      </c>
      <c r="D139" s="17">
        <v>48581.8</v>
      </c>
      <c r="E139" s="17">
        <v>63908.6</v>
      </c>
      <c r="F139" s="46">
        <f>SUM(B139:E139)</f>
        <v>127036.3</v>
      </c>
      <c r="G139" s="17">
        <v>18570.800000000003</v>
      </c>
      <c r="H139" s="46">
        <f>+F139+G139</f>
        <v>145607.1</v>
      </c>
      <c r="I139" s="22">
        <v>310824.2</v>
      </c>
      <c r="J139" s="51">
        <f t="shared" si="14"/>
        <v>-165217.1</v>
      </c>
      <c r="K139" s="17">
        <v>144238.8</v>
      </c>
      <c r="L139" s="17">
        <v>182222.7</v>
      </c>
      <c r="M139" s="20">
        <f t="shared" si="12"/>
        <v>-37983.90000000002</v>
      </c>
      <c r="N139" s="17">
        <v>0</v>
      </c>
      <c r="O139" s="17">
        <v>0</v>
      </c>
      <c r="P139" s="20">
        <f>N139-O139</f>
        <v>0</v>
      </c>
      <c r="Q139" s="20">
        <f>SUM(J139,M139,P139)</f>
        <v>-203201.00000000003</v>
      </c>
    </row>
    <row r="140" spans="1:17" ht="15.75">
      <c r="A140" s="48">
        <v>43496</v>
      </c>
      <c r="B140" s="17">
        <v>2314.9</v>
      </c>
      <c r="C140" s="17">
        <v>7801.5</v>
      </c>
      <c r="D140" s="17">
        <v>49011.8</v>
      </c>
      <c r="E140" s="17">
        <v>48044.7</v>
      </c>
      <c r="F140" s="46">
        <f t="shared" si="13"/>
        <v>107172.9</v>
      </c>
      <c r="G140" s="17">
        <v>17922.600000000002</v>
      </c>
      <c r="H140" s="46">
        <f t="shared" si="7"/>
        <v>125095.5</v>
      </c>
      <c r="I140" s="22">
        <v>307664.1</v>
      </c>
      <c r="J140" s="51">
        <f t="shared" si="14"/>
        <v>-182568.59999999998</v>
      </c>
      <c r="K140" s="17">
        <v>130207.6</v>
      </c>
      <c r="L140" s="17">
        <v>185965.4</v>
      </c>
      <c r="M140" s="20">
        <f t="shared" si="12"/>
        <v>-55757.79999999999</v>
      </c>
      <c r="N140" s="17">
        <v>0</v>
      </c>
      <c r="O140" s="17">
        <v>0</v>
      </c>
      <c r="P140" s="20">
        <f t="shared" si="15"/>
        <v>0</v>
      </c>
      <c r="Q140" s="20">
        <f t="shared" si="16"/>
        <v>-238326.39999999997</v>
      </c>
    </row>
    <row r="141" spans="1:17" ht="15.75">
      <c r="A141" s="48">
        <v>43524</v>
      </c>
      <c r="B141" s="17">
        <v>2320.2</v>
      </c>
      <c r="C141" s="17">
        <v>4948.5</v>
      </c>
      <c r="D141" s="17">
        <v>49191.4</v>
      </c>
      <c r="E141" s="17">
        <v>67786.2</v>
      </c>
      <c r="F141" s="46">
        <f t="shared" si="13"/>
        <v>124246.29999999999</v>
      </c>
      <c r="G141" s="17">
        <v>29933.100000000002</v>
      </c>
      <c r="H141" s="46">
        <f t="shared" si="7"/>
        <v>154179.4</v>
      </c>
      <c r="I141" s="22">
        <v>302194.2</v>
      </c>
      <c r="J141" s="51">
        <f t="shared" si="14"/>
        <v>-148014.80000000002</v>
      </c>
      <c r="K141" s="17">
        <v>131725</v>
      </c>
      <c r="L141" s="17">
        <v>188555.49999999997</v>
      </c>
      <c r="M141" s="20">
        <f t="shared" si="12"/>
        <v>-56830.49999999997</v>
      </c>
      <c r="N141" s="17">
        <v>0</v>
      </c>
      <c r="O141" s="17">
        <v>0</v>
      </c>
      <c r="P141" s="20">
        <f t="shared" si="15"/>
        <v>0</v>
      </c>
      <c r="Q141" s="20">
        <f t="shared" si="16"/>
        <v>-204845.3</v>
      </c>
    </row>
    <row r="142" spans="1:17" ht="15.75">
      <c r="A142" s="48">
        <v>43555</v>
      </c>
      <c r="B142" s="17">
        <v>2278.8</v>
      </c>
      <c r="C142" s="17">
        <v>1988.7</v>
      </c>
      <c r="D142" s="17">
        <v>48999.1</v>
      </c>
      <c r="E142" s="17">
        <f>4857.7+39331.3+5157.8</f>
        <v>49346.8</v>
      </c>
      <c r="F142" s="46">
        <f t="shared" si="13"/>
        <v>102613.4</v>
      </c>
      <c r="G142" s="17">
        <f>28271.1+1198.4</f>
        <v>29469.5</v>
      </c>
      <c r="H142" s="46">
        <f>SUM(F142:G142)</f>
        <v>132082.9</v>
      </c>
      <c r="I142" s="22">
        <v>298865.3</v>
      </c>
      <c r="J142" s="51">
        <f t="shared" si="14"/>
        <v>-166782.4</v>
      </c>
      <c r="K142" s="17">
        <f>134128+96.8+57.9</f>
        <v>134282.69999999998</v>
      </c>
      <c r="L142" s="17">
        <v>196903.4</v>
      </c>
      <c r="M142" s="20">
        <f t="shared" si="12"/>
        <v>-62620.70000000001</v>
      </c>
      <c r="N142" s="17">
        <v>0</v>
      </c>
      <c r="O142" s="17">
        <v>0</v>
      </c>
      <c r="P142" s="20">
        <f t="shared" si="15"/>
        <v>0</v>
      </c>
      <c r="Q142" s="20">
        <f t="shared" si="16"/>
        <v>-229403.1</v>
      </c>
    </row>
    <row r="143" spans="1:17" ht="15.75">
      <c r="A143" s="48">
        <v>43556</v>
      </c>
      <c r="B143" s="17">
        <v>2274.3</v>
      </c>
      <c r="C143" s="17">
        <v>1991.6</v>
      </c>
      <c r="D143" s="17">
        <v>49042.5</v>
      </c>
      <c r="E143" s="17">
        <f>6697.7+38047.9+5117.5</f>
        <v>49863.1</v>
      </c>
      <c r="F143" s="46">
        <f t="shared" si="13"/>
        <v>103171.5</v>
      </c>
      <c r="G143" s="17">
        <f>35428.2+21.5</f>
        <v>35449.7</v>
      </c>
      <c r="H143" s="46">
        <f>SUM(F143:G143)</f>
        <v>138621.2</v>
      </c>
      <c r="I143" s="22">
        <v>298492</v>
      </c>
      <c r="J143" s="51">
        <f t="shared" si="14"/>
        <v>-159870.8</v>
      </c>
      <c r="K143" s="17">
        <f>120541.9+96.8+35.5</f>
        <v>120674.2</v>
      </c>
      <c r="L143" s="17">
        <v>197777.1</v>
      </c>
      <c r="M143" s="20">
        <f t="shared" si="12"/>
        <v>-77102.90000000001</v>
      </c>
      <c r="N143" s="17">
        <v>0</v>
      </c>
      <c r="O143" s="17">
        <v>0</v>
      </c>
      <c r="P143" s="20">
        <f t="shared" si="15"/>
        <v>0</v>
      </c>
      <c r="Q143" s="20">
        <f t="shared" si="16"/>
        <v>-236973.7</v>
      </c>
    </row>
    <row r="144" spans="1:17" ht="15.75">
      <c r="A144" s="48">
        <v>43616</v>
      </c>
      <c r="B144" s="17">
        <v>2298.1</v>
      </c>
      <c r="C144" s="17">
        <v>1577.7</v>
      </c>
      <c r="D144" s="17">
        <v>48883.1</v>
      </c>
      <c r="E144" s="17">
        <f>15746.7+75011.1+5123.5</f>
        <v>95881.3</v>
      </c>
      <c r="F144" s="46">
        <f t="shared" si="13"/>
        <v>148640.2</v>
      </c>
      <c r="G144" s="17">
        <f>30482.6+9230.6</f>
        <v>39713.2</v>
      </c>
      <c r="H144" s="46">
        <f>SUM(F144:G144)</f>
        <v>188353.40000000002</v>
      </c>
      <c r="I144" s="22">
        <v>322255.6</v>
      </c>
      <c r="J144" s="51">
        <f t="shared" si="14"/>
        <v>-133902.19999999995</v>
      </c>
      <c r="K144" s="17">
        <f>142168.9+96.8+34.7</f>
        <v>142300.4</v>
      </c>
      <c r="L144" s="17">
        <v>198646.2</v>
      </c>
      <c r="M144" s="20">
        <f t="shared" si="12"/>
        <v>-56345.80000000002</v>
      </c>
      <c r="N144" s="17">
        <v>0</v>
      </c>
      <c r="O144" s="17">
        <v>0</v>
      </c>
      <c r="P144" s="20">
        <f t="shared" si="15"/>
        <v>0</v>
      </c>
      <c r="Q144" s="20">
        <f t="shared" si="16"/>
        <v>-190247.99999999997</v>
      </c>
    </row>
    <row r="145" spans="1:17" ht="15.75">
      <c r="A145" s="48">
        <v>43617</v>
      </c>
      <c r="B145" s="17">
        <v>2523</v>
      </c>
      <c r="C145" s="17">
        <v>1597.4</v>
      </c>
      <c r="D145" s="17">
        <v>49578.9</v>
      </c>
      <c r="E145" s="17">
        <f>9191.7+71382.3+5213.1</f>
        <v>85787.1</v>
      </c>
      <c r="F145" s="46">
        <f aca="true" t="shared" si="17" ref="F145:F166">SUM(B145:E145)</f>
        <v>139486.40000000002</v>
      </c>
      <c r="G145" s="17">
        <f>30635.2+7031.5</f>
        <v>37666.7</v>
      </c>
      <c r="H145" s="46">
        <f aca="true" t="shared" si="18" ref="H145:H166">+F145+G145</f>
        <v>177153.10000000003</v>
      </c>
      <c r="I145" s="22">
        <v>298866.2</v>
      </c>
      <c r="J145" s="51">
        <f t="shared" si="14"/>
        <v>-121713.09999999998</v>
      </c>
      <c r="K145" s="17">
        <f>126988.2+96.8+35.2</f>
        <v>127120.2</v>
      </c>
      <c r="L145" s="17">
        <v>199660</v>
      </c>
      <c r="M145" s="20">
        <f t="shared" si="12"/>
        <v>-72539.8</v>
      </c>
      <c r="N145" s="17">
        <v>0</v>
      </c>
      <c r="O145" s="17">
        <v>0</v>
      </c>
      <c r="P145" s="20">
        <v>0</v>
      </c>
      <c r="Q145" s="20">
        <f aca="true" t="shared" si="19" ref="Q145:Q166">SUM(J145,M145,P145)</f>
        <v>-194252.89999999997</v>
      </c>
    </row>
    <row r="146" spans="1:17" ht="15.75">
      <c r="A146" s="48">
        <v>43677</v>
      </c>
      <c r="B146" s="17">
        <v>2560</v>
      </c>
      <c r="C146" s="17">
        <v>9174.6</v>
      </c>
      <c r="D146" s="17">
        <v>43334.6</v>
      </c>
      <c r="E146" s="17">
        <f>10083.5+59000+5165.2</f>
        <v>74248.7</v>
      </c>
      <c r="F146" s="46">
        <f t="shared" si="17"/>
        <v>129317.9</v>
      </c>
      <c r="G146" s="17">
        <f>30359.4+7031.5</f>
        <v>37390.9</v>
      </c>
      <c r="H146" s="46">
        <f t="shared" si="18"/>
        <v>166708.8</v>
      </c>
      <c r="I146" s="22">
        <v>300474.7</v>
      </c>
      <c r="J146" s="51">
        <f t="shared" si="14"/>
        <v>-133765.90000000002</v>
      </c>
      <c r="K146" s="17">
        <f>130796.7+96.8+17.3</f>
        <v>130910.8</v>
      </c>
      <c r="L146" s="17">
        <v>231174</v>
      </c>
      <c r="M146" s="20">
        <f t="shared" si="12"/>
        <v>-100263.2</v>
      </c>
      <c r="N146" s="17">
        <v>0</v>
      </c>
      <c r="O146" s="17">
        <v>0</v>
      </c>
      <c r="P146" s="20">
        <v>0</v>
      </c>
      <c r="Q146" s="20">
        <f t="shared" si="19"/>
        <v>-234029.10000000003</v>
      </c>
    </row>
    <row r="147" spans="1:17" ht="15.75">
      <c r="A147" s="48">
        <v>43678</v>
      </c>
      <c r="B147" s="17">
        <v>2748.3</v>
      </c>
      <c r="C147" s="17">
        <v>5823.8</v>
      </c>
      <c r="D147" s="17">
        <v>49168.7</v>
      </c>
      <c r="E147" s="17">
        <f>4826+45027.4+5148.5</f>
        <v>55001.9</v>
      </c>
      <c r="F147" s="46">
        <f t="shared" si="17"/>
        <v>112742.7</v>
      </c>
      <c r="G147" s="17">
        <f>24190.6+7031.5</f>
        <v>31222.1</v>
      </c>
      <c r="H147" s="46">
        <f t="shared" si="18"/>
        <v>143964.8</v>
      </c>
      <c r="I147" s="22">
        <v>295856.6</v>
      </c>
      <c r="J147" s="51">
        <f t="shared" si="14"/>
        <v>-151891.8</v>
      </c>
      <c r="K147" s="17">
        <f>131005.6+96.8+12.1</f>
        <v>131114.5</v>
      </c>
      <c r="L147" s="17">
        <v>221742.39999999997</v>
      </c>
      <c r="M147" s="20">
        <f t="shared" si="12"/>
        <v>-90627.89999999997</v>
      </c>
      <c r="N147" s="17">
        <v>0</v>
      </c>
      <c r="O147" s="17">
        <v>0</v>
      </c>
      <c r="P147" s="20">
        <v>0</v>
      </c>
      <c r="Q147" s="20">
        <f t="shared" si="19"/>
        <v>-242519.69999999995</v>
      </c>
    </row>
    <row r="148" spans="1:17" ht="15.75">
      <c r="A148" s="48">
        <v>43738</v>
      </c>
      <c r="B148" s="17">
        <v>2684</v>
      </c>
      <c r="C148" s="17">
        <v>811.5</v>
      </c>
      <c r="D148" s="17">
        <v>49132.2</v>
      </c>
      <c r="E148" s="17">
        <f>8146.5+56250.5+5118.8</f>
        <v>69515.8</v>
      </c>
      <c r="F148" s="46">
        <f t="shared" si="17"/>
        <v>122143.5</v>
      </c>
      <c r="G148" s="17">
        <f>23054.3+7031.5</f>
        <v>30085.8</v>
      </c>
      <c r="H148" s="46">
        <f t="shared" si="18"/>
        <v>152229.3</v>
      </c>
      <c r="I148" s="22">
        <v>295964.10000000003</v>
      </c>
      <c r="J148" s="51">
        <f t="shared" si="14"/>
        <v>-143734.80000000005</v>
      </c>
      <c r="K148" s="17">
        <f>139134.3+96.8+17.4</f>
        <v>139248.49999999997</v>
      </c>
      <c r="L148" s="17">
        <v>223096</v>
      </c>
      <c r="M148" s="20">
        <f t="shared" si="12"/>
        <v>-83847.50000000003</v>
      </c>
      <c r="N148" s="17">
        <v>0</v>
      </c>
      <c r="O148" s="17">
        <v>0</v>
      </c>
      <c r="P148" s="20">
        <v>0</v>
      </c>
      <c r="Q148" s="20">
        <f t="shared" si="19"/>
        <v>-227582.30000000008</v>
      </c>
    </row>
    <row r="149" spans="1:17" ht="15.75">
      <c r="A149" s="48">
        <v>43739</v>
      </c>
      <c r="B149" s="17">
        <v>2705.6</v>
      </c>
      <c r="C149" s="17">
        <v>821.6</v>
      </c>
      <c r="D149" s="17">
        <v>49752.3</v>
      </c>
      <c r="E149" s="17">
        <f>4359.8+48822+5216.8</f>
        <v>58398.600000000006</v>
      </c>
      <c r="F149" s="46">
        <f t="shared" si="17"/>
        <v>111678.1</v>
      </c>
      <c r="G149" s="17">
        <f>21766.5+5935</f>
        <v>27701.5</v>
      </c>
      <c r="H149" s="46">
        <f t="shared" si="18"/>
        <v>139379.6</v>
      </c>
      <c r="I149" s="22">
        <v>293793.8</v>
      </c>
      <c r="J149" s="51">
        <f t="shared" si="14"/>
        <v>-154414.19999999998</v>
      </c>
      <c r="K149" s="17">
        <f>134653.3+96.8+18.4</f>
        <v>134768.49999999997</v>
      </c>
      <c r="L149" s="17">
        <v>216587.20000000004</v>
      </c>
      <c r="M149" s="20">
        <f t="shared" si="12"/>
        <v>-81818.70000000007</v>
      </c>
      <c r="N149" s="17">
        <v>0</v>
      </c>
      <c r="O149" s="17">
        <v>0</v>
      </c>
      <c r="P149" s="20">
        <v>0</v>
      </c>
      <c r="Q149" s="20">
        <f t="shared" si="19"/>
        <v>-236232.90000000005</v>
      </c>
    </row>
    <row r="150" spans="1:17" ht="15.75">
      <c r="A150" s="21">
        <v>43799</v>
      </c>
      <c r="B150" s="17">
        <v>2643.6</v>
      </c>
      <c r="C150" s="17">
        <v>488.7</v>
      </c>
      <c r="D150" s="17">
        <v>49771.1</v>
      </c>
      <c r="E150" s="17">
        <f>3175.2+36318.5+8524.1</f>
        <v>48017.799999999996</v>
      </c>
      <c r="F150" s="17">
        <f t="shared" si="17"/>
        <v>100921.2</v>
      </c>
      <c r="G150" s="17">
        <f>20036+5935</f>
        <v>25971</v>
      </c>
      <c r="H150" s="17">
        <f t="shared" si="18"/>
        <v>126892.2</v>
      </c>
      <c r="I150" s="22">
        <v>290211.4</v>
      </c>
      <c r="J150" s="20">
        <f t="shared" si="14"/>
        <v>-163319.2</v>
      </c>
      <c r="K150" s="17">
        <f>127462.1+96.8+16.2</f>
        <v>127575.1</v>
      </c>
      <c r="L150" s="17">
        <v>218706.9</v>
      </c>
      <c r="M150" s="20">
        <f t="shared" si="12"/>
        <v>-91131.79999999999</v>
      </c>
      <c r="N150" s="17">
        <v>0</v>
      </c>
      <c r="O150" s="17">
        <v>0</v>
      </c>
      <c r="P150" s="20">
        <v>0</v>
      </c>
      <c r="Q150" s="20">
        <f t="shared" si="19"/>
        <v>-254451</v>
      </c>
    </row>
    <row r="151" spans="1:17" ht="15.75">
      <c r="A151" s="21">
        <v>43800</v>
      </c>
      <c r="B151" s="17">
        <v>2767.8</v>
      </c>
      <c r="C151" s="17">
        <v>493.8</v>
      </c>
      <c r="D151" s="17">
        <v>50296.9</v>
      </c>
      <c r="E151" s="17">
        <f>6999.9+147620.8+5264.7</f>
        <v>159885.4</v>
      </c>
      <c r="F151" s="17">
        <f t="shared" si="17"/>
        <v>213443.9</v>
      </c>
      <c r="G151" s="17">
        <f>22387.4+5935</f>
        <v>28322.4</v>
      </c>
      <c r="H151" s="17">
        <f t="shared" si="18"/>
        <v>241766.3</v>
      </c>
      <c r="I151" s="22">
        <v>371157</v>
      </c>
      <c r="J151" s="20">
        <f t="shared" si="14"/>
        <v>-129390.70000000001</v>
      </c>
      <c r="K151" s="17">
        <f>139556.8+96.8+22.5</f>
        <v>139676.09999999998</v>
      </c>
      <c r="L151" s="17">
        <v>216615.89999999997</v>
      </c>
      <c r="M151" s="20">
        <f t="shared" si="12"/>
        <v>-76939.79999999999</v>
      </c>
      <c r="N151" s="17">
        <v>0</v>
      </c>
      <c r="O151" s="17">
        <v>0</v>
      </c>
      <c r="P151" s="20">
        <v>0</v>
      </c>
      <c r="Q151" s="20">
        <f t="shared" si="19"/>
        <v>-206330.5</v>
      </c>
    </row>
    <row r="152" spans="1:17" ht="15.75">
      <c r="A152" s="21">
        <v>43861</v>
      </c>
      <c r="B152" s="17">
        <v>2889.1</v>
      </c>
      <c r="C152" s="17">
        <v>2259.1</v>
      </c>
      <c r="D152" s="17">
        <v>50387.4</v>
      </c>
      <c r="E152" s="17">
        <f>9884.9+62305.7+5223.3</f>
        <v>77413.9</v>
      </c>
      <c r="F152" s="17">
        <f t="shared" si="17"/>
        <v>132949.5</v>
      </c>
      <c r="G152" s="17">
        <f>55925.8+5935</f>
        <v>61860.8</v>
      </c>
      <c r="H152" s="17">
        <f t="shared" si="18"/>
        <v>194810.3</v>
      </c>
      <c r="I152" s="22">
        <v>368291.2</v>
      </c>
      <c r="J152" s="20">
        <f t="shared" si="14"/>
        <v>-173480.90000000002</v>
      </c>
      <c r="K152" s="17">
        <f>137351.5+96.8+17</f>
        <v>137465.3</v>
      </c>
      <c r="L152" s="17">
        <v>279253.2</v>
      </c>
      <c r="M152" s="20">
        <f t="shared" si="12"/>
        <v>-141787.90000000002</v>
      </c>
      <c r="N152" s="17">
        <v>0</v>
      </c>
      <c r="O152" s="17">
        <v>0</v>
      </c>
      <c r="P152" s="20">
        <v>0</v>
      </c>
      <c r="Q152" s="20">
        <f t="shared" si="19"/>
        <v>-315268.80000000005</v>
      </c>
    </row>
    <row r="153" spans="1:17" ht="15.75">
      <c r="A153" s="21">
        <v>43862</v>
      </c>
      <c r="B153" s="17">
        <v>2989.4</v>
      </c>
      <c r="C153" s="17">
        <v>23585.7</v>
      </c>
      <c r="D153" s="17">
        <v>25126.1</v>
      </c>
      <c r="E153" s="17">
        <f>10713.4+107250.1+5320.8</f>
        <v>123284.3</v>
      </c>
      <c r="F153" s="17">
        <f t="shared" si="17"/>
        <v>174985.5</v>
      </c>
      <c r="G153" s="17">
        <f>50974.9+5935</f>
        <v>56909.9</v>
      </c>
      <c r="H153" s="17">
        <f t="shared" si="18"/>
        <v>231895.4</v>
      </c>
      <c r="I153" s="22">
        <v>363145.9</v>
      </c>
      <c r="J153" s="20">
        <f t="shared" si="14"/>
        <v>-131250.50000000003</v>
      </c>
      <c r="K153" s="17">
        <f>154787.3+96.8+19.9</f>
        <v>154903.99999999997</v>
      </c>
      <c r="L153" s="17">
        <v>268234.5</v>
      </c>
      <c r="M153" s="20">
        <f t="shared" si="12"/>
        <v>-113330.50000000003</v>
      </c>
      <c r="N153" s="17">
        <v>0</v>
      </c>
      <c r="O153" s="17">
        <v>0</v>
      </c>
      <c r="P153" s="20">
        <v>0</v>
      </c>
      <c r="Q153" s="20">
        <f t="shared" si="19"/>
        <v>-244581.00000000006</v>
      </c>
    </row>
    <row r="154" spans="1:17" ht="15.75">
      <c r="A154" s="21">
        <v>43921</v>
      </c>
      <c r="B154" s="17">
        <v>2964.2</v>
      </c>
      <c r="C154" s="17">
        <v>18055.3</v>
      </c>
      <c r="D154" s="17">
        <v>25322.3</v>
      </c>
      <c r="E154" s="17">
        <f>8449.1+78353.2+5408.2</f>
        <v>92210.5</v>
      </c>
      <c r="F154" s="17">
        <f t="shared" si="17"/>
        <v>138552.3</v>
      </c>
      <c r="G154" s="17">
        <f>49802+5935</f>
        <v>55737</v>
      </c>
      <c r="H154" s="17">
        <f t="shared" si="18"/>
        <v>194289.3</v>
      </c>
      <c r="I154" s="22">
        <v>361308.80000000005</v>
      </c>
      <c r="J154" s="20">
        <f t="shared" si="14"/>
        <v>-167019.50000000006</v>
      </c>
      <c r="K154" s="17">
        <f>143242.9+96.8+12.9</f>
        <v>143352.59999999998</v>
      </c>
      <c r="L154" s="17">
        <v>281170.60000000003</v>
      </c>
      <c r="M154" s="20">
        <f t="shared" si="12"/>
        <v>-137818.00000000006</v>
      </c>
      <c r="N154" s="17">
        <v>0</v>
      </c>
      <c r="O154" s="17">
        <v>0</v>
      </c>
      <c r="P154" s="20">
        <v>0</v>
      </c>
      <c r="Q154" s="20">
        <f t="shared" si="19"/>
        <v>-304837.5000000001</v>
      </c>
    </row>
    <row r="155" spans="1:17" ht="15.75">
      <c r="A155" s="21">
        <v>43922</v>
      </c>
      <c r="B155" s="17">
        <v>3154</v>
      </c>
      <c r="C155" s="17">
        <v>18052.4</v>
      </c>
      <c r="D155" s="17">
        <v>25679.5</v>
      </c>
      <c r="E155" s="17">
        <f>8087.2+64811+5377.8</f>
        <v>78276</v>
      </c>
      <c r="F155" s="17">
        <f t="shared" si="17"/>
        <v>125161.9</v>
      </c>
      <c r="G155" s="17">
        <f>51473.9+5935</f>
        <v>57408.9</v>
      </c>
      <c r="H155" s="17">
        <f t="shared" si="18"/>
        <v>182570.8</v>
      </c>
      <c r="I155" s="22">
        <v>361783</v>
      </c>
      <c r="J155" s="20">
        <f t="shared" si="14"/>
        <v>-179212.2</v>
      </c>
      <c r="K155" s="17">
        <f>139056.4+96.8+19.8</f>
        <v>139172.99999999997</v>
      </c>
      <c r="L155" s="17">
        <v>266161.9</v>
      </c>
      <c r="M155" s="20">
        <f t="shared" si="12"/>
        <v>-126988.90000000005</v>
      </c>
      <c r="N155" s="17">
        <v>0</v>
      </c>
      <c r="O155" s="17">
        <v>0</v>
      </c>
      <c r="P155" s="20">
        <v>0</v>
      </c>
      <c r="Q155" s="20">
        <f t="shared" si="19"/>
        <v>-306201.1000000001</v>
      </c>
    </row>
    <row r="156" spans="1:17" ht="15.75">
      <c r="A156" s="21">
        <v>43982</v>
      </c>
      <c r="B156" s="17">
        <v>3174.9</v>
      </c>
      <c r="C156" s="17">
        <v>17958.8</v>
      </c>
      <c r="D156" s="17">
        <v>25775.5</v>
      </c>
      <c r="E156" s="17">
        <f>7697.2+52065.7+5475.9</f>
        <v>65238.799999999996</v>
      </c>
      <c r="F156" s="17">
        <f t="shared" si="17"/>
        <v>112148</v>
      </c>
      <c r="G156" s="17">
        <f>55128.7+4763.1</f>
        <v>59891.799999999996</v>
      </c>
      <c r="H156" s="17">
        <f t="shared" si="18"/>
        <v>172039.8</v>
      </c>
      <c r="I156" s="22">
        <v>357937.1</v>
      </c>
      <c r="J156" s="20">
        <f t="shared" si="14"/>
        <v>-185897.3</v>
      </c>
      <c r="K156" s="17">
        <f>130733.1+96.8+25.3</f>
        <v>130855.20000000001</v>
      </c>
      <c r="L156" s="17">
        <v>285542.30000000005</v>
      </c>
      <c r="M156" s="20">
        <f t="shared" si="12"/>
        <v>-154687.10000000003</v>
      </c>
      <c r="N156" s="17">
        <v>0</v>
      </c>
      <c r="O156" s="17">
        <v>0</v>
      </c>
      <c r="P156" s="20">
        <v>0</v>
      </c>
      <c r="Q156" s="20">
        <f t="shared" si="19"/>
        <v>-340584.4</v>
      </c>
    </row>
    <row r="157" spans="1:17" ht="15.75">
      <c r="A157" s="21">
        <v>43983</v>
      </c>
      <c r="B157" s="17">
        <v>3278.6</v>
      </c>
      <c r="C157" s="17">
        <v>18199.4</v>
      </c>
      <c r="D157" s="17">
        <v>26460.4</v>
      </c>
      <c r="E157" s="17">
        <f>8498+47936.6+5407.2</f>
        <v>61841.799999999996</v>
      </c>
      <c r="F157" s="17">
        <f t="shared" si="17"/>
        <v>109780.2</v>
      </c>
      <c r="G157" s="17">
        <f>58195.7+4763.1</f>
        <v>62958.799999999996</v>
      </c>
      <c r="H157" s="17">
        <f t="shared" si="18"/>
        <v>172739</v>
      </c>
      <c r="I157" s="22">
        <v>357357.6</v>
      </c>
      <c r="J157" s="20">
        <f t="shared" si="14"/>
        <v>-184618.59999999998</v>
      </c>
      <c r="K157" s="17">
        <f>128440.3+96.8+27.3</f>
        <v>128564.40000000001</v>
      </c>
      <c r="L157" s="17">
        <v>277077.4</v>
      </c>
      <c r="M157" s="20">
        <f t="shared" si="12"/>
        <v>-148513</v>
      </c>
      <c r="N157" s="17">
        <v>0</v>
      </c>
      <c r="O157" s="17">
        <v>0</v>
      </c>
      <c r="P157" s="20">
        <v>0</v>
      </c>
      <c r="Q157" s="20">
        <f t="shared" si="19"/>
        <v>-333131.6</v>
      </c>
    </row>
    <row r="158" spans="1:17" ht="15.75">
      <c r="A158" s="21">
        <v>44043</v>
      </c>
      <c r="B158" s="17">
        <v>3636.4</v>
      </c>
      <c r="C158" s="17">
        <v>18611.3</v>
      </c>
      <c r="D158" s="17">
        <v>27633.1</v>
      </c>
      <c r="E158" s="17">
        <f>9370.2+69269.3+5596.6</f>
        <v>84236.1</v>
      </c>
      <c r="F158" s="17">
        <f t="shared" si="17"/>
        <v>134116.90000000002</v>
      </c>
      <c r="G158" s="17">
        <f>62172.3+4763.1</f>
        <v>66935.40000000001</v>
      </c>
      <c r="H158" s="17">
        <f t="shared" si="18"/>
        <v>201052.30000000005</v>
      </c>
      <c r="I158" s="22">
        <v>350960.9</v>
      </c>
      <c r="J158" s="20">
        <f t="shared" si="14"/>
        <v>-149908.59999999998</v>
      </c>
      <c r="K158" s="17">
        <f>131224.9+96.8+7.4</f>
        <v>131329.09999999998</v>
      </c>
      <c r="L158" s="17">
        <v>279283.7</v>
      </c>
      <c r="M158" s="20">
        <f t="shared" si="12"/>
        <v>-147954.60000000003</v>
      </c>
      <c r="N158" s="17">
        <v>0</v>
      </c>
      <c r="O158" s="17">
        <v>0</v>
      </c>
      <c r="P158" s="20">
        <v>0</v>
      </c>
      <c r="Q158" s="20">
        <f t="shared" si="19"/>
        <v>-297863.2</v>
      </c>
    </row>
    <row r="159" spans="1:17" ht="15.75">
      <c r="A159" s="21">
        <v>44074</v>
      </c>
      <c r="B159" s="17">
        <v>3665.4</v>
      </c>
      <c r="C159" s="17">
        <v>18787.4</v>
      </c>
      <c r="D159" s="17">
        <v>27486.7</v>
      </c>
      <c r="E159" s="17">
        <f>7800.6+88653.1+5656.5</f>
        <v>102110.20000000001</v>
      </c>
      <c r="F159" s="17">
        <f t="shared" si="17"/>
        <v>152049.7</v>
      </c>
      <c r="G159" s="17">
        <f>57252.3+4763.1</f>
        <v>62015.4</v>
      </c>
      <c r="H159" s="17">
        <f t="shared" si="18"/>
        <v>214065.1</v>
      </c>
      <c r="I159" s="22">
        <v>352162.6</v>
      </c>
      <c r="J159" s="20">
        <f t="shared" si="14"/>
        <v>-138097.49999999997</v>
      </c>
      <c r="K159" s="17">
        <f>142614.5+96.8+60</f>
        <v>142771.3</v>
      </c>
      <c r="L159" s="17">
        <v>263229.29999999993</v>
      </c>
      <c r="M159" s="20">
        <f t="shared" si="12"/>
        <v>-120457.99999999994</v>
      </c>
      <c r="N159" s="17">
        <v>0</v>
      </c>
      <c r="O159" s="17">
        <v>0</v>
      </c>
      <c r="P159" s="20">
        <v>0</v>
      </c>
      <c r="Q159" s="20">
        <f t="shared" si="19"/>
        <v>-258555.4999999999</v>
      </c>
    </row>
    <row r="160" spans="1:17" ht="15.75">
      <c r="A160" s="21">
        <v>44104</v>
      </c>
      <c r="B160" s="17">
        <v>3528.4</v>
      </c>
      <c r="C160" s="17">
        <v>18693</v>
      </c>
      <c r="D160" s="17">
        <v>26765.9</v>
      </c>
      <c r="E160" s="17">
        <f>9937.5+75847.9+5617.7</f>
        <v>91403.09999999999</v>
      </c>
      <c r="F160" s="17">
        <f t="shared" si="17"/>
        <v>140390.4</v>
      </c>
      <c r="G160" s="17">
        <f>56212.5+4763.1</f>
        <v>60975.6</v>
      </c>
      <c r="H160" s="17">
        <f t="shared" si="18"/>
        <v>201366</v>
      </c>
      <c r="I160" s="22">
        <v>352390.2</v>
      </c>
      <c r="J160" s="20">
        <f t="shared" si="14"/>
        <v>-151024.2</v>
      </c>
      <c r="K160" s="17">
        <f>161082.7+96.8+181.2</f>
        <v>161360.7</v>
      </c>
      <c r="L160" s="17">
        <v>290249.10000000003</v>
      </c>
      <c r="M160" s="20">
        <f t="shared" si="12"/>
        <v>-128888.40000000002</v>
      </c>
      <c r="N160" s="17">
        <v>0</v>
      </c>
      <c r="O160" s="17">
        <v>0</v>
      </c>
      <c r="P160" s="20">
        <v>0</v>
      </c>
      <c r="Q160" s="20">
        <f t="shared" si="19"/>
        <v>-279912.60000000003</v>
      </c>
    </row>
    <row r="161" spans="1:17" ht="18">
      <c r="A161" s="21" t="s">
        <v>49</v>
      </c>
      <c r="B161" s="17">
        <v>3499.7</v>
      </c>
      <c r="C161" s="17">
        <v>17436.4</v>
      </c>
      <c r="D161" s="17">
        <v>28070.79999999999</v>
      </c>
      <c r="E161" s="17">
        <f>11964+60780.1+5614.9</f>
        <v>78359</v>
      </c>
      <c r="F161" s="17">
        <f t="shared" si="17"/>
        <v>127365.9</v>
      </c>
      <c r="G161" s="17">
        <f>58764.3+4763.1</f>
        <v>63527.4</v>
      </c>
      <c r="H161" s="17">
        <f t="shared" si="18"/>
        <v>190893.3</v>
      </c>
      <c r="I161" s="22">
        <v>339086.5</v>
      </c>
      <c r="J161" s="20">
        <f t="shared" si="14"/>
        <v>-148193.2</v>
      </c>
      <c r="K161" s="17">
        <f>172705.1+96.8+344.1</f>
        <v>173146</v>
      </c>
      <c r="L161" s="17">
        <v>304074.6</v>
      </c>
      <c r="M161" s="20">
        <f t="shared" si="12"/>
        <v>-130928.59999999998</v>
      </c>
      <c r="N161" s="17">
        <v>0</v>
      </c>
      <c r="O161" s="17">
        <v>0</v>
      </c>
      <c r="P161" s="20">
        <v>0</v>
      </c>
      <c r="Q161" s="20">
        <f t="shared" si="19"/>
        <v>-279121.8</v>
      </c>
    </row>
    <row r="162" spans="1:17" ht="18">
      <c r="A162" s="21" t="s">
        <v>50</v>
      </c>
      <c r="B162" s="17">
        <v>3319.8</v>
      </c>
      <c r="C162" s="17">
        <v>17607.5</v>
      </c>
      <c r="D162" s="17">
        <v>28983</v>
      </c>
      <c r="E162" s="17">
        <f>13775.1+67228.8+5723.3</f>
        <v>86727.20000000001</v>
      </c>
      <c r="F162" s="17">
        <f t="shared" si="17"/>
        <v>136637.5</v>
      </c>
      <c r="G162" s="17">
        <f>61004.9+4763.1</f>
        <v>65768</v>
      </c>
      <c r="H162" s="17">
        <f t="shared" si="18"/>
        <v>202405.5</v>
      </c>
      <c r="I162" s="22">
        <v>341367.1</v>
      </c>
      <c r="J162" s="20">
        <f t="shared" si="14"/>
        <v>-138961.59999999998</v>
      </c>
      <c r="K162" s="17">
        <f>179061.2+96.8+1441.1</f>
        <v>180599.1</v>
      </c>
      <c r="L162" s="17">
        <v>323434.69999999995</v>
      </c>
      <c r="M162" s="20">
        <f t="shared" si="12"/>
        <v>-142835.59999999995</v>
      </c>
      <c r="N162" s="17">
        <v>0</v>
      </c>
      <c r="O162" s="17">
        <v>0</v>
      </c>
      <c r="P162" s="20">
        <v>0</v>
      </c>
      <c r="Q162" s="20">
        <f t="shared" si="19"/>
        <v>-281797.19999999995</v>
      </c>
    </row>
    <row r="163" spans="1:17" ht="18">
      <c r="A163" s="21" t="s">
        <v>51</v>
      </c>
      <c r="B163" s="17">
        <v>3553.5</v>
      </c>
      <c r="C163" s="17">
        <v>17838.6</v>
      </c>
      <c r="D163" s="17">
        <v>29695.1</v>
      </c>
      <c r="E163" s="17">
        <f>12066.9+114580.7+5839.6</f>
        <v>132487.19999999998</v>
      </c>
      <c r="F163" s="17">
        <f t="shared" si="17"/>
        <v>183574.39999999997</v>
      </c>
      <c r="G163" s="17">
        <f>62535.2+4763.1</f>
        <v>67298.3</v>
      </c>
      <c r="H163" s="17">
        <f t="shared" si="18"/>
        <v>250872.69999999995</v>
      </c>
      <c r="I163" s="22">
        <v>343978</v>
      </c>
      <c r="J163" s="20">
        <f t="shared" si="14"/>
        <v>-93105.30000000005</v>
      </c>
      <c r="K163" s="17">
        <f>194169.6+75.1+1532.3</f>
        <v>195777</v>
      </c>
      <c r="L163" s="17">
        <v>307687.8</v>
      </c>
      <c r="M163" s="20">
        <f t="shared" si="12"/>
        <v>-111910.79999999999</v>
      </c>
      <c r="N163" s="17">
        <v>0</v>
      </c>
      <c r="O163" s="17">
        <v>0</v>
      </c>
      <c r="P163" s="20">
        <v>0</v>
      </c>
      <c r="Q163" s="20">
        <f t="shared" si="19"/>
        <v>-205016.10000000003</v>
      </c>
    </row>
    <row r="164" spans="1:17" ht="18">
      <c r="A164" s="21" t="s">
        <v>54</v>
      </c>
      <c r="B164" s="17">
        <v>3468.7</v>
      </c>
      <c r="C164" s="17">
        <v>17859.4</v>
      </c>
      <c r="D164" s="17">
        <v>29775.2</v>
      </c>
      <c r="E164" s="17">
        <f>8805.5+103287.1+5792</f>
        <v>117884.6</v>
      </c>
      <c r="F164" s="17">
        <f t="shared" si="17"/>
        <v>168987.90000000002</v>
      </c>
      <c r="G164" s="17">
        <f>59883.6+4763.1</f>
        <v>64646.7</v>
      </c>
      <c r="H164" s="17">
        <f t="shared" si="18"/>
        <v>233634.60000000003</v>
      </c>
      <c r="I164" s="22">
        <v>334404.2</v>
      </c>
      <c r="J164" s="20">
        <f t="shared" si="14"/>
        <v>-100769.59999999998</v>
      </c>
      <c r="K164" s="17">
        <f>220832+75.1+126</f>
        <v>221033.1</v>
      </c>
      <c r="L164" s="17">
        <v>339536.1</v>
      </c>
      <c r="M164" s="20">
        <f t="shared" si="12"/>
        <v>-118502.99999999997</v>
      </c>
      <c r="N164" s="17">
        <v>0</v>
      </c>
      <c r="O164" s="17">
        <v>0</v>
      </c>
      <c r="P164" s="20">
        <v>0</v>
      </c>
      <c r="Q164" s="20">
        <f t="shared" si="19"/>
        <v>-219272.59999999995</v>
      </c>
    </row>
    <row r="165" spans="1:17" ht="18">
      <c r="A165" s="21" t="s">
        <v>55</v>
      </c>
      <c r="B165" s="17">
        <v>3332.4</v>
      </c>
      <c r="C165" s="17">
        <v>17959.9</v>
      </c>
      <c r="D165" s="17">
        <v>30321.5</v>
      </c>
      <c r="E165" s="17">
        <f>9507.5+107112.6+5798.5</f>
        <v>122418.6</v>
      </c>
      <c r="F165" s="17">
        <f t="shared" si="17"/>
        <v>174032.40000000002</v>
      </c>
      <c r="G165" s="17">
        <f>62799.8+4763.1</f>
        <v>67562.90000000001</v>
      </c>
      <c r="H165" s="17">
        <f t="shared" si="18"/>
        <v>241595.30000000005</v>
      </c>
      <c r="I165" s="22">
        <v>336447.3</v>
      </c>
      <c r="J165" s="20">
        <f t="shared" si="14"/>
        <v>-94851.99999999994</v>
      </c>
      <c r="K165" s="17">
        <f>234353.3+75.1+70.8</f>
        <v>234499.19999999998</v>
      </c>
      <c r="L165" s="17">
        <v>328994.00000000006</v>
      </c>
      <c r="M165" s="20">
        <f t="shared" si="12"/>
        <v>-94494.80000000008</v>
      </c>
      <c r="N165" s="17">
        <v>0</v>
      </c>
      <c r="O165" s="17">
        <v>0</v>
      </c>
      <c r="P165" s="20">
        <v>0</v>
      </c>
      <c r="Q165" s="20">
        <f t="shared" si="19"/>
        <v>-189346.80000000002</v>
      </c>
    </row>
    <row r="166" spans="1:17" ht="18">
      <c r="A166" s="21" t="s">
        <v>56</v>
      </c>
      <c r="B166" s="17">
        <v>3188</v>
      </c>
      <c r="C166" s="17">
        <v>17639.2</v>
      </c>
      <c r="D166" s="17">
        <v>29182.2</v>
      </c>
      <c r="E166" s="17">
        <f>9031.4+84143.7+5674.3</f>
        <v>98849.4</v>
      </c>
      <c r="F166" s="17">
        <f t="shared" si="17"/>
        <v>148858.8</v>
      </c>
      <c r="G166" s="17">
        <f>59116.1+4763.1</f>
        <v>63879.2</v>
      </c>
      <c r="H166" s="17">
        <f t="shared" si="18"/>
        <v>212738</v>
      </c>
      <c r="I166" s="22">
        <v>331861.9</v>
      </c>
      <c r="J166" s="20">
        <f t="shared" si="14"/>
        <v>-119123.90000000002</v>
      </c>
      <c r="K166" s="17">
        <f>210038.9+75.1+71.7</f>
        <v>210185.7</v>
      </c>
      <c r="L166" s="17">
        <f>563.7+73.8+318141.6</f>
        <v>318779.1</v>
      </c>
      <c r="M166" s="20">
        <f t="shared" si="12"/>
        <v>-108593.39999999997</v>
      </c>
      <c r="N166" s="17">
        <v>0</v>
      </c>
      <c r="O166" s="17">
        <v>0</v>
      </c>
      <c r="P166" s="20">
        <v>0</v>
      </c>
      <c r="Q166" s="20">
        <f t="shared" si="19"/>
        <v>-227717.3</v>
      </c>
    </row>
    <row r="167" spans="1:17" ht="12.75">
      <c r="A167" s="52" t="s">
        <v>11</v>
      </c>
      <c r="B167" s="6"/>
      <c r="C167" s="6"/>
      <c r="D167" s="6"/>
      <c r="E167" s="6"/>
      <c r="F167" s="6"/>
      <c r="G167" s="6"/>
      <c r="H167" s="6"/>
      <c r="I167" s="7"/>
      <c r="J167" s="6"/>
      <c r="K167" s="6"/>
      <c r="L167" s="6"/>
      <c r="M167" s="8"/>
      <c r="N167" s="6"/>
      <c r="O167" s="6"/>
      <c r="P167" s="8"/>
      <c r="Q167" s="9"/>
    </row>
  </sheetData>
  <sheetProtection/>
  <mergeCells count="18">
    <mergeCell ref="A2:Q2"/>
    <mergeCell ref="B4:J4"/>
    <mergeCell ref="K4:M4"/>
    <mergeCell ref="B6:F6"/>
    <mergeCell ref="B5:H5"/>
    <mergeCell ref="A4:A7"/>
    <mergeCell ref="N4:P4"/>
    <mergeCell ref="G6:G7"/>
    <mergeCell ref="H6:H7"/>
    <mergeCell ref="I5:I7"/>
    <mergeCell ref="P5:P7"/>
    <mergeCell ref="Q5:Q7"/>
    <mergeCell ref="J5:J7"/>
    <mergeCell ref="K5:K7"/>
    <mergeCell ref="L5:L7"/>
    <mergeCell ref="M5:M7"/>
    <mergeCell ref="N5:N7"/>
    <mergeCell ref="O5:O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4"/>
  <sheetViews>
    <sheetView tabSelected="1" zoomScalePageLayoutView="0" workbookViewId="0" topLeftCell="A1">
      <pane xSplit="1" ySplit="7" topLeftCell="O4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7" sqref="C57"/>
    </sheetView>
  </sheetViews>
  <sheetFormatPr defaultColWidth="11.5546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" width="11.5546875" style="4" customWidth="1"/>
    <col min="17" max="17" width="12.77734375" style="4" bestFit="1" customWidth="1"/>
    <col min="18" max="16384" width="11.5546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"/>
    </row>
    <row r="3" spans="1:15" ht="15.75">
      <c r="A3" s="40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1"/>
      <c r="O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28">+H8-I8</f>
        <v>60403.5</v>
      </c>
      <c r="K8" s="17">
        <v>116002.2</v>
      </c>
      <c r="L8" s="17">
        <v>27821.300000000003</v>
      </c>
      <c r="M8" s="20">
        <f aca="true" t="shared" si="3" ref="M8:M28">K8-L8</f>
        <v>88180.9</v>
      </c>
      <c r="N8" s="17">
        <v>0</v>
      </c>
      <c r="O8" s="17">
        <v>0</v>
      </c>
      <c r="P8" s="20">
        <f aca="true" t="shared" si="4" ref="P8:P28">+N8-O8</f>
        <v>0</v>
      </c>
      <c r="Q8" s="20">
        <f aca="true" t="shared" si="5" ref="Q8:Q28">SUM(J8+P8+M8)</f>
        <v>148584.4</v>
      </c>
    </row>
    <row r="9" spans="1:17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t="shared" si="3"/>
        <v>82636.4</v>
      </c>
      <c r="N9" s="17">
        <v>0</v>
      </c>
      <c r="O9" s="17">
        <v>0</v>
      </c>
      <c r="P9" s="20">
        <f t="shared" si="4"/>
        <v>0</v>
      </c>
      <c r="Q9" s="20">
        <f t="shared" si="5"/>
        <v>138945.9</v>
      </c>
    </row>
    <row r="10" spans="1:17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3"/>
        <v>106593.50000000003</v>
      </c>
      <c r="N10" s="17">
        <v>0</v>
      </c>
      <c r="O10" s="17">
        <v>0</v>
      </c>
      <c r="P10" s="20">
        <f t="shared" si="4"/>
        <v>0</v>
      </c>
      <c r="Q10" s="20">
        <f t="shared" si="5"/>
        <v>182426.80000000002</v>
      </c>
    </row>
    <row r="11" spans="1:17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3"/>
        <v>95759.5</v>
      </c>
      <c r="N11" s="17">
        <v>0</v>
      </c>
      <c r="O11" s="17">
        <v>0</v>
      </c>
      <c r="P11" s="20">
        <f t="shared" si="4"/>
        <v>0</v>
      </c>
      <c r="Q11" s="20">
        <f t="shared" si="5"/>
        <v>254851.69999999995</v>
      </c>
    </row>
    <row r="12" spans="1:17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3"/>
        <v>92328.9</v>
      </c>
      <c r="N12" s="17">
        <v>0</v>
      </c>
      <c r="O12" s="17">
        <v>0</v>
      </c>
      <c r="P12" s="20">
        <f t="shared" si="4"/>
        <v>0</v>
      </c>
      <c r="Q12" s="20">
        <f t="shared" si="5"/>
        <v>198113.40000000002</v>
      </c>
    </row>
    <row r="13" spans="1:17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3"/>
        <v>88724.5</v>
      </c>
      <c r="N13" s="17">
        <v>0</v>
      </c>
      <c r="O13" s="17">
        <v>0</v>
      </c>
      <c r="P13" s="20">
        <f t="shared" si="4"/>
        <v>0</v>
      </c>
      <c r="Q13" s="20">
        <f t="shared" si="5"/>
        <v>236966.39999999997</v>
      </c>
    </row>
    <row r="14" spans="1:17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3"/>
        <v>88222.40000000001</v>
      </c>
      <c r="N14" s="17">
        <v>0</v>
      </c>
      <c r="O14" s="17">
        <v>0</v>
      </c>
      <c r="P14" s="20">
        <f t="shared" si="4"/>
        <v>0</v>
      </c>
      <c r="Q14" s="20">
        <f t="shared" si="5"/>
        <v>222166.09999999998</v>
      </c>
    </row>
    <row r="15" spans="1:17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3"/>
        <v>119531.40000000002</v>
      </c>
      <c r="N15" s="17">
        <v>0</v>
      </c>
      <c r="O15" s="17">
        <v>0</v>
      </c>
      <c r="P15" s="20">
        <f t="shared" si="4"/>
        <v>0</v>
      </c>
      <c r="Q15" s="20">
        <f t="shared" si="5"/>
        <v>264497.60000000003</v>
      </c>
    </row>
    <row r="16" spans="1:17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3"/>
        <v>122176.10000000003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258389.80000000002</v>
      </c>
    </row>
    <row r="17" spans="1:17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3"/>
        <v>102210.99999999997</v>
      </c>
      <c r="N17" s="17">
        <v>0</v>
      </c>
      <c r="O17" s="17">
        <v>0</v>
      </c>
      <c r="P17" s="20">
        <f t="shared" si="4"/>
        <v>0</v>
      </c>
      <c r="Q17" s="20">
        <f t="shared" si="5"/>
        <v>196348.99999999994</v>
      </c>
    </row>
    <row r="18" spans="1:17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3"/>
        <v>98149.29999999999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167696.39999999997</v>
      </c>
    </row>
    <row r="19" spans="1:17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3"/>
        <v>112437.40000000001</v>
      </c>
      <c r="N19" s="17">
        <v>0</v>
      </c>
      <c r="O19" s="17">
        <v>0</v>
      </c>
      <c r="P19" s="20">
        <f t="shared" si="4"/>
        <v>0</v>
      </c>
      <c r="Q19" s="20">
        <f t="shared" si="5"/>
        <v>254051.00000000006</v>
      </c>
    </row>
    <row r="20" spans="1:17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3"/>
        <v>104483.19999999995</v>
      </c>
      <c r="N20" s="17">
        <v>0</v>
      </c>
      <c r="O20" s="17">
        <v>0</v>
      </c>
      <c r="P20" s="20">
        <f t="shared" si="4"/>
        <v>0</v>
      </c>
      <c r="Q20" s="20">
        <f t="shared" si="5"/>
        <v>247822.3</v>
      </c>
    </row>
    <row r="21" spans="1:17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3"/>
        <v>90655.79999999999</v>
      </c>
      <c r="N21" s="17">
        <v>0</v>
      </c>
      <c r="O21" s="17">
        <v>0</v>
      </c>
      <c r="P21" s="20">
        <f t="shared" si="4"/>
        <v>0</v>
      </c>
      <c r="Q21" s="20">
        <f t="shared" si="5"/>
        <v>224038.89999999997</v>
      </c>
    </row>
    <row r="22" spans="1:17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3"/>
        <v>88234.40000000002</v>
      </c>
      <c r="N22" s="17">
        <v>0</v>
      </c>
      <c r="O22" s="17">
        <v>0</v>
      </c>
      <c r="P22" s="20">
        <f t="shared" si="4"/>
        <v>0</v>
      </c>
      <c r="Q22" s="20">
        <f t="shared" si="5"/>
        <v>169475.8</v>
      </c>
    </row>
    <row r="23" spans="1:17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3"/>
        <v>123231.6</v>
      </c>
      <c r="N23" s="17">
        <v>0</v>
      </c>
      <c r="O23" s="17">
        <v>0</v>
      </c>
      <c r="P23" s="20">
        <f t="shared" si="4"/>
        <v>0</v>
      </c>
      <c r="Q23" s="20">
        <f t="shared" si="5"/>
        <v>205525.6</v>
      </c>
    </row>
    <row r="24" spans="1:17" s="13" customFormat="1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3"/>
        <v>118491.8</v>
      </c>
      <c r="N24" s="17">
        <v>0</v>
      </c>
      <c r="O24" s="17">
        <v>0</v>
      </c>
      <c r="P24" s="20">
        <f t="shared" si="4"/>
        <v>0</v>
      </c>
      <c r="Q24" s="20">
        <f t="shared" si="5"/>
        <v>186220.90000000002</v>
      </c>
    </row>
    <row r="25" spans="1:17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3"/>
        <v>78556.90000000002</v>
      </c>
      <c r="N25" s="17">
        <v>0</v>
      </c>
      <c r="O25" s="17">
        <v>0</v>
      </c>
      <c r="P25" s="20">
        <f t="shared" si="4"/>
        <v>0</v>
      </c>
      <c r="Q25" s="20">
        <f t="shared" si="5"/>
        <v>127864.90000000002</v>
      </c>
    </row>
    <row r="26" spans="1:17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3"/>
        <v>105595.8</v>
      </c>
      <c r="N26" s="17">
        <v>0</v>
      </c>
      <c r="O26" s="17">
        <v>0</v>
      </c>
      <c r="P26" s="20">
        <f t="shared" si="4"/>
        <v>0</v>
      </c>
      <c r="Q26" s="20">
        <f t="shared" si="5"/>
        <v>161010.29999999993</v>
      </c>
    </row>
    <row r="27" spans="1:17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3"/>
        <v>129708.8</v>
      </c>
      <c r="N27" s="17">
        <v>0</v>
      </c>
      <c r="O27" s="17">
        <v>0</v>
      </c>
      <c r="P27" s="20">
        <f t="shared" si="4"/>
        <v>0</v>
      </c>
      <c r="Q27" s="20">
        <f t="shared" si="5"/>
        <v>196637.7</v>
      </c>
    </row>
    <row r="28" spans="1:17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3"/>
        <v>149107</v>
      </c>
      <c r="N28" s="17">
        <v>0</v>
      </c>
      <c r="O28" s="17">
        <v>24.3</v>
      </c>
      <c r="P28" s="20">
        <f t="shared" si="4"/>
        <v>-24.3</v>
      </c>
      <c r="Q28" s="20">
        <f t="shared" si="5"/>
        <v>197829.60000000003</v>
      </c>
    </row>
    <row r="29" spans="1:17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6" ref="F29:F49">SUM(B29:E29)</f>
        <v>424881.7</v>
      </c>
      <c r="G29" s="17">
        <v>2913.4</v>
      </c>
      <c r="H29" s="17">
        <f aca="true" t="shared" si="7" ref="H29:H52">SUM(F29:G29)</f>
        <v>427795.10000000003</v>
      </c>
      <c r="I29" s="22">
        <v>370829.69999999995</v>
      </c>
      <c r="J29" s="19">
        <f aca="true" t="shared" si="8" ref="J29:J51">+H29-I29</f>
        <v>56965.40000000008</v>
      </c>
      <c r="K29" s="17">
        <v>165969.40000000002</v>
      </c>
      <c r="L29" s="17">
        <v>64040.99999999999</v>
      </c>
      <c r="M29" s="20">
        <f aca="true" t="shared" si="9" ref="M29:M40">K29-L29</f>
        <v>101928.40000000002</v>
      </c>
      <c r="N29" s="17">
        <v>0</v>
      </c>
      <c r="O29" s="17">
        <v>48.6</v>
      </c>
      <c r="P29" s="20">
        <f aca="true" t="shared" si="10" ref="P29:P50">+N29-O29</f>
        <v>-48.6</v>
      </c>
      <c r="Q29" s="20">
        <f aca="true" t="shared" si="11" ref="Q29:Q50">SUM(J29+P29+M29)</f>
        <v>158845.2000000001</v>
      </c>
    </row>
    <row r="30" spans="1:17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6"/>
        <v>456222.1</v>
      </c>
      <c r="G30" s="17">
        <v>3132.1000000000004</v>
      </c>
      <c r="H30" s="17">
        <f t="shared" si="7"/>
        <v>459354.19999999995</v>
      </c>
      <c r="I30" s="22">
        <v>380943.4</v>
      </c>
      <c r="J30" s="19">
        <f t="shared" si="8"/>
        <v>78410.79999999993</v>
      </c>
      <c r="K30" s="17">
        <v>183463.6</v>
      </c>
      <c r="L30" s="17">
        <v>97088.09999999999</v>
      </c>
      <c r="M30" s="20">
        <f t="shared" si="9"/>
        <v>86375.50000000001</v>
      </c>
      <c r="N30" s="17">
        <v>0</v>
      </c>
      <c r="O30" s="17">
        <v>72.9</v>
      </c>
      <c r="P30" s="20">
        <f t="shared" si="10"/>
        <v>-72.9</v>
      </c>
      <c r="Q30" s="20">
        <f t="shared" si="11"/>
        <v>164713.39999999997</v>
      </c>
    </row>
    <row r="31" spans="1:17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6"/>
        <v>495356.5999999999</v>
      </c>
      <c r="G31" s="17">
        <v>5966.9</v>
      </c>
      <c r="H31" s="17">
        <f t="shared" si="7"/>
        <v>501323.49999999994</v>
      </c>
      <c r="I31" s="22">
        <v>383189.69999999995</v>
      </c>
      <c r="J31" s="19">
        <f t="shared" si="8"/>
        <v>118133.79999999999</v>
      </c>
      <c r="K31" s="17">
        <v>201411.19999999998</v>
      </c>
      <c r="L31" s="17">
        <v>89788.90000000001</v>
      </c>
      <c r="M31" s="20">
        <f t="shared" si="9"/>
        <v>111622.29999999997</v>
      </c>
      <c r="N31" s="17">
        <v>0</v>
      </c>
      <c r="O31" s="17">
        <v>97.2</v>
      </c>
      <c r="P31" s="20">
        <f t="shared" si="10"/>
        <v>-97.2</v>
      </c>
      <c r="Q31" s="20">
        <f t="shared" si="11"/>
        <v>229658.89999999997</v>
      </c>
    </row>
    <row r="32" spans="1:17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6"/>
        <v>486663.19999999995</v>
      </c>
      <c r="G32" s="17">
        <v>4899.700000000001</v>
      </c>
      <c r="H32" s="17">
        <f t="shared" si="7"/>
        <v>491562.89999999997</v>
      </c>
      <c r="I32" s="22">
        <v>396544.3</v>
      </c>
      <c r="J32" s="19">
        <f t="shared" si="8"/>
        <v>95018.59999999998</v>
      </c>
      <c r="K32" s="17">
        <v>216698.30000000002</v>
      </c>
      <c r="L32" s="17">
        <v>100768.8</v>
      </c>
      <c r="M32" s="20">
        <f t="shared" si="9"/>
        <v>115929.50000000001</v>
      </c>
      <c r="N32" s="17">
        <v>0</v>
      </c>
      <c r="O32" s="17">
        <v>97.2</v>
      </c>
      <c r="P32" s="20">
        <f t="shared" si="10"/>
        <v>-97.2</v>
      </c>
      <c r="Q32" s="20">
        <f t="shared" si="11"/>
        <v>210850.9</v>
      </c>
    </row>
    <row r="33" spans="1:17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6"/>
        <v>484074.30000000005</v>
      </c>
      <c r="G33" s="17">
        <v>2530</v>
      </c>
      <c r="H33" s="17">
        <f t="shared" si="7"/>
        <v>486604.30000000005</v>
      </c>
      <c r="I33" s="22">
        <v>397532.8</v>
      </c>
      <c r="J33" s="19">
        <f t="shared" si="8"/>
        <v>89071.50000000006</v>
      </c>
      <c r="K33" s="17">
        <v>198408.8</v>
      </c>
      <c r="L33" s="17">
        <v>102707.5</v>
      </c>
      <c r="M33" s="20">
        <f t="shared" si="9"/>
        <v>95701.29999999999</v>
      </c>
      <c r="N33" s="17">
        <v>0</v>
      </c>
      <c r="O33" s="17">
        <v>97.1</v>
      </c>
      <c r="P33" s="20">
        <f t="shared" si="10"/>
        <v>-97.1</v>
      </c>
      <c r="Q33" s="20">
        <f t="shared" si="11"/>
        <v>184675.70000000004</v>
      </c>
    </row>
    <row r="34" spans="1:17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6"/>
        <v>516716.2</v>
      </c>
      <c r="G34" s="17">
        <v>8188.6</v>
      </c>
      <c r="H34" s="17">
        <f t="shared" si="7"/>
        <v>524904.8</v>
      </c>
      <c r="I34" s="22">
        <v>382067.5</v>
      </c>
      <c r="J34" s="19">
        <f t="shared" si="8"/>
        <v>142837.30000000005</v>
      </c>
      <c r="K34" s="17">
        <v>193925</v>
      </c>
      <c r="L34" s="17">
        <v>123903.5</v>
      </c>
      <c r="M34" s="20">
        <f t="shared" si="9"/>
        <v>70021.5</v>
      </c>
      <c r="N34" s="17">
        <v>0</v>
      </c>
      <c r="O34" s="17">
        <v>72.9</v>
      </c>
      <c r="P34" s="20">
        <f t="shared" si="10"/>
        <v>-72.9</v>
      </c>
      <c r="Q34" s="20">
        <f t="shared" si="11"/>
        <v>212785.90000000005</v>
      </c>
    </row>
    <row r="35" spans="1:17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6"/>
        <v>492731.19999999995</v>
      </c>
      <c r="G35" s="17">
        <v>8483.5</v>
      </c>
      <c r="H35" s="17">
        <f t="shared" si="7"/>
        <v>501214.69999999995</v>
      </c>
      <c r="I35" s="22">
        <v>372538.8</v>
      </c>
      <c r="J35" s="19">
        <f t="shared" si="8"/>
        <v>128675.89999999997</v>
      </c>
      <c r="K35" s="17">
        <v>199601.2</v>
      </c>
      <c r="L35" s="17">
        <v>147751.8</v>
      </c>
      <c r="M35" s="20">
        <f t="shared" si="9"/>
        <v>51849.40000000002</v>
      </c>
      <c r="N35" s="17">
        <v>0</v>
      </c>
      <c r="O35" s="17">
        <v>48.6</v>
      </c>
      <c r="P35" s="20">
        <f t="shared" si="10"/>
        <v>-48.6</v>
      </c>
      <c r="Q35" s="20">
        <f t="shared" si="11"/>
        <v>180476.69999999998</v>
      </c>
    </row>
    <row r="36" spans="1:17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6"/>
        <v>469403.29999999993</v>
      </c>
      <c r="G36" s="17">
        <v>3107.7</v>
      </c>
      <c r="H36" s="17">
        <f t="shared" si="7"/>
        <v>472510.99999999994</v>
      </c>
      <c r="I36" s="22">
        <v>356984.6</v>
      </c>
      <c r="J36" s="19">
        <f t="shared" si="8"/>
        <v>115526.39999999997</v>
      </c>
      <c r="K36" s="17">
        <v>191610</v>
      </c>
      <c r="L36" s="17">
        <v>146245.4</v>
      </c>
      <c r="M36" s="20">
        <f t="shared" si="9"/>
        <v>45364.600000000006</v>
      </c>
      <c r="N36" s="17">
        <v>0</v>
      </c>
      <c r="O36" s="17">
        <v>24.3</v>
      </c>
      <c r="P36" s="20">
        <f t="shared" si="10"/>
        <v>-24.3</v>
      </c>
      <c r="Q36" s="20">
        <f t="shared" si="11"/>
        <v>160866.69999999995</v>
      </c>
    </row>
    <row r="37" spans="1:17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6"/>
        <v>371202.4</v>
      </c>
      <c r="G37" s="17">
        <v>2014.8000000000002</v>
      </c>
      <c r="H37" s="17">
        <f t="shared" si="7"/>
        <v>373217.2</v>
      </c>
      <c r="I37" s="22">
        <v>361289.7</v>
      </c>
      <c r="J37" s="19">
        <f t="shared" si="8"/>
        <v>11927.5</v>
      </c>
      <c r="K37" s="17">
        <v>192773.59999999998</v>
      </c>
      <c r="L37" s="17">
        <v>139562.5</v>
      </c>
      <c r="M37" s="20">
        <f t="shared" si="9"/>
        <v>53211.09999999998</v>
      </c>
      <c r="N37" s="17">
        <v>0</v>
      </c>
      <c r="O37" s="17">
        <v>0</v>
      </c>
      <c r="P37" s="20">
        <f t="shared" si="10"/>
        <v>0</v>
      </c>
      <c r="Q37" s="20">
        <f t="shared" si="11"/>
        <v>65138.59999999998</v>
      </c>
    </row>
    <row r="38" spans="1:17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6"/>
        <v>272718.7</v>
      </c>
      <c r="G38" s="17">
        <v>1536</v>
      </c>
      <c r="H38" s="17">
        <f t="shared" si="7"/>
        <v>274254.7</v>
      </c>
      <c r="I38" s="22">
        <v>351304.8</v>
      </c>
      <c r="J38" s="51">
        <f t="shared" si="8"/>
        <v>-77050.09999999998</v>
      </c>
      <c r="K38" s="17">
        <v>179072.1</v>
      </c>
      <c r="L38" s="17">
        <v>135266.6</v>
      </c>
      <c r="M38" s="20">
        <f t="shared" si="9"/>
        <v>43805.5</v>
      </c>
      <c r="N38" s="17">
        <v>0</v>
      </c>
      <c r="O38" s="17">
        <v>0</v>
      </c>
      <c r="P38" s="20">
        <f t="shared" si="10"/>
        <v>0</v>
      </c>
      <c r="Q38" s="20">
        <f t="shared" si="11"/>
        <v>-33244.59999999998</v>
      </c>
    </row>
    <row r="39" spans="1:17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6"/>
        <v>220530</v>
      </c>
      <c r="G39" s="17">
        <v>1299.6000000000001</v>
      </c>
      <c r="H39" s="17">
        <f t="shared" si="7"/>
        <v>221829.6</v>
      </c>
      <c r="I39" s="22">
        <v>354815.2</v>
      </c>
      <c r="J39" s="51">
        <f t="shared" si="8"/>
        <v>-132985.6</v>
      </c>
      <c r="K39" s="17">
        <v>206869.5</v>
      </c>
      <c r="L39" s="17">
        <v>150034</v>
      </c>
      <c r="M39" s="20">
        <f t="shared" si="9"/>
        <v>56835.5</v>
      </c>
      <c r="N39" s="17">
        <v>0</v>
      </c>
      <c r="O39" s="17">
        <v>0</v>
      </c>
      <c r="P39" s="20">
        <f t="shared" si="10"/>
        <v>0</v>
      </c>
      <c r="Q39" s="20">
        <f t="shared" si="11"/>
        <v>-76150.1</v>
      </c>
    </row>
    <row r="40" spans="1:17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6"/>
        <v>152790.6</v>
      </c>
      <c r="G40" s="17">
        <v>2429.2</v>
      </c>
      <c r="H40" s="17">
        <f t="shared" si="7"/>
        <v>155219.80000000002</v>
      </c>
      <c r="I40" s="22">
        <v>350173.8</v>
      </c>
      <c r="J40" s="51">
        <f t="shared" si="8"/>
        <v>-194953.99999999997</v>
      </c>
      <c r="K40" s="17">
        <v>182809.69999999998</v>
      </c>
      <c r="L40" s="17">
        <v>148879.5</v>
      </c>
      <c r="M40" s="20">
        <f t="shared" si="9"/>
        <v>33930.19999999998</v>
      </c>
      <c r="N40" s="17">
        <v>0</v>
      </c>
      <c r="O40" s="17">
        <v>0</v>
      </c>
      <c r="P40" s="20">
        <f t="shared" si="10"/>
        <v>0</v>
      </c>
      <c r="Q40" s="20">
        <f t="shared" si="11"/>
        <v>-161023.8</v>
      </c>
    </row>
    <row r="41" spans="1:17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6"/>
        <v>163508.6</v>
      </c>
      <c r="G41" s="17">
        <v>2326.8</v>
      </c>
      <c r="H41" s="17">
        <f t="shared" si="7"/>
        <v>165835.4</v>
      </c>
      <c r="I41" s="22">
        <v>351838.8</v>
      </c>
      <c r="J41" s="51">
        <f t="shared" si="8"/>
        <v>-186003.4</v>
      </c>
      <c r="K41" s="17">
        <v>163223.69999999998</v>
      </c>
      <c r="L41" s="17">
        <v>143107</v>
      </c>
      <c r="M41" s="20">
        <f>K41-L41</f>
        <v>20116.699999999983</v>
      </c>
      <c r="N41" s="17">
        <v>0</v>
      </c>
      <c r="O41" s="17">
        <v>0</v>
      </c>
      <c r="P41" s="20">
        <f t="shared" si="10"/>
        <v>0</v>
      </c>
      <c r="Q41" s="20">
        <f t="shared" si="11"/>
        <v>-165886.7</v>
      </c>
    </row>
    <row r="42" spans="1:17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6"/>
        <v>152829.4</v>
      </c>
      <c r="G42" s="17">
        <v>4564.1</v>
      </c>
      <c r="H42" s="17">
        <f t="shared" si="7"/>
        <v>157393.5</v>
      </c>
      <c r="I42" s="22">
        <v>338994.5</v>
      </c>
      <c r="J42" s="51">
        <f t="shared" si="8"/>
        <v>-181601</v>
      </c>
      <c r="K42" s="17">
        <v>129120.3</v>
      </c>
      <c r="L42" s="17">
        <v>139965.1</v>
      </c>
      <c r="M42" s="20">
        <f aca="true" t="shared" si="12" ref="M42:M56">K42-L42</f>
        <v>-10844.800000000003</v>
      </c>
      <c r="N42" s="17">
        <v>0</v>
      </c>
      <c r="O42" s="17">
        <v>0</v>
      </c>
      <c r="P42" s="20">
        <f t="shared" si="10"/>
        <v>0</v>
      </c>
      <c r="Q42" s="20">
        <f t="shared" si="11"/>
        <v>-192445.8</v>
      </c>
    </row>
    <row r="43" spans="1:17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6"/>
        <v>161011</v>
      </c>
      <c r="G43" s="17">
        <v>5423.700000000001</v>
      </c>
      <c r="H43" s="17">
        <f t="shared" si="7"/>
        <v>166434.7</v>
      </c>
      <c r="I43" s="22">
        <v>328508.5</v>
      </c>
      <c r="J43" s="51">
        <f t="shared" si="8"/>
        <v>-162073.8</v>
      </c>
      <c r="K43" s="17">
        <v>125486.1</v>
      </c>
      <c r="L43" s="17">
        <v>139935.4</v>
      </c>
      <c r="M43" s="20">
        <f t="shared" si="12"/>
        <v>-14449.299999999988</v>
      </c>
      <c r="N43" s="17">
        <v>0</v>
      </c>
      <c r="O43" s="17">
        <v>0</v>
      </c>
      <c r="P43" s="20">
        <f t="shared" si="10"/>
        <v>0</v>
      </c>
      <c r="Q43" s="20">
        <f t="shared" si="11"/>
        <v>-176523.09999999998</v>
      </c>
    </row>
    <row r="44" spans="1:17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6"/>
        <v>174718.59999999998</v>
      </c>
      <c r="G44" s="17">
        <v>20073.7</v>
      </c>
      <c r="H44" s="17">
        <f t="shared" si="7"/>
        <v>194792.3</v>
      </c>
      <c r="I44" s="22">
        <v>327928.2</v>
      </c>
      <c r="J44" s="51">
        <f t="shared" si="8"/>
        <v>-133135.90000000002</v>
      </c>
      <c r="K44" s="17">
        <v>118563.4</v>
      </c>
      <c r="L44" s="17">
        <v>150057.7</v>
      </c>
      <c r="M44" s="20">
        <f>K44-L44</f>
        <v>-31494.300000000017</v>
      </c>
      <c r="N44" s="17">
        <v>0</v>
      </c>
      <c r="O44" s="17">
        <v>0</v>
      </c>
      <c r="P44" s="20">
        <f t="shared" si="10"/>
        <v>0</v>
      </c>
      <c r="Q44" s="20">
        <f t="shared" si="11"/>
        <v>-164630.20000000004</v>
      </c>
    </row>
    <row r="45" spans="1:17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6"/>
        <v>179458.59999999998</v>
      </c>
      <c r="G45" s="17">
        <v>21369</v>
      </c>
      <c r="H45" s="17">
        <f t="shared" si="7"/>
        <v>200827.59999999998</v>
      </c>
      <c r="I45" s="22">
        <v>341304.6</v>
      </c>
      <c r="J45" s="51">
        <f t="shared" si="8"/>
        <v>-140477</v>
      </c>
      <c r="K45" s="17">
        <v>153908.6</v>
      </c>
      <c r="L45" s="17">
        <v>166549</v>
      </c>
      <c r="M45" s="20">
        <f t="shared" si="12"/>
        <v>-12640.399999999994</v>
      </c>
      <c r="N45" s="17">
        <v>0</v>
      </c>
      <c r="O45" s="17">
        <v>0</v>
      </c>
      <c r="P45" s="20">
        <f t="shared" si="10"/>
        <v>0</v>
      </c>
      <c r="Q45" s="20">
        <f t="shared" si="11"/>
        <v>-153117.4</v>
      </c>
    </row>
    <row r="46" spans="1:17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6"/>
        <v>174725.3</v>
      </c>
      <c r="G46" s="17">
        <v>24003.100000000002</v>
      </c>
      <c r="H46" s="17">
        <f t="shared" si="7"/>
        <v>198728.4</v>
      </c>
      <c r="I46" s="22">
        <v>332752.2</v>
      </c>
      <c r="J46" s="51">
        <f t="shared" si="8"/>
        <v>-134023.80000000002</v>
      </c>
      <c r="K46" s="17">
        <v>141770</v>
      </c>
      <c r="L46" s="17">
        <v>184125.7</v>
      </c>
      <c r="M46" s="20">
        <f t="shared" si="12"/>
        <v>-42355.70000000001</v>
      </c>
      <c r="N46" s="17">
        <v>0</v>
      </c>
      <c r="O46" s="17">
        <v>0</v>
      </c>
      <c r="P46" s="20">
        <f t="shared" si="10"/>
        <v>0</v>
      </c>
      <c r="Q46" s="20">
        <f t="shared" si="11"/>
        <v>-176379.50000000003</v>
      </c>
    </row>
    <row r="47" spans="1:17" ht="15.75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6"/>
        <v>180587.6</v>
      </c>
      <c r="G47" s="17">
        <v>13412.6</v>
      </c>
      <c r="H47" s="17">
        <f t="shared" si="7"/>
        <v>194000.2</v>
      </c>
      <c r="I47" s="22">
        <v>338480.6</v>
      </c>
      <c r="J47" s="51">
        <f t="shared" si="8"/>
        <v>-144480.39999999997</v>
      </c>
      <c r="K47" s="17">
        <v>146133</v>
      </c>
      <c r="L47" s="17">
        <v>156052.6</v>
      </c>
      <c r="M47" s="20">
        <f t="shared" si="12"/>
        <v>-9919.600000000006</v>
      </c>
      <c r="N47" s="17">
        <v>0</v>
      </c>
      <c r="O47" s="17">
        <v>0</v>
      </c>
      <c r="P47" s="20">
        <f t="shared" si="10"/>
        <v>0</v>
      </c>
      <c r="Q47" s="20">
        <f t="shared" si="11"/>
        <v>-154399.99999999997</v>
      </c>
    </row>
    <row r="48" spans="1:17" ht="15.75">
      <c r="A48" s="48">
        <v>43160</v>
      </c>
      <c r="B48" s="17">
        <v>2273.1</v>
      </c>
      <c r="C48" s="17">
        <v>2190.5</v>
      </c>
      <c r="D48" s="17">
        <v>51595.2</v>
      </c>
      <c r="E48" s="17">
        <v>72076.2</v>
      </c>
      <c r="F48" s="17">
        <f t="shared" si="6"/>
        <v>128135</v>
      </c>
      <c r="G48" s="49">
        <v>25145.4</v>
      </c>
      <c r="H48" s="46">
        <f t="shared" si="7"/>
        <v>153280.4</v>
      </c>
      <c r="I48" s="50">
        <v>333390.39999999997</v>
      </c>
      <c r="J48" s="51">
        <f t="shared" si="8"/>
        <v>-180109.99999999997</v>
      </c>
      <c r="K48" s="49">
        <v>169526.8</v>
      </c>
      <c r="L48" s="49">
        <v>158712.3</v>
      </c>
      <c r="M48" s="20">
        <f t="shared" si="12"/>
        <v>10814.5</v>
      </c>
      <c r="N48" s="17">
        <v>0</v>
      </c>
      <c r="O48" s="49">
        <v>0</v>
      </c>
      <c r="P48" s="20">
        <f t="shared" si="10"/>
        <v>0</v>
      </c>
      <c r="Q48" s="20">
        <f t="shared" si="11"/>
        <v>-169295.49999999997</v>
      </c>
    </row>
    <row r="49" spans="1:17" ht="15.75">
      <c r="A49" s="48">
        <v>43281</v>
      </c>
      <c r="B49" s="17">
        <v>2150.9</v>
      </c>
      <c r="C49" s="17">
        <v>6825.3</v>
      </c>
      <c r="D49" s="17">
        <v>50216.8</v>
      </c>
      <c r="E49" s="17">
        <v>71726.6</v>
      </c>
      <c r="F49" s="46">
        <f t="shared" si="6"/>
        <v>130919.6</v>
      </c>
      <c r="G49" s="17">
        <v>18030.300000000003</v>
      </c>
      <c r="H49" s="46">
        <f t="shared" si="7"/>
        <v>148949.90000000002</v>
      </c>
      <c r="I49" s="22">
        <v>324229</v>
      </c>
      <c r="J49" s="51">
        <f t="shared" si="8"/>
        <v>-175279.09999999998</v>
      </c>
      <c r="K49" s="17">
        <v>172314.9</v>
      </c>
      <c r="L49" s="17">
        <v>198291.5</v>
      </c>
      <c r="M49" s="20">
        <f t="shared" si="12"/>
        <v>-25976.600000000006</v>
      </c>
      <c r="N49" s="17">
        <v>0</v>
      </c>
      <c r="O49" s="17">
        <v>0</v>
      </c>
      <c r="P49" s="20">
        <f t="shared" si="10"/>
        <v>0</v>
      </c>
      <c r="Q49" s="20">
        <f t="shared" si="11"/>
        <v>-201255.69999999998</v>
      </c>
    </row>
    <row r="50" spans="1:17" ht="15.75">
      <c r="A50" s="48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46">
        <f aca="true" t="shared" si="13" ref="F50:F56">SUM(B50:E50)</f>
        <v>105233</v>
      </c>
      <c r="G50" s="17">
        <v>19294.5</v>
      </c>
      <c r="H50" s="46">
        <f t="shared" si="7"/>
        <v>124527.5</v>
      </c>
      <c r="I50" s="22">
        <v>309614.2</v>
      </c>
      <c r="J50" s="51">
        <f t="shared" si="8"/>
        <v>-185086.7</v>
      </c>
      <c r="K50" s="17">
        <v>144618</v>
      </c>
      <c r="L50" s="17">
        <v>176524.4</v>
      </c>
      <c r="M50" s="20">
        <f t="shared" si="12"/>
        <v>-31906.399999999994</v>
      </c>
      <c r="N50" s="17">
        <v>0</v>
      </c>
      <c r="O50" s="17">
        <v>291.60000000006403</v>
      </c>
      <c r="P50" s="20">
        <f t="shared" si="10"/>
        <v>-291.60000000006403</v>
      </c>
      <c r="Q50" s="20">
        <f t="shared" si="11"/>
        <v>-217284.70000000007</v>
      </c>
    </row>
    <row r="51" spans="1:17" ht="15.75">
      <c r="A51" s="48">
        <v>43438</v>
      </c>
      <c r="B51" s="17">
        <v>2234.6</v>
      </c>
      <c r="C51" s="17">
        <v>12311.3</v>
      </c>
      <c r="D51" s="17">
        <v>48581.8</v>
      </c>
      <c r="E51" s="17">
        <v>63908.6</v>
      </c>
      <c r="F51" s="46">
        <f t="shared" si="13"/>
        <v>127036.3</v>
      </c>
      <c r="G51" s="17">
        <v>18570.800000000003</v>
      </c>
      <c r="H51" s="46">
        <f>+F51+G51</f>
        <v>145607.1</v>
      </c>
      <c r="I51" s="22">
        <v>310824.2</v>
      </c>
      <c r="J51" s="51">
        <f t="shared" si="8"/>
        <v>-165217.1</v>
      </c>
      <c r="K51" s="17">
        <v>144238.8</v>
      </c>
      <c r="L51" s="17">
        <v>182222.7</v>
      </c>
      <c r="M51" s="20">
        <f t="shared" si="12"/>
        <v>-37983.90000000002</v>
      </c>
      <c r="N51" s="17">
        <v>0</v>
      </c>
      <c r="O51" s="17">
        <v>0</v>
      </c>
      <c r="P51" s="20">
        <f>N51-O51</f>
        <v>0</v>
      </c>
      <c r="Q51" s="20">
        <f>SUM(J51,M51,P51)</f>
        <v>-203201.00000000003</v>
      </c>
    </row>
    <row r="52" spans="1:17" ht="15.75">
      <c r="A52" s="48">
        <v>43555</v>
      </c>
      <c r="B52" s="17">
        <v>2278.8</v>
      </c>
      <c r="C52" s="17">
        <v>1988.7</v>
      </c>
      <c r="D52" s="17">
        <v>48999.1</v>
      </c>
      <c r="E52" s="17">
        <f>4857.7+39331.3+5157.8</f>
        <v>49346.8</v>
      </c>
      <c r="F52" s="46">
        <f t="shared" si="13"/>
        <v>102613.4</v>
      </c>
      <c r="G52" s="17">
        <f>28271.1+1198.4</f>
        <v>29469.5</v>
      </c>
      <c r="H52" s="46">
        <f t="shared" si="7"/>
        <v>132082.9</v>
      </c>
      <c r="I52" s="22">
        <v>298865.3</v>
      </c>
      <c r="J52" s="51">
        <f>+H52-I52</f>
        <v>-166782.4</v>
      </c>
      <c r="K52" s="17">
        <f>134128+96.8+57.9</f>
        <v>134282.69999999998</v>
      </c>
      <c r="L52" s="17">
        <v>196903.4</v>
      </c>
      <c r="M52" s="20">
        <f t="shared" si="12"/>
        <v>-62620.70000000001</v>
      </c>
      <c r="N52" s="17">
        <v>0</v>
      </c>
      <c r="O52" s="17">
        <v>0</v>
      </c>
      <c r="P52" s="20">
        <f>+N52-O52</f>
        <v>0</v>
      </c>
      <c r="Q52" s="20">
        <f>SUM(J52+P52+M52)</f>
        <v>-229403.1</v>
      </c>
    </row>
    <row r="53" spans="1:17" ht="15.75">
      <c r="A53" s="48">
        <v>43617</v>
      </c>
      <c r="B53" s="17">
        <v>2523</v>
      </c>
      <c r="C53" s="17">
        <v>1597.4</v>
      </c>
      <c r="D53" s="17">
        <v>49578.9</v>
      </c>
      <c r="E53" s="17">
        <f>9191.7+71382.3+5213.1</f>
        <v>85787.1</v>
      </c>
      <c r="F53" s="46">
        <f t="shared" si="13"/>
        <v>139486.40000000002</v>
      </c>
      <c r="G53" s="17">
        <f>30635.2+7031.5</f>
        <v>37666.7</v>
      </c>
      <c r="H53" s="46">
        <f>+F53+G53</f>
        <v>177153.10000000003</v>
      </c>
      <c r="I53" s="22">
        <v>298866.2</v>
      </c>
      <c r="J53" s="51">
        <f>+H53-I53</f>
        <v>-121713.09999999998</v>
      </c>
      <c r="K53" s="17">
        <f>126988.2+96.8+35.2</f>
        <v>127120.2</v>
      </c>
      <c r="L53" s="17">
        <v>199660</v>
      </c>
      <c r="M53" s="20">
        <f t="shared" si="12"/>
        <v>-72539.8</v>
      </c>
      <c r="N53" s="17">
        <v>0</v>
      </c>
      <c r="O53" s="17">
        <v>0</v>
      </c>
      <c r="P53" s="20">
        <v>0</v>
      </c>
      <c r="Q53" s="20">
        <f>SUM(J53,M53,P53)</f>
        <v>-194252.89999999997</v>
      </c>
    </row>
    <row r="54" spans="1:17" ht="15.75">
      <c r="A54" s="21">
        <v>44104</v>
      </c>
      <c r="B54" s="17">
        <v>3528.4</v>
      </c>
      <c r="C54" s="17">
        <v>18693</v>
      </c>
      <c r="D54" s="17">
        <v>26765.9</v>
      </c>
      <c r="E54" s="17">
        <f>9937.5+75847.9+5617.7</f>
        <v>91403.09999999999</v>
      </c>
      <c r="F54" s="17">
        <f t="shared" si="13"/>
        <v>140390.4</v>
      </c>
      <c r="G54" s="17">
        <f>56212.5+4763.1</f>
        <v>60975.6</v>
      </c>
      <c r="H54" s="17">
        <f>+F54+G54</f>
        <v>201366</v>
      </c>
      <c r="I54" s="22">
        <v>352390.2</v>
      </c>
      <c r="J54" s="20">
        <f>+H54-I54</f>
        <v>-151024.2</v>
      </c>
      <c r="K54" s="17">
        <f>161082.7+96.8+181.2</f>
        <v>161360.7</v>
      </c>
      <c r="L54" s="17">
        <v>290249.10000000003</v>
      </c>
      <c r="M54" s="20">
        <f t="shared" si="12"/>
        <v>-128888.40000000002</v>
      </c>
      <c r="N54" s="17">
        <v>0</v>
      </c>
      <c r="O54" s="17">
        <v>0</v>
      </c>
      <c r="P54" s="20">
        <v>0</v>
      </c>
      <c r="Q54" s="20">
        <f>SUM(J54,M54,P54)</f>
        <v>-279912.60000000003</v>
      </c>
    </row>
    <row r="55" spans="1:17" ht="18">
      <c r="A55" s="21" t="s">
        <v>51</v>
      </c>
      <c r="B55" s="17">
        <v>3553.5</v>
      </c>
      <c r="C55" s="17">
        <v>17838.6</v>
      </c>
      <c r="D55" s="17">
        <v>29695.1</v>
      </c>
      <c r="E55" s="17">
        <f>12066.9+114580.7+5839.6</f>
        <v>132487.19999999998</v>
      </c>
      <c r="F55" s="17">
        <f t="shared" si="13"/>
        <v>183574.39999999997</v>
      </c>
      <c r="G55" s="17">
        <f>62535.2+4763.1</f>
        <v>67298.3</v>
      </c>
      <c r="H55" s="17">
        <f>+F55+G55</f>
        <v>250872.69999999995</v>
      </c>
      <c r="I55" s="22">
        <v>343978</v>
      </c>
      <c r="J55" s="20">
        <f>+H55-I55</f>
        <v>-93105.30000000005</v>
      </c>
      <c r="K55" s="17">
        <f>194169.6+75.1+1532.3</f>
        <v>195777</v>
      </c>
      <c r="L55" s="17">
        <v>307687.8</v>
      </c>
      <c r="M55" s="20">
        <f t="shared" si="12"/>
        <v>-111910.79999999999</v>
      </c>
      <c r="N55" s="17">
        <v>0</v>
      </c>
      <c r="O55" s="17">
        <v>0</v>
      </c>
      <c r="P55" s="20">
        <v>0</v>
      </c>
      <c r="Q55" s="20">
        <f>SUM(J55,M55,P55)</f>
        <v>-205016.10000000003</v>
      </c>
    </row>
    <row r="56" spans="1:17" ht="18">
      <c r="A56" s="21" t="s">
        <v>56</v>
      </c>
      <c r="B56" s="17">
        <v>3188</v>
      </c>
      <c r="C56" s="17">
        <v>17639.2</v>
      </c>
      <c r="D56" s="17">
        <v>29182.2</v>
      </c>
      <c r="E56" s="17">
        <f>9031.4+84143.7+5674.3</f>
        <v>98849.4</v>
      </c>
      <c r="F56" s="17">
        <f t="shared" si="13"/>
        <v>148858.8</v>
      </c>
      <c r="G56" s="17">
        <f>59116.1+4763.1</f>
        <v>63879.2</v>
      </c>
      <c r="H56" s="17">
        <f>+F56+G56</f>
        <v>212738</v>
      </c>
      <c r="I56" s="22">
        <v>331861.9</v>
      </c>
      <c r="J56" s="20">
        <f>+H56-I56</f>
        <v>-119123.90000000002</v>
      </c>
      <c r="K56" s="17">
        <f>210038.9+75.1+71.7</f>
        <v>210185.7</v>
      </c>
      <c r="L56" s="17">
        <f>563.7+73.8+318141.6</f>
        <v>318779.1</v>
      </c>
      <c r="M56" s="20">
        <f t="shared" si="12"/>
        <v>-108593.39999999997</v>
      </c>
      <c r="N56" s="17">
        <v>0</v>
      </c>
      <c r="O56" s="17">
        <v>0</v>
      </c>
      <c r="P56" s="20">
        <v>0</v>
      </c>
      <c r="Q56" s="20">
        <f>SUM(J56,M56,P56)</f>
        <v>-227717.3</v>
      </c>
    </row>
    <row r="57" spans="1:17" ht="15.75">
      <c r="A57" s="48"/>
      <c r="B57" s="49"/>
      <c r="C57" s="49"/>
      <c r="D57" s="49"/>
      <c r="E57" s="49"/>
      <c r="F57" s="49"/>
      <c r="G57" s="49"/>
      <c r="H57" s="49"/>
      <c r="I57" s="50"/>
      <c r="J57" s="50"/>
      <c r="K57" s="49"/>
      <c r="L57" s="49"/>
      <c r="M57" s="51"/>
      <c r="N57" s="49"/>
      <c r="O57" s="49"/>
      <c r="P57" s="51"/>
      <c r="Q57" s="53"/>
    </row>
    <row r="58" spans="1:17" ht="12.75">
      <c r="A58" s="52" t="s">
        <v>11</v>
      </c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8"/>
      <c r="N58" s="6"/>
      <c r="O58" s="6"/>
      <c r="P58" s="8"/>
      <c r="Q58" s="9"/>
    </row>
    <row r="59" ht="12.75">
      <c r="P59" s="12"/>
    </row>
    <row r="60" ht="12.75">
      <c r="P60" s="12"/>
    </row>
    <row r="61" ht="12.75">
      <c r="P61" s="12"/>
    </row>
    <row r="62" ht="12.75">
      <c r="P62" s="12"/>
    </row>
    <row r="63" ht="12.75">
      <c r="P63" s="12"/>
    </row>
    <row r="64" ht="12.75">
      <c r="P64" s="12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2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5" sqref="C25"/>
    </sheetView>
  </sheetViews>
  <sheetFormatPr defaultColWidth="11.5546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5.21484375" style="0" customWidth="1"/>
    <col min="10" max="10" width="13.10546875" style="0" customWidth="1"/>
    <col min="11" max="11" width="10.99609375" style="0" customWidth="1"/>
    <col min="12" max="12" width="11.99609375" style="0" customWidth="1"/>
    <col min="13" max="13" width="12.21484375" style="0" customWidth="1"/>
    <col min="14" max="14" width="9.21484375" style="0" customWidth="1"/>
    <col min="15" max="15" width="11.5546875" style="0" customWidth="1"/>
    <col min="16" max="16" width="13.99609375" style="0" customWidth="1"/>
    <col min="17" max="17" width="12.77734375" style="0" bestFit="1" customWidth="1"/>
  </cols>
  <sheetData>
    <row r="1" ht="15.75">
      <c r="A1" s="32" t="s">
        <v>34</v>
      </c>
    </row>
    <row r="2" spans="1:14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44"/>
      <c r="B3" s="41"/>
      <c r="C3" s="41"/>
      <c r="D3" s="41"/>
      <c r="E3" s="41"/>
      <c r="F3" s="41"/>
      <c r="G3" s="41"/>
      <c r="H3" s="41"/>
      <c r="I3" s="45"/>
      <c r="J3" s="41"/>
      <c r="K3" s="14"/>
      <c r="L3" s="14"/>
      <c r="M3" s="16"/>
      <c r="N3" s="41"/>
    </row>
    <row r="4" spans="1:17" s="4" customFormat="1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s="4" customFormat="1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61" t="s">
        <v>8</v>
      </c>
      <c r="L5" s="61" t="s">
        <v>12</v>
      </c>
      <c r="M5" s="61" t="s">
        <v>13</v>
      </c>
      <c r="N5" s="61" t="s">
        <v>8</v>
      </c>
      <c r="O5" s="61" t="s">
        <v>12</v>
      </c>
      <c r="P5" s="61" t="s">
        <v>13</v>
      </c>
      <c r="Q5" s="61" t="s">
        <v>14</v>
      </c>
    </row>
    <row r="6" spans="1:17" s="4" customFormat="1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62"/>
      <c r="L6" s="62"/>
      <c r="M6" s="62"/>
      <c r="N6" s="62"/>
      <c r="O6" s="62"/>
      <c r="P6" s="62"/>
      <c r="Q6" s="62"/>
    </row>
    <row r="7" spans="1:17" s="4" customFormat="1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3"/>
      <c r="L7" s="63"/>
      <c r="M7" s="63"/>
      <c r="N7" s="63"/>
      <c r="O7" s="63"/>
      <c r="P7" s="63"/>
      <c r="Q7" s="63"/>
    </row>
    <row r="8" spans="1:17" s="4" customFormat="1" ht="15.75">
      <c r="A8" s="4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7">SUM(B8:E8)</f>
        <v>329266.3</v>
      </c>
      <c r="G8" s="17">
        <v>5223.6</v>
      </c>
      <c r="H8" s="17">
        <f aca="true" t="shared" si="1" ref="H8:H17">SUM(F8:G8)</f>
        <v>334489.89999999997</v>
      </c>
      <c r="I8" s="18">
        <v>175397.7</v>
      </c>
      <c r="J8" s="19">
        <f aca="true" t="shared" si="2" ref="J8:J17">+H8-I8</f>
        <v>159092.19999999995</v>
      </c>
      <c r="K8" s="17">
        <v>125768.90000000001</v>
      </c>
      <c r="L8" s="17">
        <v>30009.40000000001</v>
      </c>
      <c r="M8" s="20">
        <f aca="true" t="shared" si="3" ref="M8:M15">K8-L8</f>
        <v>95759.5</v>
      </c>
      <c r="N8" s="17">
        <v>0</v>
      </c>
      <c r="O8" s="17">
        <v>0</v>
      </c>
      <c r="P8" s="20">
        <f aca="true" t="shared" si="4" ref="P8:P17">+N8-O8</f>
        <v>0</v>
      </c>
      <c r="Q8" s="20">
        <f aca="true" t="shared" si="5" ref="Q8:Q17">SUM(J8+P8+M8)</f>
        <v>254851.69999999995</v>
      </c>
    </row>
    <row r="9" spans="1:17" s="4" customFormat="1" ht="15.75">
      <c r="A9" s="4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t="shared" si="3"/>
        <v>119531.40000000002</v>
      </c>
      <c r="N9" s="17">
        <v>0</v>
      </c>
      <c r="O9" s="17">
        <v>0</v>
      </c>
      <c r="P9" s="20">
        <f t="shared" si="4"/>
        <v>0</v>
      </c>
      <c r="Q9" s="20">
        <f t="shared" si="5"/>
        <v>264497.60000000003</v>
      </c>
    </row>
    <row r="10" spans="1:17" s="4" customFormat="1" ht="15.75">
      <c r="A10" s="4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3"/>
        <v>112437.40000000001</v>
      </c>
      <c r="N10" s="17">
        <v>0</v>
      </c>
      <c r="O10" s="17">
        <v>0</v>
      </c>
      <c r="P10" s="20">
        <f t="shared" si="4"/>
        <v>0</v>
      </c>
      <c r="Q10" s="20">
        <f t="shared" si="5"/>
        <v>254051.00000000006</v>
      </c>
    </row>
    <row r="11" spans="1:17" s="4" customFormat="1" ht="15.75">
      <c r="A11" s="4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3"/>
        <v>123231.6</v>
      </c>
      <c r="N11" s="17">
        <v>0</v>
      </c>
      <c r="O11" s="17">
        <v>0</v>
      </c>
      <c r="P11" s="20">
        <f t="shared" si="4"/>
        <v>0</v>
      </c>
      <c r="Q11" s="20">
        <f t="shared" si="5"/>
        <v>205525.6</v>
      </c>
    </row>
    <row r="12" spans="1:17" s="13" customFormat="1" ht="15.75">
      <c r="A12" s="4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3"/>
        <v>129708.8</v>
      </c>
      <c r="N12" s="17">
        <v>0</v>
      </c>
      <c r="O12" s="17">
        <v>0</v>
      </c>
      <c r="P12" s="20">
        <f t="shared" si="4"/>
        <v>0</v>
      </c>
      <c r="Q12" s="20">
        <f t="shared" si="5"/>
        <v>196637.7</v>
      </c>
    </row>
    <row r="13" spans="1:17" s="4" customFormat="1" ht="15.75">
      <c r="A13" s="4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3"/>
        <v>111622.29999999997</v>
      </c>
      <c r="N13" s="17">
        <v>0</v>
      </c>
      <c r="O13" s="17">
        <v>97.2</v>
      </c>
      <c r="P13" s="20">
        <f t="shared" si="4"/>
        <v>-97.2</v>
      </c>
      <c r="Q13" s="20">
        <f t="shared" si="5"/>
        <v>229658.89999999997</v>
      </c>
    </row>
    <row r="14" spans="1:17" s="4" customFormat="1" ht="15.75">
      <c r="A14" s="4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19">
        <f t="shared" si="2"/>
        <v>128675.89999999997</v>
      </c>
      <c r="K14" s="17">
        <v>199601.2</v>
      </c>
      <c r="L14" s="17">
        <v>147751.8</v>
      </c>
      <c r="M14" s="20">
        <f t="shared" si="3"/>
        <v>51849.40000000002</v>
      </c>
      <c r="N14" s="17">
        <v>0</v>
      </c>
      <c r="O14" s="17">
        <v>48.6</v>
      </c>
      <c r="P14" s="20">
        <f t="shared" si="4"/>
        <v>-48.6</v>
      </c>
      <c r="Q14" s="20">
        <f t="shared" si="5"/>
        <v>180476.69999999998</v>
      </c>
    </row>
    <row r="15" spans="1:17" s="4" customFormat="1" ht="15.75">
      <c r="A15" s="4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1">
        <f t="shared" si="2"/>
        <v>-132985.6</v>
      </c>
      <c r="K15" s="17">
        <v>206869.5</v>
      </c>
      <c r="L15" s="17">
        <v>150034</v>
      </c>
      <c r="M15" s="20">
        <f t="shared" si="3"/>
        <v>56835.5</v>
      </c>
      <c r="N15" s="17">
        <v>0</v>
      </c>
      <c r="O15" s="17">
        <v>0</v>
      </c>
      <c r="P15" s="20">
        <f t="shared" si="4"/>
        <v>0</v>
      </c>
      <c r="Q15" s="20">
        <f t="shared" si="5"/>
        <v>-76150.1</v>
      </c>
    </row>
    <row r="16" spans="1:17" s="4" customFormat="1" ht="15.75">
      <c r="A16" s="4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1">
        <f t="shared" si="2"/>
        <v>-162073.8</v>
      </c>
      <c r="K16" s="17">
        <v>125486.1</v>
      </c>
      <c r="L16" s="17">
        <v>139935.4</v>
      </c>
      <c r="M16" s="20">
        <f>K16-L16</f>
        <v>-14449.299999999988</v>
      </c>
      <c r="N16" s="17">
        <v>0</v>
      </c>
      <c r="O16" s="17">
        <v>0</v>
      </c>
      <c r="P16" s="20">
        <f t="shared" si="4"/>
        <v>0</v>
      </c>
      <c r="Q16" s="20">
        <f t="shared" si="5"/>
        <v>-176523.09999999998</v>
      </c>
    </row>
    <row r="17" spans="1:17" s="4" customFormat="1" ht="16.5" customHeight="1">
      <c r="A17" s="4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51">
        <f t="shared" si="2"/>
        <v>-144480.39999999997</v>
      </c>
      <c r="K17" s="17">
        <v>146133</v>
      </c>
      <c r="L17" s="17">
        <v>156052.6</v>
      </c>
      <c r="M17" s="20">
        <f>K17-L17</f>
        <v>-9919.600000000006</v>
      </c>
      <c r="N17" s="17">
        <v>0</v>
      </c>
      <c r="O17" s="17">
        <v>0</v>
      </c>
      <c r="P17" s="20">
        <f t="shared" si="4"/>
        <v>0</v>
      </c>
      <c r="Q17" s="20">
        <f t="shared" si="5"/>
        <v>-154399.99999999997</v>
      </c>
    </row>
    <row r="18" spans="1:17" s="4" customFormat="1" ht="15.75">
      <c r="A18" s="42">
        <v>2018</v>
      </c>
      <c r="B18" s="17">
        <v>2234.6</v>
      </c>
      <c r="C18" s="17">
        <v>12311.3</v>
      </c>
      <c r="D18" s="17">
        <v>48581.8</v>
      </c>
      <c r="E18" s="17">
        <v>63908.6</v>
      </c>
      <c r="F18" s="46">
        <f>SUM(B18:E18)</f>
        <v>127036.3</v>
      </c>
      <c r="G18" s="17">
        <v>18570.800000000003</v>
      </c>
      <c r="H18" s="46">
        <f>+F18+G18</f>
        <v>145607.1</v>
      </c>
      <c r="I18" s="22">
        <v>310824.2</v>
      </c>
      <c r="J18" s="51">
        <f>+H18-I18</f>
        <v>-165217.1</v>
      </c>
      <c r="K18" s="17">
        <v>144238.8</v>
      </c>
      <c r="L18" s="17">
        <v>182222.7</v>
      </c>
      <c r="M18" s="20">
        <f>K18-L18</f>
        <v>-37983.90000000002</v>
      </c>
      <c r="N18" s="17">
        <v>0</v>
      </c>
      <c r="O18" s="17">
        <v>0</v>
      </c>
      <c r="P18" s="20">
        <f>N18-O18</f>
        <v>0</v>
      </c>
      <c r="Q18" s="20">
        <f>SUM(J18,M18,P18)</f>
        <v>-203201.00000000003</v>
      </c>
    </row>
    <row r="19" spans="1:17" s="4" customFormat="1" ht="15.75">
      <c r="A19" s="42">
        <v>2019</v>
      </c>
      <c r="B19" s="17">
        <v>2767.8</v>
      </c>
      <c r="C19" s="17">
        <v>493.8</v>
      </c>
      <c r="D19" s="17">
        <v>50296.9</v>
      </c>
      <c r="E19" s="17">
        <f>6999.9+147620.8+5264.7</f>
        <v>159885.4</v>
      </c>
      <c r="F19" s="17">
        <f>SUM(B19:E19)</f>
        <v>213443.9</v>
      </c>
      <c r="G19" s="17">
        <f>22387.4+5935</f>
        <v>28322.4</v>
      </c>
      <c r="H19" s="17">
        <f>+F19+G19</f>
        <v>241766.3</v>
      </c>
      <c r="I19" s="22">
        <v>371157</v>
      </c>
      <c r="J19" s="20">
        <f>+H19-I19</f>
        <v>-129390.70000000001</v>
      </c>
      <c r="K19" s="17">
        <f>139556.8+96.8+22.5</f>
        <v>139676.09999999998</v>
      </c>
      <c r="L19" s="17">
        <v>216615.89999999997</v>
      </c>
      <c r="M19" s="20">
        <f>K19-L19</f>
        <v>-76939.79999999999</v>
      </c>
      <c r="N19" s="17">
        <v>0</v>
      </c>
      <c r="O19" s="17">
        <v>0</v>
      </c>
      <c r="P19" s="20">
        <v>0</v>
      </c>
      <c r="Q19" s="20">
        <f>SUM(J19,M19,P19)</f>
        <v>-206330.5</v>
      </c>
    </row>
    <row r="20" spans="1:17" s="4" customFormat="1" ht="18">
      <c r="A20" s="21" t="s">
        <v>52</v>
      </c>
      <c r="B20" s="17">
        <v>3553.5</v>
      </c>
      <c r="C20" s="17">
        <v>17838.6</v>
      </c>
      <c r="D20" s="17">
        <v>29695.1</v>
      </c>
      <c r="E20" s="17">
        <f>12066.9+114580.7+5839.6</f>
        <v>132487.19999999998</v>
      </c>
      <c r="F20" s="17">
        <f>SUM(B20:E20)</f>
        <v>183574.39999999997</v>
      </c>
      <c r="G20" s="17">
        <f>62535.2+4763.1</f>
        <v>67298.3</v>
      </c>
      <c r="H20" s="17">
        <f>+F20+G20</f>
        <v>250872.69999999995</v>
      </c>
      <c r="I20" s="22">
        <v>343978</v>
      </c>
      <c r="J20" s="20">
        <f>+H20-I20</f>
        <v>-93105.30000000005</v>
      </c>
      <c r="K20" s="17">
        <f>194169.6+75.1+1532.3</f>
        <v>195777</v>
      </c>
      <c r="L20" s="17">
        <v>307687.8</v>
      </c>
      <c r="M20" s="20">
        <f>K20-L20</f>
        <v>-111910.79999999999</v>
      </c>
      <c r="N20" s="17">
        <v>0</v>
      </c>
      <c r="O20" s="17">
        <v>0</v>
      </c>
      <c r="P20" s="20">
        <v>0</v>
      </c>
      <c r="Q20" s="20">
        <f>SUM(J20,M20,P20)</f>
        <v>-205016.10000000003</v>
      </c>
    </row>
    <row r="21" spans="1:17" s="4" customFormat="1" ht="15.75">
      <c r="A21" s="48"/>
      <c r="B21" s="49"/>
      <c r="C21" s="49"/>
      <c r="D21" s="49"/>
      <c r="E21" s="49"/>
      <c r="F21" s="49"/>
      <c r="G21" s="49"/>
      <c r="H21" s="49"/>
      <c r="I21" s="50"/>
      <c r="J21" s="50"/>
      <c r="K21" s="49"/>
      <c r="L21" s="49"/>
      <c r="M21" s="51"/>
      <c r="N21" s="49"/>
      <c r="O21" s="49"/>
      <c r="P21" s="51"/>
      <c r="Q21" s="53"/>
    </row>
    <row r="22" spans="1:17" s="4" customFormat="1" ht="12.75">
      <c r="A22" s="52" t="s">
        <v>11</v>
      </c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8"/>
      <c r="N22" s="6"/>
      <c r="O22" s="6"/>
      <c r="P22" s="8"/>
      <c r="Q22" s="9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2021-07-09T09:09:44Z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