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0" windowWidth="10845" windowHeight="8520" activeTab="0"/>
  </bookViews>
  <sheets>
    <sheet name="Réserves internationales" sheetId="1" r:id="rId1"/>
  </sheets>
  <definedNames>
    <definedName name="_xlnm.Print_Area" localSheetId="0">'Réserves internationales'!$A$1:$Q$191</definedName>
    <definedName name="Zone_impres_MI">'Réserves internationales'!$A$1:$Q$190</definedName>
  </definedNames>
  <calcPr fullCalcOnLoad="1"/>
</workbook>
</file>

<file path=xl/sharedStrings.xml><?xml version="1.0" encoding="utf-8"?>
<sst xmlns="http://schemas.openxmlformats.org/spreadsheetml/2006/main" count="197" uniqueCount="114">
  <si>
    <t xml:space="preserve"> </t>
  </si>
  <si>
    <t>RESERVES</t>
  </si>
  <si>
    <t>INTERNA-</t>
  </si>
  <si>
    <t>TIONALES</t>
  </si>
  <si>
    <t>Engagements</t>
  </si>
  <si>
    <t>Avoirs</t>
  </si>
  <si>
    <t>extérieurs</t>
  </si>
  <si>
    <t>nets</t>
  </si>
  <si>
    <t>Or</t>
  </si>
  <si>
    <t>DTS</t>
  </si>
  <si>
    <t xml:space="preserve">  Devises</t>
  </si>
  <si>
    <t xml:space="preserve">   Total</t>
  </si>
  <si>
    <t>réserve FMI</t>
  </si>
  <si>
    <t>NETTES</t>
  </si>
  <si>
    <t xml:space="preserve">2008 janvier  </t>
  </si>
  <si>
    <t>2008</t>
  </si>
  <si>
    <t xml:space="preserve">2009 janvier  </t>
  </si>
  <si>
    <t xml:space="preserve">                      Réserves officielles</t>
  </si>
  <si>
    <t xml:space="preserve">          juin</t>
  </si>
  <si>
    <t xml:space="preserve">2010 janvier  </t>
  </si>
  <si>
    <t>2009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</si>
  <si>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</si>
  <si>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</si>
  <si>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</si>
  <si>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</si>
  <si>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</si>
  <si>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</si>
  <si>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mars</t>
  </si>
  <si>
    <t xml:space="preserve">          avril</t>
  </si>
  <si>
    <t xml:space="preserve">          mai</t>
  </si>
  <si>
    <t>RESERVES INTERNATIONALES</t>
  </si>
  <si>
    <t>(en millions de BIF)</t>
  </si>
  <si>
    <t>II.1</t>
  </si>
  <si>
    <t>2010</t>
  </si>
  <si>
    <t xml:space="preserve">2011 janvier  </t>
  </si>
  <si>
    <t>2011</t>
  </si>
  <si>
    <t>Position dans</t>
  </si>
  <si>
    <t xml:space="preserve">  la tranche de</t>
  </si>
  <si>
    <t xml:space="preserve"> réserves au FMI</t>
  </si>
  <si>
    <t>Autres créances</t>
  </si>
  <si>
    <t>Total</t>
  </si>
  <si>
    <t>Avoirs extérieurs</t>
  </si>
  <si>
    <t xml:space="preserve">2013 janvier  </t>
  </si>
  <si>
    <t>2012</t>
  </si>
  <si>
    <t xml:space="preserve">   BANQUES COMMERCIALES</t>
  </si>
  <si>
    <t>2010 décembre</t>
  </si>
  <si>
    <t>2013</t>
  </si>
  <si>
    <t xml:space="preserve">             Description</t>
  </si>
  <si>
    <t xml:space="preserve"> BANQUE CENTRALE</t>
  </si>
  <si>
    <t xml:space="preserve">2012 janvier  </t>
  </si>
  <si>
    <t xml:space="preserve">          février</t>
  </si>
  <si>
    <t xml:space="preserve">          février </t>
  </si>
  <si>
    <t xml:space="preserve">          février  </t>
  </si>
  <si>
    <t>Période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</si>
  <si>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</si>
  <si>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</si>
  <si>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</si>
  <si>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</si>
  <si>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</si>
  <si>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</si>
  <si>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</si>
  <si>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</si>
  <si>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</si>
  <si>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</si>
  <si>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</si>
  <si>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 </t>
  </si>
  <si>
    <t xml:space="preserve">          Février            </t>
  </si>
  <si>
    <t xml:space="preserve">          Mars</t>
  </si>
  <si>
    <t xml:space="preserve">2015 Janvier  </t>
  </si>
  <si>
    <t>2014</t>
  </si>
  <si>
    <t>2013 Décembre</t>
  </si>
  <si>
    <t>2012 Décembre</t>
  </si>
  <si>
    <t xml:space="preserve">2016 Janvier  </t>
  </si>
  <si>
    <t>2015</t>
  </si>
  <si>
    <t>2014 Février</t>
  </si>
  <si>
    <t>2016 Mars</t>
  </si>
  <si>
    <t>2013 Mars</t>
  </si>
  <si>
    <t>2014 Avril</t>
  </si>
  <si>
    <t>2014 Mai</t>
  </si>
  <si>
    <t>2014 Juin</t>
  </si>
  <si>
    <t>2013 Juin</t>
  </si>
  <si>
    <t>2014  Août</t>
  </si>
  <si>
    <t xml:space="preserve"> Juillet</t>
  </si>
  <si>
    <t>2014 Septembre</t>
  </si>
  <si>
    <t>2013 Septembre</t>
  </si>
  <si>
    <t>2014 Octobre</t>
  </si>
  <si>
    <t>2014 Novembre</t>
  </si>
  <si>
    <t>2014 Décembre</t>
  </si>
  <si>
    <t>2016</t>
  </si>
  <si>
    <t>2017 Janvier</t>
  </si>
  <si>
    <t xml:space="preserve">         Février</t>
  </si>
  <si>
    <t xml:space="preserve">2015 Février            </t>
  </si>
  <si>
    <t xml:space="preserve">         Mars</t>
  </si>
  <si>
    <t>2017 Mars</t>
  </si>
  <si>
    <t>ETABLISSEMENTS DE MICROFINANCE</t>
  </si>
  <si>
    <t xml:space="preserve">         Juin</t>
  </si>
  <si>
    <t xml:space="preserve">         Septembre</t>
  </si>
  <si>
    <t xml:space="preserve">         Décembre</t>
  </si>
  <si>
    <t xml:space="preserve">         Avril</t>
  </si>
  <si>
    <t>2015 Avril</t>
  </si>
  <si>
    <t xml:space="preserve">         Mai</t>
  </si>
  <si>
    <t>2015  Mai</t>
  </si>
  <si>
    <t>2015 Juin</t>
  </si>
  <si>
    <t xml:space="preserve">         Juillet</t>
  </si>
  <si>
    <t>2015  Juillet</t>
  </si>
  <si>
    <t xml:space="preserve">         Août</t>
  </si>
  <si>
    <t>2015 Août</t>
  </si>
  <si>
    <t>Source: Complilé sur base des données de la BRB, des banques commerciales et des établissements de microfinances</t>
  </si>
  <si>
    <t xml:space="preserve">         Octobre</t>
  </si>
  <si>
    <t>2015 Octobre</t>
  </si>
  <si>
    <t xml:space="preserve">         Novembre</t>
  </si>
  <si>
    <t>2015 Novembre</t>
  </si>
  <si>
    <t>2015 Décembre</t>
  </si>
  <si>
    <t>2017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</si>
</sst>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.0_);\(#,##0.0\)"/>
    <numFmt numFmtId="181" formatCode="0_)"/>
    <numFmt numFmtId="182" formatCode="General_)"/>
    <numFmt numFmtId="183" formatCode="0.0_)"/>
    <numFmt numFmtId="184" formatCode="0.0"/>
    <numFmt numFmtId="185" formatCode="0.0_ ;\-0.0\ "/>
    <numFmt numFmtId="186" formatCode="#,##0.0_ ;\-#,##0.0\ "/>
    <numFmt numFmtId="187" formatCode="#,##0.0"/>
  </numFmts>
  <fonts count="44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Helv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8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180" fontId="0" fillId="0" borderId="0" xfId="0" applyAlignment="1">
      <alignment/>
    </xf>
    <xf numFmtId="180" fontId="7" fillId="0" borderId="10" xfId="0" applyNumberFormat="1" applyFont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fill"/>
      <protection/>
    </xf>
    <xf numFmtId="180" fontId="7" fillId="0" borderId="11" xfId="0" applyNumberFormat="1" applyFont="1" applyFill="1" applyBorder="1" applyAlignment="1" applyProtection="1">
      <alignment horizontal="fill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fill"/>
      <protection/>
    </xf>
    <xf numFmtId="180" fontId="7" fillId="0" borderId="0" xfId="0" applyFont="1" applyAlignment="1">
      <alignment/>
    </xf>
    <xf numFmtId="180" fontId="7" fillId="0" borderId="13" xfId="0" applyFont="1" applyBorder="1" applyAlignment="1">
      <alignment/>
    </xf>
    <xf numFmtId="180" fontId="7" fillId="0" borderId="0" xfId="0" applyFont="1" applyBorder="1" applyAlignment="1">
      <alignment/>
    </xf>
    <xf numFmtId="180" fontId="7" fillId="0" borderId="0" xfId="0" applyNumberFormat="1" applyFont="1" applyFill="1" applyBorder="1" applyAlignment="1" applyProtection="1">
      <alignment horizontal="left"/>
      <protection/>
    </xf>
    <xf numFmtId="180" fontId="7" fillId="0" borderId="0" xfId="0" applyFont="1" applyBorder="1" applyAlignment="1">
      <alignment horizontal="center"/>
    </xf>
    <xf numFmtId="180" fontId="8" fillId="0" borderId="14" xfId="0" applyNumberFormat="1" applyFont="1" applyBorder="1" applyAlignment="1" applyProtection="1">
      <alignment horizontal="left"/>
      <protection/>
    </xf>
    <xf numFmtId="180" fontId="7" fillId="0" borderId="15" xfId="0" applyNumberFormat="1" applyFont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fill"/>
      <protection/>
    </xf>
    <xf numFmtId="180" fontId="7" fillId="0" borderId="16" xfId="0" applyNumberFormat="1" applyFont="1" applyFill="1" applyBorder="1" applyAlignment="1" applyProtection="1">
      <alignment horizontal="fill"/>
      <protection/>
    </xf>
    <xf numFmtId="180" fontId="7" fillId="0" borderId="16" xfId="0" applyNumberFormat="1" applyFont="1" applyBorder="1" applyAlignment="1" applyProtection="1">
      <alignment horizontal="center"/>
      <protection/>
    </xf>
    <xf numFmtId="180" fontId="7" fillId="0" borderId="17" xfId="0" applyNumberFormat="1" applyFont="1" applyBorder="1" applyAlignment="1" applyProtection="1">
      <alignment horizontal="fill"/>
      <protection/>
    </xf>
    <xf numFmtId="180" fontId="7" fillId="0" borderId="18" xfId="0" applyFont="1" applyBorder="1" applyAlignment="1">
      <alignment/>
    </xf>
    <xf numFmtId="180" fontId="7" fillId="0" borderId="0" xfId="0" applyFont="1" applyFill="1" applyBorder="1" applyAlignment="1">
      <alignment/>
    </xf>
    <xf numFmtId="180" fontId="7" fillId="0" borderId="14" xfId="0" applyFont="1" applyBorder="1" applyAlignment="1">
      <alignment/>
    </xf>
    <xf numFmtId="180" fontId="7" fillId="0" borderId="14" xfId="0" applyFont="1" applyBorder="1" applyAlignment="1">
      <alignment horizontal="center"/>
    </xf>
    <xf numFmtId="180" fontId="7" fillId="0" borderId="0" xfId="0" applyNumberFormat="1" applyFont="1" applyBorder="1" applyAlignment="1" applyProtection="1">
      <alignment horizontal="center"/>
      <protection/>
    </xf>
    <xf numFmtId="180" fontId="7" fillId="0" borderId="14" xfId="0" applyNumberFormat="1" applyFont="1" applyBorder="1" applyAlignment="1" applyProtection="1">
      <alignment horizontal="center"/>
      <protection/>
    </xf>
    <xf numFmtId="180" fontId="7" fillId="0" borderId="0" xfId="0" applyNumberFormat="1" applyFont="1" applyBorder="1" applyAlignment="1" applyProtection="1">
      <alignment horizontal="left"/>
      <protection/>
    </xf>
    <xf numFmtId="180" fontId="7" fillId="0" borderId="13" xfId="0" applyNumberFormat="1" applyFont="1" applyBorder="1" applyAlignment="1" applyProtection="1">
      <alignment horizontal="left"/>
      <protection/>
    </xf>
    <xf numFmtId="180" fontId="7" fillId="0" borderId="0" xfId="0" applyNumberFormat="1" applyFont="1" applyBorder="1" applyAlignment="1" applyProtection="1">
      <alignment horizontal="fill"/>
      <protection/>
    </xf>
    <xf numFmtId="180" fontId="7" fillId="0" borderId="0" xfId="0" applyNumberFormat="1" applyFont="1" applyFill="1" applyBorder="1" applyAlignment="1" applyProtection="1">
      <alignment horizontal="fill"/>
      <protection/>
    </xf>
    <xf numFmtId="180" fontId="7" fillId="0" borderId="14" xfId="0" applyNumberFormat="1" applyFont="1" applyBorder="1" applyAlignment="1" applyProtection="1">
      <alignment horizontal="fill"/>
      <protection/>
    </xf>
    <xf numFmtId="180" fontId="7" fillId="0" borderId="17" xfId="0" applyNumberFormat="1" applyFont="1" applyBorder="1" applyAlignment="1" applyProtection="1">
      <alignment horizontal="center"/>
      <protection/>
    </xf>
    <xf numFmtId="180" fontId="7" fillId="0" borderId="16" xfId="0" applyFont="1" applyBorder="1" applyAlignment="1">
      <alignment/>
    </xf>
    <xf numFmtId="180" fontId="7" fillId="0" borderId="11" xfId="0" applyFont="1" applyBorder="1" applyAlignment="1">
      <alignment/>
    </xf>
    <xf numFmtId="180" fontId="7" fillId="0" borderId="12" xfId="0" applyFont="1" applyBorder="1" applyAlignment="1">
      <alignment/>
    </xf>
    <xf numFmtId="180" fontId="7" fillId="0" borderId="19" xfId="0" applyFont="1" applyBorder="1" applyAlignment="1">
      <alignment/>
    </xf>
    <xf numFmtId="180" fontId="7" fillId="0" borderId="19" xfId="0" applyFont="1" applyBorder="1" applyAlignment="1">
      <alignment horizontal="center"/>
    </xf>
    <xf numFmtId="182" fontId="7" fillId="0" borderId="18" xfId="0" applyNumberFormat="1" applyFont="1" applyBorder="1" applyAlignment="1" applyProtection="1">
      <alignment horizontal="centerContinuous"/>
      <protection/>
    </xf>
    <xf numFmtId="180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NumberFormat="1" applyFont="1" applyBorder="1" applyAlignment="1" applyProtection="1">
      <alignment horizontal="centerContinuous"/>
      <protection/>
    </xf>
    <xf numFmtId="180" fontId="7" fillId="0" borderId="17" xfId="0" applyFont="1" applyBorder="1" applyAlignment="1">
      <alignment/>
    </xf>
    <xf numFmtId="180" fontId="7" fillId="0" borderId="18" xfId="0" applyNumberFormat="1" applyFont="1" applyBorder="1" applyAlignment="1" applyProtection="1">
      <alignment horizontal="left"/>
      <protection/>
    </xf>
    <xf numFmtId="180" fontId="7" fillId="0" borderId="18" xfId="0" applyNumberFormat="1" applyFont="1" applyFill="1" applyBorder="1" applyAlignment="1" applyProtection="1">
      <alignment horizontal="left"/>
      <protection/>
    </xf>
    <xf numFmtId="180" fontId="7" fillId="0" borderId="18" xfId="0" applyFont="1" applyBorder="1" applyAlignment="1">
      <alignment horizontal="center"/>
    </xf>
    <xf numFmtId="180" fontId="7" fillId="0" borderId="20" xfId="0" applyFont="1" applyBorder="1" applyAlignment="1">
      <alignment/>
    </xf>
    <xf numFmtId="180" fontId="7" fillId="0" borderId="20" xfId="0" applyNumberFormat="1" applyFont="1" applyBorder="1" applyAlignment="1" applyProtection="1">
      <alignment horizontal="left"/>
      <protection/>
    </xf>
    <xf numFmtId="180" fontId="7" fillId="0" borderId="17" xfId="0" applyFont="1" applyFill="1" applyBorder="1" applyAlignment="1">
      <alignment/>
    </xf>
    <xf numFmtId="180" fontId="7" fillId="0" borderId="20" xfId="0" applyFont="1" applyBorder="1" applyAlignment="1">
      <alignment horizontal="center"/>
    </xf>
    <xf numFmtId="180" fontId="7" fillId="0" borderId="19" xfId="0" applyNumberFormat="1" applyFont="1" applyBorder="1" applyAlignment="1" applyProtection="1">
      <alignment horizontal="fill"/>
      <protection/>
    </xf>
    <xf numFmtId="180" fontId="7" fillId="0" borderId="19" xfId="0" applyNumberFormat="1" applyFont="1" applyBorder="1" applyAlignment="1" applyProtection="1">
      <alignment horizontal="center"/>
      <protection/>
    </xf>
    <xf numFmtId="180" fontId="7" fillId="0" borderId="18" xfId="0" applyNumberFormat="1" applyFont="1" applyBorder="1" applyAlignment="1" applyProtection="1" quotePrefix="1">
      <alignment horizontal="left"/>
      <protection/>
    </xf>
    <xf numFmtId="187" fontId="7" fillId="0" borderId="14" xfId="0" applyNumberFormat="1" applyFont="1" applyBorder="1" applyAlignment="1" applyProtection="1">
      <alignment horizontal="right"/>
      <protection/>
    </xf>
    <xf numFmtId="187" fontId="7" fillId="0" borderId="0" xfId="0" applyNumberFormat="1" applyFont="1" applyBorder="1" applyAlignment="1" applyProtection="1">
      <alignment horizontal="right"/>
      <protection/>
    </xf>
    <xf numFmtId="187" fontId="7" fillId="0" borderId="18" xfId="0" applyNumberFormat="1" applyFont="1" applyBorder="1" applyAlignment="1" applyProtection="1">
      <alignment horizontal="right"/>
      <protection/>
    </xf>
    <xf numFmtId="187" fontId="7" fillId="0" borderId="13" xfId="0" applyNumberFormat="1" applyFont="1" applyBorder="1" applyAlignment="1" applyProtection="1">
      <alignment horizontal="right"/>
      <protection/>
    </xf>
    <xf numFmtId="187" fontId="7" fillId="0" borderId="18" xfId="42" applyNumberFormat="1" applyFont="1" applyBorder="1" applyAlignment="1" applyProtection="1">
      <alignment horizontal="right"/>
      <protection/>
    </xf>
    <xf numFmtId="180" fontId="7" fillId="0" borderId="18" xfId="0" applyNumberFormat="1" applyFont="1" applyFill="1" applyBorder="1" applyAlignment="1" applyProtection="1" quotePrefix="1">
      <alignment horizontal="left"/>
      <protection/>
    </xf>
    <xf numFmtId="187" fontId="7" fillId="0" borderId="0" xfId="0" applyNumberFormat="1" applyFont="1" applyAlignment="1">
      <alignment/>
    </xf>
    <xf numFmtId="187" fontId="7" fillId="0" borderId="0" xfId="0" applyNumberFormat="1" applyFont="1" applyFill="1" applyBorder="1" applyAlignment="1" applyProtection="1">
      <alignment horizontal="right"/>
      <protection/>
    </xf>
    <xf numFmtId="180" fontId="7" fillId="0" borderId="0" xfId="0" applyFont="1" applyFill="1" applyAlignment="1">
      <alignment/>
    </xf>
    <xf numFmtId="187" fontId="7" fillId="0" borderId="17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Border="1" applyAlignment="1" applyProtection="1">
      <alignment horizontal="right"/>
      <protection/>
    </xf>
    <xf numFmtId="187" fontId="7" fillId="0" borderId="20" xfId="0" applyNumberFormat="1" applyFont="1" applyBorder="1" applyAlignment="1" applyProtection="1">
      <alignment horizontal="right"/>
      <protection/>
    </xf>
    <xf numFmtId="187" fontId="7" fillId="0" borderId="16" xfId="0" applyNumberFormat="1" applyFont="1" applyFill="1" applyBorder="1" applyAlignment="1" applyProtection="1">
      <alignment horizontal="right"/>
      <protection/>
    </xf>
    <xf numFmtId="187" fontId="7" fillId="0" borderId="20" xfId="42" applyNumberFormat="1" applyFont="1" applyBorder="1" applyAlignment="1" applyProtection="1">
      <alignment horizontal="right"/>
      <protection/>
    </xf>
    <xf numFmtId="180" fontId="7" fillId="0" borderId="0" xfId="0" applyFont="1" applyAlignment="1">
      <alignment horizontal="center"/>
    </xf>
    <xf numFmtId="180" fontId="7" fillId="33" borderId="0" xfId="0" applyFont="1" applyFill="1" applyAlignment="1">
      <alignment/>
    </xf>
    <xf numFmtId="180" fontId="7" fillId="0" borderId="10" xfId="0" applyFont="1" applyBorder="1" applyAlignment="1">
      <alignment/>
    </xf>
    <xf numFmtId="180" fontId="7" fillId="0" borderId="15" xfId="0" applyFont="1" applyBorder="1" applyAlignment="1">
      <alignment/>
    </xf>
    <xf numFmtId="180" fontId="7" fillId="0" borderId="16" xfId="0" applyNumberFormat="1" applyFont="1" applyBorder="1" applyAlignment="1" applyProtection="1">
      <alignment horizontal="left"/>
      <protection/>
    </xf>
    <xf numFmtId="180" fontId="7" fillId="0" borderId="12" xfId="0" applyFont="1" applyFill="1" applyBorder="1" applyAlignment="1">
      <alignment/>
    </xf>
    <xf numFmtId="182" fontId="7" fillId="0" borderId="14" xfId="0" applyNumberFormat="1" applyFont="1" applyFill="1" applyBorder="1" applyAlignment="1" applyProtection="1">
      <alignment horizontal="center"/>
      <protection/>
    </xf>
    <xf numFmtId="180" fontId="7" fillId="0" borderId="14" xfId="0" applyFont="1" applyFill="1" applyBorder="1" applyAlignment="1">
      <alignment/>
    </xf>
    <xf numFmtId="180" fontId="7" fillId="0" borderId="14" xfId="0" applyNumberFormat="1" applyFont="1" applyFill="1" applyBorder="1" applyAlignment="1" applyProtection="1">
      <alignment horizontal="lef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7" fontId="7" fillId="33" borderId="18" xfId="42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 quotePrefix="1">
      <alignment horizontal="left"/>
      <protection/>
    </xf>
    <xf numFmtId="187" fontId="7" fillId="33" borderId="14" xfId="0" applyNumberFormat="1" applyFont="1" applyFill="1" applyBorder="1" applyAlignment="1" applyProtection="1">
      <alignment horizontal="right"/>
      <protection/>
    </xf>
    <xf numFmtId="187" fontId="7" fillId="33" borderId="0" xfId="0" applyNumberFormat="1" applyFont="1" applyFill="1" applyBorder="1" applyAlignment="1" applyProtection="1">
      <alignment horizontal="right"/>
      <protection/>
    </xf>
    <xf numFmtId="187" fontId="7" fillId="33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left"/>
      <protection/>
    </xf>
    <xf numFmtId="180" fontId="43" fillId="0" borderId="0" xfId="0" applyFont="1" applyAlignment="1">
      <alignment/>
    </xf>
    <xf numFmtId="180" fontId="7" fillId="0" borderId="10" xfId="0" applyFont="1" applyBorder="1" applyAlignment="1">
      <alignment horizontal="left"/>
    </xf>
    <xf numFmtId="180" fontId="7" fillId="0" borderId="11" xfId="0" applyFont="1" applyFill="1" applyBorder="1" applyAlignment="1">
      <alignment/>
    </xf>
    <xf numFmtId="180" fontId="7" fillId="0" borderId="11" xfId="0" applyFont="1" applyBorder="1" applyAlignment="1">
      <alignment horizontal="center"/>
    </xf>
    <xf numFmtId="187" fontId="7" fillId="0" borderId="18" xfId="0" applyNumberFormat="1" applyFont="1" applyFill="1" applyBorder="1" applyAlignment="1" applyProtection="1">
      <alignment horizontal="right"/>
      <protection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7" fillId="33" borderId="18" xfId="0" applyNumberFormat="1" applyFont="1" applyFill="1" applyBorder="1" applyAlignment="1" applyProtection="1">
      <alignment horizontal="right"/>
      <protection/>
    </xf>
    <xf numFmtId="180" fontId="43" fillId="0" borderId="0" xfId="0" applyFont="1" applyAlignment="1">
      <alignment/>
    </xf>
    <xf numFmtId="180" fontId="8" fillId="0" borderId="15" xfId="0" applyFont="1" applyBorder="1" applyAlignment="1">
      <alignment horizontal="left"/>
    </xf>
    <xf numFmtId="180" fontId="8" fillId="0" borderId="18" xfId="0" applyFont="1" applyBorder="1" applyAlignment="1">
      <alignment/>
    </xf>
    <xf numFmtId="180" fontId="8" fillId="0" borderId="18" xfId="0" applyNumberFormat="1" applyFont="1" applyBorder="1" applyAlignment="1" applyProtection="1">
      <alignment horizontal="fill"/>
      <protection/>
    </xf>
    <xf numFmtId="180" fontId="8" fillId="0" borderId="13" xfId="0" applyFont="1" applyBorder="1" applyAlignment="1">
      <alignment/>
    </xf>
    <xf numFmtId="180" fontId="8" fillId="0" borderId="14" xfId="0" applyNumberFormat="1" applyFont="1" applyBorder="1" applyAlignment="1" applyProtection="1">
      <alignment horizontal="center"/>
      <protection/>
    </xf>
    <xf numFmtId="39" fontId="7" fillId="0" borderId="0" xfId="0" applyNumberFormat="1" applyFont="1" applyAlignment="1">
      <alignment/>
    </xf>
    <xf numFmtId="39" fontId="7" fillId="33" borderId="0" xfId="0" applyNumberFormat="1" applyFont="1" applyFill="1" applyAlignment="1">
      <alignment/>
    </xf>
    <xf numFmtId="39" fontId="43" fillId="0" borderId="0" xfId="0" applyNumberFormat="1" applyFont="1" applyAlignment="1">
      <alignment/>
    </xf>
    <xf numFmtId="180" fontId="8" fillId="0" borderId="13" xfId="0" applyNumberFormat="1" applyFont="1" applyBorder="1" applyAlignment="1" applyProtection="1">
      <alignment horizontal="center"/>
      <protection/>
    </xf>
    <xf numFmtId="180" fontId="8" fillId="0" borderId="0" xfId="0" applyNumberFormat="1" applyFont="1" applyBorder="1" applyAlignment="1" applyProtection="1">
      <alignment horizont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8" fillId="0" borderId="13" xfId="0" applyFont="1" applyBorder="1" applyAlignment="1">
      <alignment horizontal="center"/>
    </xf>
    <xf numFmtId="180" fontId="8" fillId="0" borderId="0" xfId="0" applyFont="1" applyBorder="1" applyAlignment="1">
      <alignment horizontal="center"/>
    </xf>
    <xf numFmtId="180" fontId="8" fillId="0" borderId="14" xfId="0" applyFont="1" applyBorder="1" applyAlignment="1">
      <alignment horizontal="center"/>
    </xf>
    <xf numFmtId="180" fontId="7" fillId="0" borderId="10" xfId="0" applyNumberFormat="1" applyFont="1" applyBorder="1" applyAlignment="1" applyProtection="1">
      <alignment horizontal="center"/>
      <protection/>
    </xf>
    <xf numFmtId="180" fontId="7" fillId="0" borderId="11" xfId="0" applyNumberFormat="1" applyFont="1" applyBorder="1" applyAlignment="1" applyProtection="1">
      <alignment horizontal="center"/>
      <protection/>
    </xf>
    <xf numFmtId="180" fontId="7" fillId="0" borderId="12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152400</xdr:rowOff>
    </xdr:from>
    <xdr:to>
      <xdr:col>1</xdr:col>
      <xdr:colOff>9525</xdr:colOff>
      <xdr:row>17</xdr:row>
      <xdr:rowOff>19050</xdr:rowOff>
    </xdr:to>
    <xdr:sp>
      <xdr:nvSpPr>
        <xdr:cNvPr id="1" name="Line 1"/>
        <xdr:cNvSpPr>
          <a:spLocks/>
        </xdr:cNvSpPr>
      </xdr:nvSpPr>
      <xdr:spPr>
        <a:xfrm>
          <a:off x="0" y="800100"/>
          <a:ext cx="17335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91"/>
  <sheetViews>
    <sheetView showGridLines="0" tabSelected="1" view="pageBreakPreview" zoomScale="70" zoomScaleSheetLayoutView="70" zoomScalePageLayoutView="0" workbookViewId="0" topLeftCell="A1">
      <pane xSplit="1" ySplit="17" topLeftCell="N53" activePane="bottomRight" state="frozen"/>
      <selection pane="topLeft" activeCell="A1" sqref="A1"/>
      <selection pane="topRight" activeCell="B1" sqref="B1"/>
      <selection pane="bottomLeft" activeCell="A18" sqref="A18"/>
      <selection pane="bottomRight" activeCell="B57" sqref="B57:Q57"/>
    </sheetView>
  </sheetViews>
  <sheetFormatPr defaultColWidth="11.5546875" defaultRowHeight="15.75"/>
  <cols>
    <col min="1" max="1" width="20.10546875" style="6" customWidth="1"/>
    <col min="2" max="2" width="14.10546875" style="6" customWidth="1"/>
    <col min="3" max="3" width="12.99609375" style="6" customWidth="1"/>
    <col min="4" max="4" width="13.5546875" style="6" customWidth="1"/>
    <col min="5" max="5" width="13.21484375" style="6" customWidth="1"/>
    <col min="6" max="8" width="13.3359375" style="6" customWidth="1"/>
    <col min="9" max="9" width="13.5546875" style="56" customWidth="1"/>
    <col min="10" max="10" width="13.99609375" style="6" customWidth="1"/>
    <col min="11" max="11" width="13.88671875" style="6" customWidth="1"/>
    <col min="12" max="12" width="14.10546875" style="6" customWidth="1"/>
    <col min="13" max="13" width="15.10546875" style="62" customWidth="1"/>
    <col min="14" max="14" width="13.88671875" style="6" customWidth="1"/>
    <col min="15" max="15" width="14.10546875" style="6" customWidth="1"/>
    <col min="16" max="16" width="15.10546875" style="62" customWidth="1"/>
    <col min="17" max="17" width="15.6640625" style="6" customWidth="1"/>
    <col min="18" max="18" width="10.77734375" style="6" customWidth="1"/>
    <col min="19" max="19" width="10.21484375" style="6" customWidth="1"/>
    <col min="20" max="16384" width="11.5546875" style="6" customWidth="1"/>
  </cols>
  <sheetData>
    <row r="1" spans="1:17" ht="12.75">
      <c r="A1" s="1"/>
      <c r="B1" s="2"/>
      <c r="C1" s="2"/>
      <c r="D1" s="2"/>
      <c r="E1" s="2"/>
      <c r="F1" s="2"/>
      <c r="G1" s="2"/>
      <c r="H1" s="2"/>
      <c r="I1" s="3"/>
      <c r="J1" s="2"/>
      <c r="K1" s="2"/>
      <c r="L1" s="2"/>
      <c r="M1" s="4"/>
      <c r="N1" s="2"/>
      <c r="O1" s="2"/>
      <c r="P1" s="4"/>
      <c r="Q1" s="5"/>
    </row>
    <row r="2" spans="1:17" ht="12.75">
      <c r="A2" s="7"/>
      <c r="B2" s="8"/>
      <c r="C2" s="8"/>
      <c r="D2" s="8"/>
      <c r="E2" s="8"/>
      <c r="F2" s="8"/>
      <c r="G2" s="8"/>
      <c r="H2" s="8"/>
      <c r="I2" s="9" t="s">
        <v>0</v>
      </c>
      <c r="J2" s="8"/>
      <c r="K2" s="8"/>
      <c r="L2" s="8"/>
      <c r="M2" s="10"/>
      <c r="N2" s="8"/>
      <c r="O2" s="8"/>
      <c r="P2" s="10"/>
      <c r="Q2" s="11" t="s">
        <v>32</v>
      </c>
    </row>
    <row r="3" spans="1:17" ht="12.75">
      <c r="A3" s="98" t="s">
        <v>30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</row>
    <row r="4" spans="1:17" ht="12.75">
      <c r="A4" s="95" t="s">
        <v>31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spans="1:17" ht="12.75">
      <c r="A5" s="12"/>
      <c r="B5" s="13"/>
      <c r="C5" s="13"/>
      <c r="D5" s="13"/>
      <c r="E5" s="13"/>
      <c r="F5" s="13"/>
      <c r="G5" s="13"/>
      <c r="H5" s="13"/>
      <c r="I5" s="14"/>
      <c r="J5" s="13"/>
      <c r="K5" s="13"/>
      <c r="L5" s="13"/>
      <c r="M5" s="15"/>
      <c r="N5" s="13"/>
      <c r="O5" s="13"/>
      <c r="P5" s="15"/>
      <c r="Q5" s="16"/>
    </row>
    <row r="6" spans="1:17" ht="12.75">
      <c r="A6" s="17"/>
      <c r="B6" s="8"/>
      <c r="C6" s="8"/>
      <c r="D6" s="8"/>
      <c r="E6" s="8"/>
      <c r="F6" s="8"/>
      <c r="G6" s="8"/>
      <c r="H6" s="8"/>
      <c r="I6" s="18"/>
      <c r="J6" s="19"/>
      <c r="K6" s="7"/>
      <c r="L6" s="8"/>
      <c r="M6" s="20"/>
      <c r="N6" s="7"/>
      <c r="O6" s="8"/>
      <c r="P6" s="20"/>
      <c r="Q6" s="19"/>
    </row>
    <row r="7" spans="1:17" ht="15.75" customHeight="1">
      <c r="A7" s="88" t="s">
        <v>47</v>
      </c>
      <c r="B7" s="95" t="s">
        <v>48</v>
      </c>
      <c r="C7" s="96"/>
      <c r="D7" s="96"/>
      <c r="E7" s="96"/>
      <c r="F7" s="96"/>
      <c r="G7" s="96"/>
      <c r="H7" s="96"/>
      <c r="I7" s="96"/>
      <c r="J7" s="97"/>
      <c r="K7" s="95" t="s">
        <v>44</v>
      </c>
      <c r="L7" s="96"/>
      <c r="M7" s="97"/>
      <c r="N7" s="95" t="s">
        <v>94</v>
      </c>
      <c r="O7" s="96"/>
      <c r="P7" s="97"/>
      <c r="Q7" s="91" t="s">
        <v>1</v>
      </c>
    </row>
    <row r="8" spans="1:19" ht="12.75">
      <c r="A8" s="88"/>
      <c r="B8" s="23"/>
      <c r="C8" s="8"/>
      <c r="D8" s="8"/>
      <c r="E8" s="8"/>
      <c r="F8" s="23"/>
      <c r="G8" s="23"/>
      <c r="H8" s="23"/>
      <c r="I8" s="18"/>
      <c r="J8" s="19"/>
      <c r="K8" s="24"/>
      <c r="L8" s="8"/>
      <c r="M8" s="20"/>
      <c r="N8" s="24"/>
      <c r="O8" s="8"/>
      <c r="P8" s="20"/>
      <c r="Q8" s="91" t="s">
        <v>2</v>
      </c>
      <c r="S8" s="63"/>
    </row>
    <row r="9" spans="1:17" ht="12.75">
      <c r="A9" s="89"/>
      <c r="B9" s="25"/>
      <c r="C9" s="25"/>
      <c r="D9" s="25"/>
      <c r="E9" s="25"/>
      <c r="F9" s="25"/>
      <c r="G9" s="25"/>
      <c r="H9" s="25"/>
      <c r="I9" s="26"/>
      <c r="J9" s="27"/>
      <c r="K9" s="12"/>
      <c r="L9" s="13"/>
      <c r="M9" s="28"/>
      <c r="N9" s="12"/>
      <c r="O9" s="13"/>
      <c r="P9" s="28"/>
      <c r="Q9" s="91" t="s">
        <v>3</v>
      </c>
    </row>
    <row r="10" spans="1:17" ht="12.75">
      <c r="A10" s="90"/>
      <c r="B10" s="64"/>
      <c r="C10" s="30"/>
      <c r="D10" s="30"/>
      <c r="E10" s="30" t="s">
        <v>41</v>
      </c>
      <c r="F10" s="30"/>
      <c r="G10" s="30"/>
      <c r="H10" s="31"/>
      <c r="I10" s="67"/>
      <c r="J10" s="32"/>
      <c r="K10" s="32"/>
      <c r="L10" s="8"/>
      <c r="M10" s="33"/>
      <c r="N10" s="32"/>
      <c r="O10" s="8"/>
      <c r="P10" s="33"/>
      <c r="Q10" s="91" t="s">
        <v>13</v>
      </c>
    </row>
    <row r="11" spans="1:17" ht="12.75">
      <c r="A11" s="90"/>
      <c r="B11" s="65"/>
      <c r="C11" s="66"/>
      <c r="D11" s="29"/>
      <c r="E11" s="29"/>
      <c r="F11" s="29"/>
      <c r="G11" s="8"/>
      <c r="H11" s="19"/>
      <c r="I11" s="68" t="s">
        <v>4</v>
      </c>
      <c r="J11" s="35" t="s">
        <v>5</v>
      </c>
      <c r="K11" s="35" t="s">
        <v>5</v>
      </c>
      <c r="L11" s="21" t="s">
        <v>4</v>
      </c>
      <c r="M11" s="35" t="s">
        <v>5</v>
      </c>
      <c r="N11" s="35" t="s">
        <v>5</v>
      </c>
      <c r="O11" s="21" t="s">
        <v>4</v>
      </c>
      <c r="P11" s="35" t="s">
        <v>5</v>
      </c>
      <c r="Q11" s="19"/>
    </row>
    <row r="12" spans="1:17" ht="15.75" customHeight="1">
      <c r="A12" s="89"/>
      <c r="B12" s="101" t="s">
        <v>17</v>
      </c>
      <c r="C12" s="102"/>
      <c r="D12" s="102"/>
      <c r="E12" s="102"/>
      <c r="F12" s="103"/>
      <c r="G12" s="46" t="s">
        <v>39</v>
      </c>
      <c r="H12" s="46" t="s">
        <v>40</v>
      </c>
      <c r="I12" s="68" t="s">
        <v>6</v>
      </c>
      <c r="J12" s="35" t="s">
        <v>6</v>
      </c>
      <c r="K12" s="34" t="s">
        <v>6</v>
      </c>
      <c r="L12" s="36" t="s">
        <v>6</v>
      </c>
      <c r="M12" s="35" t="s">
        <v>6</v>
      </c>
      <c r="N12" s="34" t="s">
        <v>6</v>
      </c>
      <c r="O12" s="36" t="s">
        <v>6</v>
      </c>
      <c r="P12" s="35" t="s">
        <v>6</v>
      </c>
      <c r="Q12" s="19"/>
    </row>
    <row r="13" spans="1:17" ht="12.75">
      <c r="A13" s="88"/>
      <c r="B13" s="29"/>
      <c r="C13" s="29"/>
      <c r="D13" s="29"/>
      <c r="E13" s="29"/>
      <c r="F13" s="29"/>
      <c r="G13" s="17"/>
      <c r="H13" s="38"/>
      <c r="I13" s="69"/>
      <c r="J13" s="35" t="s">
        <v>7</v>
      </c>
      <c r="K13" s="17"/>
      <c r="L13" s="8"/>
      <c r="M13" s="35" t="s">
        <v>7</v>
      </c>
      <c r="N13" s="17"/>
      <c r="O13" s="8"/>
      <c r="P13" s="35" t="s">
        <v>7</v>
      </c>
      <c r="Q13" s="19"/>
    </row>
    <row r="14" spans="1:17" ht="12.75">
      <c r="A14" s="88" t="s">
        <v>53</v>
      </c>
      <c r="B14" s="22" t="s">
        <v>8</v>
      </c>
      <c r="C14" s="35" t="s">
        <v>9</v>
      </c>
      <c r="D14" s="35" t="s">
        <v>36</v>
      </c>
      <c r="E14" s="21" t="s">
        <v>10</v>
      </c>
      <c r="F14" s="24" t="s">
        <v>11</v>
      </c>
      <c r="G14" s="17"/>
      <c r="H14" s="38"/>
      <c r="I14" s="70"/>
      <c r="J14" s="17"/>
      <c r="K14" s="17"/>
      <c r="L14" s="8"/>
      <c r="M14" s="40"/>
      <c r="N14" s="17"/>
      <c r="O14" s="8"/>
      <c r="P14" s="40"/>
      <c r="Q14" s="17"/>
    </row>
    <row r="15" spans="1:17" ht="12.75">
      <c r="A15" s="88"/>
      <c r="B15" s="22"/>
      <c r="C15" s="35"/>
      <c r="D15" s="35" t="s">
        <v>37</v>
      </c>
      <c r="E15" s="21"/>
      <c r="F15" s="24"/>
      <c r="G15" s="38"/>
      <c r="H15" s="38"/>
      <c r="I15" s="70"/>
      <c r="J15" s="17"/>
      <c r="K15" s="17"/>
      <c r="L15" s="8"/>
      <c r="M15" s="40"/>
      <c r="N15" s="17"/>
      <c r="O15" s="8"/>
      <c r="P15" s="40"/>
      <c r="Q15" s="17"/>
    </row>
    <row r="16" spans="1:17" ht="11.25" customHeight="1">
      <c r="A16" s="17"/>
      <c r="B16" s="19"/>
      <c r="C16" s="17"/>
      <c r="D16" s="35" t="s">
        <v>38</v>
      </c>
      <c r="E16" s="8"/>
      <c r="F16" s="7"/>
      <c r="G16" s="41"/>
      <c r="H16" s="41"/>
      <c r="I16" s="69"/>
      <c r="J16" s="17"/>
      <c r="K16" s="17"/>
      <c r="L16" s="8"/>
      <c r="M16" s="40"/>
      <c r="N16" s="17"/>
      <c r="O16" s="8"/>
      <c r="P16" s="40"/>
      <c r="Q16" s="17"/>
    </row>
    <row r="17" spans="1:17" ht="12.75" hidden="1">
      <c r="A17" s="17"/>
      <c r="B17" s="37"/>
      <c r="C17" s="41"/>
      <c r="D17" s="42" t="s">
        <v>12</v>
      </c>
      <c r="E17" s="8"/>
      <c r="F17" s="41"/>
      <c r="G17" s="37"/>
      <c r="H17" s="37"/>
      <c r="I17" s="43"/>
      <c r="J17" s="41"/>
      <c r="K17" s="41"/>
      <c r="L17" s="29"/>
      <c r="M17" s="44"/>
      <c r="N17" s="41"/>
      <c r="O17" s="29"/>
      <c r="P17" s="44"/>
      <c r="Q17" s="41"/>
    </row>
    <row r="18" spans="1:17" ht="12.75">
      <c r="A18" s="45"/>
      <c r="B18" s="5"/>
      <c r="C18" s="2"/>
      <c r="D18" s="45"/>
      <c r="E18" s="2"/>
      <c r="F18" s="45"/>
      <c r="G18" s="1"/>
      <c r="H18" s="45"/>
      <c r="I18" s="3"/>
      <c r="J18" s="45"/>
      <c r="K18" s="2"/>
      <c r="L18" s="45"/>
      <c r="M18" s="46"/>
      <c r="N18" s="2"/>
      <c r="O18" s="45"/>
      <c r="P18" s="46"/>
      <c r="Q18" s="5"/>
    </row>
    <row r="19" spans="1:17" ht="12.75" hidden="1">
      <c r="A19" s="53" t="s">
        <v>15</v>
      </c>
      <c r="B19" s="48">
        <v>1033.4</v>
      </c>
      <c r="C19" s="49">
        <v>181.7</v>
      </c>
      <c r="D19" s="50">
        <v>688.7</v>
      </c>
      <c r="E19" s="49">
        <v>327362.5</v>
      </c>
      <c r="F19" s="50">
        <v>329266.3</v>
      </c>
      <c r="G19" s="49">
        <v>5223.6</v>
      </c>
      <c r="H19" s="71">
        <v>334489.89999999997</v>
      </c>
      <c r="I19" s="54">
        <v>175397.7</v>
      </c>
      <c r="J19" s="71">
        <v>159092.19999999995</v>
      </c>
      <c r="K19" s="49">
        <v>125768.90000000001</v>
      </c>
      <c r="L19" s="50">
        <v>30009.40000000001</v>
      </c>
      <c r="M19" s="52">
        <v>95759.5</v>
      </c>
      <c r="N19" s="49">
        <v>125768.90000000001</v>
      </c>
      <c r="O19" s="50">
        <v>30009.40000000001</v>
      </c>
      <c r="P19" s="52">
        <v>95759.5</v>
      </c>
      <c r="Q19" s="48">
        <v>254851.69999999995</v>
      </c>
    </row>
    <row r="20" spans="1:17" ht="12.75" hidden="1">
      <c r="A20" s="53" t="s">
        <v>20</v>
      </c>
      <c r="B20" s="48">
        <v>1304.8</v>
      </c>
      <c r="C20" s="49">
        <v>128093.7</v>
      </c>
      <c r="D20" s="50">
        <v>692.5</v>
      </c>
      <c r="E20" s="49">
        <v>267404.7</v>
      </c>
      <c r="F20" s="50">
        <v>397495.7</v>
      </c>
      <c r="G20" s="49">
        <v>3455.6000000000004</v>
      </c>
      <c r="H20" s="71">
        <v>400951.3</v>
      </c>
      <c r="I20" s="54">
        <v>255985.09999999998</v>
      </c>
      <c r="J20" s="71">
        <v>144966.2</v>
      </c>
      <c r="K20" s="49">
        <v>155769.00000000003</v>
      </c>
      <c r="L20" s="50">
        <v>36237.6</v>
      </c>
      <c r="M20" s="52">
        <v>119531.40000000002</v>
      </c>
      <c r="N20" s="49">
        <v>155769.00000000003</v>
      </c>
      <c r="O20" s="50">
        <v>36237.6</v>
      </c>
      <c r="P20" s="52">
        <v>119531.40000000002</v>
      </c>
      <c r="Q20" s="48">
        <v>264497.60000000003</v>
      </c>
    </row>
    <row r="21" spans="1:17" ht="12.75" hidden="1">
      <c r="A21" s="53" t="s">
        <v>33</v>
      </c>
      <c r="B21" s="48">
        <v>1678.2</v>
      </c>
      <c r="C21" s="49">
        <v>139030.6</v>
      </c>
      <c r="D21" s="50">
        <v>686.7</v>
      </c>
      <c r="E21" s="49">
        <v>268109.8</v>
      </c>
      <c r="F21" s="50">
        <v>409505.30000000005</v>
      </c>
      <c r="G21" s="49">
        <v>8766.9</v>
      </c>
      <c r="H21" s="71">
        <v>418272.20000000007</v>
      </c>
      <c r="I21" s="55">
        <v>276658.60000000003</v>
      </c>
      <c r="J21" s="71">
        <v>141613.60000000003</v>
      </c>
      <c r="K21" s="49">
        <v>162923</v>
      </c>
      <c r="L21" s="50">
        <v>50485.59999999999</v>
      </c>
      <c r="M21" s="52">
        <v>112437.40000000001</v>
      </c>
      <c r="N21" s="49">
        <v>162923</v>
      </c>
      <c r="O21" s="50">
        <v>50485.59999999999</v>
      </c>
      <c r="P21" s="52">
        <v>112437.40000000001</v>
      </c>
      <c r="Q21" s="48">
        <v>254051.00000000006</v>
      </c>
    </row>
    <row r="22" spans="1:17" ht="12.75" hidden="1">
      <c r="A22" s="53" t="s">
        <v>35</v>
      </c>
      <c r="B22" s="48">
        <v>2045.5</v>
      </c>
      <c r="C22" s="49">
        <v>164634.5</v>
      </c>
      <c r="D22" s="50">
        <v>750.6</v>
      </c>
      <c r="E22" s="49">
        <v>235199.30000000002</v>
      </c>
      <c r="F22" s="50">
        <v>402629.9</v>
      </c>
      <c r="G22" s="49">
        <v>10113.9</v>
      </c>
      <c r="H22" s="71">
        <v>412743.80000000005</v>
      </c>
      <c r="I22" s="55">
        <v>330449.80000000005</v>
      </c>
      <c r="J22" s="71">
        <v>82294</v>
      </c>
      <c r="K22" s="49">
        <v>173267.6</v>
      </c>
      <c r="L22" s="50">
        <v>50036.00000000001</v>
      </c>
      <c r="M22" s="52">
        <v>123231.6</v>
      </c>
      <c r="N22" s="49">
        <v>173267.6</v>
      </c>
      <c r="O22" s="50">
        <v>50036.00000000001</v>
      </c>
      <c r="P22" s="52">
        <v>123231.6</v>
      </c>
      <c r="Q22" s="48">
        <v>205525.6</v>
      </c>
    </row>
    <row r="23" spans="1:17" s="63" customFormat="1" ht="12.75">
      <c r="A23" s="73" t="s">
        <v>43</v>
      </c>
      <c r="B23" s="74">
        <v>2482.1</v>
      </c>
      <c r="C23" s="75">
        <v>199698.5</v>
      </c>
      <c r="D23" s="76">
        <v>856</v>
      </c>
      <c r="E23" s="75">
        <v>274465.8</v>
      </c>
      <c r="F23" s="76">
        <f>SUM(B23:E23)</f>
        <v>477502.4</v>
      </c>
      <c r="G23" s="75">
        <v>7523.1</v>
      </c>
      <c r="H23" s="85">
        <f>+F23+G23</f>
        <v>485025.5</v>
      </c>
      <c r="I23" s="75">
        <v>418096.6</v>
      </c>
      <c r="J23" s="85">
        <f>H23-I23</f>
        <v>66928.90000000002</v>
      </c>
      <c r="K23" s="75">
        <v>192680.5</v>
      </c>
      <c r="L23" s="76">
        <v>62971.7</v>
      </c>
      <c r="M23" s="52">
        <f>K23-L23</f>
        <v>129708.8</v>
      </c>
      <c r="N23" s="75">
        <v>0</v>
      </c>
      <c r="O23" s="76">
        <v>0</v>
      </c>
      <c r="P23" s="52">
        <f>N23-O23</f>
        <v>0</v>
      </c>
      <c r="Q23" s="48">
        <f>SUM(J23,M23,P23)</f>
        <v>196637.7</v>
      </c>
    </row>
    <row r="24" spans="1:17" ht="12.75">
      <c r="A24" s="47" t="s">
        <v>46</v>
      </c>
      <c r="B24" s="48">
        <v>1943.7</v>
      </c>
      <c r="C24" s="49">
        <v>182851.4</v>
      </c>
      <c r="D24" s="50">
        <v>858.1999999999825</v>
      </c>
      <c r="E24" s="49">
        <v>309703.29999999993</v>
      </c>
      <c r="F24" s="50">
        <f>SUM(B24:E24)</f>
        <v>495356.5999999999</v>
      </c>
      <c r="G24" s="49">
        <v>5966.9</v>
      </c>
      <c r="H24" s="85">
        <f>+F24+G24</f>
        <v>501323.49999999994</v>
      </c>
      <c r="I24" s="55">
        <v>383189.69999999995</v>
      </c>
      <c r="J24" s="85">
        <f>H24-I24</f>
        <v>118133.79999999999</v>
      </c>
      <c r="K24" s="49">
        <v>201411.19999999998</v>
      </c>
      <c r="L24" s="50">
        <v>89788.90000000001</v>
      </c>
      <c r="M24" s="52">
        <f>K24-L24</f>
        <v>111622.29999999997</v>
      </c>
      <c r="N24" s="49">
        <v>0</v>
      </c>
      <c r="O24" s="50">
        <v>97.2</v>
      </c>
      <c r="P24" s="52">
        <f>N24-O24</f>
        <v>-97.2</v>
      </c>
      <c r="Q24" s="48">
        <f>SUM(J24,M24,P24)</f>
        <v>229658.89999999997</v>
      </c>
    </row>
    <row r="25" spans="1:18" ht="12.75">
      <c r="A25" s="47" t="s">
        <v>69</v>
      </c>
      <c r="B25" s="48">
        <v>1802</v>
      </c>
      <c r="C25" s="49">
        <v>183917.8</v>
      </c>
      <c r="D25" s="50">
        <v>810.4</v>
      </c>
      <c r="E25" s="49">
        <f>6925.7+222912.8+76112.6+249.9</f>
        <v>306201</v>
      </c>
      <c r="F25" s="50">
        <f>SUM(B25:E25)</f>
        <v>492731.19999999995</v>
      </c>
      <c r="G25" s="49">
        <f>7285.1+1198.4</f>
        <v>8483.5</v>
      </c>
      <c r="H25" s="85">
        <f>+F25+G25</f>
        <v>501214.69999999995</v>
      </c>
      <c r="I25" s="55">
        <v>372538.8</v>
      </c>
      <c r="J25" s="85">
        <f>H25-I25</f>
        <v>128675.89999999997</v>
      </c>
      <c r="K25" s="49">
        <v>199601.2</v>
      </c>
      <c r="L25" s="50">
        <v>147751.8</v>
      </c>
      <c r="M25" s="52">
        <v>51849.4</v>
      </c>
      <c r="N25" s="49">
        <v>0</v>
      </c>
      <c r="O25" s="50">
        <v>48.6</v>
      </c>
      <c r="P25" s="52">
        <f>N25-O25</f>
        <v>-48.6</v>
      </c>
      <c r="Q25" s="48">
        <f>SUM(J25,M25,P25)</f>
        <v>180476.69999999995</v>
      </c>
      <c r="R25" s="78"/>
    </row>
    <row r="26" spans="1:18" ht="12.75">
      <c r="A26" s="47" t="s">
        <v>73</v>
      </c>
      <c r="B26" s="48">
        <v>1660.3</v>
      </c>
      <c r="C26" s="49">
        <v>88116.1</v>
      </c>
      <c r="D26" s="50">
        <v>808.1</v>
      </c>
      <c r="E26" s="49">
        <v>129945.5</v>
      </c>
      <c r="F26" s="50">
        <v>220530</v>
      </c>
      <c r="G26" s="49">
        <v>1299.6000000000001</v>
      </c>
      <c r="H26" s="85">
        <v>221829.6</v>
      </c>
      <c r="I26" s="55">
        <v>354815.2</v>
      </c>
      <c r="J26" s="82">
        <v>-132985.6</v>
      </c>
      <c r="K26" s="49">
        <v>207089</v>
      </c>
      <c r="L26" s="50">
        <v>149973.5</v>
      </c>
      <c r="M26" s="52">
        <f>K26-L26</f>
        <v>57115.5</v>
      </c>
      <c r="N26" s="49">
        <v>0</v>
      </c>
      <c r="O26" s="50">
        <v>0</v>
      </c>
      <c r="P26" s="52">
        <v>0</v>
      </c>
      <c r="Q26" s="48">
        <f>SUM(J26,M26,P26)</f>
        <v>-75870.1</v>
      </c>
      <c r="R26" s="78"/>
    </row>
    <row r="27" spans="1:18" ht="12.75">
      <c r="A27" s="47" t="s">
        <v>88</v>
      </c>
      <c r="B27" s="48">
        <v>1893.1</v>
      </c>
      <c r="C27" s="49">
        <v>19330.2</v>
      </c>
      <c r="D27" s="50">
        <v>44971.7</v>
      </c>
      <c r="E27" s="49">
        <f>54356.4+39503.8+894.5+61.3</f>
        <v>94816.00000000001</v>
      </c>
      <c r="F27" s="50">
        <f>SUM(B27:E27)</f>
        <v>161011</v>
      </c>
      <c r="G27" s="49">
        <f>4225.3+1198.4</f>
        <v>5423.700000000001</v>
      </c>
      <c r="H27" s="85">
        <f>+F27+G27</f>
        <v>166434.7</v>
      </c>
      <c r="I27" s="55">
        <v>328508.5</v>
      </c>
      <c r="J27" s="82">
        <f>+H27-I27</f>
        <v>-162073.8</v>
      </c>
      <c r="K27" s="49">
        <f>125357.6+96.8+31.7</f>
        <v>125486.1</v>
      </c>
      <c r="L27" s="50">
        <v>139935.4</v>
      </c>
      <c r="M27" s="52">
        <f>K27-L27</f>
        <v>-14449.299999999988</v>
      </c>
      <c r="N27" s="49"/>
      <c r="O27" s="50"/>
      <c r="P27" s="52">
        <f aca="true" t="shared" si="0" ref="P27:P90">N27-O27</f>
        <v>0</v>
      </c>
      <c r="Q27" s="48">
        <f>SUM(J27,M27)</f>
        <v>-176523.09999999998</v>
      </c>
      <c r="R27" s="86"/>
    </row>
    <row r="28" spans="1:18" ht="12.75" hidden="1">
      <c r="A28" s="47" t="s">
        <v>113</v>
      </c>
      <c r="B28" s="48">
        <v>2211.8</v>
      </c>
      <c r="C28" s="49">
        <v>1985.6</v>
      </c>
      <c r="D28" s="50">
        <v>50235.6</v>
      </c>
      <c r="E28" s="49">
        <f>15509.5+102648+14339.9</f>
        <v>132497.4</v>
      </c>
      <c r="F28" s="50">
        <f>SUM(B28:E28)</f>
        <v>186930.4</v>
      </c>
      <c r="G28" s="49">
        <f>11261+1198.4</f>
        <v>12459.4</v>
      </c>
      <c r="H28" s="85">
        <f>+F28+G28</f>
        <v>199389.8</v>
      </c>
      <c r="I28" s="55">
        <v>338555.6</v>
      </c>
      <c r="J28" s="82">
        <f>+H28-I28</f>
        <v>-139165.8</v>
      </c>
      <c r="K28" s="49">
        <f>146007.1+96.8+29.1</f>
        <v>146133</v>
      </c>
      <c r="L28" s="50">
        <v>156052.6</v>
      </c>
      <c r="M28" s="52">
        <f>K28-L28</f>
        <v>-9919.600000000006</v>
      </c>
      <c r="N28" s="50">
        <v>0</v>
      </c>
      <c r="O28" s="50">
        <v>0</v>
      </c>
      <c r="P28" s="52">
        <f>N28-O28</f>
        <v>0</v>
      </c>
      <c r="Q28" s="48">
        <f>SUM(J28,M28,P28)</f>
        <v>-149085.4</v>
      </c>
      <c r="R28" s="86"/>
    </row>
    <row r="29" spans="1:18" ht="12.75">
      <c r="A29" s="47"/>
      <c r="B29" s="48"/>
      <c r="C29" s="49"/>
      <c r="D29" s="50"/>
      <c r="E29" s="49"/>
      <c r="F29" s="50"/>
      <c r="G29" s="49"/>
      <c r="H29" s="85"/>
      <c r="I29" s="55"/>
      <c r="J29" s="82"/>
      <c r="K29" s="49"/>
      <c r="L29" s="50"/>
      <c r="M29" s="52"/>
      <c r="N29" s="49"/>
      <c r="O29" s="50"/>
      <c r="P29" s="52"/>
      <c r="Q29" s="48"/>
      <c r="R29" s="86"/>
    </row>
    <row r="30" spans="1:17" ht="12.75" hidden="1">
      <c r="A30" s="38"/>
      <c r="B30" s="48"/>
      <c r="C30" s="49"/>
      <c r="D30" s="50"/>
      <c r="E30" s="49"/>
      <c r="F30" s="50"/>
      <c r="G30" s="51"/>
      <c r="H30" s="71"/>
      <c r="I30" s="55"/>
      <c r="J30" s="71"/>
      <c r="K30" s="49"/>
      <c r="L30" s="50"/>
      <c r="M30" s="52"/>
      <c r="N30" s="49"/>
      <c r="O30" s="50"/>
      <c r="P30" s="52">
        <f t="shared" si="0"/>
        <v>0</v>
      </c>
      <c r="Q30" s="48"/>
    </row>
    <row r="31" spans="1:17" ht="12.75" hidden="1">
      <c r="A31" s="38" t="s">
        <v>45</v>
      </c>
      <c r="B31" s="48">
        <v>1678.2</v>
      </c>
      <c r="C31" s="49">
        <v>139030.6</v>
      </c>
      <c r="D31" s="50">
        <v>686.7</v>
      </c>
      <c r="E31" s="49">
        <v>268109.8</v>
      </c>
      <c r="F31" s="50">
        <v>409505.30000000005</v>
      </c>
      <c r="G31" s="49">
        <v>8766.9</v>
      </c>
      <c r="H31" s="71">
        <v>418272.20000000007</v>
      </c>
      <c r="I31" s="55">
        <v>276658.60000000003</v>
      </c>
      <c r="J31" s="71">
        <v>141613.60000000003</v>
      </c>
      <c r="K31" s="49">
        <v>162923</v>
      </c>
      <c r="L31" s="50">
        <v>50485.59999999999</v>
      </c>
      <c r="M31" s="52">
        <v>112437.40000000001</v>
      </c>
      <c r="N31" s="49"/>
      <c r="O31" s="50"/>
      <c r="P31" s="52">
        <f t="shared" si="0"/>
        <v>0</v>
      </c>
      <c r="Q31" s="48">
        <v>254051.00000000006</v>
      </c>
    </row>
    <row r="32" spans="1:17" ht="12.75" hidden="1">
      <c r="A32" s="38"/>
      <c r="B32" s="48"/>
      <c r="C32" s="49"/>
      <c r="D32" s="50"/>
      <c r="E32" s="49"/>
      <c r="F32" s="50"/>
      <c r="G32" s="51"/>
      <c r="H32" s="71"/>
      <c r="I32" s="55"/>
      <c r="J32" s="71"/>
      <c r="K32" s="49"/>
      <c r="L32" s="50"/>
      <c r="M32" s="52"/>
      <c r="N32" s="49"/>
      <c r="O32" s="50"/>
      <c r="P32" s="52">
        <f t="shared" si="0"/>
        <v>0</v>
      </c>
      <c r="Q32" s="48"/>
    </row>
    <row r="33" spans="1:17" ht="12.75" hidden="1">
      <c r="A33" s="38"/>
      <c r="B33" s="48"/>
      <c r="C33" s="49"/>
      <c r="D33" s="50"/>
      <c r="E33" s="49"/>
      <c r="F33" s="50"/>
      <c r="G33" s="49"/>
      <c r="H33" s="71"/>
      <c r="I33" s="55"/>
      <c r="J33" s="71"/>
      <c r="K33" s="49"/>
      <c r="L33" s="50"/>
      <c r="M33" s="52"/>
      <c r="N33" s="49"/>
      <c r="O33" s="50"/>
      <c r="P33" s="52">
        <f t="shared" si="0"/>
        <v>0</v>
      </c>
      <c r="Q33" s="48"/>
    </row>
    <row r="34" spans="1:17" s="63" customFormat="1" ht="12.75" hidden="1">
      <c r="A34" s="39" t="s">
        <v>71</v>
      </c>
      <c r="B34" s="74">
        <v>2482.1</v>
      </c>
      <c r="C34" s="75">
        <v>199698.5</v>
      </c>
      <c r="D34" s="76">
        <v>856</v>
      </c>
      <c r="E34" s="75">
        <v>274465.8</v>
      </c>
      <c r="F34" s="76">
        <v>477502.4</v>
      </c>
      <c r="G34" s="75">
        <v>7523.1</v>
      </c>
      <c r="H34" s="71">
        <v>485025.5</v>
      </c>
      <c r="I34" s="75">
        <v>418096.6</v>
      </c>
      <c r="J34" s="71">
        <v>66928.90000000002</v>
      </c>
      <c r="K34" s="75">
        <v>192680.5</v>
      </c>
      <c r="L34" s="76">
        <v>62971.7</v>
      </c>
      <c r="M34" s="72">
        <v>129708.8</v>
      </c>
      <c r="N34" s="75"/>
      <c r="O34" s="76"/>
      <c r="P34" s="52">
        <f t="shared" si="0"/>
        <v>0</v>
      </c>
      <c r="Q34" s="74">
        <v>196637.7</v>
      </c>
    </row>
    <row r="35" spans="1:18" s="63" customFormat="1" ht="15.75" hidden="1">
      <c r="A35" s="39" t="s">
        <v>76</v>
      </c>
      <c r="B35" s="48">
        <v>2438.9</v>
      </c>
      <c r="C35" s="49">
        <v>179366.6</v>
      </c>
      <c r="D35" s="50">
        <v>848.2</v>
      </c>
      <c r="E35" s="49">
        <v>269294.7</v>
      </c>
      <c r="F35" s="50">
        <v>451948.4</v>
      </c>
      <c r="G35" s="49">
        <v>4627.200000000001</v>
      </c>
      <c r="H35" s="85">
        <v>456575.60000000003</v>
      </c>
      <c r="I35" s="55">
        <v>407828.7</v>
      </c>
      <c r="J35" s="85">
        <v>48746.90000000002</v>
      </c>
      <c r="K35" s="49">
        <v>213236.8</v>
      </c>
      <c r="L35" s="50">
        <v>64129.799999999996</v>
      </c>
      <c r="M35" s="52">
        <v>149107</v>
      </c>
      <c r="N35" s="49"/>
      <c r="O35" s="50"/>
      <c r="P35" s="52">
        <f t="shared" si="0"/>
        <v>0</v>
      </c>
      <c r="Q35" s="48">
        <v>197853.90000000002</v>
      </c>
      <c r="R35"/>
    </row>
    <row r="36" spans="1:17" ht="12.75" hidden="1">
      <c r="A36" s="38" t="s">
        <v>80</v>
      </c>
      <c r="B36" s="48">
        <v>1942.6</v>
      </c>
      <c r="C36" s="49">
        <v>176058.5</v>
      </c>
      <c r="D36" s="50">
        <v>832.5</v>
      </c>
      <c r="E36" s="49">
        <v>246048.1</v>
      </c>
      <c r="F36" s="50">
        <f>SUM(B36:E36)</f>
        <v>424881.7</v>
      </c>
      <c r="G36" s="49">
        <v>2913.4</v>
      </c>
      <c r="H36" s="71">
        <f>+F36+G36</f>
        <v>427795.10000000003</v>
      </c>
      <c r="I36" s="55">
        <v>370829.69999999995</v>
      </c>
      <c r="J36" s="71">
        <f>H36-I36</f>
        <v>56965.40000000008</v>
      </c>
      <c r="K36" s="49">
        <v>165969.40000000002</v>
      </c>
      <c r="L36" s="50">
        <v>64040.99999999999</v>
      </c>
      <c r="M36" s="52">
        <f>K36-L36</f>
        <v>101928.40000000002</v>
      </c>
      <c r="N36" s="49"/>
      <c r="O36" s="50"/>
      <c r="P36" s="52">
        <f t="shared" si="0"/>
        <v>0</v>
      </c>
      <c r="Q36" s="48">
        <f>SUM(J36,M36)</f>
        <v>158893.8000000001</v>
      </c>
    </row>
    <row r="37" spans="1:17" ht="12.75" hidden="1">
      <c r="A37" s="38" t="s">
        <v>84</v>
      </c>
      <c r="B37" s="48">
        <v>2032</v>
      </c>
      <c r="C37" s="49">
        <v>182398.6</v>
      </c>
      <c r="D37" s="50">
        <v>850</v>
      </c>
      <c r="E37" s="49">
        <v>270941.5</v>
      </c>
      <c r="F37" s="50">
        <f>SUM(B37:E37)</f>
        <v>456222.1</v>
      </c>
      <c r="G37" s="49">
        <v>3132.1000000000004</v>
      </c>
      <c r="H37" s="71">
        <f>+F37+G37</f>
        <v>459354.19999999995</v>
      </c>
      <c r="I37" s="55">
        <v>380943.4</v>
      </c>
      <c r="J37" s="71">
        <f>H37-I37</f>
        <v>78410.79999999993</v>
      </c>
      <c r="K37" s="49">
        <v>183463.6</v>
      </c>
      <c r="L37" s="50">
        <v>97088.09999999999</v>
      </c>
      <c r="M37" s="52">
        <f>K37-L37</f>
        <v>86375.50000000001</v>
      </c>
      <c r="N37" s="49"/>
      <c r="O37" s="50"/>
      <c r="P37" s="52">
        <f t="shared" si="0"/>
        <v>0</v>
      </c>
      <c r="Q37" s="48">
        <f>SUM(J37,M37)</f>
        <v>164786.29999999993</v>
      </c>
    </row>
    <row r="38" spans="1:17" ht="12.75" hidden="1">
      <c r="A38" s="77" t="s">
        <v>70</v>
      </c>
      <c r="B38" s="48">
        <v>1943.7</v>
      </c>
      <c r="C38" s="49">
        <v>182851.4</v>
      </c>
      <c r="D38" s="50">
        <v>858.1999999999825</v>
      </c>
      <c r="E38" s="49">
        <v>309703.29999999993</v>
      </c>
      <c r="F38" s="50">
        <f>SUM(B38:E38)</f>
        <v>495356.5999999999</v>
      </c>
      <c r="G38" s="49">
        <v>5966.9</v>
      </c>
      <c r="H38" s="71">
        <f>+F38+G38</f>
        <v>501323.49999999994</v>
      </c>
      <c r="I38" s="55">
        <v>383189.69999999995</v>
      </c>
      <c r="J38" s="71">
        <f>H38-I38</f>
        <v>118133.79999999999</v>
      </c>
      <c r="K38" s="49">
        <v>201411.19999999998</v>
      </c>
      <c r="L38" s="50">
        <v>89788.90000000001</v>
      </c>
      <c r="M38" s="52">
        <f>K38-L38</f>
        <v>111622.29999999997</v>
      </c>
      <c r="N38" s="49"/>
      <c r="O38" s="50"/>
      <c r="P38" s="52">
        <f t="shared" si="0"/>
        <v>0</v>
      </c>
      <c r="Q38" s="48">
        <f>SUM(J38,M38)</f>
        <v>229756.09999999998</v>
      </c>
    </row>
    <row r="39" spans="1:17" ht="12.75" hidden="1">
      <c r="A39" s="38"/>
      <c r="B39" s="48"/>
      <c r="C39" s="49"/>
      <c r="D39" s="50"/>
      <c r="E39" s="49"/>
      <c r="F39" s="50"/>
      <c r="G39" s="49"/>
      <c r="H39" s="71"/>
      <c r="I39" s="55"/>
      <c r="J39" s="71"/>
      <c r="K39" s="49"/>
      <c r="L39" s="50"/>
      <c r="M39" s="52"/>
      <c r="N39" s="49"/>
      <c r="O39" s="50"/>
      <c r="P39" s="52">
        <f t="shared" si="0"/>
        <v>0</v>
      </c>
      <c r="Q39" s="48"/>
    </row>
    <row r="40" spans="1:18" ht="12.75" hidden="1">
      <c r="A40" s="38" t="s">
        <v>57</v>
      </c>
      <c r="B40" s="48">
        <v>1933.3</v>
      </c>
      <c r="C40" s="49">
        <v>196400.6</v>
      </c>
      <c r="D40" s="50">
        <v>859</v>
      </c>
      <c r="E40" s="49">
        <v>287470.3</v>
      </c>
      <c r="F40" s="50">
        <v>486663.19999999995</v>
      </c>
      <c r="G40" s="49">
        <v>4899.700000000001</v>
      </c>
      <c r="H40" s="85">
        <v>491562.89999999997</v>
      </c>
      <c r="I40" s="55">
        <v>396544.3</v>
      </c>
      <c r="J40" s="85">
        <v>95018.59999999998</v>
      </c>
      <c r="K40" s="49">
        <v>216698.30000000002</v>
      </c>
      <c r="L40" s="50">
        <v>100768.8</v>
      </c>
      <c r="M40" s="52">
        <v>115929.50000000001</v>
      </c>
      <c r="N40" s="49">
        <v>0</v>
      </c>
      <c r="O40" s="50">
        <v>97.2</v>
      </c>
      <c r="P40" s="52">
        <v>-97.2</v>
      </c>
      <c r="Q40" s="48">
        <v>210850.89999999997</v>
      </c>
      <c r="R40" s="86"/>
    </row>
    <row r="41" spans="1:18" ht="12.75" hidden="1">
      <c r="A41" s="38" t="s">
        <v>95</v>
      </c>
      <c r="B41" s="48">
        <v>1967.1</v>
      </c>
      <c r="C41" s="49">
        <v>196712.9</v>
      </c>
      <c r="D41" s="50">
        <v>860.4</v>
      </c>
      <c r="E41" s="49">
        <v>284533.9</v>
      </c>
      <c r="F41" s="50">
        <v>484074.30000000005</v>
      </c>
      <c r="G41" s="49">
        <v>2530</v>
      </c>
      <c r="H41" s="85">
        <v>486604.30000000005</v>
      </c>
      <c r="I41" s="55">
        <v>397532.8</v>
      </c>
      <c r="J41" s="85">
        <v>89071.50000000006</v>
      </c>
      <c r="K41" s="49">
        <v>198408.8</v>
      </c>
      <c r="L41" s="50">
        <v>102707.5</v>
      </c>
      <c r="M41" s="52">
        <v>95701.29999999999</v>
      </c>
      <c r="N41" s="49">
        <v>0</v>
      </c>
      <c r="O41" s="50">
        <v>97.1</v>
      </c>
      <c r="P41" s="52">
        <v>-97.1</v>
      </c>
      <c r="Q41" s="48">
        <v>184675.70000000004</v>
      </c>
      <c r="R41" s="86"/>
    </row>
    <row r="42" spans="1:18" ht="12.75" hidden="1">
      <c r="A42" s="38" t="s">
        <v>83</v>
      </c>
      <c r="B42" s="48">
        <v>1822.1</v>
      </c>
      <c r="C42" s="49">
        <v>188332.9</v>
      </c>
      <c r="D42" s="50">
        <v>829.8</v>
      </c>
      <c r="E42" s="49">
        <v>325731.4</v>
      </c>
      <c r="F42" s="50">
        <v>516716.2</v>
      </c>
      <c r="G42" s="49">
        <v>8188.6</v>
      </c>
      <c r="H42" s="85">
        <v>524904.8</v>
      </c>
      <c r="I42" s="55">
        <v>382067.5</v>
      </c>
      <c r="J42" s="85">
        <v>142837.30000000005</v>
      </c>
      <c r="K42" s="49">
        <v>193925</v>
      </c>
      <c r="L42" s="50">
        <v>123903.5</v>
      </c>
      <c r="M42" s="52">
        <v>70021.5</v>
      </c>
      <c r="N42" s="49">
        <v>0</v>
      </c>
      <c r="O42" s="50">
        <v>72.9</v>
      </c>
      <c r="P42" s="52">
        <v>-72.9</v>
      </c>
      <c r="Q42" s="48">
        <v>212785.90000000005</v>
      </c>
      <c r="R42" s="86"/>
    </row>
    <row r="43" spans="1:18" ht="12.75">
      <c r="A43" s="38" t="s">
        <v>87</v>
      </c>
      <c r="B43" s="48">
        <v>1802</v>
      </c>
      <c r="C43" s="49">
        <v>183917.8</v>
      </c>
      <c r="D43" s="50">
        <v>810.4</v>
      </c>
      <c r="E43" s="49">
        <v>306201</v>
      </c>
      <c r="F43" s="50">
        <v>492731.19999999995</v>
      </c>
      <c r="G43" s="49">
        <v>8483.5</v>
      </c>
      <c r="H43" s="85">
        <v>501214.69999999995</v>
      </c>
      <c r="I43" s="55">
        <v>372538.8</v>
      </c>
      <c r="J43" s="85">
        <v>128675.89999999997</v>
      </c>
      <c r="K43" s="49">
        <v>199601.2</v>
      </c>
      <c r="L43" s="50">
        <v>147751.8</v>
      </c>
      <c r="M43" s="52">
        <v>51849.4</v>
      </c>
      <c r="N43" s="49">
        <v>0</v>
      </c>
      <c r="O43" s="50">
        <v>48.6</v>
      </c>
      <c r="P43" s="52">
        <v>-48.6</v>
      </c>
      <c r="Q43" s="48">
        <v>180476.69999999995</v>
      </c>
      <c r="R43" s="86"/>
    </row>
    <row r="44" spans="1:18" ht="12.75">
      <c r="A44" s="38"/>
      <c r="B44" s="48"/>
      <c r="C44" s="49"/>
      <c r="D44" s="50"/>
      <c r="E44" s="49"/>
      <c r="F44" s="50"/>
      <c r="G44" s="49"/>
      <c r="H44" s="71"/>
      <c r="I44" s="55"/>
      <c r="J44" s="71"/>
      <c r="K44" s="49"/>
      <c r="L44" s="50"/>
      <c r="M44" s="52"/>
      <c r="N44" s="49"/>
      <c r="O44" s="50"/>
      <c r="P44" s="52"/>
      <c r="Q44" s="48"/>
      <c r="R44" s="78"/>
    </row>
    <row r="45" spans="1:18" ht="12.75">
      <c r="A45" s="38" t="s">
        <v>58</v>
      </c>
      <c r="B45" s="48">
        <v>1778.4</v>
      </c>
      <c r="C45" s="49">
        <v>174701.8</v>
      </c>
      <c r="D45" s="50">
        <v>775.5</v>
      </c>
      <c r="E45" s="49">
        <v>292147.6</v>
      </c>
      <c r="F45" s="50">
        <v>469403.29999999993</v>
      </c>
      <c r="G45" s="49">
        <v>3107.7</v>
      </c>
      <c r="H45" s="85">
        <v>472510.99999999994</v>
      </c>
      <c r="I45" s="55">
        <v>356984.6</v>
      </c>
      <c r="J45" s="85">
        <v>115526.39999999997</v>
      </c>
      <c r="K45" s="49">
        <v>191610</v>
      </c>
      <c r="L45" s="50">
        <v>146245.4</v>
      </c>
      <c r="M45" s="52">
        <v>45364.600000000006</v>
      </c>
      <c r="N45" s="49">
        <v>0</v>
      </c>
      <c r="O45" s="50">
        <v>24.3</v>
      </c>
      <c r="P45" s="52">
        <v>-24.3</v>
      </c>
      <c r="Q45" s="48">
        <v>160866.69999999998</v>
      </c>
      <c r="R45" s="86"/>
    </row>
    <row r="46" spans="1:18" ht="12.75">
      <c r="A46" s="38" t="s">
        <v>54</v>
      </c>
      <c r="B46" s="48">
        <v>1781.7</v>
      </c>
      <c r="C46" s="49">
        <v>176983.9</v>
      </c>
      <c r="D46" s="50">
        <v>792.1</v>
      </c>
      <c r="E46" s="49">
        <v>191644.69999999998</v>
      </c>
      <c r="F46" s="50">
        <v>371202.4</v>
      </c>
      <c r="G46" s="49">
        <v>2014.8000000000002</v>
      </c>
      <c r="H46" s="85">
        <v>373217.2</v>
      </c>
      <c r="I46" s="55">
        <v>361289.7</v>
      </c>
      <c r="J46" s="85">
        <v>11927.5</v>
      </c>
      <c r="K46" s="49">
        <v>192773.59999999998</v>
      </c>
      <c r="L46" s="50">
        <v>139562.5</v>
      </c>
      <c r="M46" s="52">
        <v>53211.09999999998</v>
      </c>
      <c r="N46" s="49">
        <v>0</v>
      </c>
      <c r="O46" s="50">
        <v>0</v>
      </c>
      <c r="P46" s="52">
        <v>0</v>
      </c>
      <c r="Q46" s="48">
        <v>65138.59999999998</v>
      </c>
      <c r="R46" s="86"/>
    </row>
    <row r="47" spans="1:18" ht="12.75">
      <c r="A47" s="38" t="s">
        <v>55</v>
      </c>
      <c r="B47" s="48">
        <v>1720.4</v>
      </c>
      <c r="C47" s="49">
        <v>165076</v>
      </c>
      <c r="D47" s="50">
        <v>800.5</v>
      </c>
      <c r="E47" s="49">
        <v>105121.8</v>
      </c>
      <c r="F47" s="50">
        <v>272718.7</v>
      </c>
      <c r="G47" s="49">
        <v>1536</v>
      </c>
      <c r="H47" s="85">
        <v>274254.7</v>
      </c>
      <c r="I47" s="55">
        <v>351304.8</v>
      </c>
      <c r="J47" s="82">
        <v>-77050.1</v>
      </c>
      <c r="K47" s="49">
        <v>179072.1</v>
      </c>
      <c r="L47" s="50">
        <v>135266.6</v>
      </c>
      <c r="M47" s="52">
        <v>43805.5</v>
      </c>
      <c r="N47" s="49">
        <v>0</v>
      </c>
      <c r="O47" s="50">
        <v>0</v>
      </c>
      <c r="P47" s="52">
        <v>0</v>
      </c>
      <c r="Q47" s="48">
        <v>-33244.600000000006</v>
      </c>
      <c r="R47" s="86"/>
    </row>
    <row r="48" spans="1:18" ht="12.75">
      <c r="A48" s="38" t="s">
        <v>56</v>
      </c>
      <c r="B48" s="48">
        <v>1660.3</v>
      </c>
      <c r="C48" s="49">
        <v>88116.1</v>
      </c>
      <c r="D48" s="50">
        <v>808.1</v>
      </c>
      <c r="E48" s="49">
        <v>129945.5</v>
      </c>
      <c r="F48" s="50">
        <v>220530</v>
      </c>
      <c r="G48" s="49">
        <v>1299.6000000000001</v>
      </c>
      <c r="H48" s="85">
        <v>221829.6</v>
      </c>
      <c r="I48" s="55">
        <v>354815.2</v>
      </c>
      <c r="J48" s="82">
        <v>-132985.6</v>
      </c>
      <c r="K48" s="49">
        <v>207089</v>
      </c>
      <c r="L48" s="50">
        <v>149973.5</v>
      </c>
      <c r="M48" s="52">
        <f>K48-L48</f>
        <v>57115.5</v>
      </c>
      <c r="N48" s="49">
        <v>0</v>
      </c>
      <c r="O48" s="50">
        <v>0</v>
      </c>
      <c r="P48" s="52">
        <v>0</v>
      </c>
      <c r="Q48" s="48">
        <f>SUM(J48,M48,P48)</f>
        <v>-75870.1</v>
      </c>
      <c r="R48" s="86"/>
    </row>
    <row r="49" spans="1:18" ht="12.75">
      <c r="A49" s="38"/>
      <c r="B49" s="48"/>
      <c r="C49" s="49"/>
      <c r="D49" s="50"/>
      <c r="E49" s="49"/>
      <c r="F49" s="50"/>
      <c r="G49" s="49"/>
      <c r="H49" s="83"/>
      <c r="I49" s="55"/>
      <c r="J49" s="82"/>
      <c r="K49" s="49"/>
      <c r="L49" s="50"/>
      <c r="M49" s="52"/>
      <c r="N49" s="49"/>
      <c r="O49" s="50"/>
      <c r="P49" s="52"/>
      <c r="Q49" s="48"/>
      <c r="R49" s="84"/>
    </row>
    <row r="50" spans="1:18" ht="12.75">
      <c r="A50" s="38" t="s">
        <v>75</v>
      </c>
      <c r="B50" s="48">
        <v>1943</v>
      </c>
      <c r="C50" s="49">
        <v>31919</v>
      </c>
      <c r="D50" s="50">
        <v>45023.1</v>
      </c>
      <c r="E50" s="49">
        <v>73905.5</v>
      </c>
      <c r="F50" s="50">
        <v>152790.6</v>
      </c>
      <c r="G50" s="49">
        <v>2429.2</v>
      </c>
      <c r="H50" s="85">
        <v>155219.80000000002</v>
      </c>
      <c r="I50" s="55">
        <v>350173.8</v>
      </c>
      <c r="J50" s="82">
        <v>-194953.99999999997</v>
      </c>
      <c r="K50" s="49">
        <v>182809.69999999998</v>
      </c>
      <c r="L50" s="50">
        <v>148879.5</v>
      </c>
      <c r="M50" s="52">
        <v>33930.19999999998</v>
      </c>
      <c r="N50" s="49">
        <v>0</v>
      </c>
      <c r="O50" s="50">
        <v>0</v>
      </c>
      <c r="P50" s="52">
        <v>0</v>
      </c>
      <c r="Q50" s="48">
        <v>-161023.8</v>
      </c>
      <c r="R50" s="86"/>
    </row>
    <row r="51" spans="1:18" ht="12.75">
      <c r="A51" s="38" t="s">
        <v>54</v>
      </c>
      <c r="B51" s="48">
        <v>2102.2</v>
      </c>
      <c r="C51" s="49">
        <v>31971.9</v>
      </c>
      <c r="D51" s="50">
        <v>45217.4</v>
      </c>
      <c r="E51" s="49">
        <v>84217.1</v>
      </c>
      <c r="F51" s="50">
        <v>163508.6</v>
      </c>
      <c r="G51" s="49">
        <v>2326.8</v>
      </c>
      <c r="H51" s="85">
        <v>165835.4</v>
      </c>
      <c r="I51" s="55">
        <v>351838.8</v>
      </c>
      <c r="J51" s="82">
        <v>-186003.4</v>
      </c>
      <c r="K51" s="49">
        <v>163223.69999999998</v>
      </c>
      <c r="L51" s="50">
        <v>143107</v>
      </c>
      <c r="M51" s="52">
        <v>20116.699999999983</v>
      </c>
      <c r="N51" s="49">
        <v>0</v>
      </c>
      <c r="O51" s="50">
        <v>0</v>
      </c>
      <c r="P51" s="52">
        <v>0</v>
      </c>
      <c r="Q51" s="48">
        <v>-165886.7</v>
      </c>
      <c r="R51" s="86"/>
    </row>
    <row r="52" spans="1:18" ht="12.75">
      <c r="A52" s="38" t="s">
        <v>55</v>
      </c>
      <c r="B52" s="48">
        <v>2139.2</v>
      </c>
      <c r="C52" s="49">
        <v>16443.5</v>
      </c>
      <c r="D52" s="50">
        <v>45578.3</v>
      </c>
      <c r="E52" s="49">
        <v>88668.4</v>
      </c>
      <c r="F52" s="50">
        <v>152829.4</v>
      </c>
      <c r="G52" s="49">
        <v>4564.1</v>
      </c>
      <c r="H52" s="85">
        <v>157393.5</v>
      </c>
      <c r="I52" s="55">
        <v>338994.5</v>
      </c>
      <c r="J52" s="82">
        <v>-181601</v>
      </c>
      <c r="K52" s="49">
        <v>129120.3</v>
      </c>
      <c r="L52" s="50">
        <v>139965.1</v>
      </c>
      <c r="M52" s="52">
        <v>-10844.800000000003</v>
      </c>
      <c r="N52" s="49">
        <v>0</v>
      </c>
      <c r="O52" s="50">
        <v>0</v>
      </c>
      <c r="P52" s="52">
        <v>0</v>
      </c>
      <c r="Q52" s="48">
        <v>-192445.8</v>
      </c>
      <c r="R52" s="86"/>
    </row>
    <row r="53" spans="1:18" ht="12.75">
      <c r="A53" s="38" t="s">
        <v>56</v>
      </c>
      <c r="B53" s="48">
        <v>1893.1</v>
      </c>
      <c r="C53" s="49">
        <v>19330.2</v>
      </c>
      <c r="D53" s="50">
        <v>44971.7</v>
      </c>
      <c r="E53" s="49">
        <v>94816.00000000001</v>
      </c>
      <c r="F53" s="50">
        <v>161011</v>
      </c>
      <c r="G53" s="49">
        <v>5423.700000000001</v>
      </c>
      <c r="H53" s="85">
        <v>166434.7</v>
      </c>
      <c r="I53" s="55">
        <v>328508.5</v>
      </c>
      <c r="J53" s="82">
        <v>-162073.8</v>
      </c>
      <c r="K53" s="49">
        <v>125486.1</v>
      </c>
      <c r="L53" s="50">
        <v>139935.4</v>
      </c>
      <c r="M53" s="52">
        <v>-14449.299999999988</v>
      </c>
      <c r="N53" s="49">
        <v>0</v>
      </c>
      <c r="O53" s="50">
        <v>0</v>
      </c>
      <c r="P53" s="52">
        <v>0</v>
      </c>
      <c r="Q53" s="48">
        <v>-176523.09999999998</v>
      </c>
      <c r="R53" s="86"/>
    </row>
    <row r="54" spans="1:18" ht="12.75">
      <c r="A54" s="38"/>
      <c r="B54" s="48"/>
      <c r="C54" s="49"/>
      <c r="D54" s="50"/>
      <c r="E54" s="49"/>
      <c r="F54" s="50"/>
      <c r="G54" s="49"/>
      <c r="H54" s="85"/>
      <c r="I54" s="55"/>
      <c r="J54" s="82"/>
      <c r="K54" s="49"/>
      <c r="L54" s="50"/>
      <c r="M54" s="52"/>
      <c r="N54" s="49"/>
      <c r="O54" s="50"/>
      <c r="P54" s="52"/>
      <c r="Q54" s="48"/>
      <c r="R54" s="86"/>
    </row>
    <row r="55" spans="1:18" ht="12.75">
      <c r="A55" s="38" t="s">
        <v>93</v>
      </c>
      <c r="B55" s="48">
        <v>2063.9</v>
      </c>
      <c r="C55" s="49">
        <v>5656.1</v>
      </c>
      <c r="D55" s="50">
        <v>45880.6</v>
      </c>
      <c r="E55" s="49">
        <v>121117.99999999999</v>
      </c>
      <c r="F55" s="50">
        <v>174718.59999999998</v>
      </c>
      <c r="G55" s="49">
        <v>20073.7</v>
      </c>
      <c r="H55" s="85">
        <v>194792.3</v>
      </c>
      <c r="I55" s="55">
        <v>327928.2</v>
      </c>
      <c r="J55" s="82">
        <v>-133135.90000000002</v>
      </c>
      <c r="K55" s="49">
        <v>118563.4</v>
      </c>
      <c r="L55" s="50">
        <v>150057.7</v>
      </c>
      <c r="M55" s="52">
        <v>-31494.300000000017</v>
      </c>
      <c r="N55" s="50">
        <v>0</v>
      </c>
      <c r="O55" s="50">
        <v>0</v>
      </c>
      <c r="P55" s="52">
        <v>0</v>
      </c>
      <c r="Q55" s="48">
        <f>SUM(J55,M55,P55)</f>
        <v>-164630.20000000004</v>
      </c>
      <c r="R55" s="86"/>
    </row>
    <row r="56" spans="1:18" ht="12.75">
      <c r="A56" s="38" t="s">
        <v>95</v>
      </c>
      <c r="B56" s="48">
        <v>2081.1</v>
      </c>
      <c r="C56" s="49">
        <v>10543.6</v>
      </c>
      <c r="D56" s="50">
        <v>48011.2</v>
      </c>
      <c r="E56" s="49">
        <v>118822.7</v>
      </c>
      <c r="F56" s="50">
        <v>179458.59999999998</v>
      </c>
      <c r="G56" s="49">
        <v>21369</v>
      </c>
      <c r="H56" s="85">
        <v>200827.59999999998</v>
      </c>
      <c r="I56" s="55">
        <v>341304.6</v>
      </c>
      <c r="J56" s="82">
        <v>-140477</v>
      </c>
      <c r="K56" s="49">
        <v>153908.6</v>
      </c>
      <c r="L56" s="50">
        <v>166549</v>
      </c>
      <c r="M56" s="52">
        <v>-12640.399999999994</v>
      </c>
      <c r="N56" s="50">
        <v>0</v>
      </c>
      <c r="O56" s="50">
        <v>0</v>
      </c>
      <c r="P56" s="52">
        <v>0</v>
      </c>
      <c r="Q56" s="48">
        <f>SUM(J56,M56,P56)</f>
        <v>-153117.4</v>
      </c>
      <c r="R56" s="86"/>
    </row>
    <row r="57" spans="1:18" ht="12.75">
      <c r="A57" s="38" t="s">
        <v>96</v>
      </c>
      <c r="B57" s="48">
        <v>2173.5</v>
      </c>
      <c r="C57" s="49">
        <v>2158.1</v>
      </c>
      <c r="D57" s="50">
        <v>49331.9</v>
      </c>
      <c r="E57" s="49">
        <f>47310.5+73613+138.3</f>
        <v>121061.8</v>
      </c>
      <c r="F57" s="50">
        <f>SUM(B57:E57)</f>
        <v>174725.3</v>
      </c>
      <c r="G57" s="49">
        <f>22804.7+1198.4</f>
        <v>24003.100000000002</v>
      </c>
      <c r="H57" s="85">
        <f>+F57+G57</f>
        <v>198728.4</v>
      </c>
      <c r="I57" s="55">
        <v>332752.2</v>
      </c>
      <c r="J57" s="82">
        <f>+H57-I57</f>
        <v>-134023.80000000002</v>
      </c>
      <c r="K57" s="49">
        <f>47.5+96.8+141625.7</f>
        <v>141770</v>
      </c>
      <c r="L57" s="50">
        <v>184125.7</v>
      </c>
      <c r="M57" s="52">
        <f>K57-L57</f>
        <v>-42355.70000000001</v>
      </c>
      <c r="N57" s="50">
        <v>0</v>
      </c>
      <c r="O57" s="50">
        <v>0</v>
      </c>
      <c r="P57" s="52">
        <f>N57-O57</f>
        <v>0</v>
      </c>
      <c r="Q57" s="48">
        <f>SUM(J57,M57,P57)</f>
        <v>-176379.50000000003</v>
      </c>
      <c r="R57" s="86"/>
    </row>
    <row r="58" spans="1:18" ht="12.75">
      <c r="A58" s="38" t="s">
        <v>97</v>
      </c>
      <c r="B58" s="48">
        <v>2211.8</v>
      </c>
      <c r="C58" s="49">
        <v>1985.6</v>
      </c>
      <c r="D58" s="50">
        <v>50235.6</v>
      </c>
      <c r="E58" s="49">
        <f>15509.5+102648+14339.9</f>
        <v>132497.4</v>
      </c>
      <c r="F58" s="50">
        <f>SUM(B58:E58)</f>
        <v>186930.4</v>
      </c>
      <c r="G58" s="49">
        <f>11261+1198.4</f>
        <v>12459.4</v>
      </c>
      <c r="H58" s="85">
        <f>+F58+G58</f>
        <v>199389.8</v>
      </c>
      <c r="I58" s="55">
        <v>338555.6</v>
      </c>
      <c r="J58" s="82">
        <f>+H58-I58</f>
        <v>-139165.8</v>
      </c>
      <c r="K58" s="49">
        <f>146007.1+96.8+29.1</f>
        <v>146133</v>
      </c>
      <c r="L58" s="50">
        <v>156052.6</v>
      </c>
      <c r="M58" s="52">
        <f>K58-L58</f>
        <v>-9919.600000000006</v>
      </c>
      <c r="N58" s="50">
        <v>0</v>
      </c>
      <c r="O58" s="50">
        <v>0</v>
      </c>
      <c r="P58" s="52">
        <f>N58-O58</f>
        <v>0</v>
      </c>
      <c r="Q58" s="48">
        <f>SUM(J58,M58,P58)</f>
        <v>-149085.4</v>
      </c>
      <c r="R58" s="86"/>
    </row>
    <row r="59" spans="1:18" ht="12.75">
      <c r="A59" s="38"/>
      <c r="B59" s="48"/>
      <c r="C59" s="49"/>
      <c r="D59" s="50"/>
      <c r="E59" s="49"/>
      <c r="F59" s="50"/>
      <c r="G59" s="49"/>
      <c r="H59" s="85"/>
      <c r="I59" s="55"/>
      <c r="J59" s="82"/>
      <c r="K59" s="49"/>
      <c r="L59" s="50"/>
      <c r="M59" s="52"/>
      <c r="N59" s="49"/>
      <c r="O59" s="50"/>
      <c r="P59" s="52"/>
      <c r="Q59" s="48"/>
      <c r="R59" s="86"/>
    </row>
    <row r="60" spans="1:17" ht="12.75" hidden="1">
      <c r="A60" s="38" t="s">
        <v>14</v>
      </c>
      <c r="B60" s="48">
        <v>1037</v>
      </c>
      <c r="C60" s="49">
        <v>443.4</v>
      </c>
      <c r="D60" s="50">
        <v>663.5</v>
      </c>
      <c r="E60" s="49">
        <v>222234.69999999998</v>
      </c>
      <c r="F60" s="50">
        <f aca="true" t="shared" si="1" ref="F60:F65">SUM(B60:E60)</f>
        <v>224378.59999999998</v>
      </c>
      <c r="G60" s="49">
        <v>4182.4</v>
      </c>
      <c r="H60" s="71">
        <f aca="true" t="shared" si="2" ref="H60:H73">+F60+G60</f>
        <v>228560.99999999997</v>
      </c>
      <c r="I60" s="55">
        <v>157560.9</v>
      </c>
      <c r="J60" s="71">
        <f aca="true" t="shared" si="3" ref="J60:J128">H60-I60</f>
        <v>71000.09999999998</v>
      </c>
      <c r="K60" s="49">
        <v>95638.2</v>
      </c>
      <c r="L60" s="50">
        <v>23113.4</v>
      </c>
      <c r="M60" s="52">
        <f>K60-L60</f>
        <v>72524.79999999999</v>
      </c>
      <c r="N60" s="49"/>
      <c r="O60" s="50"/>
      <c r="P60" s="52">
        <f t="shared" si="0"/>
        <v>0</v>
      </c>
      <c r="Q60" s="48">
        <f aca="true" t="shared" si="4" ref="Q60:Q71">SUM(J60,M60)</f>
        <v>143524.89999999997</v>
      </c>
    </row>
    <row r="61" spans="1:17" ht="12.75" hidden="1">
      <c r="A61" s="38" t="s">
        <v>51</v>
      </c>
      <c r="B61" s="48">
        <v>1096.4</v>
      </c>
      <c r="C61" s="49">
        <v>225.9</v>
      </c>
      <c r="D61" s="50">
        <v>671.2</v>
      </c>
      <c r="E61" s="49">
        <v>215986.7</v>
      </c>
      <c r="F61" s="50">
        <f t="shared" si="1"/>
        <v>217980.2</v>
      </c>
      <c r="G61" s="49">
        <v>3924.2</v>
      </c>
      <c r="H61" s="71">
        <f t="shared" si="2"/>
        <v>221904.40000000002</v>
      </c>
      <c r="I61" s="55">
        <v>159092.1</v>
      </c>
      <c r="J61" s="71">
        <f t="shared" si="3"/>
        <v>62812.30000000002</v>
      </c>
      <c r="K61" s="49">
        <v>103195.6</v>
      </c>
      <c r="L61" s="50">
        <v>21733.699999999997</v>
      </c>
      <c r="M61" s="52">
        <f aca="true" t="shared" si="5" ref="M61:M129">K61-L61</f>
        <v>81461.90000000001</v>
      </c>
      <c r="N61" s="49"/>
      <c r="O61" s="50"/>
      <c r="P61" s="52">
        <f t="shared" si="0"/>
        <v>0</v>
      </c>
      <c r="Q61" s="48">
        <f t="shared" si="4"/>
        <v>144274.2</v>
      </c>
    </row>
    <row r="62" spans="1:17" ht="12.75" hidden="1">
      <c r="A62" s="38" t="s">
        <v>27</v>
      </c>
      <c r="B62" s="48">
        <v>1068.4</v>
      </c>
      <c r="C62" s="49">
        <v>235.3</v>
      </c>
      <c r="D62" s="50">
        <v>699.3</v>
      </c>
      <c r="E62" s="49">
        <v>222758.3</v>
      </c>
      <c r="F62" s="50">
        <f t="shared" si="1"/>
        <v>224761.3</v>
      </c>
      <c r="G62" s="49">
        <v>3933.7</v>
      </c>
      <c r="H62" s="71">
        <f t="shared" si="2"/>
        <v>228695</v>
      </c>
      <c r="I62" s="55">
        <v>168291.5</v>
      </c>
      <c r="J62" s="71">
        <f t="shared" si="3"/>
        <v>60403.5</v>
      </c>
      <c r="K62" s="49">
        <v>116002.2</v>
      </c>
      <c r="L62" s="50">
        <v>27821.300000000003</v>
      </c>
      <c r="M62" s="52">
        <f t="shared" si="5"/>
        <v>88180.9</v>
      </c>
      <c r="N62" s="49"/>
      <c r="O62" s="50"/>
      <c r="P62" s="52">
        <f t="shared" si="0"/>
        <v>0</v>
      </c>
      <c r="Q62" s="48">
        <f t="shared" si="4"/>
        <v>148584.4</v>
      </c>
    </row>
    <row r="63" spans="1:17" ht="12.75" hidden="1">
      <c r="A63" s="38" t="s">
        <v>28</v>
      </c>
      <c r="B63" s="48">
        <v>989.7</v>
      </c>
      <c r="C63" s="49">
        <v>231.2</v>
      </c>
      <c r="D63" s="50">
        <v>687</v>
      </c>
      <c r="E63" s="49">
        <v>223435.59999999998</v>
      </c>
      <c r="F63" s="50">
        <f t="shared" si="1"/>
        <v>225343.49999999997</v>
      </c>
      <c r="G63" s="49">
        <v>3770</v>
      </c>
      <c r="H63" s="71">
        <f t="shared" si="2"/>
        <v>229113.49999999997</v>
      </c>
      <c r="I63" s="55">
        <v>163484.1</v>
      </c>
      <c r="J63" s="71">
        <f t="shared" si="3"/>
        <v>65629.39999999997</v>
      </c>
      <c r="K63" s="49">
        <v>109956.69999999998</v>
      </c>
      <c r="L63" s="50">
        <v>25249.1</v>
      </c>
      <c r="M63" s="52">
        <f t="shared" si="5"/>
        <v>84707.59999999998</v>
      </c>
      <c r="N63" s="49"/>
      <c r="O63" s="50"/>
      <c r="P63" s="52">
        <f t="shared" si="0"/>
        <v>0</v>
      </c>
      <c r="Q63" s="48">
        <f t="shared" si="4"/>
        <v>150336.99999999994</v>
      </c>
    </row>
    <row r="64" spans="1:17" ht="12.75" hidden="1">
      <c r="A64" s="38" t="s">
        <v>29</v>
      </c>
      <c r="B64" s="48">
        <v>994.6</v>
      </c>
      <c r="C64" s="49">
        <v>50.7</v>
      </c>
      <c r="D64" s="50">
        <v>689.8</v>
      </c>
      <c r="E64" s="49">
        <v>219617.2</v>
      </c>
      <c r="F64" s="50">
        <f t="shared" si="1"/>
        <v>221352.30000000002</v>
      </c>
      <c r="G64" s="49">
        <v>3685.1000000000004</v>
      </c>
      <c r="H64" s="71">
        <f t="shared" si="2"/>
        <v>225037.40000000002</v>
      </c>
      <c r="I64" s="55">
        <v>163549.40000000002</v>
      </c>
      <c r="J64" s="71">
        <f t="shared" si="3"/>
        <v>61488</v>
      </c>
      <c r="K64" s="49">
        <v>103309.4</v>
      </c>
      <c r="L64" s="50">
        <v>24010.900000000005</v>
      </c>
      <c r="M64" s="52">
        <f t="shared" si="5"/>
        <v>79298.49999999999</v>
      </c>
      <c r="N64" s="49"/>
      <c r="O64" s="50"/>
      <c r="P64" s="52">
        <f t="shared" si="0"/>
        <v>0</v>
      </c>
      <c r="Q64" s="48">
        <f t="shared" si="4"/>
        <v>140786.5</v>
      </c>
    </row>
    <row r="65" spans="1:17" ht="12.75" hidden="1">
      <c r="A65" s="38" t="s">
        <v>18</v>
      </c>
      <c r="B65" s="48">
        <v>1072.6</v>
      </c>
      <c r="C65" s="49">
        <v>888.8</v>
      </c>
      <c r="D65" s="50">
        <v>701.4</v>
      </c>
      <c r="E65" s="49">
        <v>216375.6</v>
      </c>
      <c r="F65" s="50">
        <f t="shared" si="1"/>
        <v>219038.4</v>
      </c>
      <c r="G65" s="49">
        <v>4023.6000000000004</v>
      </c>
      <c r="H65" s="71">
        <f t="shared" si="2"/>
        <v>223062</v>
      </c>
      <c r="I65" s="54">
        <v>166752.5</v>
      </c>
      <c r="J65" s="71">
        <f t="shared" si="3"/>
        <v>56309.5</v>
      </c>
      <c r="K65" s="49">
        <v>111373.8</v>
      </c>
      <c r="L65" s="50">
        <v>28737.400000000005</v>
      </c>
      <c r="M65" s="52">
        <f t="shared" si="5"/>
        <v>82636.4</v>
      </c>
      <c r="N65" s="49"/>
      <c r="O65" s="50"/>
      <c r="P65" s="52">
        <f t="shared" si="0"/>
        <v>0</v>
      </c>
      <c r="Q65" s="48">
        <f t="shared" si="4"/>
        <v>138945.9</v>
      </c>
    </row>
    <row r="66" spans="1:17" ht="12.75" hidden="1">
      <c r="A66" s="38" t="s">
        <v>21</v>
      </c>
      <c r="B66" s="48">
        <v>1043.6</v>
      </c>
      <c r="C66" s="49">
        <v>879.9</v>
      </c>
      <c r="D66" s="50">
        <v>694.3</v>
      </c>
      <c r="E66" s="49">
        <v>239190.9</v>
      </c>
      <c r="F66" s="50">
        <f aca="true" t="shared" si="6" ref="F66:F71">SUM(B66:E66)</f>
        <v>241808.69999999998</v>
      </c>
      <c r="G66" s="49">
        <v>6068.700000000001</v>
      </c>
      <c r="H66" s="71">
        <f t="shared" si="2"/>
        <v>247877.4</v>
      </c>
      <c r="I66" s="54">
        <v>177733.2</v>
      </c>
      <c r="J66" s="71">
        <f t="shared" si="3"/>
        <v>70144.19999999998</v>
      </c>
      <c r="K66" s="49">
        <v>103087.9</v>
      </c>
      <c r="L66" s="50">
        <v>28529.1</v>
      </c>
      <c r="M66" s="52">
        <f t="shared" si="5"/>
        <v>74558.79999999999</v>
      </c>
      <c r="N66" s="49"/>
      <c r="O66" s="50"/>
      <c r="P66" s="52">
        <f t="shared" si="0"/>
        <v>0</v>
      </c>
      <c r="Q66" s="48">
        <f t="shared" si="4"/>
        <v>144702.99999999997</v>
      </c>
    </row>
    <row r="67" spans="1:17" ht="12.75" hidden="1">
      <c r="A67" s="38" t="s">
        <v>22</v>
      </c>
      <c r="B67" s="48">
        <v>952.2</v>
      </c>
      <c r="C67" s="49">
        <v>175.8</v>
      </c>
      <c r="D67" s="50">
        <v>667.1</v>
      </c>
      <c r="E67" s="49">
        <v>242984.30000000002</v>
      </c>
      <c r="F67" s="50">
        <f t="shared" si="6"/>
        <v>244779.40000000002</v>
      </c>
      <c r="G67" s="49">
        <v>5227.5</v>
      </c>
      <c r="H67" s="71">
        <f t="shared" si="2"/>
        <v>250006.90000000002</v>
      </c>
      <c r="I67" s="54">
        <v>170889.4</v>
      </c>
      <c r="J67" s="71">
        <f t="shared" si="3"/>
        <v>79117.50000000003</v>
      </c>
      <c r="K67" s="49">
        <v>113713.59999999999</v>
      </c>
      <c r="L67" s="50">
        <v>27114.2</v>
      </c>
      <c r="M67" s="52">
        <f t="shared" si="5"/>
        <v>86599.4</v>
      </c>
      <c r="N67" s="49"/>
      <c r="O67" s="50"/>
      <c r="P67" s="52">
        <f t="shared" si="0"/>
        <v>0</v>
      </c>
      <c r="Q67" s="48">
        <f t="shared" si="4"/>
        <v>165716.90000000002</v>
      </c>
    </row>
    <row r="68" spans="1:17" ht="12.75" hidden="1">
      <c r="A68" s="38" t="s">
        <v>23</v>
      </c>
      <c r="B68" s="48">
        <v>1010.3</v>
      </c>
      <c r="C68" s="49">
        <v>177.4</v>
      </c>
      <c r="D68" s="50">
        <v>673.3</v>
      </c>
      <c r="E68" s="49">
        <v>240677.8</v>
      </c>
      <c r="F68" s="50">
        <f t="shared" si="6"/>
        <v>242538.8</v>
      </c>
      <c r="G68" s="49">
        <v>5464.4</v>
      </c>
      <c r="H68" s="71">
        <f t="shared" si="2"/>
        <v>248003.19999999998</v>
      </c>
      <c r="I68" s="54">
        <v>172169.9</v>
      </c>
      <c r="J68" s="71">
        <f t="shared" si="3"/>
        <v>75833.29999999999</v>
      </c>
      <c r="K68" s="49">
        <v>134420.80000000002</v>
      </c>
      <c r="L68" s="50">
        <v>27827.299999999996</v>
      </c>
      <c r="M68" s="52">
        <f t="shared" si="5"/>
        <v>106593.50000000003</v>
      </c>
      <c r="N68" s="49"/>
      <c r="O68" s="50"/>
      <c r="P68" s="52">
        <f t="shared" si="0"/>
        <v>0</v>
      </c>
      <c r="Q68" s="48">
        <f t="shared" si="4"/>
        <v>182426.80000000002</v>
      </c>
    </row>
    <row r="69" spans="1:17" ht="12.75" hidden="1">
      <c r="A69" s="38" t="s">
        <v>24</v>
      </c>
      <c r="B69" s="48">
        <v>859.6</v>
      </c>
      <c r="C69" s="49">
        <v>318.5</v>
      </c>
      <c r="D69" s="50">
        <v>656</v>
      </c>
      <c r="E69" s="49">
        <v>255508.7</v>
      </c>
      <c r="F69" s="50">
        <f t="shared" si="6"/>
        <v>257342.80000000002</v>
      </c>
      <c r="G69" s="49">
        <v>5431.4</v>
      </c>
      <c r="H69" s="71">
        <f t="shared" si="2"/>
        <v>262774.2</v>
      </c>
      <c r="I69" s="54">
        <v>167470.6</v>
      </c>
      <c r="J69" s="71">
        <f t="shared" si="3"/>
        <v>95303.6</v>
      </c>
      <c r="K69" s="49">
        <v>124242.09999999999</v>
      </c>
      <c r="L69" s="50">
        <v>27742.3</v>
      </c>
      <c r="M69" s="52">
        <f t="shared" si="5"/>
        <v>96499.79999999999</v>
      </c>
      <c r="N69" s="49"/>
      <c r="O69" s="50"/>
      <c r="P69" s="52">
        <f t="shared" si="0"/>
        <v>0</v>
      </c>
      <c r="Q69" s="48">
        <f t="shared" si="4"/>
        <v>191803.4</v>
      </c>
    </row>
    <row r="70" spans="1:17" ht="12.75" hidden="1">
      <c r="A70" s="38" t="s">
        <v>25</v>
      </c>
      <c r="B70" s="48">
        <v>971.7</v>
      </c>
      <c r="C70" s="49">
        <v>156.1</v>
      </c>
      <c r="D70" s="50">
        <v>665.6</v>
      </c>
      <c r="E70" s="49">
        <v>269776</v>
      </c>
      <c r="F70" s="50">
        <f t="shared" si="6"/>
        <v>271569.4</v>
      </c>
      <c r="G70" s="49">
        <v>5559.5</v>
      </c>
      <c r="H70" s="71">
        <f t="shared" si="2"/>
        <v>277128.9</v>
      </c>
      <c r="I70" s="54">
        <v>169792.50000000003</v>
      </c>
      <c r="J70" s="71">
        <f t="shared" si="3"/>
        <v>107336.4</v>
      </c>
      <c r="K70" s="49">
        <v>129104.30000000002</v>
      </c>
      <c r="L70" s="50">
        <v>29356.899999999998</v>
      </c>
      <c r="M70" s="52">
        <f t="shared" si="5"/>
        <v>99747.40000000002</v>
      </c>
      <c r="N70" s="49"/>
      <c r="O70" s="50"/>
      <c r="P70" s="52">
        <f t="shared" si="0"/>
        <v>0</v>
      </c>
      <c r="Q70" s="48">
        <f t="shared" si="4"/>
        <v>207083.80000000002</v>
      </c>
    </row>
    <row r="71" spans="1:17" ht="12.75" hidden="1">
      <c r="A71" s="38" t="s">
        <v>26</v>
      </c>
      <c r="B71" s="48">
        <v>1033.4</v>
      </c>
      <c r="C71" s="49">
        <v>181.7</v>
      </c>
      <c r="D71" s="50">
        <v>688.7</v>
      </c>
      <c r="E71" s="49">
        <v>327362.5</v>
      </c>
      <c r="F71" s="50">
        <f t="shared" si="6"/>
        <v>329266.3</v>
      </c>
      <c r="G71" s="49">
        <v>5223.6</v>
      </c>
      <c r="H71" s="71">
        <f t="shared" si="2"/>
        <v>334489.89999999997</v>
      </c>
      <c r="I71" s="54">
        <v>175397.7</v>
      </c>
      <c r="J71" s="71">
        <f t="shared" si="3"/>
        <v>159092.19999999995</v>
      </c>
      <c r="K71" s="49">
        <v>125768.90000000001</v>
      </c>
      <c r="L71" s="50">
        <v>30009.40000000001</v>
      </c>
      <c r="M71" s="52">
        <f t="shared" si="5"/>
        <v>95759.5</v>
      </c>
      <c r="N71" s="49"/>
      <c r="O71" s="50"/>
      <c r="P71" s="52">
        <f t="shared" si="0"/>
        <v>0</v>
      </c>
      <c r="Q71" s="48">
        <f t="shared" si="4"/>
        <v>254851.69999999995</v>
      </c>
    </row>
    <row r="72" spans="1:17" ht="12.75" hidden="1">
      <c r="A72" s="39"/>
      <c r="B72" s="48"/>
      <c r="C72" s="49"/>
      <c r="D72" s="50"/>
      <c r="E72" s="49"/>
      <c r="F72" s="50"/>
      <c r="G72" s="49"/>
      <c r="H72" s="71"/>
      <c r="I72" s="54"/>
      <c r="J72" s="71"/>
      <c r="K72" s="49"/>
      <c r="L72" s="50"/>
      <c r="M72" s="52"/>
      <c r="N72" s="49"/>
      <c r="O72" s="50"/>
      <c r="P72" s="52">
        <f t="shared" si="0"/>
        <v>0</v>
      </c>
      <c r="Q72" s="48"/>
    </row>
    <row r="73" spans="1:17" ht="12.75" hidden="1">
      <c r="A73" s="38" t="s">
        <v>16</v>
      </c>
      <c r="B73" s="48">
        <v>1074.8</v>
      </c>
      <c r="C73" s="49">
        <v>176.3</v>
      </c>
      <c r="D73" s="50">
        <v>668</v>
      </c>
      <c r="E73" s="49">
        <v>303144.5</v>
      </c>
      <c r="F73" s="50">
        <f aca="true" t="shared" si="7" ref="F73:F78">SUM(B73:E73)</f>
        <v>305063.6</v>
      </c>
      <c r="G73" s="49">
        <v>6989.700000000001</v>
      </c>
      <c r="H73" s="71">
        <f t="shared" si="2"/>
        <v>312053.3</v>
      </c>
      <c r="I73" s="54">
        <v>170683.4</v>
      </c>
      <c r="J73" s="71">
        <f t="shared" si="3"/>
        <v>141369.9</v>
      </c>
      <c r="K73" s="49">
        <v>116140.49999999999</v>
      </c>
      <c r="L73" s="50">
        <v>27662.7</v>
      </c>
      <c r="M73" s="52">
        <f t="shared" si="5"/>
        <v>88477.79999999999</v>
      </c>
      <c r="N73" s="49"/>
      <c r="O73" s="50"/>
      <c r="P73" s="52">
        <f t="shared" si="0"/>
        <v>0</v>
      </c>
      <c r="Q73" s="48">
        <f aca="true" t="shared" si="8" ref="Q73:Q84">SUM(J73,M73)</f>
        <v>229847.69999999998</v>
      </c>
    </row>
    <row r="74" spans="1:17" ht="12.75" hidden="1">
      <c r="A74" s="38" t="s">
        <v>50</v>
      </c>
      <c r="B74" s="48">
        <v>1118.6</v>
      </c>
      <c r="C74" s="49">
        <v>109.9</v>
      </c>
      <c r="D74" s="50">
        <v>652.7</v>
      </c>
      <c r="E74" s="49">
        <v>294546.8</v>
      </c>
      <c r="F74" s="50">
        <f t="shared" si="7"/>
        <v>296428</v>
      </c>
      <c r="G74" s="49">
        <v>7176.700000000001</v>
      </c>
      <c r="H74" s="71">
        <f aca="true" t="shared" si="9" ref="H74:H121">+F74+G74</f>
        <v>303604.7</v>
      </c>
      <c r="I74" s="54">
        <v>178338.8</v>
      </c>
      <c r="J74" s="71">
        <f t="shared" si="3"/>
        <v>125265.90000000002</v>
      </c>
      <c r="K74" s="49">
        <v>117864.69999999998</v>
      </c>
      <c r="L74" s="50">
        <v>27916.6</v>
      </c>
      <c r="M74" s="52">
        <f t="shared" si="5"/>
        <v>89948.09999999998</v>
      </c>
      <c r="N74" s="49"/>
      <c r="O74" s="50"/>
      <c r="P74" s="52">
        <f t="shared" si="0"/>
        <v>0</v>
      </c>
      <c r="Q74" s="48">
        <f t="shared" si="8"/>
        <v>215214</v>
      </c>
    </row>
    <row r="75" spans="1:17" ht="12.75" hidden="1">
      <c r="A75" s="38" t="s">
        <v>27</v>
      </c>
      <c r="B75" s="48">
        <v>1094.1</v>
      </c>
      <c r="C75" s="49">
        <v>111.6</v>
      </c>
      <c r="D75" s="50">
        <v>662.7</v>
      </c>
      <c r="E75" s="49">
        <v>278039.10000000003</v>
      </c>
      <c r="F75" s="50">
        <f t="shared" si="7"/>
        <v>279907.50000000006</v>
      </c>
      <c r="G75" s="49">
        <v>6741.6</v>
      </c>
      <c r="H75" s="71">
        <f t="shared" si="9"/>
        <v>286649.10000000003</v>
      </c>
      <c r="I75" s="54">
        <v>180864.6</v>
      </c>
      <c r="J75" s="71">
        <f t="shared" si="3"/>
        <v>105784.50000000003</v>
      </c>
      <c r="K75" s="49">
        <v>120440.8</v>
      </c>
      <c r="L75" s="50">
        <v>28111.9</v>
      </c>
      <c r="M75" s="52">
        <f t="shared" si="5"/>
        <v>92328.9</v>
      </c>
      <c r="N75" s="49"/>
      <c r="O75" s="50"/>
      <c r="P75" s="52">
        <f t="shared" si="0"/>
        <v>0</v>
      </c>
      <c r="Q75" s="48">
        <f t="shared" si="8"/>
        <v>198113.40000000002</v>
      </c>
    </row>
    <row r="76" spans="1:17" ht="12.75" hidden="1">
      <c r="A76" s="38" t="s">
        <v>28</v>
      </c>
      <c r="B76" s="48">
        <v>1060</v>
      </c>
      <c r="C76" s="49">
        <v>111.5</v>
      </c>
      <c r="D76" s="50">
        <v>662.3</v>
      </c>
      <c r="E76" s="49">
        <v>264601.2</v>
      </c>
      <c r="F76" s="50">
        <f t="shared" si="7"/>
        <v>266435</v>
      </c>
      <c r="G76" s="49">
        <v>5492.8</v>
      </c>
      <c r="H76" s="71">
        <f t="shared" si="9"/>
        <v>271927.8</v>
      </c>
      <c r="I76" s="54">
        <v>181050.30000000002</v>
      </c>
      <c r="J76" s="71">
        <f t="shared" si="3"/>
        <v>90877.49999999997</v>
      </c>
      <c r="K76" s="49">
        <v>126001.6</v>
      </c>
      <c r="L76" s="50">
        <v>36224.19999999999</v>
      </c>
      <c r="M76" s="52">
        <f t="shared" si="5"/>
        <v>89777.40000000002</v>
      </c>
      <c r="N76" s="49"/>
      <c r="O76" s="50"/>
      <c r="P76" s="52">
        <f t="shared" si="0"/>
        <v>0</v>
      </c>
      <c r="Q76" s="48">
        <f t="shared" si="8"/>
        <v>180654.9</v>
      </c>
    </row>
    <row r="77" spans="1:17" ht="12.75" hidden="1">
      <c r="A77" s="38" t="s">
        <v>29</v>
      </c>
      <c r="B77" s="48">
        <v>1143.5</v>
      </c>
      <c r="C77" s="49">
        <v>80.7</v>
      </c>
      <c r="D77" s="50">
        <v>679.5</v>
      </c>
      <c r="E77" s="49">
        <v>274451.9</v>
      </c>
      <c r="F77" s="50">
        <f t="shared" si="7"/>
        <v>276355.60000000003</v>
      </c>
      <c r="G77" s="49">
        <v>4756.1</v>
      </c>
      <c r="H77" s="71">
        <f t="shared" si="9"/>
        <v>281111.7</v>
      </c>
      <c r="I77" s="54">
        <v>126775.29999999999</v>
      </c>
      <c r="J77" s="71">
        <f t="shared" si="3"/>
        <v>154336.40000000002</v>
      </c>
      <c r="K77" s="49">
        <v>123079.29999999999</v>
      </c>
      <c r="L77" s="50">
        <v>34014</v>
      </c>
      <c r="M77" s="52">
        <f t="shared" si="5"/>
        <v>89065.29999999999</v>
      </c>
      <c r="N77" s="49"/>
      <c r="O77" s="50"/>
      <c r="P77" s="52">
        <f t="shared" si="0"/>
        <v>0</v>
      </c>
      <c r="Q77" s="48">
        <f t="shared" si="8"/>
        <v>243401.7</v>
      </c>
    </row>
    <row r="78" spans="1:17" ht="12.75" hidden="1">
      <c r="A78" s="38" t="s">
        <v>18</v>
      </c>
      <c r="B78" s="48">
        <v>1120.6</v>
      </c>
      <c r="C78" s="49">
        <v>367.7</v>
      </c>
      <c r="D78" s="50">
        <v>686.8</v>
      </c>
      <c r="E78" s="49">
        <v>269075.8</v>
      </c>
      <c r="F78" s="50">
        <f t="shared" si="7"/>
        <v>271250.89999999997</v>
      </c>
      <c r="G78" s="49">
        <v>4660</v>
      </c>
      <c r="H78" s="71">
        <f t="shared" si="9"/>
        <v>275910.89999999997</v>
      </c>
      <c r="I78" s="54">
        <v>127669</v>
      </c>
      <c r="J78" s="71">
        <f t="shared" si="3"/>
        <v>148241.89999999997</v>
      </c>
      <c r="K78" s="49">
        <v>125767.2</v>
      </c>
      <c r="L78" s="50">
        <v>37042.7</v>
      </c>
      <c r="M78" s="52">
        <f t="shared" si="5"/>
        <v>88724.5</v>
      </c>
      <c r="N78" s="49"/>
      <c r="O78" s="50"/>
      <c r="P78" s="52">
        <f t="shared" si="0"/>
        <v>0</v>
      </c>
      <c r="Q78" s="48">
        <f t="shared" si="8"/>
        <v>236966.39999999997</v>
      </c>
    </row>
    <row r="79" spans="1:17" ht="12.75" hidden="1">
      <c r="A79" s="38" t="s">
        <v>21</v>
      </c>
      <c r="B79" s="48">
        <v>1115.2</v>
      </c>
      <c r="C79" s="49">
        <v>12701.4</v>
      </c>
      <c r="D79" s="50">
        <v>687.6</v>
      </c>
      <c r="E79" s="49">
        <v>253205.2</v>
      </c>
      <c r="F79" s="50">
        <f aca="true" t="shared" si="10" ref="F79:F84">SUM(B79:E79)</f>
        <v>267709.4</v>
      </c>
      <c r="G79" s="49">
        <v>4478.700000000001</v>
      </c>
      <c r="H79" s="71">
        <f t="shared" si="9"/>
        <v>272188.10000000003</v>
      </c>
      <c r="I79" s="54">
        <v>140035.5</v>
      </c>
      <c r="J79" s="71">
        <f t="shared" si="3"/>
        <v>132152.60000000003</v>
      </c>
      <c r="K79" s="49">
        <v>119354.19999999998</v>
      </c>
      <c r="L79" s="50">
        <v>31841.699999999997</v>
      </c>
      <c r="M79" s="52">
        <f t="shared" si="5"/>
        <v>87512.49999999999</v>
      </c>
      <c r="N79" s="49"/>
      <c r="O79" s="50"/>
      <c r="P79" s="52">
        <f t="shared" si="0"/>
        <v>0</v>
      </c>
      <c r="Q79" s="48">
        <f t="shared" si="8"/>
        <v>219665.10000000003</v>
      </c>
    </row>
    <row r="80" spans="1:17" ht="12.75" hidden="1">
      <c r="A80" s="38" t="s">
        <v>22</v>
      </c>
      <c r="B80" s="48">
        <v>1136.3</v>
      </c>
      <c r="C80" s="49">
        <v>122653.6</v>
      </c>
      <c r="D80" s="50">
        <v>693.4</v>
      </c>
      <c r="E80" s="49">
        <v>238703.09999999998</v>
      </c>
      <c r="F80" s="50">
        <f t="shared" si="10"/>
        <v>363186.39999999997</v>
      </c>
      <c r="G80" s="49">
        <v>3479.8</v>
      </c>
      <c r="H80" s="71">
        <f t="shared" si="9"/>
        <v>366666.19999999995</v>
      </c>
      <c r="I80" s="54">
        <v>250916.19999999998</v>
      </c>
      <c r="J80" s="71">
        <f t="shared" si="3"/>
        <v>115749.99999999997</v>
      </c>
      <c r="K80" s="49">
        <v>126943.29999999999</v>
      </c>
      <c r="L80" s="50">
        <v>34910.100000000006</v>
      </c>
      <c r="M80" s="52">
        <f t="shared" si="5"/>
        <v>92033.19999999998</v>
      </c>
      <c r="N80" s="49"/>
      <c r="O80" s="50"/>
      <c r="P80" s="52">
        <f t="shared" si="0"/>
        <v>0</v>
      </c>
      <c r="Q80" s="48">
        <f t="shared" si="8"/>
        <v>207783.19999999995</v>
      </c>
    </row>
    <row r="81" spans="1:17" ht="12.75" hidden="1">
      <c r="A81" s="38" t="s">
        <v>23</v>
      </c>
      <c r="B81" s="48">
        <v>1191</v>
      </c>
      <c r="C81" s="49">
        <v>129687.2</v>
      </c>
      <c r="D81" s="50">
        <v>699.5</v>
      </c>
      <c r="E81" s="49">
        <v>257969.09999999998</v>
      </c>
      <c r="F81" s="50">
        <f t="shared" si="10"/>
        <v>389546.8</v>
      </c>
      <c r="G81" s="49">
        <v>3715.8</v>
      </c>
      <c r="H81" s="71">
        <f t="shared" si="9"/>
        <v>393262.6</v>
      </c>
      <c r="I81" s="54">
        <v>259318.9</v>
      </c>
      <c r="J81" s="71">
        <f t="shared" si="3"/>
        <v>133943.69999999998</v>
      </c>
      <c r="K81" s="49">
        <v>125532.20000000001</v>
      </c>
      <c r="L81" s="50">
        <v>37309.8</v>
      </c>
      <c r="M81" s="52">
        <f t="shared" si="5"/>
        <v>88222.40000000001</v>
      </c>
      <c r="N81" s="49"/>
      <c r="O81" s="50"/>
      <c r="P81" s="52">
        <f t="shared" si="0"/>
        <v>0</v>
      </c>
      <c r="Q81" s="48">
        <f t="shared" si="8"/>
        <v>222166.09999999998</v>
      </c>
    </row>
    <row r="82" spans="1:17" ht="12.75" hidden="1">
      <c r="A82" s="38" t="s">
        <v>24</v>
      </c>
      <c r="B82" s="48">
        <v>1240.1</v>
      </c>
      <c r="C82" s="49">
        <v>130455.6</v>
      </c>
      <c r="D82" s="50">
        <v>703.6</v>
      </c>
      <c r="E82" s="49">
        <v>254245.1</v>
      </c>
      <c r="F82" s="50">
        <f t="shared" si="10"/>
        <v>386644.4</v>
      </c>
      <c r="G82" s="49">
        <v>3322.7</v>
      </c>
      <c r="H82" s="71">
        <f t="shared" si="9"/>
        <v>389967.10000000003</v>
      </c>
      <c r="I82" s="54">
        <v>260952.5</v>
      </c>
      <c r="J82" s="71">
        <f t="shared" si="3"/>
        <v>129014.60000000003</v>
      </c>
      <c r="K82" s="49">
        <v>124128.7</v>
      </c>
      <c r="L82" s="50">
        <v>37126.3</v>
      </c>
      <c r="M82" s="52">
        <f t="shared" si="5"/>
        <v>87002.4</v>
      </c>
      <c r="N82" s="49"/>
      <c r="O82" s="50"/>
      <c r="P82" s="52">
        <f t="shared" si="0"/>
        <v>0</v>
      </c>
      <c r="Q82" s="48">
        <f t="shared" si="8"/>
        <v>216017.00000000003</v>
      </c>
    </row>
    <row r="83" spans="1:17" ht="12.75" hidden="1">
      <c r="A83" s="38" t="s">
        <v>25</v>
      </c>
      <c r="B83" s="48">
        <v>1389.7</v>
      </c>
      <c r="C83" s="49">
        <v>132353.7</v>
      </c>
      <c r="D83" s="50">
        <v>714</v>
      </c>
      <c r="E83" s="49">
        <v>246867.1</v>
      </c>
      <c r="F83" s="50">
        <f t="shared" si="10"/>
        <v>381324.5</v>
      </c>
      <c r="G83" s="49">
        <v>2909.8</v>
      </c>
      <c r="H83" s="71">
        <f t="shared" si="9"/>
        <v>384234.3</v>
      </c>
      <c r="I83" s="54">
        <v>263875.60000000003</v>
      </c>
      <c r="J83" s="71">
        <f t="shared" si="3"/>
        <v>120358.69999999995</v>
      </c>
      <c r="K83" s="49">
        <v>130034.9</v>
      </c>
      <c r="L83" s="50">
        <v>37392.799999999996</v>
      </c>
      <c r="M83" s="52">
        <f t="shared" si="5"/>
        <v>92642.1</v>
      </c>
      <c r="N83" s="49"/>
      <c r="O83" s="50"/>
      <c r="P83" s="52">
        <f t="shared" si="0"/>
        <v>0</v>
      </c>
      <c r="Q83" s="48">
        <f t="shared" si="8"/>
        <v>213000.79999999996</v>
      </c>
    </row>
    <row r="84" spans="1:17" ht="12.75" hidden="1">
      <c r="A84" s="38" t="s">
        <v>26</v>
      </c>
      <c r="B84" s="48">
        <v>1304.8</v>
      </c>
      <c r="C84" s="49">
        <v>128093.7</v>
      </c>
      <c r="D84" s="50">
        <v>692.5</v>
      </c>
      <c r="E84" s="49">
        <v>267404.7</v>
      </c>
      <c r="F84" s="50">
        <f t="shared" si="10"/>
        <v>397495.7</v>
      </c>
      <c r="G84" s="49">
        <v>3455.6000000000004</v>
      </c>
      <c r="H84" s="71">
        <f t="shared" si="9"/>
        <v>400951.3</v>
      </c>
      <c r="I84" s="54">
        <v>255985.09999999998</v>
      </c>
      <c r="J84" s="71">
        <f t="shared" si="3"/>
        <v>144966.2</v>
      </c>
      <c r="K84" s="49">
        <v>155769.00000000003</v>
      </c>
      <c r="L84" s="50">
        <v>36237.6</v>
      </c>
      <c r="M84" s="52">
        <f t="shared" si="5"/>
        <v>119531.40000000002</v>
      </c>
      <c r="N84" s="49"/>
      <c r="O84" s="50"/>
      <c r="P84" s="52">
        <f t="shared" si="0"/>
        <v>0</v>
      </c>
      <c r="Q84" s="48">
        <f t="shared" si="8"/>
        <v>264497.60000000003</v>
      </c>
    </row>
    <row r="85" spans="1:17" ht="12.75" hidden="1">
      <c r="A85" s="38"/>
      <c r="B85" s="48"/>
      <c r="C85" s="49"/>
      <c r="D85" s="50"/>
      <c r="E85" s="49"/>
      <c r="F85" s="50"/>
      <c r="G85" s="49"/>
      <c r="H85" s="71"/>
      <c r="I85" s="54"/>
      <c r="J85" s="71"/>
      <c r="K85" s="49"/>
      <c r="L85" s="50"/>
      <c r="M85" s="52"/>
      <c r="N85" s="49"/>
      <c r="O85" s="50"/>
      <c r="P85" s="52">
        <f t="shared" si="0"/>
        <v>0</v>
      </c>
      <c r="Q85" s="48"/>
    </row>
    <row r="86" spans="1:17" ht="12.75" hidden="1">
      <c r="A86" s="38" t="s">
        <v>19</v>
      </c>
      <c r="B86" s="48">
        <v>1291.5</v>
      </c>
      <c r="C86" s="49">
        <v>127598.1</v>
      </c>
      <c r="D86" s="50">
        <v>689.8</v>
      </c>
      <c r="E86" s="49">
        <v>275503.9</v>
      </c>
      <c r="F86" s="50">
        <f aca="true" t="shared" si="11" ref="F86:F91">SUM(B86:E86)</f>
        <v>405083.30000000005</v>
      </c>
      <c r="G86" s="49">
        <v>2905.9</v>
      </c>
      <c r="H86" s="71">
        <f t="shared" si="9"/>
        <v>407989.20000000007</v>
      </c>
      <c r="I86" s="55">
        <v>254946.7</v>
      </c>
      <c r="J86" s="71">
        <f t="shared" si="3"/>
        <v>153042.50000000006</v>
      </c>
      <c r="K86" s="49">
        <v>153536.5</v>
      </c>
      <c r="L86" s="50">
        <v>35732.40000000001</v>
      </c>
      <c r="M86" s="52">
        <f t="shared" si="5"/>
        <v>117804.09999999999</v>
      </c>
      <c r="N86" s="49"/>
      <c r="O86" s="50"/>
      <c r="P86" s="52">
        <f t="shared" si="0"/>
        <v>0</v>
      </c>
      <c r="Q86" s="48">
        <f aca="true" t="shared" si="12" ref="Q86:Q96">SUM(J86,M86)</f>
        <v>270846.60000000003</v>
      </c>
    </row>
    <row r="87" spans="1:17" ht="12.75" hidden="1">
      <c r="A87" s="38" t="s">
        <v>52</v>
      </c>
      <c r="B87" s="48">
        <v>1318.4</v>
      </c>
      <c r="C87" s="49">
        <v>125359.6</v>
      </c>
      <c r="D87" s="50">
        <v>677.7</v>
      </c>
      <c r="E87" s="49">
        <v>280367.2</v>
      </c>
      <c r="F87" s="50">
        <f t="shared" si="11"/>
        <v>407722.9</v>
      </c>
      <c r="G87" s="49">
        <v>4287.200000000001</v>
      </c>
      <c r="H87" s="71">
        <f t="shared" si="9"/>
        <v>412010.10000000003</v>
      </c>
      <c r="I87" s="55">
        <v>261782.6</v>
      </c>
      <c r="J87" s="71">
        <f t="shared" si="3"/>
        <v>150227.50000000003</v>
      </c>
      <c r="K87" s="49">
        <v>157687.9</v>
      </c>
      <c r="L87" s="50">
        <v>35653.4</v>
      </c>
      <c r="M87" s="52">
        <f t="shared" si="5"/>
        <v>122034.5</v>
      </c>
      <c r="N87" s="49"/>
      <c r="O87" s="50"/>
      <c r="P87" s="52">
        <f t="shared" si="0"/>
        <v>0</v>
      </c>
      <c r="Q87" s="48">
        <f t="shared" si="12"/>
        <v>272262</v>
      </c>
    </row>
    <row r="88" spans="1:17" ht="12.75" hidden="1">
      <c r="A88" s="38" t="s">
        <v>27</v>
      </c>
      <c r="B88" s="48">
        <v>1314.8</v>
      </c>
      <c r="C88" s="49">
        <v>124553.9</v>
      </c>
      <c r="D88" s="50">
        <v>673.3</v>
      </c>
      <c r="E88" s="49">
        <v>265831</v>
      </c>
      <c r="F88" s="50">
        <f t="shared" si="11"/>
        <v>392373</v>
      </c>
      <c r="G88" s="49">
        <v>4171.5</v>
      </c>
      <c r="H88" s="71">
        <f t="shared" si="9"/>
        <v>396544.5</v>
      </c>
      <c r="I88" s="55">
        <v>260330.80000000002</v>
      </c>
      <c r="J88" s="71">
        <f t="shared" si="3"/>
        <v>136213.69999999998</v>
      </c>
      <c r="K88" s="49">
        <v>155722.80000000005</v>
      </c>
      <c r="L88" s="50">
        <v>33546.700000000004</v>
      </c>
      <c r="M88" s="52">
        <f t="shared" si="5"/>
        <v>122176.10000000003</v>
      </c>
      <c r="N88" s="49"/>
      <c r="O88" s="50"/>
      <c r="P88" s="52">
        <f t="shared" si="0"/>
        <v>0</v>
      </c>
      <c r="Q88" s="48">
        <f t="shared" si="12"/>
        <v>258389.80000000002</v>
      </c>
    </row>
    <row r="89" spans="1:17" ht="12.75" hidden="1">
      <c r="A89" s="38" t="s">
        <v>28</v>
      </c>
      <c r="B89" s="48">
        <v>1392.6</v>
      </c>
      <c r="C89" s="49">
        <v>123646.7</v>
      </c>
      <c r="D89" s="50">
        <v>668.4</v>
      </c>
      <c r="E89" s="49">
        <v>252588.50000000003</v>
      </c>
      <c r="F89" s="50">
        <f t="shared" si="11"/>
        <v>378296.2</v>
      </c>
      <c r="G89" s="49">
        <v>4343.4</v>
      </c>
      <c r="H89" s="71">
        <f t="shared" si="9"/>
        <v>382639.60000000003</v>
      </c>
      <c r="I89" s="55">
        <v>257699.40000000002</v>
      </c>
      <c r="J89" s="71">
        <f t="shared" si="3"/>
        <v>124940.20000000001</v>
      </c>
      <c r="K89" s="49">
        <v>148851.90000000002</v>
      </c>
      <c r="L89" s="50">
        <v>40011.5</v>
      </c>
      <c r="M89" s="52">
        <f t="shared" si="5"/>
        <v>108840.40000000002</v>
      </c>
      <c r="N89" s="49"/>
      <c r="O89" s="50"/>
      <c r="P89" s="52">
        <f t="shared" si="0"/>
        <v>0</v>
      </c>
      <c r="Q89" s="48">
        <f t="shared" si="12"/>
        <v>233780.60000000003</v>
      </c>
    </row>
    <row r="90" spans="1:17" ht="12.75" hidden="1">
      <c r="A90" s="38" t="s">
        <v>29</v>
      </c>
      <c r="B90" s="48">
        <v>1440.2</v>
      </c>
      <c r="C90" s="49">
        <v>120848.9</v>
      </c>
      <c r="D90" s="50">
        <v>653.4</v>
      </c>
      <c r="E90" s="49">
        <v>235306.59999999998</v>
      </c>
      <c r="F90" s="50">
        <f t="shared" si="11"/>
        <v>358249.1</v>
      </c>
      <c r="G90" s="49">
        <v>4183.5</v>
      </c>
      <c r="H90" s="71">
        <f t="shared" si="9"/>
        <v>362432.6</v>
      </c>
      <c r="I90" s="55">
        <v>251894.59999999998</v>
      </c>
      <c r="J90" s="71">
        <f t="shared" si="3"/>
        <v>110538</v>
      </c>
      <c r="K90" s="49">
        <v>136564.19999999998</v>
      </c>
      <c r="L90" s="50">
        <v>35952.4</v>
      </c>
      <c r="M90" s="52">
        <f t="shared" si="5"/>
        <v>100611.79999999999</v>
      </c>
      <c r="N90" s="49"/>
      <c r="O90" s="50"/>
      <c r="P90" s="52">
        <f t="shared" si="0"/>
        <v>0</v>
      </c>
      <c r="Q90" s="48">
        <f t="shared" si="12"/>
        <v>211149.8</v>
      </c>
    </row>
    <row r="91" spans="1:17" ht="12.75" hidden="1">
      <c r="A91" s="38" t="s">
        <v>18</v>
      </c>
      <c r="B91" s="48">
        <v>1475</v>
      </c>
      <c r="C91" s="49">
        <v>120972.7</v>
      </c>
      <c r="D91" s="50">
        <v>654</v>
      </c>
      <c r="E91" s="49">
        <v>219261.3</v>
      </c>
      <c r="F91" s="50">
        <f t="shared" si="11"/>
        <v>342363</v>
      </c>
      <c r="G91" s="49">
        <v>3896.1000000000004</v>
      </c>
      <c r="H91" s="71">
        <f t="shared" si="9"/>
        <v>346259.1</v>
      </c>
      <c r="I91" s="55">
        <v>252121.1</v>
      </c>
      <c r="J91" s="71">
        <f t="shared" si="3"/>
        <v>94137.99999999997</v>
      </c>
      <c r="K91" s="49">
        <v>139243.59999999998</v>
      </c>
      <c r="L91" s="50">
        <v>37032.600000000006</v>
      </c>
      <c r="M91" s="52">
        <f t="shared" si="5"/>
        <v>102210.99999999997</v>
      </c>
      <c r="N91" s="49"/>
      <c r="O91" s="50"/>
      <c r="P91" s="52">
        <f aca="true" t="shared" si="13" ref="P91:P123">N91-O91</f>
        <v>0</v>
      </c>
      <c r="Q91" s="48">
        <f t="shared" si="12"/>
        <v>196348.99999999994</v>
      </c>
    </row>
    <row r="92" spans="1:17" ht="12.75" hidden="1">
      <c r="A92" s="38" t="s">
        <v>21</v>
      </c>
      <c r="B92" s="48">
        <v>1390.5</v>
      </c>
      <c r="C92" s="49">
        <v>124796.9</v>
      </c>
      <c r="D92" s="50">
        <v>674.8</v>
      </c>
      <c r="E92" s="49">
        <v>221202.6</v>
      </c>
      <c r="F92" s="50">
        <f aca="true" t="shared" si="14" ref="F92:F97">SUM(B92:E92)</f>
        <v>348064.8</v>
      </c>
      <c r="G92" s="49">
        <v>3963.1000000000004</v>
      </c>
      <c r="H92" s="71">
        <f t="shared" si="9"/>
        <v>352027.89999999997</v>
      </c>
      <c r="I92" s="55">
        <v>260288</v>
      </c>
      <c r="J92" s="71">
        <f t="shared" si="3"/>
        <v>91739.89999999997</v>
      </c>
      <c r="K92" s="49">
        <v>148565.8</v>
      </c>
      <c r="L92" s="50">
        <v>39069.899999999994</v>
      </c>
      <c r="M92" s="52">
        <f t="shared" si="5"/>
        <v>109495.9</v>
      </c>
      <c r="N92" s="49"/>
      <c r="O92" s="50"/>
      <c r="P92" s="52">
        <f t="shared" si="13"/>
        <v>0</v>
      </c>
      <c r="Q92" s="48">
        <f t="shared" si="12"/>
        <v>201235.79999999996</v>
      </c>
    </row>
    <row r="93" spans="1:17" ht="12.75" hidden="1">
      <c r="A93" s="38" t="s">
        <v>22</v>
      </c>
      <c r="B93" s="48">
        <v>1469.3</v>
      </c>
      <c r="C93" s="49">
        <v>136021.1</v>
      </c>
      <c r="D93" s="50">
        <v>669.2</v>
      </c>
      <c r="E93" s="49">
        <v>211068.09999999998</v>
      </c>
      <c r="F93" s="50">
        <f t="shared" si="14"/>
        <v>349227.69999999995</v>
      </c>
      <c r="G93" s="49">
        <v>5042.4</v>
      </c>
      <c r="H93" s="71">
        <f t="shared" si="9"/>
        <v>354270.1</v>
      </c>
      <c r="I93" s="55">
        <v>270617.1</v>
      </c>
      <c r="J93" s="71">
        <f t="shared" si="3"/>
        <v>83653</v>
      </c>
      <c r="K93" s="49">
        <v>137763</v>
      </c>
      <c r="L93" s="50">
        <v>36289.3</v>
      </c>
      <c r="M93" s="52">
        <f t="shared" si="5"/>
        <v>101473.7</v>
      </c>
      <c r="N93" s="49"/>
      <c r="O93" s="50"/>
      <c r="P93" s="52">
        <f t="shared" si="13"/>
        <v>0</v>
      </c>
      <c r="Q93" s="48">
        <f t="shared" si="12"/>
        <v>185126.7</v>
      </c>
    </row>
    <row r="94" spans="1:17" ht="12.75" hidden="1">
      <c r="A94" s="38" t="s">
        <v>23</v>
      </c>
      <c r="B94" s="48">
        <v>1555</v>
      </c>
      <c r="C94" s="49">
        <v>139909.4</v>
      </c>
      <c r="D94" s="50">
        <v>688.3</v>
      </c>
      <c r="E94" s="49">
        <v>200071.4</v>
      </c>
      <c r="F94" s="50">
        <f t="shared" si="14"/>
        <v>342224.1</v>
      </c>
      <c r="G94" s="49">
        <v>6532.799999999999</v>
      </c>
      <c r="H94" s="71">
        <f t="shared" si="9"/>
        <v>348756.89999999997</v>
      </c>
      <c r="I94" s="55">
        <v>279209.8</v>
      </c>
      <c r="J94" s="71">
        <f t="shared" si="3"/>
        <v>69547.09999999998</v>
      </c>
      <c r="K94" s="49">
        <v>135528.9</v>
      </c>
      <c r="L94" s="50">
        <v>37379.6</v>
      </c>
      <c r="M94" s="52">
        <f t="shared" si="5"/>
        <v>98149.29999999999</v>
      </c>
      <c r="N94" s="49"/>
      <c r="O94" s="50"/>
      <c r="P94" s="52">
        <f t="shared" si="13"/>
        <v>0</v>
      </c>
      <c r="Q94" s="48">
        <f t="shared" si="12"/>
        <v>167696.39999999997</v>
      </c>
    </row>
    <row r="95" spans="1:17" ht="12.75" hidden="1">
      <c r="A95" s="38" t="s">
        <v>24</v>
      </c>
      <c r="B95" s="48">
        <v>1593.5</v>
      </c>
      <c r="C95" s="49">
        <v>141490.8</v>
      </c>
      <c r="D95" s="50">
        <v>698.7</v>
      </c>
      <c r="E95" s="49">
        <v>196503</v>
      </c>
      <c r="F95" s="50">
        <f t="shared" si="14"/>
        <v>340286</v>
      </c>
      <c r="G95" s="49">
        <v>7493.4</v>
      </c>
      <c r="H95" s="71">
        <f t="shared" si="9"/>
        <v>347779.4</v>
      </c>
      <c r="I95" s="55">
        <v>281295.6</v>
      </c>
      <c r="J95" s="71">
        <f t="shared" si="3"/>
        <v>66483.80000000005</v>
      </c>
      <c r="K95" s="49">
        <v>148423.1</v>
      </c>
      <c r="L95" s="50">
        <v>40353.2</v>
      </c>
      <c r="M95" s="52">
        <f t="shared" si="5"/>
        <v>108069.90000000001</v>
      </c>
      <c r="N95" s="49"/>
      <c r="O95" s="50"/>
      <c r="P95" s="52">
        <f t="shared" si="13"/>
        <v>0</v>
      </c>
      <c r="Q95" s="48">
        <f t="shared" si="12"/>
        <v>174553.70000000007</v>
      </c>
    </row>
    <row r="96" spans="1:17" ht="12.75" hidden="1">
      <c r="A96" s="38" t="s">
        <v>25</v>
      </c>
      <c r="B96" s="48">
        <v>1624.7</v>
      </c>
      <c r="C96" s="49">
        <v>138203.1</v>
      </c>
      <c r="D96" s="50">
        <v>682.5</v>
      </c>
      <c r="E96" s="49">
        <v>201049</v>
      </c>
      <c r="F96" s="50">
        <f t="shared" si="14"/>
        <v>341559.30000000005</v>
      </c>
      <c r="G96" s="49">
        <v>7640</v>
      </c>
      <c r="H96" s="71">
        <f t="shared" si="9"/>
        <v>349199.30000000005</v>
      </c>
      <c r="I96" s="55">
        <v>274549</v>
      </c>
      <c r="J96" s="71">
        <f t="shared" si="3"/>
        <v>74650.30000000005</v>
      </c>
      <c r="K96" s="49">
        <v>150072.59999999998</v>
      </c>
      <c r="L96" s="50">
        <v>46726.1</v>
      </c>
      <c r="M96" s="52">
        <f t="shared" si="5"/>
        <v>103346.49999999997</v>
      </c>
      <c r="N96" s="49"/>
      <c r="O96" s="50"/>
      <c r="P96" s="52">
        <f t="shared" si="13"/>
        <v>0</v>
      </c>
      <c r="Q96" s="48">
        <f t="shared" si="12"/>
        <v>177996.80000000002</v>
      </c>
    </row>
    <row r="97" spans="1:17" ht="12.75" hidden="1">
      <c r="A97" s="38" t="s">
        <v>26</v>
      </c>
      <c r="B97" s="48">
        <v>1678.2</v>
      </c>
      <c r="C97" s="49">
        <v>139030.6</v>
      </c>
      <c r="D97" s="50">
        <v>686.7</v>
      </c>
      <c r="E97" s="49">
        <v>268109.8</v>
      </c>
      <c r="F97" s="50">
        <f t="shared" si="14"/>
        <v>409505.30000000005</v>
      </c>
      <c r="G97" s="49">
        <v>8766.9</v>
      </c>
      <c r="H97" s="71">
        <f t="shared" si="9"/>
        <v>418272.20000000007</v>
      </c>
      <c r="I97" s="55">
        <v>276658.60000000003</v>
      </c>
      <c r="J97" s="71">
        <f t="shared" si="3"/>
        <v>141613.60000000003</v>
      </c>
      <c r="K97" s="49">
        <v>162923</v>
      </c>
      <c r="L97" s="50">
        <v>50485.59999999999</v>
      </c>
      <c r="M97" s="52">
        <f t="shared" si="5"/>
        <v>112437.40000000001</v>
      </c>
      <c r="N97" s="49">
        <v>0</v>
      </c>
      <c r="O97" s="50">
        <v>0</v>
      </c>
      <c r="P97" s="52">
        <f>N97-O97</f>
        <v>0</v>
      </c>
      <c r="Q97" s="48">
        <f>SUM(J97,M97,P97)</f>
        <v>254051.00000000006</v>
      </c>
    </row>
    <row r="98" spans="1:17" ht="12.75" hidden="1">
      <c r="A98" s="38"/>
      <c r="B98" s="48"/>
      <c r="C98" s="49"/>
      <c r="D98" s="50"/>
      <c r="E98" s="49"/>
      <c r="F98" s="50"/>
      <c r="G98" s="49"/>
      <c r="H98" s="85"/>
      <c r="I98" s="55"/>
      <c r="J98" s="85"/>
      <c r="K98" s="49"/>
      <c r="L98" s="50"/>
      <c r="M98" s="52"/>
      <c r="N98" s="49"/>
      <c r="O98" s="50"/>
      <c r="P98" s="52"/>
      <c r="Q98" s="48"/>
    </row>
    <row r="99" spans="1:17" ht="12.75" hidden="1">
      <c r="A99" s="38" t="s">
        <v>34</v>
      </c>
      <c r="B99" s="48">
        <v>1592.8</v>
      </c>
      <c r="C99" s="49">
        <v>141347.7</v>
      </c>
      <c r="D99" s="50">
        <v>692.9</v>
      </c>
      <c r="E99" s="49">
        <v>258807.2</v>
      </c>
      <c r="F99" s="50">
        <f aca="true" t="shared" si="15" ref="F99:F104">SUM(B99:E99)</f>
        <v>402440.6</v>
      </c>
      <c r="G99" s="49">
        <v>10593.4</v>
      </c>
      <c r="H99" s="71">
        <f t="shared" si="9"/>
        <v>413034</v>
      </c>
      <c r="I99" s="55">
        <v>281587.1</v>
      </c>
      <c r="J99" s="71">
        <f t="shared" si="3"/>
        <v>131446.90000000002</v>
      </c>
      <c r="K99" s="49">
        <v>152646.00000000003</v>
      </c>
      <c r="L99" s="50">
        <v>44614.49999999999</v>
      </c>
      <c r="M99" s="52">
        <f t="shared" si="5"/>
        <v>108031.50000000003</v>
      </c>
      <c r="N99" s="49">
        <v>0</v>
      </c>
      <c r="O99" s="50">
        <v>0</v>
      </c>
      <c r="P99" s="52">
        <f t="shared" si="13"/>
        <v>0</v>
      </c>
      <c r="Q99" s="48">
        <f aca="true" t="shared" si="16" ref="Q99:Q167">SUM(J99,M99,P99)</f>
        <v>239478.40000000005</v>
      </c>
    </row>
    <row r="100" spans="1:17" ht="12.75" hidden="1">
      <c r="A100" s="38" t="s">
        <v>52</v>
      </c>
      <c r="B100" s="48">
        <v>1678.2</v>
      </c>
      <c r="C100" s="49">
        <v>140620</v>
      </c>
      <c r="D100" s="50">
        <v>694.5</v>
      </c>
      <c r="E100" s="49">
        <v>283349.7</v>
      </c>
      <c r="F100" s="50">
        <f t="shared" si="15"/>
        <v>426342.4</v>
      </c>
      <c r="G100" s="49">
        <v>11586.4</v>
      </c>
      <c r="H100" s="71">
        <f t="shared" si="9"/>
        <v>437928.80000000005</v>
      </c>
      <c r="I100" s="55">
        <v>281664.4</v>
      </c>
      <c r="J100" s="71">
        <f t="shared" si="3"/>
        <v>156264.40000000002</v>
      </c>
      <c r="K100" s="49">
        <v>149996.80000000002</v>
      </c>
      <c r="L100" s="50">
        <v>49423.19999999999</v>
      </c>
      <c r="M100" s="52">
        <f t="shared" si="5"/>
        <v>100573.60000000003</v>
      </c>
      <c r="N100" s="49">
        <v>0</v>
      </c>
      <c r="O100" s="50">
        <v>0</v>
      </c>
      <c r="P100" s="52">
        <f t="shared" si="13"/>
        <v>0</v>
      </c>
      <c r="Q100" s="48">
        <f t="shared" si="16"/>
        <v>256838.00000000006</v>
      </c>
    </row>
    <row r="101" spans="1:17" ht="12.75" hidden="1">
      <c r="A101" s="38" t="s">
        <v>27</v>
      </c>
      <c r="B101" s="48">
        <v>1704.1</v>
      </c>
      <c r="C101" s="49">
        <v>141665.1</v>
      </c>
      <c r="D101" s="50">
        <v>699.7</v>
      </c>
      <c r="E101" s="49">
        <v>271744.2</v>
      </c>
      <c r="F101" s="50">
        <f t="shared" si="15"/>
        <v>415813.10000000003</v>
      </c>
      <c r="G101" s="49">
        <v>10815.5</v>
      </c>
      <c r="H101" s="71">
        <f t="shared" si="9"/>
        <v>426628.60000000003</v>
      </c>
      <c r="I101" s="55">
        <v>283289.5</v>
      </c>
      <c r="J101" s="71">
        <f t="shared" si="3"/>
        <v>143339.10000000003</v>
      </c>
      <c r="K101" s="49">
        <v>143485.69999999995</v>
      </c>
      <c r="L101" s="50">
        <v>39002.5</v>
      </c>
      <c r="M101" s="52">
        <f t="shared" si="5"/>
        <v>104483.19999999995</v>
      </c>
      <c r="N101" s="49">
        <v>0</v>
      </c>
      <c r="O101" s="50">
        <v>0</v>
      </c>
      <c r="P101" s="52">
        <f t="shared" si="13"/>
        <v>0</v>
      </c>
      <c r="Q101" s="48">
        <f t="shared" si="16"/>
        <v>247822.3</v>
      </c>
    </row>
    <row r="102" spans="1:17" ht="12.75" hidden="1">
      <c r="A102" s="38" t="s">
        <v>28</v>
      </c>
      <c r="B102" s="48">
        <v>1853.9</v>
      </c>
      <c r="C102" s="49">
        <v>158675.7</v>
      </c>
      <c r="D102" s="50">
        <v>722.6</v>
      </c>
      <c r="E102" s="49">
        <v>284505.6</v>
      </c>
      <c r="F102" s="50">
        <f t="shared" si="15"/>
        <v>445757.8</v>
      </c>
      <c r="G102" s="49">
        <v>9926.6</v>
      </c>
      <c r="H102" s="71">
        <f t="shared" si="9"/>
        <v>455684.39999999997</v>
      </c>
      <c r="I102" s="55">
        <v>304102.80000000005</v>
      </c>
      <c r="J102" s="71">
        <f t="shared" si="3"/>
        <v>151581.59999999992</v>
      </c>
      <c r="K102" s="49">
        <v>142072.69999999998</v>
      </c>
      <c r="L102" s="50">
        <v>43570.299999999996</v>
      </c>
      <c r="M102" s="52">
        <f t="shared" si="5"/>
        <v>98502.4</v>
      </c>
      <c r="N102" s="49">
        <v>0</v>
      </c>
      <c r="O102" s="50">
        <v>0</v>
      </c>
      <c r="P102" s="52">
        <f t="shared" si="13"/>
        <v>0</v>
      </c>
      <c r="Q102" s="48">
        <f t="shared" si="16"/>
        <v>250083.9999999999</v>
      </c>
    </row>
    <row r="103" spans="1:17" ht="12.75" hidden="1">
      <c r="A103" s="38" t="s">
        <v>29</v>
      </c>
      <c r="B103" s="48">
        <v>1842.5</v>
      </c>
      <c r="C103" s="49">
        <v>156290.6</v>
      </c>
      <c r="D103" s="50">
        <v>711.7</v>
      </c>
      <c r="E103" s="49">
        <v>277304.5</v>
      </c>
      <c r="F103" s="50">
        <f t="shared" si="15"/>
        <v>436149.30000000005</v>
      </c>
      <c r="G103" s="49">
        <v>8461.9</v>
      </c>
      <c r="H103" s="71">
        <f t="shared" si="9"/>
        <v>444611.20000000007</v>
      </c>
      <c r="I103" s="55">
        <v>299175.7</v>
      </c>
      <c r="J103" s="71">
        <f t="shared" si="3"/>
        <v>145435.50000000006</v>
      </c>
      <c r="K103" s="49">
        <v>136429.60000000003</v>
      </c>
      <c r="L103" s="50">
        <v>41594.7</v>
      </c>
      <c r="M103" s="52">
        <f t="shared" si="5"/>
        <v>94834.90000000004</v>
      </c>
      <c r="N103" s="49">
        <v>0</v>
      </c>
      <c r="O103" s="50">
        <v>0</v>
      </c>
      <c r="P103" s="52">
        <f t="shared" si="13"/>
        <v>0</v>
      </c>
      <c r="Q103" s="48">
        <f t="shared" si="16"/>
        <v>240270.40000000008</v>
      </c>
    </row>
    <row r="104" spans="1:17" ht="12.75" hidden="1">
      <c r="A104" s="38" t="s">
        <v>18</v>
      </c>
      <c r="B104" s="48">
        <v>1816.6</v>
      </c>
      <c r="C104" s="49">
        <v>157079.9</v>
      </c>
      <c r="D104" s="50">
        <v>715.3</v>
      </c>
      <c r="E104" s="49">
        <v>268057.4</v>
      </c>
      <c r="F104" s="50">
        <f t="shared" si="15"/>
        <v>427669.2</v>
      </c>
      <c r="G104" s="49">
        <v>6572.799999999999</v>
      </c>
      <c r="H104" s="71">
        <f t="shared" si="9"/>
        <v>434242</v>
      </c>
      <c r="I104" s="55">
        <v>300858.9</v>
      </c>
      <c r="J104" s="71">
        <f t="shared" si="3"/>
        <v>133383.09999999998</v>
      </c>
      <c r="K104" s="49">
        <v>129712.2</v>
      </c>
      <c r="L104" s="50">
        <v>39056.4</v>
      </c>
      <c r="M104" s="52">
        <f t="shared" si="5"/>
        <v>90655.79999999999</v>
      </c>
      <c r="N104" s="49">
        <v>0</v>
      </c>
      <c r="O104" s="50">
        <v>0</v>
      </c>
      <c r="P104" s="52">
        <f t="shared" si="13"/>
        <v>0</v>
      </c>
      <c r="Q104" s="48">
        <f t="shared" si="16"/>
        <v>224038.89999999997</v>
      </c>
    </row>
    <row r="105" spans="1:17" ht="12.75" hidden="1">
      <c r="A105" s="38" t="s">
        <v>21</v>
      </c>
      <c r="B105" s="48">
        <v>1948.9</v>
      </c>
      <c r="C105" s="49">
        <v>171537.2</v>
      </c>
      <c r="D105" s="50">
        <v>721</v>
      </c>
      <c r="E105" s="49">
        <v>256308.99999999997</v>
      </c>
      <c r="F105" s="50">
        <f aca="true" t="shared" si="17" ref="F105:F110">SUM(B105:E105)</f>
        <v>430516.1</v>
      </c>
      <c r="G105" s="49">
        <v>6457.4</v>
      </c>
      <c r="H105" s="71">
        <f t="shared" si="9"/>
        <v>436973.5</v>
      </c>
      <c r="I105" s="55">
        <v>316978.4</v>
      </c>
      <c r="J105" s="71">
        <f t="shared" si="3"/>
        <v>119995.09999999998</v>
      </c>
      <c r="K105" s="49">
        <v>136658.50000000003</v>
      </c>
      <c r="L105" s="50">
        <v>42413.6</v>
      </c>
      <c r="M105" s="52">
        <f t="shared" si="5"/>
        <v>94244.90000000002</v>
      </c>
      <c r="N105" s="49">
        <v>0</v>
      </c>
      <c r="O105" s="50">
        <v>0</v>
      </c>
      <c r="P105" s="52">
        <f t="shared" si="13"/>
        <v>0</v>
      </c>
      <c r="Q105" s="48">
        <f t="shared" si="16"/>
        <v>214240</v>
      </c>
    </row>
    <row r="106" spans="1:17" ht="12.75" hidden="1">
      <c r="A106" s="38" t="s">
        <v>22</v>
      </c>
      <c r="B106" s="48">
        <v>2231.9</v>
      </c>
      <c r="C106" s="49">
        <v>172119.9</v>
      </c>
      <c r="D106" s="50">
        <v>729.5</v>
      </c>
      <c r="E106" s="49">
        <v>238971.10000000003</v>
      </c>
      <c r="F106" s="50">
        <f t="shared" si="17"/>
        <v>414052.4</v>
      </c>
      <c r="G106" s="49">
        <v>6040.5</v>
      </c>
      <c r="H106" s="71">
        <f t="shared" si="9"/>
        <v>420092.9</v>
      </c>
      <c r="I106" s="55">
        <v>319000</v>
      </c>
      <c r="J106" s="71">
        <f t="shared" si="3"/>
        <v>101092.90000000002</v>
      </c>
      <c r="K106" s="49">
        <v>137401.50000000003</v>
      </c>
      <c r="L106" s="50">
        <v>41757.4</v>
      </c>
      <c r="M106" s="52">
        <f t="shared" si="5"/>
        <v>95644.10000000003</v>
      </c>
      <c r="N106" s="49">
        <v>0</v>
      </c>
      <c r="O106" s="50">
        <v>0</v>
      </c>
      <c r="P106" s="52">
        <f t="shared" si="13"/>
        <v>0</v>
      </c>
      <c r="Q106" s="48">
        <f t="shared" si="16"/>
        <v>196737.00000000006</v>
      </c>
    </row>
    <row r="107" spans="1:17" ht="12.75" hidden="1">
      <c r="A107" s="38" t="s">
        <v>23</v>
      </c>
      <c r="B107" s="48">
        <v>2001.3</v>
      </c>
      <c r="C107" s="49">
        <v>169415.7</v>
      </c>
      <c r="D107" s="50">
        <v>718</v>
      </c>
      <c r="E107" s="49">
        <v>216623.7</v>
      </c>
      <c r="F107" s="50">
        <f t="shared" si="17"/>
        <v>388758.7</v>
      </c>
      <c r="G107" s="49">
        <v>6131.6</v>
      </c>
      <c r="H107" s="71">
        <f t="shared" si="9"/>
        <v>394890.3</v>
      </c>
      <c r="I107" s="55">
        <v>313648.9</v>
      </c>
      <c r="J107" s="71">
        <f t="shared" si="3"/>
        <v>81241.39999999997</v>
      </c>
      <c r="K107" s="49">
        <v>129686.30000000002</v>
      </c>
      <c r="L107" s="50">
        <v>41451.9</v>
      </c>
      <c r="M107" s="52">
        <f t="shared" si="5"/>
        <v>88234.40000000002</v>
      </c>
      <c r="N107" s="49">
        <v>0</v>
      </c>
      <c r="O107" s="50">
        <v>0</v>
      </c>
      <c r="P107" s="52">
        <f t="shared" si="13"/>
        <v>0</v>
      </c>
      <c r="Q107" s="48">
        <f t="shared" si="16"/>
        <v>169475.8</v>
      </c>
    </row>
    <row r="108" spans="1:19" ht="12.75" hidden="1">
      <c r="A108" s="38" t="s">
        <v>24</v>
      </c>
      <c r="B108" s="48">
        <v>2136.2</v>
      </c>
      <c r="C108" s="49">
        <v>175588.7</v>
      </c>
      <c r="D108" s="50">
        <v>744.2</v>
      </c>
      <c r="E108" s="49">
        <v>203143.3</v>
      </c>
      <c r="F108" s="50">
        <f t="shared" si="17"/>
        <v>381612.4</v>
      </c>
      <c r="G108" s="49">
        <v>6997.299999999999</v>
      </c>
      <c r="H108" s="71">
        <f t="shared" si="9"/>
        <v>388609.7</v>
      </c>
      <c r="I108" s="55">
        <v>327004.7</v>
      </c>
      <c r="J108" s="71">
        <f t="shared" si="3"/>
        <v>61605</v>
      </c>
      <c r="K108" s="49">
        <v>138503.9</v>
      </c>
      <c r="L108" s="50">
        <v>46518.7</v>
      </c>
      <c r="M108" s="52">
        <f t="shared" si="5"/>
        <v>91985.2</v>
      </c>
      <c r="N108" s="49">
        <v>0</v>
      </c>
      <c r="O108" s="50">
        <v>0</v>
      </c>
      <c r="P108" s="52">
        <f t="shared" si="13"/>
        <v>0</v>
      </c>
      <c r="Q108" s="48">
        <f t="shared" si="16"/>
        <v>153590.2</v>
      </c>
      <c r="R108" s="56"/>
      <c r="S108" s="56"/>
    </row>
    <row r="109" spans="1:17" ht="12.75" hidden="1">
      <c r="A109" s="38" t="s">
        <v>25</v>
      </c>
      <c r="B109" s="48">
        <v>2215.7</v>
      </c>
      <c r="C109" s="49">
        <v>175988.7</v>
      </c>
      <c r="D109" s="50">
        <v>745.8</v>
      </c>
      <c r="E109" s="49">
        <v>199719.9</v>
      </c>
      <c r="F109" s="50">
        <f t="shared" si="17"/>
        <v>378670.1</v>
      </c>
      <c r="G109" s="49">
        <v>9353.5</v>
      </c>
      <c r="H109" s="71">
        <f t="shared" si="9"/>
        <v>388023.6</v>
      </c>
      <c r="I109" s="55">
        <v>328313.3</v>
      </c>
      <c r="J109" s="71">
        <f t="shared" si="3"/>
        <v>59710.29999999999</v>
      </c>
      <c r="K109" s="49">
        <v>156380.9</v>
      </c>
      <c r="L109" s="50">
        <v>54902.90000000001</v>
      </c>
      <c r="M109" s="52">
        <f t="shared" si="5"/>
        <v>101477.99999999999</v>
      </c>
      <c r="N109" s="49">
        <v>0</v>
      </c>
      <c r="O109" s="50">
        <v>0</v>
      </c>
      <c r="P109" s="52">
        <f t="shared" si="13"/>
        <v>0</v>
      </c>
      <c r="Q109" s="48">
        <f t="shared" si="16"/>
        <v>161188.3</v>
      </c>
    </row>
    <row r="110" spans="1:17" ht="12.75" hidden="1">
      <c r="A110" s="38" t="s">
        <v>26</v>
      </c>
      <c r="B110" s="48">
        <v>2045.5</v>
      </c>
      <c r="C110" s="49">
        <v>164634.5</v>
      </c>
      <c r="D110" s="50">
        <v>750.6</v>
      </c>
      <c r="E110" s="49">
        <v>235199.30000000002</v>
      </c>
      <c r="F110" s="50">
        <f t="shared" si="17"/>
        <v>402629.9</v>
      </c>
      <c r="G110" s="49">
        <v>10113.9</v>
      </c>
      <c r="H110" s="71">
        <f t="shared" si="9"/>
        <v>412743.80000000005</v>
      </c>
      <c r="I110" s="55">
        <v>330449.80000000005</v>
      </c>
      <c r="J110" s="71">
        <f t="shared" si="3"/>
        <v>82294</v>
      </c>
      <c r="K110" s="49">
        <v>173267.6</v>
      </c>
      <c r="L110" s="50">
        <v>50036.00000000001</v>
      </c>
      <c r="M110" s="52">
        <f t="shared" si="5"/>
        <v>123231.6</v>
      </c>
      <c r="N110" s="49">
        <v>0</v>
      </c>
      <c r="O110" s="50">
        <v>0</v>
      </c>
      <c r="P110" s="52">
        <f t="shared" si="13"/>
        <v>0</v>
      </c>
      <c r="Q110" s="48">
        <f t="shared" si="16"/>
        <v>205525.6</v>
      </c>
    </row>
    <row r="111" spans="1:17" ht="12.75" hidden="1">
      <c r="A111" s="38"/>
      <c r="B111" s="48"/>
      <c r="C111" s="49"/>
      <c r="D111" s="50"/>
      <c r="E111" s="49"/>
      <c r="F111" s="50"/>
      <c r="G111" s="49"/>
      <c r="H111" s="85"/>
      <c r="I111" s="55"/>
      <c r="J111" s="85"/>
      <c r="K111" s="49"/>
      <c r="L111" s="50"/>
      <c r="M111" s="52"/>
      <c r="N111" s="49"/>
      <c r="O111" s="50"/>
      <c r="P111" s="52"/>
      <c r="Q111" s="48"/>
    </row>
    <row r="112" spans="1:18" ht="12.75" hidden="1">
      <c r="A112" s="38" t="s">
        <v>49</v>
      </c>
      <c r="B112" s="48">
        <v>2322.2</v>
      </c>
      <c r="C112" s="49">
        <v>176671.9</v>
      </c>
      <c r="D112" s="50">
        <v>773.4</v>
      </c>
      <c r="E112" s="49">
        <v>268822.00000000006</v>
      </c>
      <c r="F112" s="50">
        <f aca="true" t="shared" si="18" ref="F112:F117">SUM(B112:E112)</f>
        <v>448589.50000000006</v>
      </c>
      <c r="G112" s="49">
        <v>11511.4</v>
      </c>
      <c r="H112" s="71">
        <f t="shared" si="9"/>
        <v>460100.9000000001</v>
      </c>
      <c r="I112" s="55">
        <v>347210.1</v>
      </c>
      <c r="J112" s="71">
        <f t="shared" si="3"/>
        <v>112890.8000000001</v>
      </c>
      <c r="K112" s="49">
        <v>179393.09999999998</v>
      </c>
      <c r="L112" s="50">
        <v>53883.600000000006</v>
      </c>
      <c r="M112" s="52">
        <f t="shared" si="5"/>
        <v>125509.49999999997</v>
      </c>
      <c r="N112" s="50">
        <v>0</v>
      </c>
      <c r="O112" s="50">
        <v>0</v>
      </c>
      <c r="P112" s="52">
        <f t="shared" si="13"/>
        <v>0</v>
      </c>
      <c r="Q112" s="48">
        <f t="shared" si="16"/>
        <v>238400.30000000008</v>
      </c>
      <c r="R112" s="92"/>
    </row>
    <row r="113" spans="1:18" ht="12.75" hidden="1">
      <c r="A113" s="38" t="s">
        <v>52</v>
      </c>
      <c r="B113" s="48">
        <v>2432.3</v>
      </c>
      <c r="C113" s="49">
        <v>181301.4</v>
      </c>
      <c r="D113" s="50">
        <v>788.1</v>
      </c>
      <c r="E113" s="49">
        <v>259759.40000000002</v>
      </c>
      <c r="F113" s="50">
        <f t="shared" si="18"/>
        <v>444281.2</v>
      </c>
      <c r="G113" s="49">
        <v>8881.7</v>
      </c>
      <c r="H113" s="71">
        <f t="shared" si="9"/>
        <v>453162.9</v>
      </c>
      <c r="I113" s="55">
        <v>354739</v>
      </c>
      <c r="J113" s="71">
        <f t="shared" si="3"/>
        <v>98423.90000000002</v>
      </c>
      <c r="K113" s="49">
        <v>179987.70000000004</v>
      </c>
      <c r="L113" s="50">
        <v>56918.8</v>
      </c>
      <c r="M113" s="52">
        <f t="shared" si="5"/>
        <v>123068.90000000004</v>
      </c>
      <c r="N113" s="50">
        <v>0</v>
      </c>
      <c r="O113" s="50">
        <v>0</v>
      </c>
      <c r="P113" s="52">
        <f>N113-O113</f>
        <v>0</v>
      </c>
      <c r="Q113" s="48">
        <f t="shared" si="16"/>
        <v>221492.80000000005</v>
      </c>
      <c r="R113" s="92"/>
    </row>
    <row r="114" spans="1:18" ht="12.75" hidden="1">
      <c r="A114" s="38" t="s">
        <v>27</v>
      </c>
      <c r="B114" s="48">
        <v>2328</v>
      </c>
      <c r="C114" s="49">
        <v>179153.7</v>
      </c>
      <c r="D114" s="50">
        <v>778.8</v>
      </c>
      <c r="E114" s="49">
        <v>228377.30000000002</v>
      </c>
      <c r="F114" s="50">
        <f t="shared" si="18"/>
        <v>410637.80000000005</v>
      </c>
      <c r="G114" s="49">
        <v>8584.6</v>
      </c>
      <c r="H114" s="71">
        <f t="shared" si="9"/>
        <v>419222.4</v>
      </c>
      <c r="I114" s="55">
        <v>351493.3</v>
      </c>
      <c r="J114" s="71">
        <f t="shared" si="3"/>
        <v>67729.10000000003</v>
      </c>
      <c r="K114" s="49">
        <v>180705.5</v>
      </c>
      <c r="L114" s="50">
        <v>62213.7</v>
      </c>
      <c r="M114" s="52">
        <f t="shared" si="5"/>
        <v>118491.8</v>
      </c>
      <c r="N114" s="50">
        <v>0</v>
      </c>
      <c r="O114" s="50">
        <v>0</v>
      </c>
      <c r="P114" s="52">
        <f t="shared" si="13"/>
        <v>0</v>
      </c>
      <c r="Q114" s="48">
        <f t="shared" si="16"/>
        <v>186220.90000000002</v>
      </c>
      <c r="R114" s="92"/>
    </row>
    <row r="115" spans="1:18" ht="12.75" hidden="1">
      <c r="A115" s="38" t="s">
        <v>28</v>
      </c>
      <c r="B115" s="48">
        <v>2253.7</v>
      </c>
      <c r="C115" s="49">
        <v>179876.5</v>
      </c>
      <c r="D115" s="50">
        <v>781.9</v>
      </c>
      <c r="E115" s="49">
        <v>219303.5</v>
      </c>
      <c r="F115" s="50">
        <f t="shared" si="18"/>
        <v>402215.6</v>
      </c>
      <c r="G115" s="49">
        <v>7773.1</v>
      </c>
      <c r="H115" s="71">
        <f t="shared" si="9"/>
        <v>409988.69999999995</v>
      </c>
      <c r="I115" s="55">
        <v>352132.9</v>
      </c>
      <c r="J115" s="71">
        <f t="shared" si="3"/>
        <v>57855.79999999993</v>
      </c>
      <c r="K115" s="49">
        <v>176724.7</v>
      </c>
      <c r="L115" s="50">
        <v>70689</v>
      </c>
      <c r="M115" s="52">
        <f t="shared" si="5"/>
        <v>106035.70000000001</v>
      </c>
      <c r="N115" s="50">
        <v>0</v>
      </c>
      <c r="O115" s="50">
        <v>0</v>
      </c>
      <c r="P115" s="52">
        <f t="shared" si="13"/>
        <v>0</v>
      </c>
      <c r="Q115" s="48">
        <f t="shared" si="16"/>
        <v>163891.49999999994</v>
      </c>
      <c r="R115" s="92"/>
    </row>
    <row r="116" spans="1:18" ht="12.75" hidden="1">
      <c r="A116" s="38" t="s">
        <v>29</v>
      </c>
      <c r="B116" s="48">
        <v>2129.5</v>
      </c>
      <c r="C116" s="49">
        <v>176865.2</v>
      </c>
      <c r="D116" s="50">
        <v>768.8</v>
      </c>
      <c r="E116" s="49">
        <v>220544.19999999998</v>
      </c>
      <c r="F116" s="50">
        <f t="shared" si="18"/>
        <v>400307.69999999995</v>
      </c>
      <c r="G116" s="49">
        <v>6724.299999999999</v>
      </c>
      <c r="H116" s="71">
        <f t="shared" si="9"/>
        <v>407031.99999999994</v>
      </c>
      <c r="I116" s="55">
        <v>346496.6</v>
      </c>
      <c r="J116" s="71">
        <f t="shared" si="3"/>
        <v>60535.399999999965</v>
      </c>
      <c r="K116" s="49">
        <v>151792.7</v>
      </c>
      <c r="L116" s="50">
        <v>68426.7</v>
      </c>
      <c r="M116" s="52">
        <f t="shared" si="5"/>
        <v>83366.00000000001</v>
      </c>
      <c r="N116" s="50">
        <v>0</v>
      </c>
      <c r="O116" s="50">
        <v>0</v>
      </c>
      <c r="P116" s="52">
        <f t="shared" si="13"/>
        <v>0</v>
      </c>
      <c r="Q116" s="48">
        <f t="shared" si="16"/>
        <v>143901.39999999997</v>
      </c>
      <c r="R116" s="92"/>
    </row>
    <row r="117" spans="1:18" ht="12.75" hidden="1">
      <c r="A117" s="38" t="s">
        <v>18</v>
      </c>
      <c r="B117" s="48">
        <v>2179.4</v>
      </c>
      <c r="C117" s="49">
        <v>180253.4</v>
      </c>
      <c r="D117" s="50">
        <v>783.6</v>
      </c>
      <c r="E117" s="49">
        <v>211668.7</v>
      </c>
      <c r="F117" s="50">
        <f t="shared" si="18"/>
        <v>394885.1</v>
      </c>
      <c r="G117" s="49">
        <v>7532.5</v>
      </c>
      <c r="H117" s="71">
        <f t="shared" si="9"/>
        <v>402417.6</v>
      </c>
      <c r="I117" s="55">
        <v>353109.6</v>
      </c>
      <c r="J117" s="71">
        <f t="shared" si="3"/>
        <v>49308</v>
      </c>
      <c r="K117" s="49">
        <v>156569.30000000002</v>
      </c>
      <c r="L117" s="50">
        <v>78012.4</v>
      </c>
      <c r="M117" s="52">
        <f t="shared" si="5"/>
        <v>78556.90000000002</v>
      </c>
      <c r="N117" s="50">
        <v>0</v>
      </c>
      <c r="O117" s="50">
        <v>0</v>
      </c>
      <c r="P117" s="52">
        <f t="shared" si="13"/>
        <v>0</v>
      </c>
      <c r="Q117" s="48">
        <f t="shared" si="16"/>
        <v>127864.90000000002</v>
      </c>
      <c r="R117" s="92"/>
    </row>
    <row r="118" spans="1:18" ht="12.75" hidden="1">
      <c r="A118" s="38" t="s">
        <v>21</v>
      </c>
      <c r="B118" s="48">
        <v>2299.7</v>
      </c>
      <c r="C118" s="49">
        <v>186375.8</v>
      </c>
      <c r="D118" s="50">
        <v>796.4</v>
      </c>
      <c r="E118" s="49">
        <v>212229</v>
      </c>
      <c r="F118" s="50">
        <f aca="true" t="shared" si="19" ref="F118:F123">SUM(B118:E118)</f>
        <v>401700.9</v>
      </c>
      <c r="G118" s="49">
        <v>6684.6</v>
      </c>
      <c r="H118" s="71">
        <f t="shared" si="9"/>
        <v>408385.5</v>
      </c>
      <c r="I118" s="55">
        <v>361512.7</v>
      </c>
      <c r="J118" s="71">
        <f t="shared" si="3"/>
        <v>46872.79999999999</v>
      </c>
      <c r="K118" s="49">
        <v>164800.7</v>
      </c>
      <c r="L118" s="50">
        <v>66663.79999999999</v>
      </c>
      <c r="M118" s="52">
        <f t="shared" si="5"/>
        <v>98136.90000000002</v>
      </c>
      <c r="N118" s="50">
        <v>0</v>
      </c>
      <c r="O118" s="50">
        <v>0</v>
      </c>
      <c r="P118" s="52">
        <f t="shared" si="13"/>
        <v>0</v>
      </c>
      <c r="Q118" s="48">
        <f t="shared" si="16"/>
        <v>145009.7</v>
      </c>
      <c r="R118" s="92"/>
    </row>
    <row r="119" spans="1:18" ht="12.75" hidden="1">
      <c r="A119" s="38" t="s">
        <v>22</v>
      </c>
      <c r="B119" s="48">
        <v>2355</v>
      </c>
      <c r="C119" s="49">
        <v>196178.7</v>
      </c>
      <c r="D119" s="50">
        <v>806.9</v>
      </c>
      <c r="E119" s="49">
        <v>208565.1</v>
      </c>
      <c r="F119" s="50">
        <f t="shared" si="19"/>
        <v>407905.7</v>
      </c>
      <c r="G119" s="49">
        <v>5039.700000000001</v>
      </c>
      <c r="H119" s="71">
        <f t="shared" si="9"/>
        <v>412945.4</v>
      </c>
      <c r="I119" s="55">
        <v>373365.2</v>
      </c>
      <c r="J119" s="71">
        <f t="shared" si="3"/>
        <v>39580.20000000001</v>
      </c>
      <c r="K119" s="49">
        <v>173543.9</v>
      </c>
      <c r="L119" s="50">
        <v>71446.5</v>
      </c>
      <c r="M119" s="52">
        <f t="shared" si="5"/>
        <v>102097.4</v>
      </c>
      <c r="N119" s="50">
        <v>0</v>
      </c>
      <c r="O119" s="50">
        <v>0</v>
      </c>
      <c r="P119" s="52">
        <f t="shared" si="13"/>
        <v>0</v>
      </c>
      <c r="Q119" s="48">
        <f t="shared" si="16"/>
        <v>141677.6</v>
      </c>
      <c r="R119" s="92"/>
    </row>
    <row r="120" spans="1:18" ht="12.75" hidden="1">
      <c r="A120" s="38" t="s">
        <v>23</v>
      </c>
      <c r="B120" s="48">
        <v>2542.8</v>
      </c>
      <c r="C120" s="49">
        <v>197524</v>
      </c>
      <c r="D120" s="50">
        <v>819.1</v>
      </c>
      <c r="E120" s="49">
        <v>225684.4</v>
      </c>
      <c r="F120" s="50">
        <f t="shared" si="19"/>
        <v>426570.3</v>
      </c>
      <c r="G120" s="49">
        <v>6255.299999999999</v>
      </c>
      <c r="H120" s="71">
        <f t="shared" si="9"/>
        <v>432825.6</v>
      </c>
      <c r="I120" s="55">
        <v>377411.10000000003</v>
      </c>
      <c r="J120" s="71">
        <f t="shared" si="3"/>
        <v>55414.49999999994</v>
      </c>
      <c r="K120" s="49">
        <v>166098.7</v>
      </c>
      <c r="L120" s="50">
        <v>60502.90000000001</v>
      </c>
      <c r="M120" s="52">
        <f t="shared" si="5"/>
        <v>105595.8</v>
      </c>
      <c r="N120" s="50">
        <v>0</v>
      </c>
      <c r="O120" s="50">
        <v>0</v>
      </c>
      <c r="P120" s="52">
        <f t="shared" si="13"/>
        <v>0</v>
      </c>
      <c r="Q120" s="48">
        <f t="shared" si="16"/>
        <v>161010.29999999993</v>
      </c>
      <c r="R120" s="92"/>
    </row>
    <row r="121" spans="1:18" ht="12.75" hidden="1">
      <c r="A121" s="38" t="s">
        <v>24</v>
      </c>
      <c r="B121" s="48">
        <v>2458.7</v>
      </c>
      <c r="C121" s="49">
        <v>192194.1</v>
      </c>
      <c r="D121" s="50">
        <v>823.9</v>
      </c>
      <c r="E121" s="49">
        <v>220591.7</v>
      </c>
      <c r="F121" s="50">
        <f t="shared" si="19"/>
        <v>416068.4</v>
      </c>
      <c r="G121" s="49">
        <v>7424.200000000001</v>
      </c>
      <c r="H121" s="71">
        <f t="shared" si="9"/>
        <v>423492.60000000003</v>
      </c>
      <c r="I121" s="55">
        <v>372759.3</v>
      </c>
      <c r="J121" s="71">
        <f t="shared" si="3"/>
        <v>50733.30000000005</v>
      </c>
      <c r="K121" s="49">
        <v>164341.09999999998</v>
      </c>
      <c r="L121" s="50">
        <v>64818.40000000001</v>
      </c>
      <c r="M121" s="52">
        <f t="shared" si="5"/>
        <v>99522.69999999997</v>
      </c>
      <c r="N121" s="50">
        <v>0</v>
      </c>
      <c r="O121" s="50">
        <v>0</v>
      </c>
      <c r="P121" s="52">
        <f t="shared" si="13"/>
        <v>0</v>
      </c>
      <c r="Q121" s="48">
        <f t="shared" si="16"/>
        <v>150256</v>
      </c>
      <c r="R121" s="92"/>
    </row>
    <row r="122" spans="1:18" ht="12.75" hidden="1">
      <c r="A122" s="38" t="s">
        <v>25</v>
      </c>
      <c r="B122" s="48">
        <v>2525.3</v>
      </c>
      <c r="C122" s="49">
        <v>195045.8</v>
      </c>
      <c r="D122" s="50">
        <v>836.1</v>
      </c>
      <c r="E122" s="49">
        <v>223335.49999999997</v>
      </c>
      <c r="F122" s="50">
        <f t="shared" si="19"/>
        <v>421742.69999999995</v>
      </c>
      <c r="G122" s="49">
        <v>6929.6</v>
      </c>
      <c r="H122" s="71">
        <f>+F122+G122</f>
        <v>428672.29999999993</v>
      </c>
      <c r="I122" s="55">
        <v>378277.3</v>
      </c>
      <c r="J122" s="71">
        <f t="shared" si="3"/>
        <v>50394.99999999994</v>
      </c>
      <c r="K122" s="49">
        <v>176416</v>
      </c>
      <c r="L122" s="50">
        <v>69376.79999999999</v>
      </c>
      <c r="M122" s="52">
        <f t="shared" si="5"/>
        <v>107039.20000000001</v>
      </c>
      <c r="N122" s="50">
        <v>0</v>
      </c>
      <c r="O122" s="50">
        <v>0</v>
      </c>
      <c r="P122" s="52">
        <f t="shared" si="13"/>
        <v>0</v>
      </c>
      <c r="Q122" s="48">
        <f t="shared" si="16"/>
        <v>157434.19999999995</v>
      </c>
      <c r="R122" s="92"/>
    </row>
    <row r="123" spans="1:21" s="63" customFormat="1" ht="12.75" hidden="1">
      <c r="A123" s="38" t="s">
        <v>26</v>
      </c>
      <c r="B123" s="74">
        <v>2482.1</v>
      </c>
      <c r="C123" s="75">
        <v>199698.5</v>
      </c>
      <c r="D123" s="76">
        <v>856</v>
      </c>
      <c r="E123" s="75">
        <v>274465.8</v>
      </c>
      <c r="F123" s="76">
        <f t="shared" si="19"/>
        <v>477502.4</v>
      </c>
      <c r="G123" s="75">
        <v>7523.1</v>
      </c>
      <c r="H123" s="71">
        <f>+F123+G123</f>
        <v>485025.5</v>
      </c>
      <c r="I123" s="75">
        <v>418096.6</v>
      </c>
      <c r="J123" s="71">
        <f t="shared" si="3"/>
        <v>66928.90000000002</v>
      </c>
      <c r="K123" s="75">
        <v>192680.5</v>
      </c>
      <c r="L123" s="76">
        <v>62971.7</v>
      </c>
      <c r="M123" s="52">
        <f t="shared" si="5"/>
        <v>129708.8</v>
      </c>
      <c r="N123" s="50">
        <v>0</v>
      </c>
      <c r="O123" s="76">
        <v>0</v>
      </c>
      <c r="P123" s="52">
        <f t="shared" si="13"/>
        <v>0</v>
      </c>
      <c r="Q123" s="48">
        <f t="shared" si="16"/>
        <v>196637.7</v>
      </c>
      <c r="R123" s="93"/>
      <c r="S123" s="6"/>
      <c r="T123" s="6"/>
      <c r="U123" s="6"/>
    </row>
    <row r="124" spans="1:21" s="63" customFormat="1" ht="12.75" hidden="1">
      <c r="A124" s="38"/>
      <c r="B124" s="74"/>
      <c r="C124" s="75"/>
      <c r="D124" s="76"/>
      <c r="E124" s="75"/>
      <c r="F124" s="76"/>
      <c r="G124" s="75"/>
      <c r="H124" s="85"/>
      <c r="I124" s="75"/>
      <c r="J124" s="85"/>
      <c r="K124" s="75"/>
      <c r="L124" s="76"/>
      <c r="M124" s="52"/>
      <c r="N124" s="50"/>
      <c r="O124" s="76"/>
      <c r="P124" s="52"/>
      <c r="Q124" s="48"/>
      <c r="S124" s="6"/>
      <c r="T124" s="6"/>
      <c r="U124" s="6"/>
    </row>
    <row r="125" spans="1:18" ht="12.75" hidden="1">
      <c r="A125" s="38" t="s">
        <v>42</v>
      </c>
      <c r="B125" s="48">
        <v>2572.6</v>
      </c>
      <c r="C125" s="49">
        <v>205278.1</v>
      </c>
      <c r="D125" s="50">
        <v>880</v>
      </c>
      <c r="E125" s="49">
        <v>268155.30000000005</v>
      </c>
      <c r="F125" s="50">
        <f>SUM(B125:E125)</f>
        <v>476886.00000000006</v>
      </c>
      <c r="G125" s="49">
        <v>8046.9</v>
      </c>
      <c r="H125" s="71">
        <f>+F125+G125</f>
        <v>484932.9000000001</v>
      </c>
      <c r="I125" s="55">
        <v>429150.2</v>
      </c>
      <c r="J125" s="71">
        <f t="shared" si="3"/>
        <v>55782.70000000007</v>
      </c>
      <c r="K125" s="49">
        <v>209039.9</v>
      </c>
      <c r="L125" s="50">
        <v>68564.5</v>
      </c>
      <c r="M125" s="52">
        <f t="shared" si="5"/>
        <v>140475.4</v>
      </c>
      <c r="N125" s="50">
        <v>0</v>
      </c>
      <c r="O125" s="50">
        <v>8.1</v>
      </c>
      <c r="P125" s="52">
        <f aca="true" t="shared" si="20" ref="P125:P136">N125-O125</f>
        <v>-8.1</v>
      </c>
      <c r="Q125" s="48">
        <f t="shared" si="16"/>
        <v>196250.00000000006</v>
      </c>
      <c r="R125" s="93"/>
    </row>
    <row r="126" spans="1:18" ht="12.75" hidden="1">
      <c r="A126" s="38" t="s">
        <v>52</v>
      </c>
      <c r="B126" s="48">
        <v>2650.3</v>
      </c>
      <c r="C126" s="49">
        <v>200002.4</v>
      </c>
      <c r="D126" s="50">
        <v>937</v>
      </c>
      <c r="E126" s="49">
        <v>339031.3</v>
      </c>
      <c r="F126" s="50">
        <f>SUM(B126:E126)</f>
        <v>542621</v>
      </c>
      <c r="G126" s="49">
        <v>6385.4</v>
      </c>
      <c r="H126" s="71">
        <f>+F126+G126</f>
        <v>549006.4</v>
      </c>
      <c r="I126" s="55">
        <v>451586.9</v>
      </c>
      <c r="J126" s="71">
        <f t="shared" si="3"/>
        <v>97419.5</v>
      </c>
      <c r="K126" s="49">
        <v>227852.4</v>
      </c>
      <c r="L126" s="50">
        <v>69500.79999999999</v>
      </c>
      <c r="M126" s="52">
        <f t="shared" si="5"/>
        <v>158351.6</v>
      </c>
      <c r="N126" s="50">
        <v>0</v>
      </c>
      <c r="O126" s="50">
        <v>16.2</v>
      </c>
      <c r="P126" s="52">
        <f t="shared" si="20"/>
        <v>-16.2</v>
      </c>
      <c r="Q126" s="48">
        <f t="shared" si="16"/>
        <v>255754.9</v>
      </c>
      <c r="R126" s="92"/>
    </row>
    <row r="127" spans="1:18" ht="12.75" hidden="1">
      <c r="A127" s="38" t="s">
        <v>27</v>
      </c>
      <c r="B127" s="48">
        <v>2438.9</v>
      </c>
      <c r="C127" s="49">
        <v>179366.6</v>
      </c>
      <c r="D127" s="50">
        <v>848.2</v>
      </c>
      <c r="E127" s="49">
        <v>269294.7</v>
      </c>
      <c r="F127" s="50">
        <f>SUM(B127:E127)</f>
        <v>451948.4</v>
      </c>
      <c r="G127" s="49">
        <v>4627.200000000001</v>
      </c>
      <c r="H127" s="71">
        <f aca="true" t="shared" si="21" ref="H127:H138">+F127+G127</f>
        <v>456575.60000000003</v>
      </c>
      <c r="I127" s="55">
        <v>407828.7</v>
      </c>
      <c r="J127" s="71">
        <f t="shared" si="3"/>
        <v>48746.90000000002</v>
      </c>
      <c r="K127" s="49">
        <v>213236.8</v>
      </c>
      <c r="L127" s="50">
        <v>64129.799999999996</v>
      </c>
      <c r="M127" s="52">
        <f t="shared" si="5"/>
        <v>149107</v>
      </c>
      <c r="N127" s="50">
        <v>0</v>
      </c>
      <c r="O127" s="50">
        <v>24.3</v>
      </c>
      <c r="P127" s="52">
        <f t="shared" si="20"/>
        <v>-24.3</v>
      </c>
      <c r="Q127" s="48">
        <f t="shared" si="16"/>
        <v>197829.60000000003</v>
      </c>
      <c r="R127" s="92"/>
    </row>
    <row r="128" spans="1:18" ht="12.75" hidden="1">
      <c r="A128" s="38" t="s">
        <v>28</v>
      </c>
      <c r="B128" s="48">
        <v>2228.6</v>
      </c>
      <c r="C128" s="49">
        <v>178604</v>
      </c>
      <c r="D128" s="50">
        <v>844.6</v>
      </c>
      <c r="E128" s="49">
        <v>264162.60000000003</v>
      </c>
      <c r="F128" s="50">
        <f aca="true" t="shared" si="22" ref="F128:F138">SUM(B128:E128)</f>
        <v>445839.80000000005</v>
      </c>
      <c r="G128" s="49">
        <v>4745</v>
      </c>
      <c r="H128" s="71">
        <f t="shared" si="21"/>
        <v>450584.80000000005</v>
      </c>
      <c r="I128" s="55">
        <v>405891.2</v>
      </c>
      <c r="J128" s="71">
        <f t="shared" si="3"/>
        <v>44693.600000000035</v>
      </c>
      <c r="K128" s="49">
        <v>209200.40000000002</v>
      </c>
      <c r="L128" s="50">
        <v>57243.50000000001</v>
      </c>
      <c r="M128" s="52">
        <f t="shared" si="5"/>
        <v>151956.90000000002</v>
      </c>
      <c r="N128" s="50">
        <v>0</v>
      </c>
      <c r="O128" s="50">
        <v>32.4</v>
      </c>
      <c r="P128" s="52">
        <f t="shared" si="20"/>
        <v>-32.4</v>
      </c>
      <c r="Q128" s="48">
        <f t="shared" si="16"/>
        <v>196618.10000000006</v>
      </c>
      <c r="R128" s="92"/>
    </row>
    <row r="129" spans="1:18" ht="12.75" hidden="1">
      <c r="A129" s="38" t="s">
        <v>29</v>
      </c>
      <c r="B129" s="48">
        <v>2138.3</v>
      </c>
      <c r="C129" s="49">
        <v>175589.1</v>
      </c>
      <c r="D129" s="50">
        <v>830.3</v>
      </c>
      <c r="E129" s="49">
        <v>280961.79999999993</v>
      </c>
      <c r="F129" s="50">
        <f t="shared" si="22"/>
        <v>459519.4999999999</v>
      </c>
      <c r="G129" s="49">
        <v>4255.8</v>
      </c>
      <c r="H129" s="71">
        <f t="shared" si="21"/>
        <v>463775.2999999999</v>
      </c>
      <c r="I129" s="55">
        <v>399562.69999999995</v>
      </c>
      <c r="J129" s="71">
        <f aca="true" t="shared" si="23" ref="J129:J138">H129-I129</f>
        <v>64212.59999999992</v>
      </c>
      <c r="K129" s="49">
        <v>185038.30000000002</v>
      </c>
      <c r="L129" s="50">
        <v>62889.8</v>
      </c>
      <c r="M129" s="52">
        <f t="shared" si="5"/>
        <v>122148.50000000001</v>
      </c>
      <c r="N129" s="50">
        <v>0</v>
      </c>
      <c r="O129" s="50">
        <v>40.5</v>
      </c>
      <c r="P129" s="52">
        <f t="shared" si="20"/>
        <v>-40.5</v>
      </c>
      <c r="Q129" s="48">
        <f t="shared" si="16"/>
        <v>186320.59999999992</v>
      </c>
      <c r="R129" s="92"/>
    </row>
    <row r="130" spans="1:18" ht="12.75" hidden="1">
      <c r="A130" s="38" t="s">
        <v>18</v>
      </c>
      <c r="B130" s="48">
        <v>1942.6</v>
      </c>
      <c r="C130" s="49">
        <v>176058.5</v>
      </c>
      <c r="D130" s="50">
        <v>832.5</v>
      </c>
      <c r="E130" s="49">
        <v>246048.1</v>
      </c>
      <c r="F130" s="50">
        <f t="shared" si="22"/>
        <v>424881.7</v>
      </c>
      <c r="G130" s="49">
        <v>2913.4</v>
      </c>
      <c r="H130" s="71">
        <f t="shared" si="21"/>
        <v>427795.10000000003</v>
      </c>
      <c r="I130" s="55">
        <v>370829.69999999995</v>
      </c>
      <c r="J130" s="71">
        <f t="shared" si="23"/>
        <v>56965.40000000008</v>
      </c>
      <c r="K130" s="49">
        <v>165969.40000000002</v>
      </c>
      <c r="L130" s="50">
        <v>64040.99999999999</v>
      </c>
      <c r="M130" s="52">
        <f aca="true" t="shared" si="24" ref="M130:M136">K130-L130</f>
        <v>101928.40000000002</v>
      </c>
      <c r="N130" s="50">
        <v>0</v>
      </c>
      <c r="O130" s="50">
        <v>48.6</v>
      </c>
      <c r="P130" s="52">
        <f t="shared" si="20"/>
        <v>-48.6</v>
      </c>
      <c r="Q130" s="48">
        <f t="shared" si="16"/>
        <v>158845.2000000001</v>
      </c>
      <c r="R130" s="92"/>
    </row>
    <row r="131" spans="1:18" ht="12.75" hidden="1">
      <c r="A131" s="38" t="s">
        <v>21</v>
      </c>
      <c r="B131" s="48">
        <v>2017.7</v>
      </c>
      <c r="C131" s="49">
        <v>175762</v>
      </c>
      <c r="D131" s="50">
        <v>839</v>
      </c>
      <c r="E131" s="49">
        <v>278030.5</v>
      </c>
      <c r="F131" s="50">
        <f t="shared" si="22"/>
        <v>456649.2</v>
      </c>
      <c r="G131" s="49">
        <v>2842.7</v>
      </c>
      <c r="H131" s="71">
        <f t="shared" si="21"/>
        <v>459491.9</v>
      </c>
      <c r="I131" s="55">
        <v>371231.19999999995</v>
      </c>
      <c r="J131" s="71">
        <f t="shared" si="23"/>
        <v>88260.70000000007</v>
      </c>
      <c r="K131" s="49">
        <v>190726</v>
      </c>
      <c r="L131" s="50">
        <v>93196.40000000002</v>
      </c>
      <c r="M131" s="52">
        <f t="shared" si="24"/>
        <v>97529.59999999998</v>
      </c>
      <c r="N131" s="50">
        <v>0</v>
      </c>
      <c r="O131" s="50">
        <v>56.7</v>
      </c>
      <c r="P131" s="52">
        <f t="shared" si="20"/>
        <v>-56.7</v>
      </c>
      <c r="Q131" s="48">
        <f t="shared" si="16"/>
        <v>185733.60000000003</v>
      </c>
      <c r="R131" s="92"/>
    </row>
    <row r="132" spans="1:18" ht="12.75" hidden="1">
      <c r="A132" s="38" t="s">
        <v>22</v>
      </c>
      <c r="B132" s="48">
        <v>2136.1</v>
      </c>
      <c r="C132" s="49">
        <v>170420.4</v>
      </c>
      <c r="D132" s="50">
        <v>840.7</v>
      </c>
      <c r="E132" s="49">
        <v>269145.8</v>
      </c>
      <c r="F132" s="50">
        <f t="shared" si="22"/>
        <v>442543</v>
      </c>
      <c r="G132" s="49">
        <v>3073.2</v>
      </c>
      <c r="H132" s="71">
        <f t="shared" si="21"/>
        <v>445616.2</v>
      </c>
      <c r="I132" s="55">
        <v>366147.9</v>
      </c>
      <c r="J132" s="71">
        <f t="shared" si="23"/>
        <v>79468.29999999999</v>
      </c>
      <c r="K132" s="49">
        <v>185728.7</v>
      </c>
      <c r="L132" s="50">
        <v>97191.5</v>
      </c>
      <c r="M132" s="52">
        <f t="shared" si="24"/>
        <v>88537.20000000001</v>
      </c>
      <c r="N132" s="50">
        <v>0</v>
      </c>
      <c r="O132" s="50">
        <v>64.8</v>
      </c>
      <c r="P132" s="52">
        <f t="shared" si="20"/>
        <v>-64.8</v>
      </c>
      <c r="Q132" s="48">
        <f t="shared" si="16"/>
        <v>167940.7</v>
      </c>
      <c r="R132" s="92"/>
    </row>
    <row r="133" spans="1:18" ht="12.75" hidden="1">
      <c r="A133" s="38" t="s">
        <v>23</v>
      </c>
      <c r="B133" s="48">
        <v>2032</v>
      </c>
      <c r="C133" s="49">
        <v>182398.6</v>
      </c>
      <c r="D133" s="50">
        <v>850</v>
      </c>
      <c r="E133" s="49">
        <v>270941.5</v>
      </c>
      <c r="F133" s="50">
        <f t="shared" si="22"/>
        <v>456222.1</v>
      </c>
      <c r="G133" s="49">
        <v>3132.1000000000004</v>
      </c>
      <c r="H133" s="71">
        <f t="shared" si="21"/>
        <v>459354.19999999995</v>
      </c>
      <c r="I133" s="55">
        <v>380943.4</v>
      </c>
      <c r="J133" s="71">
        <f t="shared" si="23"/>
        <v>78410.79999999993</v>
      </c>
      <c r="K133" s="49">
        <v>183463.6</v>
      </c>
      <c r="L133" s="50">
        <v>97088.09999999999</v>
      </c>
      <c r="M133" s="52">
        <f t="shared" si="24"/>
        <v>86375.50000000001</v>
      </c>
      <c r="N133" s="50">
        <v>0</v>
      </c>
      <c r="O133" s="50">
        <v>72.9</v>
      </c>
      <c r="P133" s="52">
        <f t="shared" si="20"/>
        <v>-72.9</v>
      </c>
      <c r="Q133" s="48">
        <f t="shared" si="16"/>
        <v>164713.39999999994</v>
      </c>
      <c r="R133" s="92"/>
    </row>
    <row r="134" spans="1:18" ht="12.75" hidden="1">
      <c r="A134" s="38" t="s">
        <v>24</v>
      </c>
      <c r="B134" s="48">
        <v>2151.6</v>
      </c>
      <c r="C134" s="49">
        <v>182373.7</v>
      </c>
      <c r="D134" s="50">
        <v>856.2</v>
      </c>
      <c r="E134" s="49">
        <v>292561.6</v>
      </c>
      <c r="F134" s="50">
        <f t="shared" si="22"/>
        <v>477943.1</v>
      </c>
      <c r="G134" s="49">
        <v>2878.5</v>
      </c>
      <c r="H134" s="71">
        <f t="shared" si="21"/>
        <v>480821.6</v>
      </c>
      <c r="I134" s="55">
        <v>382194.3</v>
      </c>
      <c r="J134" s="71">
        <f t="shared" si="23"/>
        <v>98627.29999999999</v>
      </c>
      <c r="K134" s="49">
        <v>183935.00000000006</v>
      </c>
      <c r="L134" s="50">
        <v>93801</v>
      </c>
      <c r="M134" s="52">
        <f t="shared" si="24"/>
        <v>90134.00000000006</v>
      </c>
      <c r="N134" s="50">
        <v>0</v>
      </c>
      <c r="O134" s="50">
        <v>81</v>
      </c>
      <c r="P134" s="52">
        <f t="shared" si="20"/>
        <v>-81</v>
      </c>
      <c r="Q134" s="48">
        <f t="shared" si="16"/>
        <v>188680.30000000005</v>
      </c>
      <c r="R134" s="92"/>
    </row>
    <row r="135" spans="1:18" ht="12.75" hidden="1">
      <c r="A135" s="38" t="s">
        <v>25</v>
      </c>
      <c r="B135" s="48">
        <v>2007.4</v>
      </c>
      <c r="C135" s="49">
        <v>181527.9</v>
      </c>
      <c r="D135" s="50">
        <v>852</v>
      </c>
      <c r="E135" s="49">
        <v>271956.9</v>
      </c>
      <c r="F135" s="50">
        <f t="shared" si="22"/>
        <v>456344.2</v>
      </c>
      <c r="G135" s="49">
        <v>5133.1</v>
      </c>
      <c r="H135" s="71">
        <f t="shared" si="21"/>
        <v>461477.3</v>
      </c>
      <c r="I135" s="55">
        <v>380221.19999999995</v>
      </c>
      <c r="J135" s="71">
        <f t="shared" si="23"/>
        <v>81256.10000000003</v>
      </c>
      <c r="K135" s="49">
        <v>190482.5</v>
      </c>
      <c r="L135" s="50">
        <v>94747.3</v>
      </c>
      <c r="M135" s="52">
        <f t="shared" si="24"/>
        <v>95735.2</v>
      </c>
      <c r="N135" s="50">
        <v>0</v>
      </c>
      <c r="O135" s="50">
        <v>89.1</v>
      </c>
      <c r="P135" s="52">
        <f t="shared" si="20"/>
        <v>-89.1</v>
      </c>
      <c r="Q135" s="48">
        <f t="shared" si="16"/>
        <v>176902.20000000004</v>
      </c>
      <c r="R135" s="92"/>
    </row>
    <row r="136" spans="1:18" ht="12.75" hidden="1">
      <c r="A136" s="39" t="s">
        <v>70</v>
      </c>
      <c r="B136" s="48">
        <v>1943.7</v>
      </c>
      <c r="C136" s="49">
        <v>182851.4</v>
      </c>
      <c r="D136" s="50">
        <v>858.1999999999825</v>
      </c>
      <c r="E136" s="49">
        <v>309703.29999999993</v>
      </c>
      <c r="F136" s="50">
        <f t="shared" si="22"/>
        <v>495356.5999999999</v>
      </c>
      <c r="G136" s="49">
        <v>5966.9</v>
      </c>
      <c r="H136" s="71">
        <f t="shared" si="21"/>
        <v>501323.49999999994</v>
      </c>
      <c r="I136" s="55">
        <v>383189.69999999995</v>
      </c>
      <c r="J136" s="71">
        <f t="shared" si="23"/>
        <v>118133.79999999999</v>
      </c>
      <c r="K136" s="49">
        <v>201411.19999999998</v>
      </c>
      <c r="L136" s="50">
        <v>89788.90000000001</v>
      </c>
      <c r="M136" s="52">
        <f t="shared" si="24"/>
        <v>111622.29999999997</v>
      </c>
      <c r="N136" s="50">
        <v>0</v>
      </c>
      <c r="O136" s="50">
        <v>97.2</v>
      </c>
      <c r="P136" s="52">
        <f t="shared" si="20"/>
        <v>-97.2</v>
      </c>
      <c r="Q136" s="48">
        <f t="shared" si="16"/>
        <v>229658.89999999997</v>
      </c>
      <c r="R136" s="92"/>
    </row>
    <row r="137" spans="1:17" ht="12.75" hidden="1">
      <c r="A137" s="39"/>
      <c r="B137" s="48"/>
      <c r="C137" s="49"/>
      <c r="D137" s="50"/>
      <c r="E137" s="49"/>
      <c r="F137" s="50"/>
      <c r="G137" s="49"/>
      <c r="H137" s="85"/>
      <c r="I137" s="55"/>
      <c r="J137" s="85"/>
      <c r="K137" s="49"/>
      <c r="L137" s="50"/>
      <c r="M137" s="52"/>
      <c r="N137" s="50"/>
      <c r="O137" s="50"/>
      <c r="P137" s="52"/>
      <c r="Q137" s="48"/>
    </row>
    <row r="138" spans="1:18" ht="12.75" hidden="1">
      <c r="A138" s="38" t="s">
        <v>65</v>
      </c>
      <c r="B138" s="48">
        <v>2013.5</v>
      </c>
      <c r="C138" s="49">
        <v>175305.1</v>
      </c>
      <c r="D138" s="50">
        <v>854.1</v>
      </c>
      <c r="E138" s="49">
        <v>292029.50000000006</v>
      </c>
      <c r="F138" s="50">
        <f t="shared" si="22"/>
        <v>470202.20000000007</v>
      </c>
      <c r="G138" s="49">
        <v>6218.6</v>
      </c>
      <c r="H138" s="71">
        <f t="shared" si="21"/>
        <v>476420.80000000005</v>
      </c>
      <c r="I138" s="55">
        <v>374224.5</v>
      </c>
      <c r="J138" s="71">
        <f t="shared" si="23"/>
        <v>102196.30000000005</v>
      </c>
      <c r="K138" s="49">
        <v>212478.3</v>
      </c>
      <c r="L138" s="50">
        <v>99764.6</v>
      </c>
      <c r="M138" s="52">
        <f aca="true" t="shared" si="25" ref="M138:M143">K138-L138</f>
        <v>112713.69999999998</v>
      </c>
      <c r="N138" s="50">
        <v>0</v>
      </c>
      <c r="O138" s="50">
        <v>97.2</v>
      </c>
      <c r="P138" s="52">
        <f aca="true" t="shared" si="26" ref="P138:P149">N138-O138</f>
        <v>-97.2</v>
      </c>
      <c r="Q138" s="48">
        <f t="shared" si="16"/>
        <v>214812.80000000002</v>
      </c>
      <c r="R138" s="92"/>
    </row>
    <row r="139" spans="1:18" ht="12.75" hidden="1">
      <c r="A139" s="38" t="s">
        <v>74</v>
      </c>
      <c r="B139" s="48">
        <v>1982.1</v>
      </c>
      <c r="C139" s="49">
        <v>185837.4</v>
      </c>
      <c r="D139" s="50">
        <v>857.4</v>
      </c>
      <c r="E139" s="49">
        <f>7943.2+48205.5+225471+106.2</f>
        <v>281725.9</v>
      </c>
      <c r="F139" s="50">
        <f aca="true" t="shared" si="27" ref="F139:F144">SUM(B139:E139)</f>
        <v>470402.80000000005</v>
      </c>
      <c r="G139" s="49">
        <f>5344.9+1198.4</f>
        <v>6543.299999999999</v>
      </c>
      <c r="H139" s="71">
        <f aca="true" t="shared" si="28" ref="H139:H144">+F139+G139</f>
        <v>476946.10000000003</v>
      </c>
      <c r="I139" s="55">
        <v>385806.2</v>
      </c>
      <c r="J139" s="71">
        <f aca="true" t="shared" si="29" ref="J139:J144">H139-I139</f>
        <v>91139.90000000002</v>
      </c>
      <c r="K139" s="49">
        <f>231156+33.1</f>
        <v>231189.1</v>
      </c>
      <c r="L139" s="50">
        <v>92448.2</v>
      </c>
      <c r="M139" s="52">
        <f t="shared" si="25"/>
        <v>138740.90000000002</v>
      </c>
      <c r="N139" s="50">
        <v>0</v>
      </c>
      <c r="O139" s="50">
        <v>97.2</v>
      </c>
      <c r="P139" s="52">
        <f t="shared" si="26"/>
        <v>-97.2</v>
      </c>
      <c r="Q139" s="48">
        <f t="shared" si="16"/>
        <v>229783.60000000003</v>
      </c>
      <c r="R139" s="92"/>
    </row>
    <row r="140" spans="1:18" ht="12.75" hidden="1">
      <c r="A140" s="38" t="s">
        <v>57</v>
      </c>
      <c r="B140" s="48">
        <v>1933.3</v>
      </c>
      <c r="C140" s="49">
        <v>196400.6</v>
      </c>
      <c r="D140" s="50">
        <v>859</v>
      </c>
      <c r="E140" s="49">
        <f>7520.6+25352.2+254482.7+114.8</f>
        <v>287470.3</v>
      </c>
      <c r="F140" s="50">
        <f t="shared" si="27"/>
        <v>486663.19999999995</v>
      </c>
      <c r="G140" s="49">
        <f>3701.3+1198.4</f>
        <v>4899.700000000001</v>
      </c>
      <c r="H140" s="71">
        <f t="shared" si="28"/>
        <v>491562.89999999997</v>
      </c>
      <c r="I140" s="55">
        <v>396544.3</v>
      </c>
      <c r="J140" s="71">
        <f t="shared" si="29"/>
        <v>95018.59999999998</v>
      </c>
      <c r="K140" s="49">
        <f>216665.2+33.1</f>
        <v>216698.30000000002</v>
      </c>
      <c r="L140" s="50">
        <v>100768.8</v>
      </c>
      <c r="M140" s="52">
        <f t="shared" si="25"/>
        <v>115929.50000000001</v>
      </c>
      <c r="N140" s="50">
        <v>0</v>
      </c>
      <c r="O140" s="50">
        <v>97.2</v>
      </c>
      <c r="P140" s="52">
        <f t="shared" si="26"/>
        <v>-97.2</v>
      </c>
      <c r="Q140" s="48">
        <f t="shared" si="16"/>
        <v>210850.89999999997</v>
      </c>
      <c r="R140" s="92"/>
    </row>
    <row r="141" spans="1:18" ht="12.75" hidden="1">
      <c r="A141" s="38" t="s">
        <v>77</v>
      </c>
      <c r="B141" s="48">
        <v>1931.1</v>
      </c>
      <c r="C141" s="49">
        <v>197221.5</v>
      </c>
      <c r="D141" s="50">
        <v>862.6</v>
      </c>
      <c r="E141" s="49">
        <f>5038+33466.1+246467.4+2886.8</f>
        <v>287858.3</v>
      </c>
      <c r="F141" s="50">
        <f t="shared" si="27"/>
        <v>487873.5</v>
      </c>
      <c r="G141" s="49">
        <f>4557.6+1198.4</f>
        <v>5756</v>
      </c>
      <c r="H141" s="71">
        <f t="shared" si="28"/>
        <v>493629.5</v>
      </c>
      <c r="I141" s="55">
        <v>398474</v>
      </c>
      <c r="J141" s="71">
        <f t="shared" si="29"/>
        <v>95155.5</v>
      </c>
      <c r="K141" s="49">
        <f>226481.1+33.1</f>
        <v>226514.2</v>
      </c>
      <c r="L141" s="50">
        <v>107327.7</v>
      </c>
      <c r="M141" s="52">
        <f t="shared" si="25"/>
        <v>119186.50000000001</v>
      </c>
      <c r="N141" s="50">
        <v>0</v>
      </c>
      <c r="O141" s="50">
        <v>97.1</v>
      </c>
      <c r="P141" s="52">
        <f t="shared" si="26"/>
        <v>-97.1</v>
      </c>
      <c r="Q141" s="48">
        <f t="shared" si="16"/>
        <v>214244.9</v>
      </c>
      <c r="R141" s="92"/>
    </row>
    <row r="142" spans="1:18" ht="12.75" hidden="1">
      <c r="A142" s="38" t="s">
        <v>78</v>
      </c>
      <c r="B142" s="48">
        <v>1879.1</v>
      </c>
      <c r="C142" s="49">
        <v>196162.4</v>
      </c>
      <c r="D142" s="50">
        <v>857.7</v>
      </c>
      <c r="E142" s="49">
        <f>3847.6+195508.1+79291.8+74.8</f>
        <v>278722.3</v>
      </c>
      <c r="F142" s="50">
        <f t="shared" si="27"/>
        <v>477621.5</v>
      </c>
      <c r="G142" s="49">
        <f>3620.1+1198.4</f>
        <v>4818.5</v>
      </c>
      <c r="H142" s="71">
        <f t="shared" si="28"/>
        <v>482440</v>
      </c>
      <c r="I142" s="55">
        <v>396516</v>
      </c>
      <c r="J142" s="71">
        <f t="shared" si="29"/>
        <v>85924</v>
      </c>
      <c r="K142" s="49">
        <f>199368.7+33.1</f>
        <v>199401.80000000002</v>
      </c>
      <c r="L142" s="50">
        <f>101540+0.2</f>
        <v>101540.2</v>
      </c>
      <c r="M142" s="52">
        <f t="shared" si="25"/>
        <v>97861.60000000002</v>
      </c>
      <c r="N142" s="50">
        <v>0</v>
      </c>
      <c r="O142" s="50">
        <v>97.1</v>
      </c>
      <c r="P142" s="52">
        <f t="shared" si="26"/>
        <v>-97.1</v>
      </c>
      <c r="Q142" s="48">
        <f t="shared" si="16"/>
        <v>183688.50000000003</v>
      </c>
      <c r="R142" s="94"/>
    </row>
    <row r="143" spans="1:18" ht="12.75" hidden="1">
      <c r="A143" s="38" t="s">
        <v>79</v>
      </c>
      <c r="B143" s="48">
        <v>1967.1</v>
      </c>
      <c r="C143" s="49">
        <v>196712.9</v>
      </c>
      <c r="D143" s="50">
        <v>860.4</v>
      </c>
      <c r="E143" s="49">
        <f>4560.1+231709+48175.3+89.5</f>
        <v>284533.9</v>
      </c>
      <c r="F143" s="50">
        <f t="shared" si="27"/>
        <v>484074.30000000005</v>
      </c>
      <c r="G143" s="49">
        <f>1331.6+1198.4</f>
        <v>2530</v>
      </c>
      <c r="H143" s="71">
        <f t="shared" si="28"/>
        <v>486604.30000000005</v>
      </c>
      <c r="I143" s="55">
        <v>397532.8</v>
      </c>
      <c r="J143" s="71">
        <f t="shared" si="29"/>
        <v>89071.50000000006</v>
      </c>
      <c r="K143" s="49">
        <f>198369.9+38.9</f>
        <v>198408.8</v>
      </c>
      <c r="L143" s="50">
        <f>102707.1+0.4</f>
        <v>102707.5</v>
      </c>
      <c r="M143" s="52">
        <f t="shared" si="25"/>
        <v>95701.29999999999</v>
      </c>
      <c r="N143" s="50">
        <v>0</v>
      </c>
      <c r="O143" s="50">
        <v>97.1</v>
      </c>
      <c r="P143" s="52">
        <f t="shared" si="26"/>
        <v>-97.1</v>
      </c>
      <c r="Q143" s="48">
        <f t="shared" si="16"/>
        <v>184675.70000000004</v>
      </c>
      <c r="R143" s="94"/>
    </row>
    <row r="144" spans="1:18" ht="12.75" hidden="1">
      <c r="A144" s="38" t="s">
        <v>82</v>
      </c>
      <c r="B144" s="48">
        <v>1934.8</v>
      </c>
      <c r="C144" s="49">
        <v>187062.5</v>
      </c>
      <c r="D144" s="50">
        <v>854.7</v>
      </c>
      <c r="E144" s="49">
        <f>6728.6+209621.9+47804.3+78.1</f>
        <v>264232.89999999997</v>
      </c>
      <c r="F144" s="50">
        <f t="shared" si="27"/>
        <v>454084.89999999997</v>
      </c>
      <c r="G144" s="49">
        <f>1313.9+1198.4</f>
        <v>2512.3</v>
      </c>
      <c r="H144" s="71">
        <f t="shared" si="28"/>
        <v>456597.19999999995</v>
      </c>
      <c r="I144" s="55">
        <v>385996.8</v>
      </c>
      <c r="J144" s="71">
        <f t="shared" si="29"/>
        <v>70600.39999999997</v>
      </c>
      <c r="K144" s="49">
        <f>230470.1+90.9</f>
        <v>230561</v>
      </c>
      <c r="L144" s="50">
        <f>108563.8+2</f>
        <v>108565.8</v>
      </c>
      <c r="M144" s="52">
        <f>K144-L144</f>
        <v>121995.2</v>
      </c>
      <c r="N144" s="50">
        <v>0</v>
      </c>
      <c r="O144" s="50">
        <v>89</v>
      </c>
      <c r="P144" s="52">
        <f t="shared" si="26"/>
        <v>-89</v>
      </c>
      <c r="Q144" s="48">
        <f t="shared" si="16"/>
        <v>192506.59999999998</v>
      </c>
      <c r="R144" s="94"/>
    </row>
    <row r="145" spans="1:18" ht="12.75" hidden="1">
      <c r="A145" s="38" t="s">
        <v>81</v>
      </c>
      <c r="B145" s="48">
        <v>1926.5</v>
      </c>
      <c r="C145" s="49">
        <v>182067.8</v>
      </c>
      <c r="D145" s="50">
        <v>846.6</v>
      </c>
      <c r="E145" s="49">
        <f>6764.7+213029.5+47872.7+56.3</f>
        <v>267723.2</v>
      </c>
      <c r="F145" s="50">
        <f>SUM(B145:E145)</f>
        <v>452564.1</v>
      </c>
      <c r="G145" s="49">
        <f>8047.1+1198.4</f>
        <v>9245.5</v>
      </c>
      <c r="H145" s="71">
        <f>+F145+G145</f>
        <v>461809.6</v>
      </c>
      <c r="I145" s="55">
        <v>379199.7</v>
      </c>
      <c r="J145" s="71">
        <f>H145-I145</f>
        <v>82609.89999999997</v>
      </c>
      <c r="K145" s="49">
        <f>193796.1+96.8</f>
        <v>193892.9</v>
      </c>
      <c r="L145" s="50">
        <f>125444.3+0.8</f>
        <v>125445.1</v>
      </c>
      <c r="M145" s="52">
        <f>K145-L145</f>
        <v>68447.79999999999</v>
      </c>
      <c r="N145" s="50">
        <v>0</v>
      </c>
      <c r="O145" s="50">
        <v>80.9</v>
      </c>
      <c r="P145" s="52">
        <f t="shared" si="26"/>
        <v>-80.9</v>
      </c>
      <c r="Q145" s="48">
        <f t="shared" si="16"/>
        <v>150976.79999999996</v>
      </c>
      <c r="R145" s="94"/>
    </row>
    <row r="146" spans="1:18" ht="12.75" hidden="1">
      <c r="A146" s="38" t="s">
        <v>83</v>
      </c>
      <c r="B146" s="48">
        <v>1822.1</v>
      </c>
      <c r="C146" s="49">
        <v>188332.9</v>
      </c>
      <c r="D146" s="50">
        <v>829.8</v>
      </c>
      <c r="E146" s="49">
        <f>7510.5+175108.7+143041.6+70.6</f>
        <v>325731.4</v>
      </c>
      <c r="F146" s="50">
        <f>SUM(B146:E146)</f>
        <v>516716.2</v>
      </c>
      <c r="G146" s="49">
        <f>6990.2+1198.4</f>
        <v>8188.6</v>
      </c>
      <c r="H146" s="71">
        <f>+F146+G146</f>
        <v>524904.8</v>
      </c>
      <c r="I146" s="55">
        <v>382067.5</v>
      </c>
      <c r="J146" s="71">
        <f>H146-I146</f>
        <v>142837.30000000005</v>
      </c>
      <c r="K146" s="49">
        <f>193828.2+96.8</f>
        <v>193925</v>
      </c>
      <c r="L146" s="50">
        <f>123900.5+3</f>
        <v>123903.5</v>
      </c>
      <c r="M146" s="52">
        <f>K146-L146</f>
        <v>70021.5</v>
      </c>
      <c r="N146" s="50">
        <v>0</v>
      </c>
      <c r="O146" s="50">
        <v>72.9</v>
      </c>
      <c r="P146" s="52">
        <f t="shared" si="26"/>
        <v>-72.9</v>
      </c>
      <c r="Q146" s="48">
        <f t="shared" si="16"/>
        <v>212785.90000000005</v>
      </c>
      <c r="R146" s="94"/>
    </row>
    <row r="147" spans="1:18" ht="12.75" hidden="1">
      <c r="A147" s="38" t="s">
        <v>85</v>
      </c>
      <c r="B147" s="48">
        <v>1788.4</v>
      </c>
      <c r="C147" s="49">
        <v>187590.6</v>
      </c>
      <c r="D147" s="50">
        <v>826.6</v>
      </c>
      <c r="E147" s="49">
        <f>6087.4+245040.7+68570.6+92.5</f>
        <v>319791.2</v>
      </c>
      <c r="F147" s="50">
        <f>SUM(B147:E147)</f>
        <v>509996.80000000005</v>
      </c>
      <c r="G147" s="49">
        <f>7935.9+1198.4</f>
        <v>9134.3</v>
      </c>
      <c r="H147" s="71">
        <f>+F147+G147</f>
        <v>519131.10000000003</v>
      </c>
      <c r="I147" s="55">
        <v>380171.5</v>
      </c>
      <c r="J147" s="71">
        <f>H147-I147</f>
        <v>138959.60000000003</v>
      </c>
      <c r="K147" s="49">
        <f>190368.4+96.8</f>
        <v>190465.19999999998</v>
      </c>
      <c r="L147" s="50">
        <f>126248.5+0.9</f>
        <v>126249.4</v>
      </c>
      <c r="M147" s="52">
        <f>K147-L147</f>
        <v>64215.79999999999</v>
      </c>
      <c r="N147" s="50">
        <v>0</v>
      </c>
      <c r="O147" s="50">
        <v>64.8</v>
      </c>
      <c r="P147" s="52">
        <f t="shared" si="26"/>
        <v>-64.8</v>
      </c>
      <c r="Q147" s="48">
        <f t="shared" si="16"/>
        <v>203110.60000000003</v>
      </c>
      <c r="R147" s="94"/>
    </row>
    <row r="148" spans="1:18" ht="12.75" hidden="1">
      <c r="A148" s="38" t="s">
        <v>86</v>
      </c>
      <c r="B148" s="48">
        <v>1774.3</v>
      </c>
      <c r="C148" s="49">
        <v>185568.9</v>
      </c>
      <c r="D148" s="50">
        <v>817.6</v>
      </c>
      <c r="E148" s="49">
        <f>7487.9+247589.6+57612.3+717.4</f>
        <v>313407.2</v>
      </c>
      <c r="F148" s="50">
        <f>SUM(B148:E148)</f>
        <v>501568</v>
      </c>
      <c r="G148" s="49">
        <f>7466.4+1198.4</f>
        <v>8664.8</v>
      </c>
      <c r="H148" s="71">
        <f>+F148+G148</f>
        <v>510232.8</v>
      </c>
      <c r="I148" s="55">
        <v>376171.7</v>
      </c>
      <c r="J148" s="71">
        <f>H148-I148</f>
        <v>134061.09999999998</v>
      </c>
      <c r="K148" s="49">
        <f>176990.9+96.8</f>
        <v>177087.69999999998</v>
      </c>
      <c r="L148" s="50">
        <f>119263+1.9</f>
        <v>119264.9</v>
      </c>
      <c r="M148" s="52">
        <f>K148-L148</f>
        <v>57822.79999999999</v>
      </c>
      <c r="N148" s="50">
        <v>0</v>
      </c>
      <c r="O148" s="50">
        <v>56.7</v>
      </c>
      <c r="P148" s="52">
        <f t="shared" si="26"/>
        <v>-56.7</v>
      </c>
      <c r="Q148" s="48">
        <f t="shared" si="16"/>
        <v>191827.19999999995</v>
      </c>
      <c r="R148" s="94"/>
    </row>
    <row r="149" spans="1:18" ht="12.75" hidden="1">
      <c r="A149" s="38" t="s">
        <v>87</v>
      </c>
      <c r="B149" s="48">
        <v>1802</v>
      </c>
      <c r="C149" s="49">
        <v>183917.8</v>
      </c>
      <c r="D149" s="50">
        <v>810.4</v>
      </c>
      <c r="E149" s="49">
        <f>6925.7+222912.8+76112.6+249.9</f>
        <v>306201</v>
      </c>
      <c r="F149" s="50">
        <f>SUM(B149:E149)</f>
        <v>492731.19999999995</v>
      </c>
      <c r="G149" s="49">
        <f>7285.1+1198.4</f>
        <v>8483.5</v>
      </c>
      <c r="H149" s="71">
        <f>+F149+G149</f>
        <v>501214.69999999995</v>
      </c>
      <c r="I149" s="55">
        <v>372538.8</v>
      </c>
      <c r="J149" s="71">
        <f>H149-I149</f>
        <v>128675.89999999997</v>
      </c>
      <c r="K149" s="49">
        <v>199601.2</v>
      </c>
      <c r="L149" s="50">
        <v>147751.8</v>
      </c>
      <c r="M149" s="52">
        <v>51849.4</v>
      </c>
      <c r="N149" s="50">
        <v>0</v>
      </c>
      <c r="O149" s="50">
        <v>48.6</v>
      </c>
      <c r="P149" s="52">
        <f t="shared" si="26"/>
        <v>-48.6</v>
      </c>
      <c r="Q149" s="48">
        <f t="shared" si="16"/>
        <v>180476.69999999995</v>
      </c>
      <c r="R149" s="94"/>
    </row>
    <row r="150" spans="1:17" ht="12.75" hidden="1">
      <c r="A150" s="38"/>
      <c r="B150" s="48"/>
      <c r="C150" s="49"/>
      <c r="D150" s="50"/>
      <c r="E150" s="49"/>
      <c r="F150" s="50"/>
      <c r="G150" s="49"/>
      <c r="H150" s="85"/>
      <c r="I150" s="55"/>
      <c r="J150" s="85"/>
      <c r="K150" s="49"/>
      <c r="L150" s="50"/>
      <c r="M150" s="52"/>
      <c r="N150" s="50"/>
      <c r="O150" s="50"/>
      <c r="P150" s="52"/>
      <c r="Q150" s="48"/>
    </row>
    <row r="151" spans="1:18" ht="12.75" hidden="1">
      <c r="A151" s="38" t="s">
        <v>68</v>
      </c>
      <c r="B151" s="48">
        <v>1893.4</v>
      </c>
      <c r="C151" s="49">
        <v>172860.8</v>
      </c>
      <c r="D151" s="50">
        <v>788.7</v>
      </c>
      <c r="E151" s="49">
        <f>8776.8+204584.3+86742.4+106</f>
        <v>300209.5</v>
      </c>
      <c r="F151" s="50">
        <f aca="true" t="shared" si="30" ref="F151:F156">SUM(B151:E151)</f>
        <v>475752.4</v>
      </c>
      <c r="G151" s="49">
        <f>7447.1+1198.4</f>
        <v>8645.5</v>
      </c>
      <c r="H151" s="71">
        <f aca="true" t="shared" si="31" ref="H151:H156">+F151+G151</f>
        <v>484397.9</v>
      </c>
      <c r="I151" s="55">
        <v>357331.8</v>
      </c>
      <c r="J151" s="71">
        <f aca="true" t="shared" si="32" ref="J151:J156">H151-I151</f>
        <v>127066.10000000003</v>
      </c>
      <c r="K151" s="49">
        <f>189174.3+96.8</f>
        <v>189271.09999999998</v>
      </c>
      <c r="L151" s="50">
        <f>141155.8+1.6</f>
        <v>141157.4</v>
      </c>
      <c r="M151" s="52">
        <f aca="true" t="shared" si="33" ref="M151:M156">K151-L151</f>
        <v>48113.69999999998</v>
      </c>
      <c r="N151" s="50">
        <v>0</v>
      </c>
      <c r="O151" s="50">
        <v>40.5</v>
      </c>
      <c r="P151" s="52">
        <f aca="true" t="shared" si="34" ref="P151:P162">N151-O151</f>
        <v>-40.5</v>
      </c>
      <c r="Q151" s="48">
        <f t="shared" si="16"/>
        <v>175139.30000000002</v>
      </c>
      <c r="R151" s="94"/>
    </row>
    <row r="152" spans="1:18" ht="12.75" hidden="1">
      <c r="A152" s="38" t="s">
        <v>91</v>
      </c>
      <c r="B152" s="48">
        <v>1816</v>
      </c>
      <c r="C152" s="49">
        <v>169040.4</v>
      </c>
      <c r="D152" s="50">
        <v>792.2</v>
      </c>
      <c r="E152" s="49">
        <f>9023.9+199590.1+86892.7+192.2</f>
        <v>295698.9</v>
      </c>
      <c r="F152" s="50">
        <f t="shared" si="30"/>
        <v>467347.5</v>
      </c>
      <c r="G152" s="49">
        <f>8025.8+1198.4</f>
        <v>9224.2</v>
      </c>
      <c r="H152" s="71">
        <f t="shared" si="31"/>
        <v>476571.7</v>
      </c>
      <c r="I152" s="55">
        <v>354020.7</v>
      </c>
      <c r="J152" s="71">
        <f t="shared" si="32"/>
        <v>122551</v>
      </c>
      <c r="K152" s="49">
        <f>177635.2+96.8</f>
        <v>177732</v>
      </c>
      <c r="L152" s="50">
        <f>147645.9+1.8</f>
        <v>147647.69999999998</v>
      </c>
      <c r="M152" s="52">
        <f t="shared" si="33"/>
        <v>30084.300000000017</v>
      </c>
      <c r="N152" s="50">
        <v>0</v>
      </c>
      <c r="O152" s="50">
        <v>32.4</v>
      </c>
      <c r="P152" s="52">
        <f t="shared" si="34"/>
        <v>-32.4</v>
      </c>
      <c r="Q152" s="48">
        <f t="shared" si="16"/>
        <v>152602.90000000002</v>
      </c>
      <c r="R152" s="94"/>
    </row>
    <row r="153" spans="1:18" ht="12.75" hidden="1">
      <c r="A153" s="38" t="s">
        <v>58</v>
      </c>
      <c r="B153" s="48">
        <v>1778.4</v>
      </c>
      <c r="C153" s="49">
        <v>174701.8</v>
      </c>
      <c r="D153" s="50">
        <v>775.5</v>
      </c>
      <c r="E153" s="49">
        <f>8508.9+158067.3+125280+291.4</f>
        <v>292147.6</v>
      </c>
      <c r="F153" s="50">
        <f t="shared" si="30"/>
        <v>469403.29999999993</v>
      </c>
      <c r="G153" s="49">
        <f>1909.3+1198.4</f>
        <v>3107.7</v>
      </c>
      <c r="H153" s="71">
        <f t="shared" si="31"/>
        <v>472510.99999999994</v>
      </c>
      <c r="I153" s="55">
        <v>356984.6</v>
      </c>
      <c r="J153" s="71">
        <f t="shared" si="32"/>
        <v>115526.39999999997</v>
      </c>
      <c r="K153" s="49">
        <v>191610</v>
      </c>
      <c r="L153" s="50">
        <f>146198.8+46.6</f>
        <v>146245.4</v>
      </c>
      <c r="M153" s="52">
        <f t="shared" si="33"/>
        <v>45364.600000000006</v>
      </c>
      <c r="N153" s="50">
        <v>0</v>
      </c>
      <c r="O153" s="50">
        <v>24.3</v>
      </c>
      <c r="P153" s="52">
        <f t="shared" si="34"/>
        <v>-24.3</v>
      </c>
      <c r="Q153" s="48">
        <f t="shared" si="16"/>
        <v>160866.69999999998</v>
      </c>
      <c r="R153" s="94"/>
    </row>
    <row r="154" spans="1:18" ht="12.75" hidden="1">
      <c r="A154" s="38" t="s">
        <v>99</v>
      </c>
      <c r="B154" s="48">
        <v>1809.5</v>
      </c>
      <c r="C154" s="49">
        <v>176226.4</v>
      </c>
      <c r="D154" s="50">
        <v>788.7</v>
      </c>
      <c r="E154" s="49">
        <f>9506.5+130315.6+126104.3+281.6</f>
        <v>266208</v>
      </c>
      <c r="F154" s="50">
        <f t="shared" si="30"/>
        <v>445032.6</v>
      </c>
      <c r="G154" s="49">
        <f>7376.9+1198.4</f>
        <v>8575.3</v>
      </c>
      <c r="H154" s="71">
        <f t="shared" si="31"/>
        <v>453607.89999999997</v>
      </c>
      <c r="I154" s="55">
        <v>360084.5</v>
      </c>
      <c r="J154" s="71">
        <f t="shared" si="32"/>
        <v>93523.39999999997</v>
      </c>
      <c r="K154" s="49">
        <v>202405.59999999998</v>
      </c>
      <c r="L154" s="50">
        <f>147867.1+0.6</f>
        <v>147867.7</v>
      </c>
      <c r="M154" s="52">
        <f t="shared" si="33"/>
        <v>54537.899999999965</v>
      </c>
      <c r="N154" s="50">
        <v>0</v>
      </c>
      <c r="O154" s="50">
        <v>16.2</v>
      </c>
      <c r="P154" s="52">
        <f t="shared" si="34"/>
        <v>-16.2</v>
      </c>
      <c r="Q154" s="48">
        <f t="shared" si="16"/>
        <v>148045.09999999992</v>
      </c>
      <c r="R154" s="94"/>
    </row>
    <row r="155" spans="1:18" ht="12.75" hidden="1">
      <c r="A155" s="38" t="s">
        <v>101</v>
      </c>
      <c r="B155" s="48">
        <v>1793.2</v>
      </c>
      <c r="C155" s="49">
        <v>174492</v>
      </c>
      <c r="D155" s="50">
        <v>778.1</v>
      </c>
      <c r="E155" s="49">
        <f>7656.3+134736.2+125432.8+634.9</f>
        <v>268460.2</v>
      </c>
      <c r="F155" s="50">
        <f t="shared" si="30"/>
        <v>445523.5</v>
      </c>
      <c r="G155" s="49">
        <f>6469.5+1198.4</f>
        <v>7667.9</v>
      </c>
      <c r="H155" s="71">
        <f t="shared" si="31"/>
        <v>453191.4</v>
      </c>
      <c r="I155" s="55">
        <v>356222.3</v>
      </c>
      <c r="J155" s="71">
        <f t="shared" si="32"/>
        <v>96969.10000000003</v>
      </c>
      <c r="K155" s="49">
        <v>178435.19999999998</v>
      </c>
      <c r="L155" s="50">
        <f>136900.6+0.8</f>
        <v>136901.4</v>
      </c>
      <c r="M155" s="52">
        <f t="shared" si="33"/>
        <v>41533.79999999999</v>
      </c>
      <c r="N155" s="50">
        <v>0</v>
      </c>
      <c r="O155" s="50">
        <v>8.1</v>
      </c>
      <c r="P155" s="52">
        <f t="shared" si="34"/>
        <v>-8.1</v>
      </c>
      <c r="Q155" s="48">
        <f t="shared" si="16"/>
        <v>138494.80000000002</v>
      </c>
      <c r="R155" s="94"/>
    </row>
    <row r="156" spans="1:18" ht="12.75" hidden="1">
      <c r="A156" s="38" t="s">
        <v>102</v>
      </c>
      <c r="B156" s="48">
        <v>1781.7</v>
      </c>
      <c r="C156" s="49">
        <v>176983.9</v>
      </c>
      <c r="D156" s="50">
        <v>792.1</v>
      </c>
      <c r="E156" s="49">
        <f>14575.9+50556.3+126206.2+306.3</f>
        <v>191644.69999999998</v>
      </c>
      <c r="F156" s="50">
        <f t="shared" si="30"/>
        <v>371202.4</v>
      </c>
      <c r="G156" s="49">
        <f>816.4+1198.4</f>
        <v>2014.8000000000002</v>
      </c>
      <c r="H156" s="71">
        <f t="shared" si="31"/>
        <v>373217.2</v>
      </c>
      <c r="I156" s="55">
        <v>361289.7</v>
      </c>
      <c r="J156" s="71">
        <f t="shared" si="32"/>
        <v>11927.5</v>
      </c>
      <c r="K156" s="49">
        <v>192773.59999999998</v>
      </c>
      <c r="L156" s="50">
        <f>139562.5</f>
        <v>139562.5</v>
      </c>
      <c r="M156" s="52">
        <f t="shared" si="33"/>
        <v>53211.09999999998</v>
      </c>
      <c r="N156" s="50">
        <v>0</v>
      </c>
      <c r="O156" s="50">
        <v>0</v>
      </c>
      <c r="P156" s="52">
        <f t="shared" si="34"/>
        <v>0</v>
      </c>
      <c r="Q156" s="48">
        <f t="shared" si="16"/>
        <v>65138.59999999998</v>
      </c>
      <c r="R156" s="94"/>
    </row>
    <row r="157" spans="1:18" ht="12.75" hidden="1">
      <c r="A157" s="38" t="s">
        <v>104</v>
      </c>
      <c r="B157" s="48">
        <v>1648.2</v>
      </c>
      <c r="C157" s="49">
        <v>171841.9</v>
      </c>
      <c r="D157" s="50">
        <v>790.1</v>
      </c>
      <c r="E157" s="49">
        <f>13718.2+70923.3+92832.9+280.4</f>
        <v>177754.8</v>
      </c>
      <c r="F157" s="50">
        <f aca="true" t="shared" si="35" ref="F157:F162">SUM(B157:E157)</f>
        <v>352035</v>
      </c>
      <c r="G157" s="49">
        <f>710.3+1198.4</f>
        <v>1908.7</v>
      </c>
      <c r="H157" s="71">
        <f aca="true" t="shared" si="36" ref="H157:H162">+F157+G157</f>
        <v>353943.7</v>
      </c>
      <c r="I157" s="55">
        <v>356249.3</v>
      </c>
      <c r="J157" s="82">
        <v>-2305.6</v>
      </c>
      <c r="K157" s="49">
        <v>167511</v>
      </c>
      <c r="L157" s="50">
        <v>135310.6</v>
      </c>
      <c r="M157" s="52">
        <f aca="true" t="shared" si="37" ref="M157:M162">K157-L157</f>
        <v>32200.399999999994</v>
      </c>
      <c r="N157" s="50">
        <v>0</v>
      </c>
      <c r="O157" s="50">
        <v>0</v>
      </c>
      <c r="P157" s="52">
        <f t="shared" si="34"/>
        <v>0</v>
      </c>
      <c r="Q157" s="48">
        <f t="shared" si="16"/>
        <v>29894.799999999996</v>
      </c>
      <c r="R157" s="94"/>
    </row>
    <row r="158" spans="1:18" ht="12.75" hidden="1">
      <c r="A158" s="38" t="s">
        <v>106</v>
      </c>
      <c r="B158" s="48">
        <v>1729.2</v>
      </c>
      <c r="C158" s="49">
        <v>169523.6</v>
      </c>
      <c r="D158" s="50">
        <v>800.2</v>
      </c>
      <c r="E158" s="49">
        <v>138546.6</v>
      </c>
      <c r="F158" s="50">
        <f t="shared" si="35"/>
        <v>310599.60000000003</v>
      </c>
      <c r="G158" s="49">
        <v>1924.3</v>
      </c>
      <c r="H158" s="71">
        <f t="shared" si="36"/>
        <v>312523.9</v>
      </c>
      <c r="I158" s="55">
        <v>355556.2</v>
      </c>
      <c r="J158" s="82">
        <v>-43032.3</v>
      </c>
      <c r="K158" s="49">
        <v>188311.69999999998</v>
      </c>
      <c r="L158" s="50">
        <v>142073</v>
      </c>
      <c r="M158" s="52">
        <f t="shared" si="37"/>
        <v>46238.69999999998</v>
      </c>
      <c r="N158" s="50">
        <v>0</v>
      </c>
      <c r="O158" s="50">
        <v>0</v>
      </c>
      <c r="P158" s="52">
        <f t="shared" si="34"/>
        <v>0</v>
      </c>
      <c r="Q158" s="48">
        <f t="shared" si="16"/>
        <v>3206.3999999999796</v>
      </c>
      <c r="R158" s="94"/>
    </row>
    <row r="159" spans="1:18" ht="12.75" hidden="1">
      <c r="A159" s="38" t="s">
        <v>55</v>
      </c>
      <c r="B159" s="48">
        <v>1720.4</v>
      </c>
      <c r="C159" s="49">
        <v>165076</v>
      </c>
      <c r="D159" s="50">
        <v>800.5</v>
      </c>
      <c r="E159" s="49">
        <v>105121.8</v>
      </c>
      <c r="F159" s="50">
        <f t="shared" si="35"/>
        <v>272718.7</v>
      </c>
      <c r="G159" s="49">
        <v>1536</v>
      </c>
      <c r="H159" s="71">
        <f t="shared" si="36"/>
        <v>274254.7</v>
      </c>
      <c r="I159" s="55">
        <v>351304.8</v>
      </c>
      <c r="J159" s="82">
        <v>-77050.1</v>
      </c>
      <c r="K159" s="49">
        <v>179072.09999999998</v>
      </c>
      <c r="L159" s="50">
        <v>135266.6</v>
      </c>
      <c r="M159" s="52">
        <f t="shared" si="37"/>
        <v>43805.49999999997</v>
      </c>
      <c r="N159" s="50">
        <v>0</v>
      </c>
      <c r="O159" s="50">
        <v>0</v>
      </c>
      <c r="P159" s="52">
        <f t="shared" si="34"/>
        <v>0</v>
      </c>
      <c r="Q159" s="48">
        <f t="shared" si="16"/>
        <v>-33244.600000000035</v>
      </c>
      <c r="R159" s="94"/>
    </row>
    <row r="160" spans="1:18" ht="12.75" hidden="1">
      <c r="A160" s="38" t="s">
        <v>109</v>
      </c>
      <c r="B160" s="48">
        <v>1756.1</v>
      </c>
      <c r="C160" s="49">
        <v>141968.9</v>
      </c>
      <c r="D160" s="50">
        <v>795.6</v>
      </c>
      <c r="E160" s="49">
        <f>20218.8+31124.2+92961.3+268.2</f>
        <v>144572.5</v>
      </c>
      <c r="F160" s="50">
        <f t="shared" si="35"/>
        <v>289093.1</v>
      </c>
      <c r="G160" s="49">
        <f>335.9+1198.4</f>
        <v>1534.3000000000002</v>
      </c>
      <c r="H160" s="71">
        <f t="shared" si="36"/>
        <v>290627.39999999997</v>
      </c>
      <c r="I160" s="55">
        <v>349041.3</v>
      </c>
      <c r="J160" s="82">
        <v>-58413.9</v>
      </c>
      <c r="K160" s="49">
        <v>167200.69999999998</v>
      </c>
      <c r="L160" s="50">
        <v>132616.1</v>
      </c>
      <c r="M160" s="52">
        <f t="shared" si="37"/>
        <v>34584.59999999998</v>
      </c>
      <c r="N160" s="50">
        <v>0</v>
      </c>
      <c r="O160" s="50">
        <v>0</v>
      </c>
      <c r="P160" s="52">
        <f t="shared" si="34"/>
        <v>0</v>
      </c>
      <c r="Q160" s="48">
        <f t="shared" si="16"/>
        <v>-23829.300000000025</v>
      </c>
      <c r="R160" s="94"/>
    </row>
    <row r="161" spans="1:18" ht="12.75" hidden="1">
      <c r="A161" s="38" t="s">
        <v>111</v>
      </c>
      <c r="B161" s="48">
        <v>1644.9</v>
      </c>
      <c r="C161" s="49">
        <v>142186.4</v>
      </c>
      <c r="D161" s="50">
        <v>796.8</v>
      </c>
      <c r="E161" s="49">
        <f>20576.6+19554.1+50749.2+352.2</f>
        <v>91232.09999999999</v>
      </c>
      <c r="F161" s="50">
        <f t="shared" si="35"/>
        <v>235860.19999999995</v>
      </c>
      <c r="G161" s="49">
        <f>438.5+1198.4</f>
        <v>1636.9</v>
      </c>
      <c r="H161" s="71">
        <f t="shared" si="36"/>
        <v>237497.09999999995</v>
      </c>
      <c r="I161" s="55">
        <v>350334.2</v>
      </c>
      <c r="J161" s="82">
        <v>-112837.1</v>
      </c>
      <c r="K161" s="49">
        <v>182736.59999999998</v>
      </c>
      <c r="L161" s="50">
        <v>154302.8</v>
      </c>
      <c r="M161" s="52">
        <f t="shared" si="37"/>
        <v>28433.79999999999</v>
      </c>
      <c r="N161" s="50">
        <v>0</v>
      </c>
      <c r="O161" s="50">
        <v>0</v>
      </c>
      <c r="P161" s="52">
        <f t="shared" si="34"/>
        <v>0</v>
      </c>
      <c r="Q161" s="48">
        <f t="shared" si="16"/>
        <v>-84403.30000000002</v>
      </c>
      <c r="R161" s="94"/>
    </row>
    <row r="162" spans="1:18" ht="12.75">
      <c r="A162" s="38" t="s">
        <v>112</v>
      </c>
      <c r="B162" s="48">
        <v>1660.3</v>
      </c>
      <c r="C162" s="49">
        <v>88116.1</v>
      </c>
      <c r="D162" s="50">
        <v>808.1</v>
      </c>
      <c r="E162" s="49">
        <f>24263.1+48812.9+56599.6+269.9</f>
        <v>129945.5</v>
      </c>
      <c r="F162" s="50">
        <f t="shared" si="35"/>
        <v>220530</v>
      </c>
      <c r="G162" s="49">
        <f>101.2+1198.4</f>
        <v>1299.6000000000001</v>
      </c>
      <c r="H162" s="71">
        <f t="shared" si="36"/>
        <v>221829.6</v>
      </c>
      <c r="I162" s="55">
        <v>354815.2</v>
      </c>
      <c r="J162" s="82">
        <v>-132985.6</v>
      </c>
      <c r="K162" s="49">
        <v>207089</v>
      </c>
      <c r="L162" s="50">
        <v>149973.5</v>
      </c>
      <c r="M162" s="52">
        <f t="shared" si="37"/>
        <v>57115.5</v>
      </c>
      <c r="N162" s="50">
        <v>0</v>
      </c>
      <c r="O162" s="50">
        <v>0</v>
      </c>
      <c r="P162" s="52">
        <f t="shared" si="34"/>
        <v>0</v>
      </c>
      <c r="Q162" s="48">
        <f t="shared" si="16"/>
        <v>-75870.1</v>
      </c>
      <c r="R162" s="94"/>
    </row>
    <row r="163" spans="1:17" ht="12.75">
      <c r="A163" s="38"/>
      <c r="B163" s="48"/>
      <c r="C163" s="49"/>
      <c r="D163" s="50"/>
      <c r="E163" s="49"/>
      <c r="F163" s="50"/>
      <c r="G163" s="49"/>
      <c r="H163" s="85"/>
      <c r="I163" s="55"/>
      <c r="J163" s="82"/>
      <c r="K163" s="49"/>
      <c r="L163" s="50"/>
      <c r="M163" s="52"/>
      <c r="N163" s="50"/>
      <c r="O163" s="50"/>
      <c r="P163" s="52"/>
      <c r="Q163" s="48"/>
    </row>
    <row r="164" spans="1:18" ht="12.75">
      <c r="A164" s="38" t="s">
        <v>72</v>
      </c>
      <c r="B164" s="48">
        <v>1750.1</v>
      </c>
      <c r="C164" s="49">
        <v>83715.4</v>
      </c>
      <c r="D164" s="50">
        <v>809.7</v>
      </c>
      <c r="E164" s="49">
        <f>22794.1+44150.5+56907.5+3401.8</f>
        <v>127253.90000000001</v>
      </c>
      <c r="F164" s="50">
        <f aca="true" t="shared" si="38" ref="F164:F169">SUM(B164:E164)</f>
        <v>213529.1</v>
      </c>
      <c r="G164" s="49">
        <f>545.6+1198.4</f>
        <v>1744</v>
      </c>
      <c r="H164" s="71">
        <f aca="true" t="shared" si="39" ref="H164:H188">+F164+G164</f>
        <v>215273.1</v>
      </c>
      <c r="I164" s="55">
        <v>351129.1</v>
      </c>
      <c r="J164" s="82">
        <f aca="true" t="shared" si="40" ref="J164:J188">+H164-I164</f>
        <v>-135855.99999999997</v>
      </c>
      <c r="K164" s="49">
        <v>163636.69999999998</v>
      </c>
      <c r="L164" s="50">
        <v>147014.7</v>
      </c>
      <c r="M164" s="52">
        <f aca="true" t="shared" si="41" ref="M164:M175">K164-L164</f>
        <v>16621.99999999997</v>
      </c>
      <c r="N164" s="50">
        <v>0</v>
      </c>
      <c r="O164" s="50">
        <v>0</v>
      </c>
      <c r="P164" s="52">
        <f aca="true" t="shared" si="42" ref="P164:P175">N164-O164</f>
        <v>0</v>
      </c>
      <c r="Q164" s="48">
        <f t="shared" si="16"/>
        <v>-119234</v>
      </c>
      <c r="R164" s="94"/>
    </row>
    <row r="165" spans="1:18" ht="12.75">
      <c r="A165" s="38" t="s">
        <v>66</v>
      </c>
      <c r="B165" s="48">
        <v>1935.2</v>
      </c>
      <c r="C165" s="49">
        <v>32914.6</v>
      </c>
      <c r="D165" s="50">
        <v>44208</v>
      </c>
      <c r="E165" s="49">
        <f>26230.6+37522.3+32635.6+203.9</f>
        <v>96592.4</v>
      </c>
      <c r="F165" s="50">
        <f t="shared" si="38"/>
        <v>175650.19999999998</v>
      </c>
      <c r="G165" s="49">
        <f>1297+1198.4</f>
        <v>2495.4</v>
      </c>
      <c r="H165" s="71">
        <f t="shared" si="39"/>
        <v>178145.59999999998</v>
      </c>
      <c r="I165" s="55">
        <v>344743.7</v>
      </c>
      <c r="J165" s="82">
        <f t="shared" si="40"/>
        <v>-166598.10000000003</v>
      </c>
      <c r="K165" s="49">
        <v>178520.4</v>
      </c>
      <c r="L165" s="50">
        <v>144711</v>
      </c>
      <c r="M165" s="52">
        <f t="shared" si="41"/>
        <v>33809.399999999994</v>
      </c>
      <c r="N165" s="50">
        <v>0</v>
      </c>
      <c r="O165" s="50">
        <v>0</v>
      </c>
      <c r="P165" s="52">
        <f t="shared" si="42"/>
        <v>0</v>
      </c>
      <c r="Q165" s="48">
        <f t="shared" si="16"/>
        <v>-132788.70000000004</v>
      </c>
      <c r="R165" s="94"/>
    </row>
    <row r="166" spans="1:18" ht="12.75">
      <c r="A166" s="38" t="s">
        <v>67</v>
      </c>
      <c r="B166" s="48">
        <v>1943</v>
      </c>
      <c r="C166" s="49">
        <v>31919</v>
      </c>
      <c r="D166" s="50">
        <v>45023.1</v>
      </c>
      <c r="E166" s="49">
        <f>24949.3+12640.1+36026+290.1</f>
        <v>73905.5</v>
      </c>
      <c r="F166" s="50">
        <f t="shared" si="38"/>
        <v>152790.6</v>
      </c>
      <c r="G166" s="49">
        <f>1230.8+1198.4</f>
        <v>2429.2</v>
      </c>
      <c r="H166" s="83">
        <f t="shared" si="39"/>
        <v>155219.80000000002</v>
      </c>
      <c r="I166" s="55">
        <v>350173.8</v>
      </c>
      <c r="J166" s="82">
        <f t="shared" si="40"/>
        <v>-194953.99999999997</v>
      </c>
      <c r="K166" s="49">
        <v>182809.69999999998</v>
      </c>
      <c r="L166" s="50">
        <v>148879.5</v>
      </c>
      <c r="M166" s="52">
        <f t="shared" si="41"/>
        <v>33930.19999999998</v>
      </c>
      <c r="N166" s="50">
        <v>0</v>
      </c>
      <c r="O166" s="50">
        <v>0</v>
      </c>
      <c r="P166" s="52">
        <f t="shared" si="42"/>
        <v>0</v>
      </c>
      <c r="Q166" s="48">
        <f t="shared" si="16"/>
        <v>-161023.8</v>
      </c>
      <c r="R166" s="94"/>
    </row>
    <row r="167" spans="1:18" ht="12.75">
      <c r="A167" s="38" t="s">
        <v>59</v>
      </c>
      <c r="B167" s="48">
        <v>2026.8</v>
      </c>
      <c r="C167" s="49">
        <v>32304.9</v>
      </c>
      <c r="D167" s="50">
        <v>45607</v>
      </c>
      <c r="E167" s="49">
        <f>23658.1+70049.5+3288.2+56</f>
        <v>97051.8</v>
      </c>
      <c r="F167" s="50">
        <f t="shared" si="38"/>
        <v>176990.5</v>
      </c>
      <c r="G167" s="49">
        <f>1344.5+1198.4</f>
        <v>2542.9</v>
      </c>
      <c r="H167" s="85">
        <f t="shared" si="39"/>
        <v>179533.4</v>
      </c>
      <c r="I167" s="55">
        <v>355049.6</v>
      </c>
      <c r="J167" s="82">
        <f t="shared" si="40"/>
        <v>-175516.19999999998</v>
      </c>
      <c r="K167" s="49">
        <v>157788.59999999998</v>
      </c>
      <c r="L167" s="50">
        <v>151565.2</v>
      </c>
      <c r="M167" s="52">
        <f t="shared" si="41"/>
        <v>6223.399999999965</v>
      </c>
      <c r="N167" s="50">
        <v>0</v>
      </c>
      <c r="O167" s="50">
        <v>0</v>
      </c>
      <c r="P167" s="52">
        <f t="shared" si="42"/>
        <v>0</v>
      </c>
      <c r="Q167" s="48">
        <f t="shared" si="16"/>
        <v>-169292.80000000002</v>
      </c>
      <c r="R167" s="94"/>
    </row>
    <row r="168" spans="1:18" ht="12.75">
      <c r="A168" s="38" t="s">
        <v>60</v>
      </c>
      <c r="B168" s="48">
        <v>1931.6</v>
      </c>
      <c r="C168" s="49">
        <v>32105.5</v>
      </c>
      <c r="D168" s="50">
        <v>45406.4</v>
      </c>
      <c r="E168" s="49">
        <f>28588.9+43471.9+2790.8+91.7</f>
        <v>74943.3</v>
      </c>
      <c r="F168" s="50">
        <f t="shared" si="38"/>
        <v>154386.8</v>
      </c>
      <c r="G168" s="49">
        <f>1127.7+1198.4</f>
        <v>2326.1000000000004</v>
      </c>
      <c r="H168" s="85">
        <f t="shared" si="39"/>
        <v>156712.9</v>
      </c>
      <c r="I168" s="55">
        <v>352456.3</v>
      </c>
      <c r="J168" s="82">
        <f t="shared" si="40"/>
        <v>-195743.4</v>
      </c>
      <c r="K168" s="49">
        <v>155604.4</v>
      </c>
      <c r="L168" s="50">
        <v>155149.9</v>
      </c>
      <c r="M168" s="52">
        <f t="shared" si="41"/>
        <v>454.5</v>
      </c>
      <c r="N168" s="50">
        <v>0</v>
      </c>
      <c r="O168" s="50">
        <v>0</v>
      </c>
      <c r="P168" s="52">
        <f t="shared" si="42"/>
        <v>0</v>
      </c>
      <c r="Q168" s="48">
        <f aca="true" t="shared" si="43" ref="Q168:Q183">SUM(J168,M168,P168)</f>
        <v>-195288.9</v>
      </c>
      <c r="R168" s="94"/>
    </row>
    <row r="169" spans="1:18" ht="12.75">
      <c r="A169" s="38" t="s">
        <v>54</v>
      </c>
      <c r="B169" s="48">
        <v>2102.2</v>
      </c>
      <c r="C169" s="49">
        <v>31971.9</v>
      </c>
      <c r="D169" s="50">
        <v>45217.4</v>
      </c>
      <c r="E169" s="49">
        <f>32572.7+48635.4+2799+210</f>
        <v>84217.1</v>
      </c>
      <c r="F169" s="50">
        <f t="shared" si="38"/>
        <v>163508.6</v>
      </c>
      <c r="G169" s="49">
        <f>1128.4+1198.4</f>
        <v>2326.8</v>
      </c>
      <c r="H169" s="85">
        <f t="shared" si="39"/>
        <v>165835.4</v>
      </c>
      <c r="I169" s="55">
        <v>351838.8</v>
      </c>
      <c r="J169" s="82">
        <f t="shared" si="40"/>
        <v>-186003.4</v>
      </c>
      <c r="K169" s="49">
        <v>163223.69999999998</v>
      </c>
      <c r="L169" s="50">
        <v>143107</v>
      </c>
      <c r="M169" s="52">
        <f t="shared" si="41"/>
        <v>20116.699999999983</v>
      </c>
      <c r="N169" s="50">
        <v>0</v>
      </c>
      <c r="O169" s="50">
        <v>0</v>
      </c>
      <c r="P169" s="52">
        <f t="shared" si="42"/>
        <v>0</v>
      </c>
      <c r="Q169" s="48">
        <f t="shared" si="43"/>
        <v>-165886.7</v>
      </c>
      <c r="R169" s="94"/>
    </row>
    <row r="170" spans="1:18" ht="12.75">
      <c r="A170" s="38" t="s">
        <v>61</v>
      </c>
      <c r="B170" s="48">
        <v>2141.8</v>
      </c>
      <c r="C170" s="49">
        <v>27286.9</v>
      </c>
      <c r="D170" s="50">
        <v>45223.1</v>
      </c>
      <c r="E170" s="49">
        <f>35663.2+32022.2+14939.5+91.4</f>
        <v>82716.29999999999</v>
      </c>
      <c r="F170" s="50">
        <f aca="true" t="shared" si="44" ref="F170:F186">SUM(B170:E170)</f>
        <v>157368.09999999998</v>
      </c>
      <c r="G170" s="49">
        <f>1198.4+1994.8</f>
        <v>3193.2</v>
      </c>
      <c r="H170" s="85">
        <f t="shared" si="39"/>
        <v>160561.3</v>
      </c>
      <c r="I170" s="55">
        <v>346787.6</v>
      </c>
      <c r="J170" s="82">
        <f t="shared" si="40"/>
        <v>-186226.3</v>
      </c>
      <c r="K170" s="49">
        <v>141680.69999999998</v>
      </c>
      <c r="L170" s="50">
        <v>143986.8</v>
      </c>
      <c r="M170" s="52">
        <f t="shared" si="41"/>
        <v>-2306.100000000006</v>
      </c>
      <c r="N170" s="50">
        <v>0</v>
      </c>
      <c r="O170" s="50">
        <v>0</v>
      </c>
      <c r="P170" s="52">
        <f t="shared" si="42"/>
        <v>0</v>
      </c>
      <c r="Q170" s="48">
        <f t="shared" si="43"/>
        <v>-188532.4</v>
      </c>
      <c r="R170" s="94"/>
    </row>
    <row r="171" spans="1:18" ht="12.75">
      <c r="A171" s="38" t="s">
        <v>62</v>
      </c>
      <c r="B171" s="48">
        <v>2116.3</v>
      </c>
      <c r="C171" s="49">
        <v>19545.4</v>
      </c>
      <c r="D171" s="50">
        <v>45620</v>
      </c>
      <c r="E171" s="49">
        <f>37787+32733.6+7542.9+58.4</f>
        <v>78121.9</v>
      </c>
      <c r="F171" s="50">
        <f t="shared" si="44"/>
        <v>145403.59999999998</v>
      </c>
      <c r="G171" s="49">
        <f>1198.4+1199.7</f>
        <v>2398.1000000000004</v>
      </c>
      <c r="H171" s="85">
        <f t="shared" si="39"/>
        <v>147801.69999999998</v>
      </c>
      <c r="I171" s="55">
        <v>340352.3</v>
      </c>
      <c r="J171" s="82">
        <f t="shared" si="40"/>
        <v>-192550.6</v>
      </c>
      <c r="K171" s="49">
        <v>127492.8</v>
      </c>
      <c r="L171" s="50">
        <v>137165.5</v>
      </c>
      <c r="M171" s="52">
        <f t="shared" si="41"/>
        <v>-9672.699999999997</v>
      </c>
      <c r="N171" s="50">
        <v>0</v>
      </c>
      <c r="O171" s="50">
        <v>0</v>
      </c>
      <c r="P171" s="52">
        <f t="shared" si="42"/>
        <v>0</v>
      </c>
      <c r="Q171" s="48">
        <f t="shared" si="43"/>
        <v>-202223.3</v>
      </c>
      <c r="R171" s="94"/>
    </row>
    <row r="172" spans="1:18" ht="12.75">
      <c r="A172" s="38" t="s">
        <v>55</v>
      </c>
      <c r="B172" s="48">
        <v>2139.2</v>
      </c>
      <c r="C172" s="49">
        <v>16443.5</v>
      </c>
      <c r="D172" s="50">
        <v>45578.3</v>
      </c>
      <c r="E172" s="49">
        <f>45022.7+37687.8+5899.2+58.7</f>
        <v>88668.4</v>
      </c>
      <c r="F172" s="50">
        <f t="shared" si="44"/>
        <v>152829.4</v>
      </c>
      <c r="G172" s="49">
        <f>1198.4+3365.7</f>
        <v>4564.1</v>
      </c>
      <c r="H172" s="85">
        <f t="shared" si="39"/>
        <v>157393.5</v>
      </c>
      <c r="I172" s="55">
        <v>338994.5</v>
      </c>
      <c r="J172" s="82">
        <f t="shared" si="40"/>
        <v>-181601</v>
      </c>
      <c r="K172" s="49">
        <v>129120.3</v>
      </c>
      <c r="L172" s="50">
        <v>139965.1</v>
      </c>
      <c r="M172" s="52">
        <f t="shared" si="41"/>
        <v>-10844.800000000003</v>
      </c>
      <c r="N172" s="50">
        <v>0</v>
      </c>
      <c r="O172" s="50">
        <v>0</v>
      </c>
      <c r="P172" s="52">
        <f t="shared" si="42"/>
        <v>0</v>
      </c>
      <c r="Q172" s="48">
        <f t="shared" si="43"/>
        <v>-192445.8</v>
      </c>
      <c r="R172" s="94"/>
    </row>
    <row r="173" spans="1:18" ht="12.75">
      <c r="A173" s="38" t="s">
        <v>63</v>
      </c>
      <c r="B173" s="48">
        <v>2069.5</v>
      </c>
      <c r="C173" s="49">
        <v>16216.6</v>
      </c>
      <c r="D173" s="50">
        <v>45461.7</v>
      </c>
      <c r="E173" s="49">
        <f>49545.6+32854.7+2563.2+74.2</f>
        <v>85037.69999999998</v>
      </c>
      <c r="F173" s="50">
        <f t="shared" si="44"/>
        <v>148785.49999999997</v>
      </c>
      <c r="G173" s="49">
        <f>4487.8+1198.4</f>
        <v>5686.200000000001</v>
      </c>
      <c r="H173" s="85">
        <f t="shared" si="39"/>
        <v>154471.69999999998</v>
      </c>
      <c r="I173" s="55">
        <v>336106.5</v>
      </c>
      <c r="J173" s="82">
        <f t="shared" si="40"/>
        <v>-181634.80000000002</v>
      </c>
      <c r="K173" s="49">
        <v>127832.20000000001</v>
      </c>
      <c r="L173" s="50">
        <v>142544.6</v>
      </c>
      <c r="M173" s="52">
        <f t="shared" si="41"/>
        <v>-14712.399999999994</v>
      </c>
      <c r="N173" s="50">
        <v>0</v>
      </c>
      <c r="O173" s="50">
        <v>0</v>
      </c>
      <c r="P173" s="52">
        <f t="shared" si="42"/>
        <v>0</v>
      </c>
      <c r="Q173" s="48">
        <f t="shared" si="43"/>
        <v>-196347.2</v>
      </c>
      <c r="R173" s="94"/>
    </row>
    <row r="174" spans="1:18" ht="12.75">
      <c r="A174" s="38" t="s">
        <v>64</v>
      </c>
      <c r="B174" s="48">
        <v>1959.7</v>
      </c>
      <c r="C174" s="49">
        <v>19424</v>
      </c>
      <c r="D174" s="50">
        <v>44934.8</v>
      </c>
      <c r="E174" s="49">
        <f>45102.2+30130.8+890.7+8587.8</f>
        <v>84711.5</v>
      </c>
      <c r="F174" s="50">
        <f t="shared" si="44"/>
        <v>151030</v>
      </c>
      <c r="G174" s="49">
        <f>4239.4+1198.4</f>
        <v>5437.799999999999</v>
      </c>
      <c r="H174" s="85">
        <f t="shared" si="39"/>
        <v>156467.8</v>
      </c>
      <c r="I174" s="55">
        <v>330545.8</v>
      </c>
      <c r="J174" s="82">
        <f t="shared" si="40"/>
        <v>-174078</v>
      </c>
      <c r="K174" s="49">
        <v>143745.9</v>
      </c>
      <c r="L174" s="50">
        <v>150685.4</v>
      </c>
      <c r="M174" s="52">
        <f t="shared" si="41"/>
        <v>-6939.5</v>
      </c>
      <c r="N174" s="50">
        <v>0</v>
      </c>
      <c r="O174" s="50">
        <v>0</v>
      </c>
      <c r="P174" s="52">
        <f t="shared" si="42"/>
        <v>0</v>
      </c>
      <c r="Q174" s="48">
        <f t="shared" si="43"/>
        <v>-181017.5</v>
      </c>
      <c r="R174" s="94"/>
    </row>
    <row r="175" spans="1:18" ht="12.75">
      <c r="A175" s="38" t="s">
        <v>56</v>
      </c>
      <c r="B175" s="48">
        <v>1893.1</v>
      </c>
      <c r="C175" s="49">
        <v>19330.2</v>
      </c>
      <c r="D175" s="50">
        <v>44971.7</v>
      </c>
      <c r="E175" s="49">
        <f>54356.4+39503.8+894.5+61.3</f>
        <v>94816.00000000001</v>
      </c>
      <c r="F175" s="50">
        <f t="shared" si="44"/>
        <v>161011</v>
      </c>
      <c r="G175" s="49">
        <f>4225.3+1198.4</f>
        <v>5423.700000000001</v>
      </c>
      <c r="H175" s="85">
        <f t="shared" si="39"/>
        <v>166434.7</v>
      </c>
      <c r="I175" s="55">
        <v>328508.5</v>
      </c>
      <c r="J175" s="82">
        <f t="shared" si="40"/>
        <v>-162073.8</v>
      </c>
      <c r="K175" s="49">
        <v>125486.1</v>
      </c>
      <c r="L175" s="50">
        <v>139935.4</v>
      </c>
      <c r="M175" s="52">
        <f t="shared" si="41"/>
        <v>-14449.299999999988</v>
      </c>
      <c r="N175" s="50">
        <v>0</v>
      </c>
      <c r="O175" s="50">
        <v>0</v>
      </c>
      <c r="P175" s="52">
        <f t="shared" si="42"/>
        <v>0</v>
      </c>
      <c r="Q175" s="48">
        <f t="shared" si="43"/>
        <v>-176523.09999999998</v>
      </c>
      <c r="R175" s="94"/>
    </row>
    <row r="176" spans="1:17" ht="12.75">
      <c r="A176" s="38"/>
      <c r="B176" s="48"/>
      <c r="C176" s="49"/>
      <c r="D176" s="50"/>
      <c r="E176" s="49"/>
      <c r="F176" s="50"/>
      <c r="G176" s="49"/>
      <c r="H176" s="85"/>
      <c r="I176" s="55"/>
      <c r="J176" s="82"/>
      <c r="K176" s="49"/>
      <c r="L176" s="50"/>
      <c r="M176" s="52"/>
      <c r="N176" s="50"/>
      <c r="O176" s="50"/>
      <c r="P176" s="52"/>
      <c r="Q176" s="48"/>
    </row>
    <row r="177" spans="1:18" ht="12.75">
      <c r="A177" s="38" t="s">
        <v>89</v>
      </c>
      <c r="B177" s="48">
        <v>1967.6</v>
      </c>
      <c r="C177" s="49">
        <v>13405</v>
      </c>
      <c r="D177" s="50">
        <v>45512.9</v>
      </c>
      <c r="E177" s="49">
        <f>62.1+63385+48295.4+1548.3</f>
        <v>113290.8</v>
      </c>
      <c r="F177" s="50">
        <f t="shared" si="44"/>
        <v>174176.3</v>
      </c>
      <c r="G177" s="49">
        <f>15679.6+1198.4</f>
        <v>16878</v>
      </c>
      <c r="H177" s="85">
        <f t="shared" si="39"/>
        <v>191054.3</v>
      </c>
      <c r="I177" s="55">
        <v>331895</v>
      </c>
      <c r="J177" s="82">
        <f t="shared" si="40"/>
        <v>-140840.7</v>
      </c>
      <c r="K177" s="49">
        <v>119719.5</v>
      </c>
      <c r="L177" s="50">
        <v>145736.8</v>
      </c>
      <c r="M177" s="52">
        <f aca="true" t="shared" si="45" ref="M177:M188">K177-L177</f>
        <v>-26017.29999999999</v>
      </c>
      <c r="N177" s="50">
        <v>0</v>
      </c>
      <c r="O177" s="50">
        <v>0</v>
      </c>
      <c r="P177" s="52">
        <f aca="true" t="shared" si="46" ref="P177:P182">N177-O177</f>
        <v>0</v>
      </c>
      <c r="Q177" s="48">
        <f t="shared" si="43"/>
        <v>-166858</v>
      </c>
      <c r="R177" s="94"/>
    </row>
    <row r="178" spans="1:18" ht="12.75">
      <c r="A178" s="38" t="s">
        <v>90</v>
      </c>
      <c r="B178" s="48">
        <v>2060.8</v>
      </c>
      <c r="C178" s="49">
        <v>10280.3</v>
      </c>
      <c r="D178" s="50">
        <v>45495</v>
      </c>
      <c r="E178" s="49">
        <f>71452.6+65396.4+62.2</f>
        <v>136911.2</v>
      </c>
      <c r="F178" s="50">
        <f t="shared" si="44"/>
        <v>194747.30000000002</v>
      </c>
      <c r="G178" s="49">
        <f>19349.9+1198.4</f>
        <v>20548.300000000003</v>
      </c>
      <c r="H178" s="85">
        <f t="shared" si="39"/>
        <v>215295.60000000003</v>
      </c>
      <c r="I178" s="55">
        <v>331462.6</v>
      </c>
      <c r="J178" s="82">
        <f t="shared" si="40"/>
        <v>-116166.99999999994</v>
      </c>
      <c r="K178" s="49">
        <v>121679.2</v>
      </c>
      <c r="L178" s="50">
        <v>151954.3</v>
      </c>
      <c r="M178" s="52">
        <f t="shared" si="45"/>
        <v>-30275.09999999999</v>
      </c>
      <c r="N178" s="50">
        <v>0</v>
      </c>
      <c r="O178" s="50">
        <v>0</v>
      </c>
      <c r="P178" s="52">
        <f t="shared" si="46"/>
        <v>0</v>
      </c>
      <c r="Q178" s="48">
        <f t="shared" si="43"/>
        <v>-146442.09999999992</v>
      </c>
      <c r="R178" s="94"/>
    </row>
    <row r="179" spans="1:18" ht="12.75">
      <c r="A179" s="38" t="s">
        <v>92</v>
      </c>
      <c r="B179" s="48">
        <v>2063.9</v>
      </c>
      <c r="C179" s="49">
        <v>5656.1</v>
      </c>
      <c r="D179" s="50">
        <v>45880.6</v>
      </c>
      <c r="E179" s="49">
        <f>81375.9+39500.4+241.7</f>
        <v>121117.99999999999</v>
      </c>
      <c r="F179" s="50">
        <f t="shared" si="44"/>
        <v>174718.59999999998</v>
      </c>
      <c r="G179" s="49">
        <f>18875.3+1198.4</f>
        <v>20073.7</v>
      </c>
      <c r="H179" s="85">
        <f t="shared" si="39"/>
        <v>194792.3</v>
      </c>
      <c r="I179" s="55">
        <v>327928.2</v>
      </c>
      <c r="J179" s="82">
        <f t="shared" si="40"/>
        <v>-133135.90000000002</v>
      </c>
      <c r="K179" s="49">
        <v>118563.4</v>
      </c>
      <c r="L179" s="50">
        <v>150057.7</v>
      </c>
      <c r="M179" s="52">
        <f t="shared" si="45"/>
        <v>-31494.300000000017</v>
      </c>
      <c r="N179" s="50">
        <v>0</v>
      </c>
      <c r="O179" s="50">
        <v>0</v>
      </c>
      <c r="P179" s="52">
        <f t="shared" si="46"/>
        <v>0</v>
      </c>
      <c r="Q179" s="48">
        <f t="shared" si="43"/>
        <v>-164630.20000000004</v>
      </c>
      <c r="R179" s="94"/>
    </row>
    <row r="180" spans="1:18" ht="12.75">
      <c r="A180" s="38" t="s">
        <v>98</v>
      </c>
      <c r="B180" s="48">
        <v>2095.7</v>
      </c>
      <c r="C180" s="49">
        <v>5736.2</v>
      </c>
      <c r="D180" s="50">
        <v>46524.3</v>
      </c>
      <c r="E180" s="49">
        <f>253.5+70101.8+45002</f>
        <v>115357.3</v>
      </c>
      <c r="F180" s="50">
        <f t="shared" si="44"/>
        <v>169713.5</v>
      </c>
      <c r="G180" s="49">
        <f>19201.8+1198.4</f>
        <v>20400.2</v>
      </c>
      <c r="H180" s="85">
        <f t="shared" si="39"/>
        <v>190113.7</v>
      </c>
      <c r="I180" s="55">
        <v>330300.9</v>
      </c>
      <c r="J180" s="82">
        <f t="shared" si="40"/>
        <v>-140187.2</v>
      </c>
      <c r="K180" s="49">
        <f>129349.7+96.8+65</f>
        <v>129511.5</v>
      </c>
      <c r="L180" s="50">
        <v>152411.8</v>
      </c>
      <c r="M180" s="52">
        <f t="shared" si="45"/>
        <v>-22900.29999999999</v>
      </c>
      <c r="N180" s="50">
        <v>0</v>
      </c>
      <c r="O180" s="50">
        <v>0</v>
      </c>
      <c r="P180" s="52">
        <f t="shared" si="46"/>
        <v>0</v>
      </c>
      <c r="Q180" s="48">
        <f t="shared" si="43"/>
        <v>-163087.5</v>
      </c>
      <c r="R180" s="86"/>
    </row>
    <row r="181" spans="1:18" ht="12.75">
      <c r="A181" s="38" t="s">
        <v>100</v>
      </c>
      <c r="B181" s="48">
        <v>2096.7</v>
      </c>
      <c r="C181" s="49">
        <v>10425.4</v>
      </c>
      <c r="D181" s="50">
        <v>47146.2</v>
      </c>
      <c r="E181" s="49">
        <f>51075+102171.3+297.8</f>
        <v>153544.09999999998</v>
      </c>
      <c r="F181" s="50">
        <f t="shared" si="44"/>
        <v>213212.39999999997</v>
      </c>
      <c r="G181" s="49">
        <f>19710.6+1198.4</f>
        <v>20909</v>
      </c>
      <c r="H181" s="85">
        <f t="shared" si="39"/>
        <v>234121.39999999997</v>
      </c>
      <c r="I181" s="55">
        <v>338545.9</v>
      </c>
      <c r="J181" s="82">
        <f t="shared" si="40"/>
        <v>-104424.50000000006</v>
      </c>
      <c r="K181" s="49">
        <f>151278.7+96.8+55.5</f>
        <v>151431</v>
      </c>
      <c r="L181" s="50">
        <v>160420.2</v>
      </c>
      <c r="M181" s="52">
        <f t="shared" si="45"/>
        <v>-8989.200000000012</v>
      </c>
      <c r="N181" s="50">
        <v>0</v>
      </c>
      <c r="O181" s="50">
        <v>0</v>
      </c>
      <c r="P181" s="52">
        <f t="shared" si="46"/>
        <v>0</v>
      </c>
      <c r="Q181" s="48">
        <f t="shared" si="43"/>
        <v>-113413.70000000007</v>
      </c>
      <c r="R181" s="86"/>
    </row>
    <row r="182" spans="1:18" ht="12.75">
      <c r="A182" s="38" t="s">
        <v>95</v>
      </c>
      <c r="B182" s="48">
        <v>2081.1</v>
      </c>
      <c r="C182" s="49">
        <v>10543.6</v>
      </c>
      <c r="D182" s="50">
        <v>48011.2</v>
      </c>
      <c r="E182" s="49">
        <f>59073.4+59595.6+153.7</f>
        <v>118822.7</v>
      </c>
      <c r="F182" s="50">
        <f t="shared" si="44"/>
        <v>179458.59999999998</v>
      </c>
      <c r="G182" s="49">
        <f>20170.6+1198.4</f>
        <v>21369</v>
      </c>
      <c r="H182" s="85">
        <f t="shared" si="39"/>
        <v>200827.59999999998</v>
      </c>
      <c r="I182" s="55">
        <v>341304.6</v>
      </c>
      <c r="J182" s="82">
        <f t="shared" si="40"/>
        <v>-140477</v>
      </c>
      <c r="K182" s="49">
        <f>153758.6+96.8+53.2</f>
        <v>153908.6</v>
      </c>
      <c r="L182" s="50">
        <v>166549</v>
      </c>
      <c r="M182" s="52">
        <f t="shared" si="45"/>
        <v>-12640.399999999994</v>
      </c>
      <c r="N182" s="50">
        <v>0</v>
      </c>
      <c r="O182" s="50">
        <v>0</v>
      </c>
      <c r="P182" s="52">
        <f t="shared" si="46"/>
        <v>0</v>
      </c>
      <c r="Q182" s="48">
        <f t="shared" si="43"/>
        <v>-153117.4</v>
      </c>
      <c r="R182" s="86"/>
    </row>
    <row r="183" spans="1:18" ht="12.75">
      <c r="A183" s="38" t="s">
        <v>103</v>
      </c>
      <c r="B183" s="48">
        <v>2127.7</v>
      </c>
      <c r="C183" s="49">
        <v>2907.1</v>
      </c>
      <c r="D183" s="50">
        <v>48725.7</v>
      </c>
      <c r="E183" s="49">
        <f>37768.8+62356+128.6</f>
        <v>100253.40000000001</v>
      </c>
      <c r="F183" s="50">
        <f t="shared" si="44"/>
        <v>154013.90000000002</v>
      </c>
      <c r="G183" s="49">
        <f>23056.2+1198.4</f>
        <v>24254.600000000002</v>
      </c>
      <c r="H183" s="85">
        <f t="shared" si="39"/>
        <v>178268.50000000003</v>
      </c>
      <c r="I183" s="55">
        <v>343809.9</v>
      </c>
      <c r="J183" s="82">
        <f t="shared" si="40"/>
        <v>-165541.4</v>
      </c>
      <c r="K183" s="49">
        <f>174493.4+96.8+45.7</f>
        <v>174635.9</v>
      </c>
      <c r="L183" s="50">
        <v>164117.6</v>
      </c>
      <c r="M183" s="52">
        <f t="shared" si="45"/>
        <v>10518.299999999988</v>
      </c>
      <c r="N183" s="50">
        <v>0</v>
      </c>
      <c r="O183" s="50">
        <v>0</v>
      </c>
      <c r="P183" s="52">
        <f aca="true" t="shared" si="47" ref="P183:P188">N183-O183</f>
        <v>0</v>
      </c>
      <c r="Q183" s="48">
        <f t="shared" si="43"/>
        <v>-155023.1</v>
      </c>
      <c r="R183" s="86"/>
    </row>
    <row r="184" spans="1:18" ht="12.75">
      <c r="A184" s="38" t="s">
        <v>105</v>
      </c>
      <c r="B184" s="48">
        <v>2195.7</v>
      </c>
      <c r="C184" s="49">
        <v>3791.4</v>
      </c>
      <c r="D184" s="50">
        <v>49369.7</v>
      </c>
      <c r="E184" s="49">
        <f>45775.6+76548.4+140.6</f>
        <v>122464.6</v>
      </c>
      <c r="F184" s="50">
        <f t="shared" si="44"/>
        <v>177821.4</v>
      </c>
      <c r="G184" s="49">
        <f>22852+1198.4</f>
        <v>24050.4</v>
      </c>
      <c r="H184" s="85">
        <f t="shared" si="39"/>
        <v>201871.8</v>
      </c>
      <c r="I184" s="55">
        <v>343249.1</v>
      </c>
      <c r="J184" s="82">
        <f t="shared" si="40"/>
        <v>-141377.3</v>
      </c>
      <c r="K184" s="49">
        <f>138113.1+96.8+50.1</f>
        <v>138260</v>
      </c>
      <c r="L184" s="50">
        <v>174781.7</v>
      </c>
      <c r="M184" s="52">
        <f t="shared" si="45"/>
        <v>-36521.70000000001</v>
      </c>
      <c r="N184" s="50">
        <v>0</v>
      </c>
      <c r="O184" s="50">
        <v>0</v>
      </c>
      <c r="P184" s="52">
        <f t="shared" si="47"/>
        <v>0</v>
      </c>
      <c r="Q184" s="48">
        <f>SUM(J184,M184,P184)</f>
        <v>-177899</v>
      </c>
      <c r="R184" s="86"/>
    </row>
    <row r="185" spans="1:18" ht="12.75">
      <c r="A185" s="38" t="s">
        <v>96</v>
      </c>
      <c r="B185" s="48">
        <v>2173.5</v>
      </c>
      <c r="C185" s="49">
        <v>2158.1</v>
      </c>
      <c r="D185" s="50">
        <v>49331.9</v>
      </c>
      <c r="E185" s="49">
        <f>47310.5+73613+138.3</f>
        <v>121061.8</v>
      </c>
      <c r="F185" s="50">
        <f t="shared" si="44"/>
        <v>174725.3</v>
      </c>
      <c r="G185" s="49">
        <f>22804.7+1198.4</f>
        <v>24003.100000000002</v>
      </c>
      <c r="H185" s="85">
        <f t="shared" si="39"/>
        <v>198728.4</v>
      </c>
      <c r="I185" s="55">
        <v>332752.2</v>
      </c>
      <c r="J185" s="82">
        <f t="shared" si="40"/>
        <v>-134023.80000000002</v>
      </c>
      <c r="K185" s="49">
        <f>47.5+96.8+141625.7</f>
        <v>141770</v>
      </c>
      <c r="L185" s="50">
        <v>184125.7</v>
      </c>
      <c r="M185" s="52">
        <f t="shared" si="45"/>
        <v>-42355.70000000001</v>
      </c>
      <c r="N185" s="50">
        <v>0</v>
      </c>
      <c r="O185" s="50">
        <v>0</v>
      </c>
      <c r="P185" s="52">
        <f t="shared" si="47"/>
        <v>0</v>
      </c>
      <c r="Q185" s="48">
        <f>SUM(J185,M185,P185)</f>
        <v>-176379.50000000003</v>
      </c>
      <c r="R185" s="86"/>
    </row>
    <row r="186" spans="1:18" ht="12.75">
      <c r="A186" s="38" t="s">
        <v>108</v>
      </c>
      <c r="B186" s="48">
        <v>2168.2</v>
      </c>
      <c r="C186" s="49">
        <v>2152.9</v>
      </c>
      <c r="D186" s="50">
        <v>49317.5</v>
      </c>
      <c r="E186" s="49">
        <f>47355+99238.5+131.1</f>
        <v>146724.6</v>
      </c>
      <c r="F186" s="50">
        <f t="shared" si="44"/>
        <v>200363.2</v>
      </c>
      <c r="G186" s="49">
        <f>10960.7+1198.4</f>
        <v>12159.1</v>
      </c>
      <c r="H186" s="85">
        <f t="shared" si="39"/>
        <v>212522.30000000002</v>
      </c>
      <c r="I186" s="55">
        <v>338942.8</v>
      </c>
      <c r="J186" s="82">
        <f t="shared" si="40"/>
        <v>-126420.49999999997</v>
      </c>
      <c r="K186" s="49">
        <f>177610.9+96.8+41</f>
        <v>177748.69999999998</v>
      </c>
      <c r="L186" s="50">
        <v>165526.4</v>
      </c>
      <c r="M186" s="52">
        <f t="shared" si="45"/>
        <v>12222.299999999988</v>
      </c>
      <c r="N186" s="50">
        <v>0</v>
      </c>
      <c r="O186" s="50">
        <v>0</v>
      </c>
      <c r="P186" s="52">
        <f t="shared" si="47"/>
        <v>0</v>
      </c>
      <c r="Q186" s="48">
        <f>SUM(J186,M186,P186)</f>
        <v>-114198.19999999998</v>
      </c>
      <c r="R186" s="86"/>
    </row>
    <row r="187" spans="1:18" ht="12.75">
      <c r="A187" s="38" t="s">
        <v>110</v>
      </c>
      <c r="B187" s="48">
        <v>2187.3</v>
      </c>
      <c r="C187" s="49">
        <v>1975.4</v>
      </c>
      <c r="D187" s="50">
        <v>49983.4</v>
      </c>
      <c r="E187" s="49">
        <f>28063.7+97121.9+200.6</f>
        <v>125386.2</v>
      </c>
      <c r="F187" s="50">
        <f>SUM(B187:E187)</f>
        <v>179532.3</v>
      </c>
      <c r="G187" s="49">
        <f>10590.4+1198.4</f>
        <v>11788.8</v>
      </c>
      <c r="H187" s="85">
        <f t="shared" si="39"/>
        <v>191321.09999999998</v>
      </c>
      <c r="I187" s="55">
        <v>336478.4</v>
      </c>
      <c r="J187" s="82">
        <f t="shared" si="40"/>
        <v>-145157.30000000005</v>
      </c>
      <c r="K187" s="49">
        <f>160127.4+96.8+44.5</f>
        <v>160268.69999999998</v>
      </c>
      <c r="L187" s="50">
        <v>159454.7</v>
      </c>
      <c r="M187" s="52">
        <f t="shared" si="45"/>
        <v>813.9999999999709</v>
      </c>
      <c r="N187" s="50">
        <v>0</v>
      </c>
      <c r="O187" s="50">
        <v>0</v>
      </c>
      <c r="P187" s="52">
        <f t="shared" si="47"/>
        <v>0</v>
      </c>
      <c r="Q187" s="48">
        <f>SUM(J187,M187,P187)</f>
        <v>-144343.30000000008</v>
      </c>
      <c r="R187" s="86"/>
    </row>
    <row r="188" spans="1:18" ht="12.75">
      <c r="A188" s="38" t="s">
        <v>97</v>
      </c>
      <c r="B188" s="48">
        <v>2211.8</v>
      </c>
      <c r="C188" s="49">
        <v>1985.6</v>
      </c>
      <c r="D188" s="50">
        <v>50235.6</v>
      </c>
      <c r="E188" s="49">
        <f>15509.5+102648+14339.9</f>
        <v>132497.4</v>
      </c>
      <c r="F188" s="50">
        <f>SUM(B188:E188)</f>
        <v>186930.4</v>
      </c>
      <c r="G188" s="49">
        <f>11261+1198.4</f>
        <v>12459.4</v>
      </c>
      <c r="H188" s="85">
        <f t="shared" si="39"/>
        <v>199389.8</v>
      </c>
      <c r="I188" s="55">
        <v>338555.6</v>
      </c>
      <c r="J188" s="82">
        <f t="shared" si="40"/>
        <v>-139165.8</v>
      </c>
      <c r="K188" s="49">
        <f>146007.1+96.8+29.1</f>
        <v>146133</v>
      </c>
      <c r="L188" s="50">
        <v>156052.6</v>
      </c>
      <c r="M188" s="52">
        <f t="shared" si="45"/>
        <v>-9919.600000000006</v>
      </c>
      <c r="N188" s="50">
        <v>0</v>
      </c>
      <c r="O188" s="50">
        <v>0</v>
      </c>
      <c r="P188" s="52">
        <f t="shared" si="47"/>
        <v>0</v>
      </c>
      <c r="Q188" s="48">
        <f>SUM(J188,M188,P188)</f>
        <v>-149085.4</v>
      </c>
      <c r="R188" s="86"/>
    </row>
    <row r="189" spans="1:17" ht="12.75">
      <c r="A189" s="38"/>
      <c r="B189" s="57"/>
      <c r="C189" s="58"/>
      <c r="D189" s="59"/>
      <c r="E189" s="58"/>
      <c r="F189" s="59"/>
      <c r="G189" s="58"/>
      <c r="H189" s="59"/>
      <c r="I189" s="60"/>
      <c r="J189" s="59"/>
      <c r="K189" s="58"/>
      <c r="L189" s="59"/>
      <c r="M189" s="61"/>
      <c r="N189" s="58"/>
      <c r="O189" s="59"/>
      <c r="P189" s="61"/>
      <c r="Q189" s="57"/>
    </row>
    <row r="190" spans="1:17" ht="12.75">
      <c r="A190" s="79"/>
      <c r="B190" s="30"/>
      <c r="C190" s="30"/>
      <c r="D190" s="30"/>
      <c r="E190" s="30"/>
      <c r="F190" s="30"/>
      <c r="G190" s="30"/>
      <c r="H190" s="30"/>
      <c r="I190" s="80"/>
      <c r="J190" s="30"/>
      <c r="K190" s="30"/>
      <c r="L190" s="30"/>
      <c r="M190" s="81"/>
      <c r="N190" s="30"/>
      <c r="O190" s="30"/>
      <c r="P190" s="81"/>
      <c r="Q190" s="31"/>
    </row>
    <row r="191" spans="1:17" ht="12.75">
      <c r="A191" s="87" t="s">
        <v>107</v>
      </c>
      <c r="B191" s="13"/>
      <c r="C191" s="13"/>
      <c r="D191" s="13"/>
      <c r="E191" s="13"/>
      <c r="F191" s="13"/>
      <c r="G191" s="13"/>
      <c r="H191" s="13"/>
      <c r="I191" s="14"/>
      <c r="J191" s="13"/>
      <c r="K191" s="13"/>
      <c r="L191" s="13"/>
      <c r="M191" s="15"/>
      <c r="N191" s="13"/>
      <c r="O191" s="13"/>
      <c r="P191" s="15"/>
      <c r="Q191" s="16"/>
    </row>
  </sheetData>
  <sheetProtection/>
  <mergeCells count="6">
    <mergeCell ref="K7:M7"/>
    <mergeCell ref="A3:Q3"/>
    <mergeCell ref="A4:Q4"/>
    <mergeCell ref="B12:F12"/>
    <mergeCell ref="B7:J7"/>
    <mergeCell ref="N7:P7"/>
  </mergeCells>
  <printOptions horizontalCentered="1" verticalCentered="1"/>
  <pageMargins left="0.4724409448818898" right="0.3937007874015748" top="0.5118110236220472" bottom="0.5118110236220472" header="0.5118110236220472" footer="0.5118110236220472"/>
  <pageSetup orientation="landscape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MPAWENAYO Jean Claude</cp:lastModifiedBy>
  <cp:lastPrinted>2017-07-11T06:03:58Z</cp:lastPrinted>
  <dcterms:created xsi:type="dcterms:W3CDTF">2000-07-13T07:49:13Z</dcterms:created>
  <dcterms:modified xsi:type="dcterms:W3CDTF">2018-02-21T07:09:35Z</dcterms:modified>
  <cp:category/>
  <cp:version/>
  <cp:contentType/>
  <cp:contentStatus/>
</cp:coreProperties>
</file>