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880" activeTab="0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<sst xmlns="http://schemas.openxmlformats.org/spreadsheetml/2006/main" count="115" uniqueCount="58">
  <si>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</si>
  <si>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</si>
  <si>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</si>
  <si>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</si>
  <si>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</si>
  <si>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</si>
  <si>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</si>
  <si>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</si>
  <si>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</si>
  <si>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</si>
  <si>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</si>
  <si>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</si>
  <si>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</si>
  <si>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</si>
  <si>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</si>
  <si>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</si>
  <si>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</si>
  <si>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</si>
  <si>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</si>
  <si>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</si>
  <si>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</si>
  <si>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</si>
  <si>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</si>
  <si>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</si>
  <si>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</si>
  <si>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</si>
  <si>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</si>
  <si>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</si>
  <si>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</si>
  <si>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</si>
  <si>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</si>
  <si>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</si>
  <si>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</si>
  <si>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</si>
  <si>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</si>
  <si>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</si>
  <si>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</si>
  <si>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</si>
  <si>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</si>
  <si>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</si>
  <si>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</si>
  <si>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</si>
  <si>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</si>
  <si>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</si>
  <si>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</si>
  <si>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</si>
  <si>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</si>
  <si>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</si>
  <si>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</si>
  <si>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</si>
  <si>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</si>
  <si>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</si>
  <si>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II.13</t>
  </si>
  <si>
    <t>2018</t>
  </si>
  <si>
    <t>2019</t>
  </si>
  <si>
    <t>2020</t>
  </si>
  <si>
    <t>2021</t>
  </si>
  <si>
    <t>Q3-2022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</si>
</sst>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_-* #,##0.00\ _F_-;\-* #,##0.00\ _F_-;_-* &quot;-&quot;??\ _F_-;_-@_-"/>
    <numFmt numFmtId="181" formatCode="#,##0.0_);\(#,##0.0\)"/>
    <numFmt numFmtId="182" formatCode="#,##0.0"/>
    <numFmt numFmtId="183" formatCode="#,##0.0;[Red]#,##0.0"/>
    <numFmt numFmtId="184" formatCode="[$-40C]mmmm\-yy;@"/>
    <numFmt numFmtId="185" formatCode="[$-409]dd\-mmm\-yy;@"/>
    <numFmt numFmtId="186" formatCode="[$-409]mmm\-yy;@"/>
    <numFmt numFmtId="187" formatCode="0.0_)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[$-409]mmmm\-yy;@"/>
    <numFmt numFmtId="192" formatCode="mmm\-yyyy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62">
    <xf numFmtId="181" fontId="0" fillId="0" borderId="0" xfId="0" applyAlignment="1">
      <alignment/>
    </xf>
    <xf numFmtId="181" fontId="25" fillId="0" borderId="0" xfId="0" applyNumberFormat="1" applyFont="1" applyBorder="1" applyAlignment="1" applyProtection="1">
      <alignment/>
      <protection/>
    </xf>
    <xf numFmtId="181" fontId="26" fillId="0" borderId="0" xfId="0" applyFont="1" applyBorder="1" applyAlignment="1">
      <alignment/>
    </xf>
    <xf numFmtId="181" fontId="26" fillId="0" borderId="0" xfId="0" applyNumberFormat="1" applyFont="1" applyBorder="1" applyAlignment="1" applyProtection="1">
      <alignment/>
      <protection/>
    </xf>
    <xf numFmtId="182" fontId="26" fillId="0" borderId="0" xfId="0" applyNumberFormat="1" applyFont="1" applyBorder="1" applyAlignment="1">
      <alignment/>
    </xf>
    <xf numFmtId="181" fontId="26" fillId="0" borderId="0" xfId="0" applyFont="1" applyFill="1" applyBorder="1" applyAlignment="1">
      <alignment/>
    </xf>
    <xf numFmtId="181" fontId="3" fillId="0" borderId="0" xfId="0" applyNumberFormat="1" applyFont="1" applyBorder="1" applyAlignment="1" applyProtection="1">
      <alignment horizontal="center"/>
      <protection/>
    </xf>
    <xf numFmtId="181" fontId="58" fillId="0" borderId="0" xfId="0" applyFont="1" applyAlignment="1">
      <alignment/>
    </xf>
    <xf numFmtId="181" fontId="59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58" fillId="6" borderId="11" xfId="0" applyFont="1" applyFill="1" applyBorder="1" applyAlignment="1">
      <alignment/>
    </xf>
    <xf numFmtId="185" fontId="58" fillId="0" borderId="0" xfId="0" applyNumberFormat="1" applyFont="1" applyAlignment="1">
      <alignment horizontal="left"/>
    </xf>
    <xf numFmtId="0" fontId="46" fillId="0" borderId="0" xfId="44" applyAlignment="1" applyProtection="1">
      <alignment/>
      <protection/>
    </xf>
    <xf numFmtId="181" fontId="46" fillId="0" borderId="12" xfId="44" applyNumberFormat="1" applyBorder="1" applyAlignment="1" applyProtection="1">
      <alignment/>
      <protection/>
    </xf>
    <xf numFmtId="181" fontId="29" fillId="0" borderId="0" xfId="0" applyFont="1" applyBorder="1" applyAlignment="1">
      <alignment horizontal="center"/>
    </xf>
    <xf numFmtId="181" fontId="60" fillId="6" borderId="11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181" fontId="4" fillId="0" borderId="0" xfId="0" applyFont="1" applyAlignment="1">
      <alignment horizontal="justify" vertical="center"/>
    </xf>
    <xf numFmtId="183" fontId="25" fillId="0" borderId="0" xfId="0" applyNumberFormat="1" applyFont="1" applyBorder="1" applyAlignment="1" applyProtection="1">
      <alignment/>
      <protection/>
    </xf>
    <xf numFmtId="181" fontId="0" fillId="0" borderId="0" xfId="0" applyBorder="1" applyAlignment="1">
      <alignment/>
    </xf>
    <xf numFmtId="186" fontId="58" fillId="6" borderId="0" xfId="0" applyNumberFormat="1" applyFont="1" applyFill="1" applyAlignment="1">
      <alignment horizontal="right"/>
    </xf>
    <xf numFmtId="181" fontId="62" fillId="0" borderId="0" xfId="0" applyFont="1" applyBorder="1" applyAlignment="1">
      <alignment/>
    </xf>
    <xf numFmtId="181" fontId="63" fillId="0" borderId="0" xfId="0" applyFont="1" applyAlignment="1">
      <alignment/>
    </xf>
    <xf numFmtId="181" fontId="34" fillId="0" borderId="0" xfId="0" applyFont="1" applyAlignment="1">
      <alignment/>
    </xf>
    <xf numFmtId="181" fontId="26" fillId="0" borderId="13" xfId="0" applyFont="1" applyBorder="1" applyAlignment="1">
      <alignment horizontal="center"/>
    </xf>
    <xf numFmtId="182" fontId="26" fillId="0" borderId="14" xfId="0" applyNumberFormat="1" applyFont="1" applyBorder="1" applyAlignment="1">
      <alignment horizontal="center"/>
    </xf>
    <xf numFmtId="182" fontId="26" fillId="0" borderId="15" xfId="0" applyNumberFormat="1" applyFont="1" applyBorder="1" applyAlignment="1">
      <alignment horizontal="center"/>
    </xf>
    <xf numFmtId="17" fontId="29" fillId="0" borderId="16" xfId="0" applyNumberFormat="1" applyFont="1" applyBorder="1" applyAlignment="1">
      <alignment horizontal="left"/>
    </xf>
    <xf numFmtId="182" fontId="29" fillId="0" borderId="16" xfId="53" applyNumberFormat="1" applyFont="1" applyBorder="1" applyAlignment="1">
      <alignment horizontal="center"/>
    </xf>
    <xf numFmtId="182" fontId="29" fillId="0" borderId="16" xfId="0" applyNumberFormat="1" applyFont="1" applyBorder="1" applyAlignment="1">
      <alignment horizontal="center"/>
    </xf>
    <xf numFmtId="181" fontId="29" fillId="0" borderId="0" xfId="0" applyFont="1" applyAlignment="1">
      <alignment/>
    </xf>
    <xf numFmtId="17" fontId="29" fillId="0" borderId="16" xfId="0" applyNumberFormat="1" applyFont="1" applyFill="1" applyBorder="1" applyAlignment="1">
      <alignment horizontal="left"/>
    </xf>
    <xf numFmtId="182" fontId="29" fillId="0" borderId="16" xfId="0" applyNumberFormat="1" applyFont="1" applyFill="1" applyBorder="1" applyAlignment="1">
      <alignment horizontal="center"/>
    </xf>
    <xf numFmtId="17" fontId="29" fillId="0" borderId="16" xfId="0" applyNumberFormat="1" applyFont="1" applyFill="1" applyBorder="1" applyAlignment="1" quotePrefix="1">
      <alignment horizontal="left"/>
    </xf>
    <xf numFmtId="182" fontId="35" fillId="0" borderId="17" xfId="0" applyNumberFormat="1" applyFont="1" applyBorder="1" applyAlignment="1">
      <alignment/>
    </xf>
    <xf numFmtId="182" fontId="29" fillId="0" borderId="18" xfId="0" applyNumberFormat="1" applyFont="1" applyBorder="1" applyAlignment="1">
      <alignment/>
    </xf>
    <xf numFmtId="182" fontId="29" fillId="0" borderId="19" xfId="0" applyNumberFormat="1" applyFont="1" applyBorder="1" applyAlignment="1">
      <alignment/>
    </xf>
    <xf numFmtId="182" fontId="35" fillId="0" borderId="13" xfId="0" applyNumberFormat="1" applyFont="1" applyBorder="1" applyAlignment="1">
      <alignment/>
    </xf>
    <xf numFmtId="182" fontId="29" fillId="0" borderId="14" xfId="0" applyNumberFormat="1" applyFont="1" applyBorder="1" applyAlignment="1">
      <alignment/>
    </xf>
    <xf numFmtId="182" fontId="29" fillId="0" borderId="15" xfId="0" applyNumberFormat="1" applyFont="1" applyBorder="1" applyAlignment="1">
      <alignment/>
    </xf>
    <xf numFmtId="181" fontId="6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25" fillId="34" borderId="20" xfId="0" applyFont="1" applyFill="1" applyBorder="1" applyAlignment="1">
      <alignment horizontal="left" vertical="center"/>
    </xf>
    <xf numFmtId="182" fontId="36" fillId="34" borderId="16" xfId="53" applyNumberFormat="1" applyFont="1" applyFill="1" applyBorder="1" applyAlignment="1">
      <alignment horizontal="center"/>
    </xf>
    <xf numFmtId="182" fontId="36" fillId="34" borderId="16" xfId="53" applyNumberFormat="1" applyFont="1" applyFill="1" applyBorder="1" applyAlignment="1">
      <alignment horizontal="center" wrapText="1"/>
    </xf>
    <xf numFmtId="182" fontId="37" fillId="34" borderId="16" xfId="0" applyNumberFormat="1" applyFont="1" applyFill="1" applyBorder="1" applyAlignment="1">
      <alignment horizontal="center"/>
    </xf>
    <xf numFmtId="181" fontId="35" fillId="0" borderId="0" xfId="0" applyFont="1" applyBorder="1" applyAlignment="1">
      <alignment/>
    </xf>
    <xf numFmtId="181" fontId="35" fillId="0" borderId="21" xfId="0" applyFont="1" applyBorder="1" applyAlignment="1">
      <alignment/>
    </xf>
    <xf numFmtId="187" fontId="29" fillId="0" borderId="0" xfId="0" applyNumberFormat="1" applyFont="1" applyBorder="1" applyAlignment="1" applyProtection="1">
      <alignment/>
      <protection/>
    </xf>
    <xf numFmtId="181" fontId="29" fillId="0" borderId="0" xfId="0" applyNumberFormat="1" applyFont="1" applyBorder="1" applyAlignment="1" applyProtection="1">
      <alignment horizontal="left"/>
      <protection/>
    </xf>
    <xf numFmtId="181" fontId="29" fillId="0" borderId="0" xfId="0" applyFont="1" applyBorder="1" applyAlignment="1">
      <alignment/>
    </xf>
    <xf numFmtId="181" fontId="29" fillId="0" borderId="0" xfId="0" applyNumberFormat="1" applyFont="1" applyBorder="1" applyAlignment="1" applyProtection="1">
      <alignment horizontal="center"/>
      <protection/>
    </xf>
    <xf numFmtId="187" fontId="29" fillId="0" borderId="0" xfId="0" applyNumberFormat="1" applyFont="1" applyBorder="1" applyAlignment="1" applyProtection="1">
      <alignment horizontal="center"/>
      <protection/>
    </xf>
    <xf numFmtId="182" fontId="35" fillId="0" borderId="16" xfId="53" applyNumberFormat="1" applyFont="1" applyBorder="1" applyAlignment="1">
      <alignment horizontal="center"/>
    </xf>
    <xf numFmtId="181" fontId="64" fillId="0" borderId="0" xfId="0" applyFont="1" applyBorder="1" applyAlignment="1">
      <alignment horizontal="center" wrapText="1"/>
    </xf>
    <xf numFmtId="181" fontId="25" fillId="0" borderId="0" xfId="0" applyFont="1" applyBorder="1" applyAlignment="1">
      <alignment/>
    </xf>
    <xf numFmtId="184" fontId="29" fillId="0" borderId="16" xfId="0" applyNumberFormat="1" applyFont="1" applyBorder="1" applyAlignment="1" applyProtection="1" quotePrefix="1">
      <alignment horizontal="left"/>
      <protection/>
    </xf>
    <xf numFmtId="181" fontId="25" fillId="0" borderId="12" xfId="0" applyFont="1" applyBorder="1" applyAlignment="1">
      <alignment horizontal="center"/>
    </xf>
    <xf numFmtId="181" fontId="25" fillId="0" borderId="0" xfId="0" applyFont="1" applyBorder="1" applyAlignment="1">
      <alignment horizontal="center"/>
    </xf>
    <xf numFmtId="181" fontId="25" fillId="0" borderId="21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D1">
      <selection activeCell="F21" sqref="F21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44864</v>
      </c>
    </row>
    <row r="13" spans="2:5" ht="15.75">
      <c r="B13" s="18" t="s">
        <v>8</v>
      </c>
      <c r="C13" s="9" t="s">
        <v>25</v>
      </c>
      <c r="D13" s="9" t="s">
        <v>8</v>
      </c>
      <c r="E13" s="11" t="s">
        <v>57</v>
      </c>
    </row>
    <row r="14" spans="2:5" ht="15.75">
      <c r="B14" s="18" t="s">
        <v>9</v>
      </c>
      <c r="C14" s="9" t="s">
        <v>25</v>
      </c>
      <c r="D14" s="9" t="s">
        <v>9</v>
      </c>
      <c r="E14" s="10" t="s">
        <v>56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85"/>
  <sheetViews>
    <sheetView zoomScale="91" zoomScaleNormal="91" zoomScalePageLayoutView="0" workbookViewId="0" topLeftCell="A1">
      <pane xSplit="1" ySplit="4" topLeftCell="I1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1" sqref="I181"/>
    </sheetView>
  </sheetViews>
  <sheetFormatPr defaultColWidth="11.5546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5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5">
        <v>43405</v>
      </c>
      <c r="B135" s="34">
        <v>127702.9</v>
      </c>
      <c r="C135" s="34">
        <v>30994.5</v>
      </c>
      <c r="D135" s="34">
        <v>77821.4</v>
      </c>
      <c r="E135" s="34">
        <v>232194.1</v>
      </c>
      <c r="F135" s="34">
        <v>47235.9</v>
      </c>
      <c r="G135" s="34">
        <v>18772.6</v>
      </c>
      <c r="H135" s="34">
        <v>718.4</v>
      </c>
      <c r="I135" s="34">
        <v>45934.9</v>
      </c>
      <c r="J135" s="34">
        <v>396800.80000000005</v>
      </c>
      <c r="K135" s="31">
        <f t="shared" si="1"/>
        <v>978175.5000000001</v>
      </c>
    </row>
    <row r="136" spans="1:11" s="32" customFormat="1" ht="15.75">
      <c r="A136" s="35">
        <v>43435</v>
      </c>
      <c r="B136" s="34">
        <v>134157.9</v>
      </c>
      <c r="C136" s="34">
        <v>25683.1</v>
      </c>
      <c r="D136" s="34">
        <v>73101.9</v>
      </c>
      <c r="E136" s="34">
        <v>251994.5</v>
      </c>
      <c r="F136" s="34">
        <v>38620.6</v>
      </c>
      <c r="G136" s="34">
        <v>17717.6</v>
      </c>
      <c r="H136" s="34">
        <v>1214.3</v>
      </c>
      <c r="I136" s="34">
        <v>42849.8</v>
      </c>
      <c r="J136" s="34">
        <v>358710.1</v>
      </c>
      <c r="K136" s="31">
        <f>SUM(B136:J136)</f>
        <v>944049.8</v>
      </c>
    </row>
    <row r="137" spans="1:11" s="32" customFormat="1" ht="15.75">
      <c r="A137" s="35">
        <v>43466</v>
      </c>
      <c r="B137" s="34">
        <v>142322.4</v>
      </c>
      <c r="C137" s="34">
        <v>23248.2</v>
      </c>
      <c r="D137" s="34">
        <v>65173.8</v>
      </c>
      <c r="E137" s="34">
        <v>235059.2</v>
      </c>
      <c r="F137" s="34">
        <f>17256.3+35739.4</f>
        <v>52995.7</v>
      </c>
      <c r="G137" s="34">
        <v>18808.7</v>
      </c>
      <c r="H137" s="34">
        <v>642.2</v>
      </c>
      <c r="I137" s="34">
        <v>38366.6</v>
      </c>
      <c r="J137" s="34">
        <f>11830.7+1997+37921.9+7545.4+8591.5+2328.5+279946.5</f>
        <v>350161.5</v>
      </c>
      <c r="K137" s="31">
        <f aca="true" t="shared" si="2" ref="K137:K172">SUM(B137:J137)</f>
        <v>926778.2999999999</v>
      </c>
    </row>
    <row r="138" spans="1:11" s="32" customFormat="1" ht="15.75">
      <c r="A138" s="35">
        <v>43497</v>
      </c>
      <c r="B138" s="34">
        <v>140183.6</v>
      </c>
      <c r="C138" s="34">
        <v>25629.3</v>
      </c>
      <c r="D138" s="34">
        <v>64657.2</v>
      </c>
      <c r="E138" s="34">
        <v>240927.4</v>
      </c>
      <c r="F138" s="34">
        <f>33527.5+17410.9</f>
        <v>50938.4</v>
      </c>
      <c r="G138" s="34">
        <v>19495.5</v>
      </c>
      <c r="H138" s="34">
        <v>686.7</v>
      </c>
      <c r="I138" s="34">
        <v>32892.6</v>
      </c>
      <c r="J138" s="34">
        <f>10716.4+2018.6+44471.5+7232.5+8813.4+2206.7+286795.5</f>
        <v>362254.6</v>
      </c>
      <c r="K138" s="31">
        <f t="shared" si="2"/>
        <v>937665.2999999999</v>
      </c>
    </row>
    <row r="139" spans="1:11" s="32" customFormat="1" ht="15.75">
      <c r="A139" s="35">
        <v>43525</v>
      </c>
      <c r="B139" s="34">
        <v>142987.6</v>
      </c>
      <c r="C139" s="34">
        <v>27913.9</v>
      </c>
      <c r="D139" s="34">
        <v>62744.8</v>
      </c>
      <c r="E139" s="34">
        <v>260288.5</v>
      </c>
      <c r="F139" s="34">
        <f>33962.6+14736.5</f>
        <v>48699.1</v>
      </c>
      <c r="G139" s="34">
        <v>19945.8</v>
      </c>
      <c r="H139" s="34">
        <v>666.6</v>
      </c>
      <c r="I139" s="34">
        <v>30359.1</v>
      </c>
      <c r="J139" s="34">
        <f>9990.7+1976.4+53333.3+7045.4+8730.2+2213.4+275803.4</f>
        <v>359092.80000000005</v>
      </c>
      <c r="K139" s="31">
        <f t="shared" si="2"/>
        <v>952698.2000000001</v>
      </c>
    </row>
    <row r="140" spans="1:11" s="32" customFormat="1" ht="15.75">
      <c r="A140" s="35">
        <v>43556</v>
      </c>
      <c r="B140" s="34">
        <v>148366.9</v>
      </c>
      <c r="C140" s="34">
        <v>25588</v>
      </c>
      <c r="D140" s="34">
        <v>49746.6</v>
      </c>
      <c r="E140" s="34">
        <v>272266.8</v>
      </c>
      <c r="F140" s="34">
        <f>29603.5+14804</f>
        <v>44407.5</v>
      </c>
      <c r="G140" s="34">
        <v>19802.4</v>
      </c>
      <c r="H140" s="34">
        <v>704.4</v>
      </c>
      <c r="I140" s="34">
        <v>26903.9</v>
      </c>
      <c r="J140" s="34">
        <f>10001.5+2049.6+43621.2+6520.3+8331.5+2195.8+288242.2</f>
        <v>360962.10000000003</v>
      </c>
      <c r="K140" s="31">
        <f t="shared" si="2"/>
        <v>948748.6000000001</v>
      </c>
    </row>
    <row r="141" spans="1:11" s="32" customFormat="1" ht="15.75">
      <c r="A141" s="35">
        <v>43586</v>
      </c>
      <c r="B141" s="34">
        <v>157274</v>
      </c>
      <c r="C141" s="34">
        <v>33207.5</v>
      </c>
      <c r="D141" s="34">
        <v>44090.7</v>
      </c>
      <c r="E141" s="34">
        <v>298428.1</v>
      </c>
      <c r="F141" s="34">
        <f>19435.5+14695.8</f>
        <v>34131.3</v>
      </c>
      <c r="G141" s="34">
        <v>20364.9</v>
      </c>
      <c r="H141" s="34">
        <v>814.6</v>
      </c>
      <c r="I141" s="34">
        <v>20258.3</v>
      </c>
      <c r="J141" s="34">
        <f>8717.9+2052.8+42241.2+6684.6+8392.8+2156.1+290738.8</f>
        <v>360984.19999999995</v>
      </c>
      <c r="K141" s="31">
        <f t="shared" si="2"/>
        <v>969553.6000000001</v>
      </c>
    </row>
    <row r="142" spans="1:11" s="32" customFormat="1" ht="15.75">
      <c r="A142" s="35">
        <v>43617</v>
      </c>
      <c r="B142" s="34">
        <v>152785.5</v>
      </c>
      <c r="C142" s="34">
        <v>35765.9</v>
      </c>
      <c r="D142" s="34">
        <v>42446.1</v>
      </c>
      <c r="E142" s="34">
        <v>316636.2</v>
      </c>
      <c r="F142" s="34">
        <f>15013.2+19747.2</f>
        <v>34760.4</v>
      </c>
      <c r="G142" s="34">
        <v>19653.1</v>
      </c>
      <c r="H142" s="34">
        <v>817.1</v>
      </c>
      <c r="I142" s="34">
        <v>20693.7</v>
      </c>
      <c r="J142" s="34">
        <f>7544.8+1648.1+56832.5+9035.4+9077.6+2158.6+283191.5</f>
        <v>369488.5</v>
      </c>
      <c r="K142" s="31">
        <f t="shared" si="2"/>
        <v>993046.4999999999</v>
      </c>
    </row>
    <row r="143" spans="1:11" s="32" customFormat="1" ht="15.75">
      <c r="A143" s="35">
        <v>43647</v>
      </c>
      <c r="B143" s="34">
        <v>166173.9</v>
      </c>
      <c r="C143" s="34">
        <v>40042.7</v>
      </c>
      <c r="D143" s="34">
        <v>42304.2</v>
      </c>
      <c r="E143" s="34">
        <v>331537.8</v>
      </c>
      <c r="F143" s="34">
        <f>17481.5+20077</f>
        <v>37558.5</v>
      </c>
      <c r="G143" s="34">
        <v>21202.7</v>
      </c>
      <c r="H143" s="34">
        <v>854.5</v>
      </c>
      <c r="I143" s="34">
        <v>20476.2</v>
      </c>
      <c r="J143" s="34">
        <f>6454.2+2061.1+56681.8+10711.6+8878.6+2081.2+280641.5</f>
        <v>367510</v>
      </c>
      <c r="K143" s="31">
        <f t="shared" si="2"/>
        <v>1027660.4999999999</v>
      </c>
    </row>
    <row r="144" spans="1:11" s="32" customFormat="1" ht="15.75">
      <c r="A144" s="35">
        <v>43678</v>
      </c>
      <c r="B144" s="34">
        <v>164600.8</v>
      </c>
      <c r="C144" s="34">
        <v>32046</v>
      </c>
      <c r="D144" s="34">
        <v>47368.4</v>
      </c>
      <c r="E144" s="34">
        <v>327057.8</v>
      </c>
      <c r="F144" s="34">
        <f>20733+17387.5</f>
        <v>38120.5</v>
      </c>
      <c r="G144" s="34">
        <v>23092.6</v>
      </c>
      <c r="H144" s="34">
        <v>690.2</v>
      </c>
      <c r="I144" s="34">
        <v>20515.9</v>
      </c>
      <c r="J144" s="34">
        <f>7003.5+1629.2+54827.3+11727.6+9638.7+2083+291486</f>
        <v>378395.3</v>
      </c>
      <c r="K144" s="31">
        <f t="shared" si="2"/>
        <v>1031887.5</v>
      </c>
    </row>
    <row r="145" spans="1:11" s="32" customFormat="1" ht="15.75">
      <c r="A145" s="35">
        <v>43709</v>
      </c>
      <c r="B145" s="34">
        <v>157875.9</v>
      </c>
      <c r="C145" s="34">
        <v>28283.5</v>
      </c>
      <c r="D145" s="34">
        <v>45793.4</v>
      </c>
      <c r="E145" s="34">
        <v>336993.1</v>
      </c>
      <c r="F145" s="34">
        <f>17154.5+22638.6</f>
        <v>39793.1</v>
      </c>
      <c r="G145" s="34">
        <v>23276.1</v>
      </c>
      <c r="H145" s="34">
        <v>824.6</v>
      </c>
      <c r="I145" s="34">
        <v>26004.8</v>
      </c>
      <c r="J145" s="34">
        <f>9046.1+1120.3+54080.7+9549+9639.7+2065.5+311603.6</f>
        <v>397104.89999999997</v>
      </c>
      <c r="K145" s="31">
        <f t="shared" si="2"/>
        <v>1055949.4</v>
      </c>
    </row>
    <row r="146" spans="1:11" s="32" customFormat="1" ht="15.75">
      <c r="A146" s="35">
        <v>43739</v>
      </c>
      <c r="B146" s="34">
        <v>164914.3</v>
      </c>
      <c r="C146" s="34">
        <v>29712.3</v>
      </c>
      <c r="D146" s="34">
        <v>50362.9</v>
      </c>
      <c r="E146" s="34">
        <v>343744.4</v>
      </c>
      <c r="F146" s="34">
        <f>18035.3+24220.7</f>
        <v>42256</v>
      </c>
      <c r="G146" s="34">
        <v>23180.2</v>
      </c>
      <c r="H146" s="34">
        <v>909.9</v>
      </c>
      <c r="I146" s="34">
        <v>26069.2</v>
      </c>
      <c r="J146" s="34">
        <f>8859.7+1552.3+61284.5+12817.7+9825.5+2209.9+303272.6</f>
        <v>399822.19999999995</v>
      </c>
      <c r="K146" s="31">
        <f t="shared" si="2"/>
        <v>1080971.4</v>
      </c>
    </row>
    <row r="147" spans="1:11" s="32" customFormat="1" ht="15.75">
      <c r="A147" s="35">
        <v>43770</v>
      </c>
      <c r="B147" s="34">
        <v>164648.2</v>
      </c>
      <c r="C147" s="34">
        <v>27408</v>
      </c>
      <c r="D147" s="34">
        <v>49473.9</v>
      </c>
      <c r="E147" s="34">
        <v>360045.8</v>
      </c>
      <c r="F147" s="34">
        <f>23780.8+17812</f>
        <v>41592.8</v>
      </c>
      <c r="G147" s="34">
        <v>22211.6</v>
      </c>
      <c r="H147" s="34">
        <v>995.8</v>
      </c>
      <c r="I147" s="34">
        <v>22308.1</v>
      </c>
      <c r="J147" s="34">
        <f>8785.8+1636.1+65324.2+9047.7+13499.6+2549.8+309083.2</f>
        <v>409926.4</v>
      </c>
      <c r="K147" s="31">
        <f t="shared" si="2"/>
        <v>1098610.6</v>
      </c>
    </row>
    <row r="148" spans="1:11" s="32" customFormat="1" ht="15.75">
      <c r="A148" s="35">
        <v>43800</v>
      </c>
      <c r="B148" s="34">
        <v>168760.4</v>
      </c>
      <c r="C148" s="34">
        <v>35760.3</v>
      </c>
      <c r="D148" s="34">
        <v>48513.7</v>
      </c>
      <c r="E148" s="34">
        <v>373149.5</v>
      </c>
      <c r="F148" s="34">
        <f>14048.9+16469.2</f>
        <v>30518.1</v>
      </c>
      <c r="G148" s="34">
        <v>19960.3</v>
      </c>
      <c r="H148" s="34">
        <v>1022</v>
      </c>
      <c r="I148" s="34">
        <v>15443.6</v>
      </c>
      <c r="J148" s="34">
        <f>8149.9+1633.8+90598.3+7577.6+12631.7+2761.9+329461.4</f>
        <v>452814.60000000003</v>
      </c>
      <c r="K148" s="31">
        <f t="shared" si="2"/>
        <v>1145942.5</v>
      </c>
    </row>
    <row r="149" spans="1:11" s="32" customFormat="1" ht="15.75">
      <c r="A149" s="35">
        <v>43831</v>
      </c>
      <c r="B149" s="34">
        <v>168644.7</v>
      </c>
      <c r="C149" s="34">
        <v>34743.8</v>
      </c>
      <c r="D149" s="34">
        <v>48513.7</v>
      </c>
      <c r="E149" s="34">
        <v>374748.1</v>
      </c>
      <c r="F149" s="34">
        <f>14005.9+16471.3</f>
        <v>30477.199999999997</v>
      </c>
      <c r="G149" s="34">
        <v>19959.4</v>
      </c>
      <c r="H149" s="34">
        <v>1018.9</v>
      </c>
      <c r="I149" s="34">
        <v>14147.5</v>
      </c>
      <c r="J149" s="34">
        <f>8149.9+1633.8+90603.3+7576+12611.5+2761.9+329162.1</f>
        <v>452498.5</v>
      </c>
      <c r="K149" s="31">
        <f t="shared" si="2"/>
        <v>1144751.8</v>
      </c>
    </row>
    <row r="150" spans="1:11" s="32" customFormat="1" ht="15.75">
      <c r="A150" s="35">
        <v>43862</v>
      </c>
      <c r="B150" s="34">
        <v>164477</v>
      </c>
      <c r="C150" s="34">
        <v>40990.4</v>
      </c>
      <c r="D150" s="34">
        <v>57580</v>
      </c>
      <c r="E150" s="34">
        <v>350541.8</v>
      </c>
      <c r="F150" s="34">
        <f>13751.1+14974.7</f>
        <v>28725.800000000003</v>
      </c>
      <c r="G150" s="34">
        <v>18791.2</v>
      </c>
      <c r="H150" s="34">
        <v>1019.4</v>
      </c>
      <c r="I150" s="34">
        <v>11890.5</v>
      </c>
      <c r="J150" s="34">
        <f>8142.2+1630.7+94512.2+6650.4+12314.6+2752.3+330639.5</f>
        <v>456641.9</v>
      </c>
      <c r="K150" s="31">
        <f t="shared" si="2"/>
        <v>1130658</v>
      </c>
    </row>
    <row r="151" spans="1:11" s="32" customFormat="1" ht="15.75">
      <c r="A151" s="35">
        <v>43921</v>
      </c>
      <c r="B151" s="34">
        <v>172558.5</v>
      </c>
      <c r="C151" s="34">
        <v>38231.4</v>
      </c>
      <c r="D151" s="34">
        <v>66642.9</v>
      </c>
      <c r="E151" s="34">
        <v>357018.3</v>
      </c>
      <c r="F151" s="34">
        <f>13710.8+16147</f>
        <v>29857.8</v>
      </c>
      <c r="G151" s="34">
        <v>19461.4</v>
      </c>
      <c r="H151" s="34">
        <v>1010.9</v>
      </c>
      <c r="I151" s="34">
        <v>11500.9</v>
      </c>
      <c r="J151" s="34">
        <f>8418.5+1641.1+92176.2+5897.8+12854.1+2938.5+338884.4</f>
        <v>462810.60000000003</v>
      </c>
      <c r="K151" s="31">
        <f t="shared" si="2"/>
        <v>1159092.7000000002</v>
      </c>
    </row>
    <row r="152" spans="1:11" s="32" customFormat="1" ht="15.75">
      <c r="A152" s="35">
        <v>43951</v>
      </c>
      <c r="B152" s="34">
        <v>180733.7</v>
      </c>
      <c r="C152" s="34">
        <v>34829.6</v>
      </c>
      <c r="D152" s="34">
        <v>66319.2</v>
      </c>
      <c r="E152" s="34">
        <v>362073.3</v>
      </c>
      <c r="F152" s="34">
        <f>13192.8+15913.6</f>
        <v>29106.4</v>
      </c>
      <c r="G152" s="34">
        <v>19135.4</v>
      </c>
      <c r="H152" s="34">
        <v>1063.1</v>
      </c>
      <c r="I152" s="34">
        <v>12477.5</v>
      </c>
      <c r="J152" s="34">
        <f>9300.8+1624.3+86831.4+5609.5+13595.2+3052.9+338350.3</f>
        <v>458364.39999999997</v>
      </c>
      <c r="K152" s="31">
        <f t="shared" si="2"/>
        <v>1164102.6</v>
      </c>
    </row>
    <row r="153" spans="1:11" s="32" customFormat="1" ht="15.75">
      <c r="A153" s="35">
        <v>43982</v>
      </c>
      <c r="B153" s="34">
        <v>183075.2</v>
      </c>
      <c r="C153" s="34">
        <v>37546.1</v>
      </c>
      <c r="D153" s="34">
        <v>67169.7</v>
      </c>
      <c r="E153" s="34">
        <v>402524</v>
      </c>
      <c r="F153" s="34">
        <f>13219.4+15752.9</f>
        <v>28972.3</v>
      </c>
      <c r="G153" s="34">
        <v>19804.7</v>
      </c>
      <c r="H153" s="34">
        <v>1089</v>
      </c>
      <c r="I153" s="34">
        <v>13177.8</v>
      </c>
      <c r="J153" s="34">
        <f>7514.4+1629.7+98520.3+5684.9+13589+2956.2+331422.1</f>
        <v>461316.6</v>
      </c>
      <c r="K153" s="31">
        <f t="shared" si="2"/>
        <v>1214675.4</v>
      </c>
    </row>
    <row r="154" spans="1:11" s="32" customFormat="1" ht="15.75">
      <c r="A154" s="35">
        <v>44012</v>
      </c>
      <c r="B154" s="34">
        <v>186185.6</v>
      </c>
      <c r="C154" s="34">
        <v>35122.4</v>
      </c>
      <c r="D154" s="34">
        <v>61476.2</v>
      </c>
      <c r="E154" s="34">
        <v>404657.7</v>
      </c>
      <c r="F154" s="34">
        <f>13919.4+15606.3</f>
        <v>29525.699999999997</v>
      </c>
      <c r="G154" s="34">
        <v>18973.1</v>
      </c>
      <c r="H154" s="34">
        <v>1156.6</v>
      </c>
      <c r="I154" s="34">
        <v>13266.1</v>
      </c>
      <c r="J154" s="34">
        <f>5978+1597.3+95061+9164.8+13158.3+3043.4+336859.8</f>
        <v>464862.6</v>
      </c>
      <c r="K154" s="31">
        <f t="shared" si="2"/>
        <v>1215226</v>
      </c>
    </row>
    <row r="155" spans="1:11" s="32" customFormat="1" ht="15.75">
      <c r="A155" s="35">
        <v>44043</v>
      </c>
      <c r="B155" s="34">
        <v>195105.8</v>
      </c>
      <c r="C155" s="34">
        <v>31811.5</v>
      </c>
      <c r="D155" s="34">
        <v>70107.7</v>
      </c>
      <c r="E155" s="34">
        <v>421676.66</v>
      </c>
      <c r="F155" s="34">
        <f>15510.5+13379.6</f>
        <v>28890.1</v>
      </c>
      <c r="G155" s="34">
        <v>23062.7</v>
      </c>
      <c r="H155" s="34">
        <v>1252.5</v>
      </c>
      <c r="I155" s="34">
        <v>11865.9</v>
      </c>
      <c r="J155" s="34">
        <f>5687+1587.7+101393.9+11655.3+12773.1+3183.8+345915.5</f>
        <v>482196.3</v>
      </c>
      <c r="K155" s="31">
        <f t="shared" si="2"/>
        <v>1265969.16</v>
      </c>
    </row>
    <row r="156" spans="1:11" s="32" customFormat="1" ht="15.75">
      <c r="A156" s="35">
        <v>44074</v>
      </c>
      <c r="B156" s="34">
        <v>193843.5</v>
      </c>
      <c r="C156" s="34">
        <v>44994</v>
      </c>
      <c r="D156" s="34">
        <v>73009.9</v>
      </c>
      <c r="E156" s="34">
        <v>430071.8</v>
      </c>
      <c r="F156" s="34">
        <f>13326.4+15619.7</f>
        <v>28946.1</v>
      </c>
      <c r="G156" s="34">
        <v>22378.9</v>
      </c>
      <c r="H156" s="34">
        <v>1318.4</v>
      </c>
      <c r="I156" s="34">
        <v>15145.1</v>
      </c>
      <c r="J156" s="34">
        <f>5726.3+1540.5+90303.1+13567.8+13701.8+3159.5+357106.3</f>
        <v>485105.3</v>
      </c>
      <c r="K156" s="31">
        <f t="shared" si="2"/>
        <v>1294813</v>
      </c>
    </row>
    <row r="157" spans="1:11" s="32" customFormat="1" ht="15" customHeight="1">
      <c r="A157" s="35">
        <v>44104</v>
      </c>
      <c r="B157" s="34">
        <v>215983.8</v>
      </c>
      <c r="C157" s="34">
        <v>30177.4</v>
      </c>
      <c r="D157" s="34">
        <v>100114.1</v>
      </c>
      <c r="E157" s="34">
        <v>371429.1</v>
      </c>
      <c r="F157" s="34">
        <f>13544.8+15506.4</f>
        <v>29051.199999999997</v>
      </c>
      <c r="G157" s="34">
        <v>25477.2</v>
      </c>
      <c r="H157" s="34">
        <v>1178.5</v>
      </c>
      <c r="I157" s="34">
        <v>15696.8</v>
      </c>
      <c r="J157" s="34">
        <f>5735+1510+101191+13323.1+13272.3+2677.1+345159.8</f>
        <v>482868.3</v>
      </c>
      <c r="K157" s="31">
        <f t="shared" si="2"/>
        <v>1271976.4</v>
      </c>
    </row>
    <row r="158" spans="1:11" s="32" customFormat="1" ht="15" customHeight="1">
      <c r="A158" s="35">
        <v>44135</v>
      </c>
      <c r="B158" s="34">
        <v>224300.4</v>
      </c>
      <c r="C158" s="34">
        <v>38801.7</v>
      </c>
      <c r="D158" s="34">
        <v>98352</v>
      </c>
      <c r="E158" s="34">
        <v>370952.5</v>
      </c>
      <c r="F158" s="34">
        <f>12866.6+17362.9</f>
        <v>30229.5</v>
      </c>
      <c r="G158" s="34">
        <v>25544.8</v>
      </c>
      <c r="H158" s="34">
        <v>1207.8</v>
      </c>
      <c r="I158" s="34">
        <v>14275.5</v>
      </c>
      <c r="J158" s="34">
        <f>5701.2+1445+95909.1+13211.1+13624.1+3225.3+341932.4</f>
        <v>475048.20000000007</v>
      </c>
      <c r="K158" s="31">
        <f t="shared" si="2"/>
        <v>1278712.4000000001</v>
      </c>
    </row>
    <row r="159" spans="1:11" s="32" customFormat="1" ht="15" customHeight="1">
      <c r="A159" s="35">
        <v>44165</v>
      </c>
      <c r="B159" s="34">
        <v>223097.3</v>
      </c>
      <c r="C159" s="34">
        <v>39328.3</v>
      </c>
      <c r="D159" s="34">
        <v>104296.8</v>
      </c>
      <c r="E159" s="34">
        <v>366651.8</v>
      </c>
      <c r="F159" s="34">
        <f>13665.9+17199.3</f>
        <v>30865.199999999997</v>
      </c>
      <c r="G159" s="34">
        <v>22665.8</v>
      </c>
      <c r="H159" s="34">
        <v>1103</v>
      </c>
      <c r="I159" s="34">
        <v>12925.9</v>
      </c>
      <c r="J159" s="34">
        <f>5798.5+1432.6+95517.4+13354.6+11747.5+3155.6+364433.2</f>
        <v>495439.4</v>
      </c>
      <c r="K159" s="31">
        <f t="shared" si="2"/>
        <v>1296373.5</v>
      </c>
    </row>
    <row r="160" spans="1:11" s="32" customFormat="1" ht="15" customHeight="1">
      <c r="A160" s="35">
        <v>44196</v>
      </c>
      <c r="B160" s="34">
        <v>225273.7</v>
      </c>
      <c r="C160" s="34">
        <v>39059.9</v>
      </c>
      <c r="D160" s="34">
        <v>104490.2</v>
      </c>
      <c r="E160" s="34">
        <v>387530.8</v>
      </c>
      <c r="F160" s="34">
        <f>9966.3+15204.7</f>
        <v>25171</v>
      </c>
      <c r="G160" s="34">
        <v>23159.8</v>
      </c>
      <c r="H160" s="34">
        <v>1128.6</v>
      </c>
      <c r="I160" s="34">
        <v>9909.2</v>
      </c>
      <c r="J160" s="34">
        <f>5766.8+1360.2+96531.6+12221+11589.6+2986+364959.1</f>
        <v>495414.3</v>
      </c>
      <c r="K160" s="31">
        <f t="shared" si="2"/>
        <v>1311137.5</v>
      </c>
    </row>
    <row r="161" spans="1:11" s="32" customFormat="1" ht="15" customHeight="1">
      <c r="A161" s="35">
        <v>44197</v>
      </c>
      <c r="B161" s="34">
        <v>229956.1</v>
      </c>
      <c r="C161" s="34">
        <v>40166.5</v>
      </c>
      <c r="D161" s="34">
        <v>100055.1</v>
      </c>
      <c r="E161" s="34">
        <v>406718.9</v>
      </c>
      <c r="F161" s="34">
        <f>9676.4+15765.4</f>
        <v>25441.8</v>
      </c>
      <c r="G161" s="34">
        <v>22576.9</v>
      </c>
      <c r="H161" s="34">
        <v>1276.7</v>
      </c>
      <c r="I161" s="34">
        <v>8102.9</v>
      </c>
      <c r="J161" s="34">
        <f>5783.4+1352.7+97464.7+11009+13764.5+3337.9+363674.2</f>
        <v>496386.4</v>
      </c>
      <c r="K161" s="31">
        <f t="shared" si="2"/>
        <v>1330681.3</v>
      </c>
    </row>
    <row r="162" spans="1:11" s="32" customFormat="1" ht="15" customHeight="1">
      <c r="A162" s="35">
        <v>44255</v>
      </c>
      <c r="B162" s="34">
        <v>233485.6</v>
      </c>
      <c r="C162" s="34">
        <v>43218.7</v>
      </c>
      <c r="D162" s="34">
        <v>134730.8</v>
      </c>
      <c r="E162" s="34">
        <v>416050.1</v>
      </c>
      <c r="F162" s="34">
        <f>9676.9+15274.6</f>
        <v>24951.5</v>
      </c>
      <c r="G162" s="34">
        <v>20732</v>
      </c>
      <c r="H162" s="34">
        <v>1385.5</v>
      </c>
      <c r="I162" s="34">
        <v>7561.7</v>
      </c>
      <c r="J162" s="34">
        <f>5882+1341.5+97445.3+9977.4+11671.9+3222.7+376423.6</f>
        <v>505964.39999999997</v>
      </c>
      <c r="K162" s="31">
        <f t="shared" si="2"/>
        <v>1388080.2999999998</v>
      </c>
    </row>
    <row r="163" spans="1:11" s="32" customFormat="1" ht="15" customHeight="1">
      <c r="A163" s="35">
        <v>44286</v>
      </c>
      <c r="B163" s="34">
        <v>237881.7</v>
      </c>
      <c r="C163" s="34">
        <v>47239.4</v>
      </c>
      <c r="D163" s="34">
        <v>121658.8</v>
      </c>
      <c r="E163" s="34">
        <v>452716</v>
      </c>
      <c r="F163" s="34">
        <f>9579.5+17042.8</f>
        <v>26622.3</v>
      </c>
      <c r="G163" s="34">
        <v>19065.1</v>
      </c>
      <c r="H163" s="34">
        <v>1263.6</v>
      </c>
      <c r="I163" s="34">
        <v>7505.5</v>
      </c>
      <c r="J163" s="34">
        <f>7619.5+1352.3+101906.5+11934.7+13750.3+3127+381536.8</f>
        <v>521227.1</v>
      </c>
      <c r="K163" s="31">
        <f t="shared" si="2"/>
        <v>1435179.5</v>
      </c>
    </row>
    <row r="164" spans="1:11" s="32" customFormat="1" ht="15" customHeight="1">
      <c r="A164" s="35">
        <v>44316</v>
      </c>
      <c r="B164" s="34">
        <v>239731.9</v>
      </c>
      <c r="C164" s="34">
        <v>47848.8</v>
      </c>
      <c r="D164" s="34">
        <v>126659</v>
      </c>
      <c r="E164" s="34">
        <v>464600</v>
      </c>
      <c r="F164" s="34">
        <f>10054.1+16997.8</f>
        <v>27051.9</v>
      </c>
      <c r="G164" s="34">
        <v>18873.8</v>
      </c>
      <c r="H164" s="34">
        <v>1416.7</v>
      </c>
      <c r="I164" s="34">
        <v>7935.1</v>
      </c>
      <c r="J164" s="34">
        <f>5925.1+1346.5+102186.5+9427.5+13981.4+3197.9+385204.6</f>
        <v>521269.5</v>
      </c>
      <c r="K164" s="31">
        <f t="shared" si="2"/>
        <v>1455386.7</v>
      </c>
    </row>
    <row r="165" spans="1:11" s="32" customFormat="1" ht="15" customHeight="1">
      <c r="A165" s="35">
        <v>44347</v>
      </c>
      <c r="B165" s="34">
        <v>249894.3</v>
      </c>
      <c r="C165" s="34">
        <v>58606.1</v>
      </c>
      <c r="D165" s="34">
        <v>123287.9</v>
      </c>
      <c r="E165" s="34">
        <v>502443.5</v>
      </c>
      <c r="F165" s="34">
        <f>10303.1+18063.1</f>
        <v>28366.199999999997</v>
      </c>
      <c r="G165" s="34">
        <v>20511.7</v>
      </c>
      <c r="H165" s="34">
        <v>1280.8</v>
      </c>
      <c r="I165" s="34">
        <v>7996.9</v>
      </c>
      <c r="J165" s="34">
        <f>5969.2+1356.4+102359+8611.9+16705.8+3162.8+384580.6</f>
        <v>522745.69999999995</v>
      </c>
      <c r="K165" s="31">
        <f t="shared" si="2"/>
        <v>1515133.0999999999</v>
      </c>
    </row>
    <row r="166" spans="1:11" s="32" customFormat="1" ht="15" customHeight="1">
      <c r="A166" s="35">
        <v>44377</v>
      </c>
      <c r="B166" s="34">
        <v>251147.1</v>
      </c>
      <c r="C166" s="34">
        <v>58294.4</v>
      </c>
      <c r="D166" s="34">
        <v>147220.1</v>
      </c>
      <c r="E166" s="34">
        <v>504981.8</v>
      </c>
      <c r="F166" s="34">
        <f>11950.8+20838.9</f>
        <v>32789.7</v>
      </c>
      <c r="G166" s="34">
        <v>21008.9</v>
      </c>
      <c r="H166" s="34">
        <v>1465.5</v>
      </c>
      <c r="I166" s="34">
        <v>7808.9</v>
      </c>
      <c r="J166" s="34">
        <f>6086.1+25087+137252.2+15412.3+14642.4+3149.8+397565.3</f>
        <v>599195.1</v>
      </c>
      <c r="K166" s="31">
        <f t="shared" si="2"/>
        <v>1623911.5</v>
      </c>
    </row>
    <row r="167" spans="1:11" s="32" customFormat="1" ht="15" customHeight="1">
      <c r="A167" s="35">
        <v>44408</v>
      </c>
      <c r="B167" s="34">
        <v>254961.4</v>
      </c>
      <c r="C167" s="34">
        <v>58424.9</v>
      </c>
      <c r="D167" s="34">
        <v>129330</v>
      </c>
      <c r="E167" s="34">
        <v>517686.4</v>
      </c>
      <c r="F167" s="34">
        <f>11114.9+19911.9</f>
        <v>31026.800000000003</v>
      </c>
      <c r="G167" s="34">
        <v>19613.3</v>
      </c>
      <c r="H167" s="34">
        <v>1531</v>
      </c>
      <c r="I167" s="34">
        <v>8723.1</v>
      </c>
      <c r="J167" s="34">
        <f>5540.9+25107.4+134436.9+16860.9+14979.2+3071.1+441438</f>
        <v>641434.4</v>
      </c>
      <c r="K167" s="31">
        <f t="shared" si="2"/>
        <v>1662731.3</v>
      </c>
    </row>
    <row r="168" spans="1:11" s="32" customFormat="1" ht="15" customHeight="1">
      <c r="A168" s="35">
        <v>44439</v>
      </c>
      <c r="B168" s="34">
        <v>261925.2</v>
      </c>
      <c r="C168" s="34">
        <v>66388.2</v>
      </c>
      <c r="D168" s="34">
        <v>139344.8</v>
      </c>
      <c r="E168" s="34">
        <v>521730.9</v>
      </c>
      <c r="F168" s="34">
        <f>11634.4+20697.1</f>
        <v>32331.5</v>
      </c>
      <c r="G168" s="34">
        <v>23127.5</v>
      </c>
      <c r="H168" s="34">
        <v>1627.5</v>
      </c>
      <c r="I168" s="34">
        <v>10282.9</v>
      </c>
      <c r="J168" s="34">
        <f>5536.3+25166.3+189460.6+18067.9+16701+3022+449710.9</f>
        <v>707665</v>
      </c>
      <c r="K168" s="31">
        <f t="shared" si="2"/>
        <v>1764423.5</v>
      </c>
    </row>
    <row r="169" spans="1:11" s="32" customFormat="1" ht="15" customHeight="1">
      <c r="A169" s="35">
        <v>44469</v>
      </c>
      <c r="B169" s="34">
        <v>290332.3</v>
      </c>
      <c r="C169" s="34">
        <v>67232.2</v>
      </c>
      <c r="D169" s="34">
        <v>150132.8</v>
      </c>
      <c r="E169" s="34">
        <v>525475.5</v>
      </c>
      <c r="F169" s="34">
        <f>11930.4+20546.8</f>
        <v>32477.199999999997</v>
      </c>
      <c r="G169" s="34">
        <v>23861.8</v>
      </c>
      <c r="H169" s="34">
        <v>1712.7</v>
      </c>
      <c r="I169" s="34">
        <v>9128.6</v>
      </c>
      <c r="J169" s="34">
        <f>6192+25225.3+205796.9+21316.3+16399.3+2926.7+449341.5</f>
        <v>727198</v>
      </c>
      <c r="K169" s="31">
        <f t="shared" si="2"/>
        <v>1827551.1</v>
      </c>
    </row>
    <row r="170" spans="1:11" s="32" customFormat="1" ht="15" customHeight="1">
      <c r="A170" s="35">
        <v>44500</v>
      </c>
      <c r="B170" s="34">
        <v>337929.9</v>
      </c>
      <c r="C170" s="34">
        <v>91156.9</v>
      </c>
      <c r="D170" s="34">
        <v>158929.2</v>
      </c>
      <c r="E170" s="34">
        <v>611720.4</v>
      </c>
      <c r="F170" s="34">
        <f>10037+19775.4</f>
        <v>29812.4</v>
      </c>
      <c r="G170" s="34">
        <v>136142.5</v>
      </c>
      <c r="H170" s="34">
        <v>2095.8</v>
      </c>
      <c r="I170" s="34">
        <v>7866.8</v>
      </c>
      <c r="J170" s="34">
        <f>5555.4+25376.4+119947.4+23024.4+15335.3+3265.4+401127.4</f>
        <v>593631.7</v>
      </c>
      <c r="K170" s="31">
        <f t="shared" si="2"/>
        <v>1969285.5999999999</v>
      </c>
    </row>
    <row r="171" spans="1:11" s="32" customFormat="1" ht="15" customHeight="1">
      <c r="A171" s="35">
        <v>44501</v>
      </c>
      <c r="B171" s="34">
        <v>338242</v>
      </c>
      <c r="C171" s="34">
        <v>92168.8</v>
      </c>
      <c r="D171" s="34">
        <v>159238.7</v>
      </c>
      <c r="E171" s="34">
        <v>611269.8</v>
      </c>
      <c r="F171" s="34">
        <f>10037+19703.6</f>
        <v>29740.6</v>
      </c>
      <c r="G171" s="34">
        <v>136320.9</v>
      </c>
      <c r="H171" s="34">
        <v>2095.8</v>
      </c>
      <c r="I171" s="34">
        <v>7866.8</v>
      </c>
      <c r="J171" s="34">
        <f>5555.4+25376.4+120173.5+23024.4+15335.3+3265.4+401033.4</f>
        <v>593763.8</v>
      </c>
      <c r="K171" s="31">
        <f t="shared" si="2"/>
        <v>1970707.2000000002</v>
      </c>
    </row>
    <row r="172" spans="1:11" s="32" customFormat="1" ht="15" customHeight="1">
      <c r="A172" s="35">
        <v>44532</v>
      </c>
      <c r="B172" s="34">
        <v>352613.2</v>
      </c>
      <c r="C172" s="34">
        <v>81720.6</v>
      </c>
      <c r="D172" s="34">
        <v>170241.8</v>
      </c>
      <c r="E172" s="34">
        <v>614527.9</v>
      </c>
      <c r="F172" s="34">
        <f>8138.5+19769.7</f>
        <v>27908.2</v>
      </c>
      <c r="G172" s="34">
        <v>142674.9</v>
      </c>
      <c r="H172" s="34">
        <v>6094.4</v>
      </c>
      <c r="I172" s="34">
        <v>7584.2</v>
      </c>
      <c r="J172" s="34">
        <f>5640.5+25475.2+132057+24480.6+16833.5+3215.5+384826.8</f>
        <v>592529.1</v>
      </c>
      <c r="K172" s="31">
        <f t="shared" si="2"/>
        <v>1995894.2999999998</v>
      </c>
    </row>
    <row r="173" spans="1:11" s="32" customFormat="1" ht="15" customHeight="1">
      <c r="A173" s="35">
        <v>44563</v>
      </c>
      <c r="B173" s="34">
        <v>368836.7</v>
      </c>
      <c r="C173" s="34">
        <v>82257.6</v>
      </c>
      <c r="D173" s="34">
        <v>180307.2</v>
      </c>
      <c r="E173" s="34">
        <v>619228.4</v>
      </c>
      <c r="F173" s="34">
        <f>8405.4+19377.9</f>
        <v>27783.300000000003</v>
      </c>
      <c r="G173" s="34">
        <v>141215.7</v>
      </c>
      <c r="H173" s="34">
        <v>2287.5</v>
      </c>
      <c r="I173" s="34">
        <v>7311</v>
      </c>
      <c r="J173" s="34">
        <f>5589.1+25485.9+131395.9+22749.4+15929+3269.4+374837.8</f>
        <v>579256.5</v>
      </c>
      <c r="K173" s="31">
        <f>SUM(B173:J173)</f>
        <v>2008483.9</v>
      </c>
    </row>
    <row r="174" spans="1:11" s="32" customFormat="1" ht="15" customHeight="1">
      <c r="A174" s="35">
        <v>44594</v>
      </c>
      <c r="B174" s="34">
        <v>375672.9</v>
      </c>
      <c r="C174" s="34">
        <v>83067.9</v>
      </c>
      <c r="D174" s="34">
        <v>180895.7</v>
      </c>
      <c r="E174" s="34">
        <v>649730.7</v>
      </c>
      <c r="F174" s="34">
        <f>8680.1+23958.5</f>
        <v>32638.6</v>
      </c>
      <c r="G174" s="34">
        <v>143279.7</v>
      </c>
      <c r="H174" s="34">
        <v>2222.1</v>
      </c>
      <c r="I174" s="34">
        <v>37538.8</v>
      </c>
      <c r="J174" s="34">
        <f>5635.1+25562.5+129912.3+22283.8+20014.6+3298.1+382494.9</f>
        <v>589201.3</v>
      </c>
      <c r="K174" s="31">
        <f aca="true" t="shared" si="3" ref="K174:K182">SUM(B174:J174)</f>
        <v>2094247.7000000002</v>
      </c>
    </row>
    <row r="175" spans="1:11" s="32" customFormat="1" ht="15" customHeight="1">
      <c r="A175" s="35">
        <v>44622</v>
      </c>
      <c r="B175" s="34">
        <v>377890.2</v>
      </c>
      <c r="C175" s="34">
        <v>83937.8</v>
      </c>
      <c r="D175" s="34">
        <v>161766.9</v>
      </c>
      <c r="E175" s="34">
        <v>690152.7</v>
      </c>
      <c r="F175" s="34">
        <f>10682.2+21064.2</f>
        <v>31746.4</v>
      </c>
      <c r="G175" s="34">
        <v>144257.9</v>
      </c>
      <c r="H175" s="34">
        <v>2360.7</v>
      </c>
      <c r="I175" s="34">
        <v>37212.2</v>
      </c>
      <c r="J175" s="34">
        <f>5665+25622.4+125640.7+22711.6+19403.6+3170.4+408780.7</f>
        <v>610994.4</v>
      </c>
      <c r="K175" s="31">
        <f t="shared" si="3"/>
        <v>2140319.1999999997</v>
      </c>
    </row>
    <row r="176" spans="1:11" s="32" customFormat="1" ht="15" customHeight="1">
      <c r="A176" s="35">
        <v>44653</v>
      </c>
      <c r="B176" s="34">
        <v>375074.8</v>
      </c>
      <c r="C176" s="34">
        <v>93589.2</v>
      </c>
      <c r="D176" s="34">
        <v>187912.8</v>
      </c>
      <c r="E176" s="34">
        <v>698601.2</v>
      </c>
      <c r="F176" s="34">
        <f>21023.7+9220.4</f>
        <v>30244.1</v>
      </c>
      <c r="G176" s="34">
        <v>149466.6</v>
      </c>
      <c r="H176" s="34">
        <v>2641.3</v>
      </c>
      <c r="I176" s="34">
        <v>62184.2</v>
      </c>
      <c r="J176" s="34">
        <f>5888.7+1417.9+135390.1+21550.3+19788+3120.4+432993.5</f>
        <v>620148.9</v>
      </c>
      <c r="K176" s="31">
        <f t="shared" si="3"/>
        <v>2219863.1</v>
      </c>
    </row>
    <row r="177" spans="1:11" s="32" customFormat="1" ht="15" customHeight="1">
      <c r="A177" s="35">
        <v>44683</v>
      </c>
      <c r="B177" s="34">
        <v>387837.9</v>
      </c>
      <c r="C177" s="34">
        <v>94713</v>
      </c>
      <c r="D177" s="34">
        <v>179755.7</v>
      </c>
      <c r="E177" s="34">
        <v>732951.7</v>
      </c>
      <c r="F177" s="34">
        <f>11985.9+20669.1</f>
        <v>32655</v>
      </c>
      <c r="G177" s="34">
        <v>145573.7</v>
      </c>
      <c r="H177" s="34">
        <v>3209.2</v>
      </c>
      <c r="I177" s="34">
        <v>95783.8</v>
      </c>
      <c r="J177" s="34">
        <f>5868.3+1475.8+140503.7+22480+20865.3+3644+427271.2</f>
        <v>622108.3</v>
      </c>
      <c r="K177" s="31">
        <f t="shared" si="3"/>
        <v>2294588.3</v>
      </c>
    </row>
    <row r="178" spans="1:11" s="32" customFormat="1" ht="15" customHeight="1">
      <c r="A178" s="35">
        <v>44714</v>
      </c>
      <c r="B178" s="34">
        <v>391551.8</v>
      </c>
      <c r="C178" s="34">
        <v>94002.3</v>
      </c>
      <c r="D178" s="34">
        <v>207724.3</v>
      </c>
      <c r="E178" s="34">
        <v>737369.8</v>
      </c>
      <c r="F178" s="34">
        <f>19328.8+20656.7</f>
        <v>39985.5</v>
      </c>
      <c r="G178" s="34">
        <v>150066.9</v>
      </c>
      <c r="H178" s="34">
        <v>3130.1</v>
      </c>
      <c r="I178" s="34">
        <v>86332.8</v>
      </c>
      <c r="J178" s="34">
        <f>5849.2+1480.9+240708.1+35549.5+22496.3+3762+424427.4</f>
        <v>734273.4</v>
      </c>
      <c r="K178" s="31">
        <f t="shared" si="3"/>
        <v>2444436.9</v>
      </c>
    </row>
    <row r="179" spans="1:11" s="32" customFormat="1" ht="15" customHeight="1">
      <c r="A179" s="35">
        <v>44744</v>
      </c>
      <c r="B179" s="34">
        <v>388779.8</v>
      </c>
      <c r="C179" s="34">
        <v>139023.3</v>
      </c>
      <c r="D179" s="34">
        <v>192147.8</v>
      </c>
      <c r="E179" s="34">
        <v>759769.9</v>
      </c>
      <c r="F179" s="34">
        <f>13305.1+20248.5</f>
        <v>33553.6</v>
      </c>
      <c r="G179" s="34">
        <v>211736.2</v>
      </c>
      <c r="H179" s="34">
        <v>3535.9</v>
      </c>
      <c r="I179" s="34">
        <v>120491</v>
      </c>
      <c r="J179" s="34">
        <f>5908.2+1527.2+137402.3+42683.1+18871.9+3620.4+462734.7</f>
        <v>672747.8</v>
      </c>
      <c r="K179" s="31">
        <f t="shared" si="3"/>
        <v>2521785.3</v>
      </c>
    </row>
    <row r="180" spans="1:11" s="32" customFormat="1" ht="15" customHeight="1">
      <c r="A180" s="35">
        <v>44775</v>
      </c>
      <c r="B180" s="34">
        <v>388698.8</v>
      </c>
      <c r="C180" s="34">
        <v>98485.7</v>
      </c>
      <c r="D180" s="34">
        <v>222969.2</v>
      </c>
      <c r="E180" s="34">
        <v>771555.5</v>
      </c>
      <c r="F180" s="34">
        <f>18234+21174.3</f>
        <v>39408.3</v>
      </c>
      <c r="G180" s="34">
        <v>266696.5</v>
      </c>
      <c r="H180" s="34">
        <v>3601.2</v>
      </c>
      <c r="I180" s="34">
        <v>122291</v>
      </c>
      <c r="J180" s="34">
        <f>8203.5+1476.4+135399.7+44804.4+24443.5+4187.3+460270.6</f>
        <v>678785.3999999999</v>
      </c>
      <c r="K180" s="31">
        <f t="shared" si="3"/>
        <v>2592491.5999999996</v>
      </c>
    </row>
    <row r="181" spans="1:11" s="32" customFormat="1" ht="15" customHeight="1">
      <c r="A181" s="35">
        <v>44806</v>
      </c>
      <c r="B181" s="34">
        <v>422738.2</v>
      </c>
      <c r="C181" s="34">
        <v>100867.6</v>
      </c>
      <c r="D181" s="34">
        <v>215315.4</v>
      </c>
      <c r="E181" s="34">
        <v>864388.6</v>
      </c>
      <c r="F181" s="34">
        <f>16487+20838.5</f>
        <v>37325.5</v>
      </c>
      <c r="G181" s="34">
        <v>274405.1</v>
      </c>
      <c r="H181" s="34">
        <v>3905.6</v>
      </c>
      <c r="I181" s="34">
        <v>122097</v>
      </c>
      <c r="J181" s="34">
        <f>6065.9+1545.9+138088.9+48215.7+24480+4014+431207.8</f>
        <v>653618.2</v>
      </c>
      <c r="K181" s="31">
        <f t="shared" si="3"/>
        <v>2694661.2</v>
      </c>
    </row>
    <row r="182" spans="1:11" s="32" customFormat="1" ht="15" customHeight="1">
      <c r="A182" s="35">
        <v>44836</v>
      </c>
      <c r="B182" s="34">
        <v>408012.7</v>
      </c>
      <c r="C182" s="34">
        <v>119899</v>
      </c>
      <c r="D182" s="34">
        <v>228762.5</v>
      </c>
      <c r="E182" s="34">
        <v>862390.2</v>
      </c>
      <c r="F182" s="34">
        <f>16534.1+21546.4</f>
        <v>38080.5</v>
      </c>
      <c r="G182" s="34">
        <v>54925.4</v>
      </c>
      <c r="H182" s="34">
        <v>4224.6</v>
      </c>
      <c r="I182" s="34">
        <v>112117.1</v>
      </c>
      <c r="J182" s="34">
        <f>6552.7+1586.1+143590.8+49403.3+24467.6+4048.3+641499.6</f>
        <v>871148.3999999999</v>
      </c>
      <c r="K182" s="31">
        <f t="shared" si="3"/>
        <v>2699560.4</v>
      </c>
    </row>
    <row r="183" spans="1:11" s="32" customFormat="1" ht="15.75">
      <c r="A183" s="36" t="s">
        <v>38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8"/>
    </row>
    <row r="184" spans="1:11" s="32" customFormat="1" ht="15.75">
      <c r="A184" s="39" t="s">
        <v>39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1"/>
    </row>
    <row r="185" spans="1:11" ht="19.5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6"/>
  <sheetViews>
    <sheetView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9" sqref="C59"/>
    </sheetView>
  </sheetViews>
  <sheetFormatPr defaultColWidth="11.5546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8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5">
        <v>43435</v>
      </c>
      <c r="B48" s="34">
        <v>134157.9</v>
      </c>
      <c r="C48" s="34">
        <v>25683.1</v>
      </c>
      <c r="D48" s="34">
        <v>73101.9</v>
      </c>
      <c r="E48" s="34">
        <v>251994.5</v>
      </c>
      <c r="F48" s="34">
        <v>38620.6</v>
      </c>
      <c r="G48" s="34">
        <v>17717.6</v>
      </c>
      <c r="H48" s="34">
        <v>1214.3</v>
      </c>
      <c r="I48" s="34">
        <v>42849.8</v>
      </c>
      <c r="J48" s="34">
        <v>358710.1</v>
      </c>
      <c r="K48" s="31">
        <f t="shared" si="1"/>
        <v>944049.8</v>
      </c>
    </row>
    <row r="49" spans="1:11" s="32" customFormat="1" ht="15.75">
      <c r="A49" s="35">
        <v>43525</v>
      </c>
      <c r="B49" s="34">
        <v>142987.6</v>
      </c>
      <c r="C49" s="34">
        <v>27913.9</v>
      </c>
      <c r="D49" s="34">
        <v>62744.8</v>
      </c>
      <c r="E49" s="34">
        <v>260288.5</v>
      </c>
      <c r="F49" s="34">
        <f>33962.6+14736.5</f>
        <v>48699.1</v>
      </c>
      <c r="G49" s="34">
        <v>19945.8</v>
      </c>
      <c r="H49" s="34">
        <v>666.6</v>
      </c>
      <c r="I49" s="34">
        <v>30359.1</v>
      </c>
      <c r="J49" s="34">
        <f>9990.7+1976.4+53333.3+7045.4+8730.2+2213.4+275803.4</f>
        <v>359092.80000000005</v>
      </c>
      <c r="K49" s="31">
        <f aca="true" t="shared" si="2" ref="K49:K60">SUM(B49:J49)</f>
        <v>952698.2000000001</v>
      </c>
    </row>
    <row r="50" spans="1:11" s="32" customFormat="1" ht="15.75">
      <c r="A50" s="35">
        <v>43617</v>
      </c>
      <c r="B50" s="34">
        <v>152785.5</v>
      </c>
      <c r="C50" s="34">
        <v>35765.9</v>
      </c>
      <c r="D50" s="34">
        <v>42446.1</v>
      </c>
      <c r="E50" s="34">
        <v>316636.2</v>
      </c>
      <c r="F50" s="34">
        <f>15013.2+19747.2</f>
        <v>34760.4</v>
      </c>
      <c r="G50" s="34">
        <v>19653.1</v>
      </c>
      <c r="H50" s="34">
        <v>817.1</v>
      </c>
      <c r="I50" s="34">
        <v>20693.7</v>
      </c>
      <c r="J50" s="34">
        <f>7544.8+1648.1+56832.5+9035.4+9077.6+2158.6+283191.5</f>
        <v>369488.5</v>
      </c>
      <c r="K50" s="31">
        <f t="shared" si="2"/>
        <v>993046.4999999999</v>
      </c>
    </row>
    <row r="51" spans="1:11" s="32" customFormat="1" ht="15.75">
      <c r="A51" s="35">
        <v>43709</v>
      </c>
      <c r="B51" s="34">
        <v>157875.9</v>
      </c>
      <c r="C51" s="34">
        <v>28283.5</v>
      </c>
      <c r="D51" s="34">
        <v>45793.4</v>
      </c>
      <c r="E51" s="34">
        <v>336993.1</v>
      </c>
      <c r="F51" s="34">
        <f>17154.5+22638.6</f>
        <v>39793.1</v>
      </c>
      <c r="G51" s="34">
        <v>23276.1</v>
      </c>
      <c r="H51" s="34">
        <v>824.6</v>
      </c>
      <c r="I51" s="34">
        <v>26004.8</v>
      </c>
      <c r="J51" s="34">
        <f>9046.1+1120.3+54080.7+9549+9639.7+2065.5+311603.6</f>
        <v>397104.89999999997</v>
      </c>
      <c r="K51" s="31">
        <f t="shared" si="2"/>
        <v>1055949.4</v>
      </c>
    </row>
    <row r="52" spans="1:11" s="32" customFormat="1" ht="15.75">
      <c r="A52" s="35">
        <v>43800</v>
      </c>
      <c r="B52" s="34">
        <v>168760.4</v>
      </c>
      <c r="C52" s="34">
        <v>35760.3</v>
      </c>
      <c r="D52" s="34">
        <v>48513.7</v>
      </c>
      <c r="E52" s="34">
        <v>373149.5</v>
      </c>
      <c r="F52" s="34">
        <f>14048.9+16469.2</f>
        <v>30518.1</v>
      </c>
      <c r="G52" s="34">
        <v>19960.3</v>
      </c>
      <c r="H52" s="34">
        <v>1022</v>
      </c>
      <c r="I52" s="34">
        <v>15443.6</v>
      </c>
      <c r="J52" s="34">
        <f>8149.9+1633.8+90598.3+7577.6+12631.7+2761.9+329461.4</f>
        <v>452814.60000000003</v>
      </c>
      <c r="K52" s="31">
        <f t="shared" si="2"/>
        <v>1145942.5</v>
      </c>
    </row>
    <row r="53" spans="1:11" s="32" customFormat="1" ht="15.75">
      <c r="A53" s="35">
        <v>43921</v>
      </c>
      <c r="B53" s="34">
        <v>172558.5</v>
      </c>
      <c r="C53" s="34">
        <v>38231.4</v>
      </c>
      <c r="D53" s="34">
        <v>66642.9</v>
      </c>
      <c r="E53" s="34">
        <v>357018.3</v>
      </c>
      <c r="F53" s="34">
        <f>13710.8+16147</f>
        <v>29857.8</v>
      </c>
      <c r="G53" s="34">
        <v>19461.4</v>
      </c>
      <c r="H53" s="34">
        <v>1010.9</v>
      </c>
      <c r="I53" s="34">
        <v>11500.9</v>
      </c>
      <c r="J53" s="34">
        <f>8418.5+1641.1+92176.2+5897.8+12854.1+2938.5+338884.4</f>
        <v>462810.60000000003</v>
      </c>
      <c r="K53" s="31">
        <f t="shared" si="2"/>
        <v>1159092.7000000002</v>
      </c>
    </row>
    <row r="54" spans="1:11" s="32" customFormat="1" ht="15.75">
      <c r="A54" s="35">
        <v>44012</v>
      </c>
      <c r="B54" s="34">
        <v>186185.6</v>
      </c>
      <c r="C54" s="34">
        <v>35122.4</v>
      </c>
      <c r="D54" s="34">
        <v>61476.2</v>
      </c>
      <c r="E54" s="34">
        <v>404657.7</v>
      </c>
      <c r="F54" s="34">
        <f>13919.4+15606.3</f>
        <v>29525.699999999997</v>
      </c>
      <c r="G54" s="34">
        <v>18973.1</v>
      </c>
      <c r="H54" s="34">
        <v>1156.6</v>
      </c>
      <c r="I54" s="34">
        <v>13266.1</v>
      </c>
      <c r="J54" s="34">
        <f>5978+1597.3+95061+9164.8+13158.3+3043.4+336859.8</f>
        <v>464862.6</v>
      </c>
      <c r="K54" s="31">
        <f t="shared" si="2"/>
        <v>1215226</v>
      </c>
    </row>
    <row r="55" spans="1:11" s="32" customFormat="1" ht="15.75">
      <c r="A55" s="35">
        <v>44104</v>
      </c>
      <c r="B55" s="34">
        <v>215983.8</v>
      </c>
      <c r="C55" s="34">
        <v>30177.4</v>
      </c>
      <c r="D55" s="34">
        <v>100114.1</v>
      </c>
      <c r="E55" s="34">
        <v>371429.1</v>
      </c>
      <c r="F55" s="34">
        <f>13544.8+15506.4</f>
        <v>29051.199999999997</v>
      </c>
      <c r="G55" s="34">
        <v>25477.2</v>
      </c>
      <c r="H55" s="34">
        <v>1178.5</v>
      </c>
      <c r="I55" s="34">
        <v>15696.8</v>
      </c>
      <c r="J55" s="34">
        <f>5735+1510+101191+13323.1+13272.3+2677.1+345159.8</f>
        <v>482868.3</v>
      </c>
      <c r="K55" s="31">
        <f t="shared" si="2"/>
        <v>1271976.4</v>
      </c>
    </row>
    <row r="56" spans="1:11" s="32" customFormat="1" ht="15" customHeight="1">
      <c r="A56" s="35">
        <v>44196</v>
      </c>
      <c r="B56" s="34">
        <v>225273.7</v>
      </c>
      <c r="C56" s="34">
        <v>39059.9</v>
      </c>
      <c r="D56" s="34">
        <v>104490.2</v>
      </c>
      <c r="E56" s="34">
        <v>387530.8</v>
      </c>
      <c r="F56" s="34">
        <f>9966.3+15204.7</f>
        <v>25171</v>
      </c>
      <c r="G56" s="34">
        <v>23159.8</v>
      </c>
      <c r="H56" s="34">
        <v>1128.6</v>
      </c>
      <c r="I56" s="34">
        <v>9909.2</v>
      </c>
      <c r="J56" s="34">
        <f>5766.8+1360.2+96531.6+12221+11589.6+2986+364959.1</f>
        <v>495414.3</v>
      </c>
      <c r="K56" s="31">
        <f t="shared" si="2"/>
        <v>1311137.5</v>
      </c>
    </row>
    <row r="57" spans="1:11" s="32" customFormat="1" ht="15" customHeight="1">
      <c r="A57" s="58">
        <v>44286</v>
      </c>
      <c r="B57" s="34">
        <v>237881.7</v>
      </c>
      <c r="C57" s="34">
        <v>47239.4</v>
      </c>
      <c r="D57" s="34">
        <v>121658.8</v>
      </c>
      <c r="E57" s="34">
        <v>452716</v>
      </c>
      <c r="F57" s="34">
        <f>9579.5+17042.8</f>
        <v>26622.3</v>
      </c>
      <c r="G57" s="34">
        <v>19065.1</v>
      </c>
      <c r="H57" s="34">
        <v>1263.6</v>
      </c>
      <c r="I57" s="34">
        <v>7505.5</v>
      </c>
      <c r="J57" s="34">
        <f>7619.5+1352.3+101906.5+11934.7+13750.3+3127+381536.8</f>
        <v>521227.1</v>
      </c>
      <c r="K57" s="31">
        <f t="shared" si="2"/>
        <v>1435179.5</v>
      </c>
    </row>
    <row r="58" spans="1:11" s="32" customFormat="1" ht="15" customHeight="1">
      <c r="A58" s="35">
        <v>44377</v>
      </c>
      <c r="B58" s="34">
        <v>251147.1</v>
      </c>
      <c r="C58" s="34">
        <v>58294.4</v>
      </c>
      <c r="D58" s="34">
        <v>147220.1</v>
      </c>
      <c r="E58" s="34">
        <v>504981.8</v>
      </c>
      <c r="F58" s="34">
        <f>11950.8+20838.9</f>
        <v>32789.7</v>
      </c>
      <c r="G58" s="34">
        <v>21008.9</v>
      </c>
      <c r="H58" s="34">
        <v>1465.5</v>
      </c>
      <c r="I58" s="34">
        <v>7808.9</v>
      </c>
      <c r="J58" s="34">
        <f>6086.1+25087+137252.2+15412.3+14642.4+3149.8+397565.3</f>
        <v>599195.1</v>
      </c>
      <c r="K58" s="31">
        <f t="shared" si="2"/>
        <v>1623911.5</v>
      </c>
    </row>
    <row r="59" spans="1:11" s="32" customFormat="1" ht="15" customHeight="1">
      <c r="A59" s="58">
        <v>44469</v>
      </c>
      <c r="B59" s="34">
        <v>290332.3</v>
      </c>
      <c r="C59" s="34">
        <v>67232.2</v>
      </c>
      <c r="D59" s="34">
        <v>150132.8</v>
      </c>
      <c r="E59" s="34">
        <v>525475.5</v>
      </c>
      <c r="F59" s="34">
        <f>11930.4+20546.8</f>
        <v>32477.199999999997</v>
      </c>
      <c r="G59" s="34">
        <v>23861.8</v>
      </c>
      <c r="H59" s="34">
        <v>1712.7</v>
      </c>
      <c r="I59" s="34">
        <v>9128.6</v>
      </c>
      <c r="J59" s="34">
        <f>6192+25225.3+205796.9+21316.3+16399.3+2926.7+449341.5</f>
        <v>727198</v>
      </c>
      <c r="K59" s="31">
        <f t="shared" si="2"/>
        <v>1827551.1</v>
      </c>
    </row>
    <row r="60" spans="1:11" s="32" customFormat="1" ht="15" customHeight="1">
      <c r="A60" s="35">
        <v>44561</v>
      </c>
      <c r="B60" s="34">
        <v>352613.2</v>
      </c>
      <c r="C60" s="34">
        <v>81720.6</v>
      </c>
      <c r="D60" s="34">
        <v>170241.8</v>
      </c>
      <c r="E60" s="34">
        <v>614527.9</v>
      </c>
      <c r="F60" s="34">
        <f>8138.5+19769.7</f>
        <v>27908.2</v>
      </c>
      <c r="G60" s="34">
        <v>142674.9</v>
      </c>
      <c r="H60" s="34">
        <v>6094.4</v>
      </c>
      <c r="I60" s="34">
        <v>7584.2</v>
      </c>
      <c r="J60" s="34">
        <f>5640.5+25475.2+132057+24480.6+16833.5+3215.5+384826.8</f>
        <v>592529.1</v>
      </c>
      <c r="K60" s="31">
        <f t="shared" si="2"/>
        <v>1995894.2999999998</v>
      </c>
    </row>
    <row r="61" spans="1:11" s="32" customFormat="1" ht="15" customHeight="1">
      <c r="A61" s="58">
        <v>44651</v>
      </c>
      <c r="B61" s="34">
        <v>377890.2</v>
      </c>
      <c r="C61" s="34">
        <v>83937.8</v>
      </c>
      <c r="D61" s="34">
        <v>161766.9</v>
      </c>
      <c r="E61" s="34">
        <v>690152.7</v>
      </c>
      <c r="F61" s="34">
        <v>31746.4</v>
      </c>
      <c r="G61" s="34">
        <v>144257.9</v>
      </c>
      <c r="H61" s="34">
        <v>2360.7</v>
      </c>
      <c r="I61" s="34">
        <v>37212.2</v>
      </c>
      <c r="J61" s="34">
        <v>610994.4</v>
      </c>
      <c r="K61" s="31">
        <v>2140319.1999999997</v>
      </c>
    </row>
    <row r="62" spans="1:11" s="32" customFormat="1" ht="15" customHeight="1">
      <c r="A62" s="35">
        <v>44742</v>
      </c>
      <c r="B62" s="34">
        <v>391551.8</v>
      </c>
      <c r="C62" s="34">
        <v>94002.3</v>
      </c>
      <c r="D62" s="34">
        <v>207724.3</v>
      </c>
      <c r="E62" s="34">
        <v>737369.8</v>
      </c>
      <c r="F62" s="34">
        <v>39985.5</v>
      </c>
      <c r="G62" s="34">
        <v>150066.9</v>
      </c>
      <c r="H62" s="34">
        <v>3130.1</v>
      </c>
      <c r="I62" s="34">
        <v>86332.8</v>
      </c>
      <c r="J62" s="34">
        <v>734273.4</v>
      </c>
      <c r="K62" s="31">
        <v>2444436.9</v>
      </c>
    </row>
    <row r="63" spans="1:11" s="32" customFormat="1" ht="15" customHeight="1">
      <c r="A63" s="35">
        <v>44806</v>
      </c>
      <c r="B63" s="34">
        <v>422738.2</v>
      </c>
      <c r="C63" s="34">
        <v>100867.6</v>
      </c>
      <c r="D63" s="34">
        <v>215315.4</v>
      </c>
      <c r="E63" s="34">
        <v>864388.6</v>
      </c>
      <c r="F63" s="34">
        <v>37325.5</v>
      </c>
      <c r="G63" s="34">
        <v>274405.1</v>
      </c>
      <c r="H63" s="34">
        <v>3905.6</v>
      </c>
      <c r="I63" s="34">
        <v>122097</v>
      </c>
      <c r="J63" s="34">
        <v>653618.2</v>
      </c>
      <c r="K63" s="31">
        <v>2694661.2</v>
      </c>
    </row>
    <row r="64" spans="1:11" s="32" customFormat="1" ht="15.75">
      <c r="A64" s="36" t="s">
        <v>38</v>
      </c>
      <c r="B64" s="37"/>
      <c r="C64" s="37"/>
      <c r="D64" s="37"/>
      <c r="E64" s="37"/>
      <c r="F64" s="37"/>
      <c r="G64" s="37"/>
      <c r="H64" s="37"/>
      <c r="I64" s="37"/>
      <c r="J64" s="37"/>
      <c r="K64" s="38"/>
    </row>
    <row r="65" spans="1:11" s="32" customFormat="1" ht="15.75">
      <c r="A65" s="39" t="s">
        <v>39</v>
      </c>
      <c r="B65" s="40"/>
      <c r="C65" s="40"/>
      <c r="D65" s="40"/>
      <c r="E65" s="40"/>
      <c r="F65" s="40"/>
      <c r="G65" s="40"/>
      <c r="H65" s="40"/>
      <c r="I65" s="40"/>
      <c r="J65" s="40"/>
      <c r="K65" s="41"/>
    </row>
    <row r="66" spans="1:11" ht="19.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0"/>
  <sheetViews>
    <sheetView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11.5546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84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5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5" t="s">
        <v>53</v>
      </c>
      <c r="B15" s="34">
        <v>134157.9</v>
      </c>
      <c r="C15" s="34">
        <v>25683.1</v>
      </c>
      <c r="D15" s="34">
        <v>73101.9</v>
      </c>
      <c r="E15" s="34">
        <v>251994.5</v>
      </c>
      <c r="F15" s="34">
        <v>38620.6</v>
      </c>
      <c r="G15" s="34">
        <v>17717.6</v>
      </c>
      <c r="H15" s="34">
        <v>1214.3</v>
      </c>
      <c r="I15" s="34">
        <v>42849.8</v>
      </c>
      <c r="J15" s="34">
        <v>358710.1</v>
      </c>
      <c r="K15" s="31">
        <f t="shared" si="0"/>
        <v>944049.8</v>
      </c>
    </row>
    <row r="16" spans="1:11" s="32" customFormat="1" ht="15.75">
      <c r="A16" s="35" t="s">
        <v>54</v>
      </c>
      <c r="B16" s="34">
        <v>168760.4</v>
      </c>
      <c r="C16" s="34">
        <v>35760.3</v>
      </c>
      <c r="D16" s="34">
        <v>48513.7</v>
      </c>
      <c r="E16" s="34">
        <v>373149.5</v>
      </c>
      <c r="F16" s="34">
        <f>14048.9+16469.2</f>
        <v>30518.1</v>
      </c>
      <c r="G16" s="34">
        <v>19960.3</v>
      </c>
      <c r="H16" s="34">
        <v>1022</v>
      </c>
      <c r="I16" s="34">
        <v>15443.6</v>
      </c>
      <c r="J16" s="34">
        <f>8149.9+1633.8+90598.3+7577.6+12631.7+2761.9+329461.4</f>
        <v>452814.60000000003</v>
      </c>
      <c r="K16" s="31">
        <f>SUM(B16:J16)</f>
        <v>1145942.5</v>
      </c>
    </row>
    <row r="17" spans="1:11" s="32" customFormat="1" ht="15" customHeight="1">
      <c r="A17" s="35" t="s">
        <v>55</v>
      </c>
      <c r="B17" s="34">
        <v>225273.7</v>
      </c>
      <c r="C17" s="34">
        <v>39059.9</v>
      </c>
      <c r="D17" s="34">
        <v>104490.2</v>
      </c>
      <c r="E17" s="34">
        <v>387530.8</v>
      </c>
      <c r="F17" s="34">
        <f>9966.3+15204.7</f>
        <v>25171</v>
      </c>
      <c r="G17" s="34">
        <v>23159.8</v>
      </c>
      <c r="H17" s="34">
        <v>1128.6</v>
      </c>
      <c r="I17" s="34">
        <v>9909.2</v>
      </c>
      <c r="J17" s="34">
        <f>5766.8+1360.2+96531.6+12221+11589.6+2986+364959.1</f>
        <v>495414.3</v>
      </c>
      <c r="K17" s="31">
        <f>SUM(B17:J17)</f>
        <v>1311137.5</v>
      </c>
    </row>
    <row r="18" spans="1:11" s="32" customFormat="1" ht="15" customHeight="1">
      <c r="A18" s="35" t="s">
        <v>56</v>
      </c>
      <c r="B18" s="34">
        <v>352613.2</v>
      </c>
      <c r="C18" s="34">
        <v>81720.6</v>
      </c>
      <c r="D18" s="34">
        <v>170241.8</v>
      </c>
      <c r="E18" s="34">
        <v>614527.9</v>
      </c>
      <c r="F18" s="34">
        <f>8138.5+19769.7</f>
        <v>27908.2</v>
      </c>
      <c r="G18" s="34">
        <v>142674.9</v>
      </c>
      <c r="H18" s="34">
        <v>6094.4</v>
      </c>
      <c r="I18" s="34">
        <v>7584.2</v>
      </c>
      <c r="J18" s="34">
        <f>5640.5+25475.2+132057+24480.6+16833.5+3215.5+384826.8</f>
        <v>592529.1</v>
      </c>
      <c r="K18" s="31">
        <f>SUM(B18:J18)</f>
        <v>1995894.2999999998</v>
      </c>
    </row>
    <row r="19" spans="1:11" s="32" customFormat="1" ht="15.75">
      <c r="A19" s="36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s="32" customFormat="1" ht="15.75">
      <c r="A20" s="39" t="s">
        <v>39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IZERIMANA Hugues</cp:lastModifiedBy>
  <cp:lastPrinted>2016-11-30T12:34:28Z</cp:lastPrinted>
  <dcterms:created xsi:type="dcterms:W3CDTF">2000-07-11T13:49:14Z</dcterms:created>
  <dcterms:modified xsi:type="dcterms:W3CDTF">2023-01-06T11:08:11Z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